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nsubuga\Desktop\"/>
    </mc:Choice>
  </mc:AlternateContent>
  <bookViews>
    <workbookView xWindow="-105" yWindow="2595" windowWidth="19425" windowHeight="10305" activeTab="6"/>
  </bookViews>
  <sheets>
    <sheet name="Analysis" sheetId="5" r:id="rId1"/>
    <sheet name="LIST 2" sheetId="6" r:id="rId2"/>
    <sheet name="Sheet2" sheetId="7" r:id="rId3"/>
    <sheet name="Sheet6" sheetId="11" r:id="rId4"/>
    <sheet name="Sheet7" sheetId="12" r:id="rId5"/>
    <sheet name="2025" sheetId="13" r:id="rId6"/>
    <sheet name="DATA SOURCE" sheetId="1" r:id="rId7"/>
    <sheet name="Customer Master Data" sheetId="4" r:id="rId8"/>
    <sheet name="Logs Tar" sheetId="2" r:id="rId9"/>
    <sheet name="List" sheetId="3" r:id="rId10"/>
  </sheets>
  <externalReferences>
    <externalReference r:id="rId11"/>
  </externalReferences>
  <definedNames>
    <definedName name="_xlnm._FilterDatabase" localSheetId="6" hidden="1">'DATA SOURCE'!$A$1:$AO$1328</definedName>
  </definedNames>
  <calcPr calcId="162913"/>
  <pivotCaches>
    <pivotCache cacheId="4" r:id="rId12"/>
    <pivotCache cacheId="5" r:id="rId13"/>
    <pivotCache cacheId="6" r:id="rId14"/>
    <pivotCache cacheId="7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147" i="1" l="1"/>
  <c r="P583" i="1" l="1"/>
  <c r="P556" i="1"/>
  <c r="P676" i="1"/>
  <c r="P665" i="1"/>
  <c r="P652" i="1"/>
  <c r="P631" i="1"/>
  <c r="P619" i="1"/>
  <c r="P606" i="1"/>
  <c r="P726" i="1"/>
  <c r="P733" i="1"/>
  <c r="P745" i="1"/>
  <c r="P774" i="1"/>
  <c r="P790" i="1"/>
  <c r="P800" i="1"/>
  <c r="P813" i="1"/>
  <c r="P841" i="1"/>
  <c r="P858" i="1"/>
  <c r="P853" i="1"/>
  <c r="P822" i="1"/>
  <c r="P811" i="1"/>
  <c r="P803" i="1"/>
  <c r="P738" i="1"/>
  <c r="P713" i="1"/>
  <c r="P698" i="1"/>
  <c r="P672" i="1"/>
  <c r="P570" i="1"/>
  <c r="P590" i="1"/>
  <c r="P611" i="1"/>
  <c r="P642" i="1"/>
  <c r="P661" i="1"/>
  <c r="P650" i="1"/>
  <c r="P628" i="1"/>
  <c r="P618" i="1"/>
  <c r="P782" i="1"/>
  <c r="P792" i="1"/>
  <c r="P857" i="1"/>
  <c r="P831" i="1"/>
  <c r="P773" i="1"/>
  <c r="P709" i="1"/>
  <c r="P647" i="1"/>
  <c r="P627" i="1"/>
  <c r="P614" i="1"/>
  <c r="P821" i="1"/>
  <c r="P804" i="1"/>
  <c r="P797" i="1"/>
  <c r="P780" i="1"/>
  <c r="P757" i="1"/>
  <c r="P737" i="1"/>
  <c r="P720" i="1"/>
  <c r="P808" i="1"/>
  <c r="P824" i="1"/>
  <c r="P845" i="1"/>
  <c r="P867" i="1"/>
  <c r="P816" i="1"/>
  <c r="P838" i="1"/>
  <c r="P848" i="1"/>
  <c r="P862" i="1"/>
  <c r="P874" i="1"/>
  <c r="P873" i="1"/>
  <c r="P810" i="1"/>
  <c r="P801" i="1"/>
  <c r="P794" i="1"/>
  <c r="P787" i="1"/>
  <c r="P743" i="1"/>
  <c r="P729" i="1"/>
  <c r="P719" i="1"/>
  <c r="P688" i="1"/>
  <c r="P673" i="1"/>
  <c r="P669" i="1"/>
  <c r="P663" i="1"/>
  <c r="P643" i="1"/>
  <c r="P624" i="1"/>
  <c r="P608" i="1"/>
  <c r="P593" i="1"/>
  <c r="P575" i="1"/>
  <c r="P620" i="1"/>
  <c r="P615" i="1"/>
  <c r="P607" i="1"/>
  <c r="P595" i="1"/>
  <c r="P778" i="1"/>
  <c r="P764" i="1"/>
  <c r="P746" i="1"/>
  <c r="P742" i="1"/>
  <c r="P731" i="1"/>
  <c r="P725" i="1"/>
  <c r="P715" i="1"/>
  <c r="P881" i="1"/>
  <c r="P870" i="1"/>
  <c r="P855" i="1"/>
  <c r="P835" i="1"/>
  <c r="P827" i="1"/>
  <c r="P814" i="1"/>
  <c r="P807" i="1"/>
  <c r="P839" i="1"/>
  <c r="P684" i="1"/>
  <c r="P728" i="1"/>
  <c r="P736" i="1"/>
  <c r="P775" i="1"/>
  <c r="P750" i="1"/>
  <c r="P741" i="1"/>
  <c r="P727" i="1"/>
  <c r="P714" i="1"/>
  <c r="P690" i="1"/>
  <c r="P674" i="1"/>
  <c r="P651" i="1"/>
  <c r="P638" i="1"/>
  <c r="P612" i="1"/>
  <c r="P596" i="1"/>
  <c r="P581" i="1"/>
  <c r="P552" i="1"/>
  <c r="L1132" i="1" l="1"/>
  <c r="M1132" i="1" s="1"/>
  <c r="N1132" i="1" s="1"/>
  <c r="L1133" i="1"/>
  <c r="M1133" i="1" s="1"/>
  <c r="N1133" i="1" s="1"/>
  <c r="L1134" i="1"/>
  <c r="M1134" i="1" s="1"/>
  <c r="N1134" i="1" s="1"/>
  <c r="L1135" i="1"/>
  <c r="M1135" i="1" s="1"/>
  <c r="N1135" i="1" s="1"/>
  <c r="L1136" i="1"/>
  <c r="M1136" i="1" s="1"/>
  <c r="N1136" i="1" s="1"/>
  <c r="L1137" i="1"/>
  <c r="M1137" i="1" s="1"/>
  <c r="N1137" i="1" s="1"/>
  <c r="L1138" i="1"/>
  <c r="M1138" i="1" s="1"/>
  <c r="N1138" i="1" s="1"/>
  <c r="L1139" i="1"/>
  <c r="M1139" i="1" s="1"/>
  <c r="N1139" i="1" s="1"/>
  <c r="L1140" i="1"/>
  <c r="M1140" i="1" s="1"/>
  <c r="N1140" i="1" s="1"/>
  <c r="L1141" i="1"/>
  <c r="M1141" i="1" s="1"/>
  <c r="N1141" i="1" s="1"/>
  <c r="L1142" i="1"/>
  <c r="M1142" i="1" s="1"/>
  <c r="N1142" i="1" s="1"/>
  <c r="L1143" i="1"/>
  <c r="M1143" i="1" s="1"/>
  <c r="N1143" i="1" s="1"/>
  <c r="L1144" i="1"/>
  <c r="M1144" i="1" s="1"/>
  <c r="N1144" i="1" s="1"/>
  <c r="L1145" i="1"/>
  <c r="M1145" i="1" s="1"/>
  <c r="N1145" i="1" s="1"/>
  <c r="L1146" i="1"/>
  <c r="M1146" i="1" s="1"/>
  <c r="N1146" i="1" s="1"/>
  <c r="L1147" i="1"/>
  <c r="M1147" i="1" s="1"/>
  <c r="N1147" i="1" s="1"/>
  <c r="L1148" i="1"/>
  <c r="M1148" i="1" s="1"/>
  <c r="N1148" i="1" s="1"/>
  <c r="L1149" i="1"/>
  <c r="M1149" i="1" s="1"/>
  <c r="N1149" i="1" s="1"/>
  <c r="L1150" i="1"/>
  <c r="M1150" i="1" s="1"/>
  <c r="N1150" i="1" s="1"/>
  <c r="L1151" i="1"/>
  <c r="M1151" i="1" s="1"/>
  <c r="N1151" i="1" s="1"/>
  <c r="L1152" i="1"/>
  <c r="M1152" i="1" s="1"/>
  <c r="N1152" i="1" s="1"/>
  <c r="L1153" i="1"/>
  <c r="M1153" i="1" s="1"/>
  <c r="N1153" i="1" s="1"/>
  <c r="L1154" i="1"/>
  <c r="M1154" i="1" s="1"/>
  <c r="N1154" i="1" s="1"/>
  <c r="L1155" i="1"/>
  <c r="M1155" i="1" s="1"/>
  <c r="N1155" i="1" s="1"/>
  <c r="L1156" i="1"/>
  <c r="M1156" i="1" s="1"/>
  <c r="N1156" i="1" s="1"/>
  <c r="L1157" i="1"/>
  <c r="M1157" i="1" s="1"/>
  <c r="N1157" i="1" s="1"/>
  <c r="L1158" i="1"/>
  <c r="M1158" i="1" s="1"/>
  <c r="N1158" i="1" s="1"/>
  <c r="L1159" i="1"/>
  <c r="M1159" i="1" s="1"/>
  <c r="N1159" i="1" s="1"/>
  <c r="L1160" i="1"/>
  <c r="M1160" i="1" s="1"/>
  <c r="N1160" i="1" s="1"/>
  <c r="L1161" i="1"/>
  <c r="M1161" i="1" s="1"/>
  <c r="N1161" i="1" s="1"/>
  <c r="L1162" i="1"/>
  <c r="M1162" i="1" s="1"/>
  <c r="N1162" i="1" s="1"/>
  <c r="L1163" i="1"/>
  <c r="M1163" i="1" s="1"/>
  <c r="N1163" i="1" s="1"/>
  <c r="L1164" i="1"/>
  <c r="M1164" i="1" s="1"/>
  <c r="N1164" i="1" s="1"/>
  <c r="L1165" i="1"/>
  <c r="M1165" i="1" s="1"/>
  <c r="N1165" i="1" s="1"/>
  <c r="L1166" i="1"/>
  <c r="M1166" i="1" s="1"/>
  <c r="N1166" i="1" s="1"/>
  <c r="L1167" i="1"/>
  <c r="M1167" i="1" s="1"/>
  <c r="N1167" i="1" s="1"/>
  <c r="L1168" i="1"/>
  <c r="M1168" i="1" s="1"/>
  <c r="N1168" i="1" s="1"/>
  <c r="L1169" i="1"/>
  <c r="M1169" i="1" s="1"/>
  <c r="N1169" i="1" s="1"/>
  <c r="L1170" i="1"/>
  <c r="M1170" i="1" s="1"/>
  <c r="N1170" i="1" s="1"/>
  <c r="L1171" i="1"/>
  <c r="M1171" i="1" s="1"/>
  <c r="N1171" i="1" s="1"/>
  <c r="L1172" i="1"/>
  <c r="M1172" i="1" s="1"/>
  <c r="N1172" i="1" s="1"/>
  <c r="L1173" i="1"/>
  <c r="M1173" i="1" s="1"/>
  <c r="N1173" i="1" s="1"/>
  <c r="L1174" i="1"/>
  <c r="M1174" i="1" s="1"/>
  <c r="N1174" i="1" s="1"/>
  <c r="L1175" i="1"/>
  <c r="M1175" i="1" s="1"/>
  <c r="N1175" i="1" s="1"/>
  <c r="L1176" i="1"/>
  <c r="M1176" i="1" s="1"/>
  <c r="N1176" i="1" s="1"/>
  <c r="L1177" i="1"/>
  <c r="M1177" i="1" s="1"/>
  <c r="N1177" i="1" s="1"/>
  <c r="L1178" i="1"/>
  <c r="M1178" i="1" s="1"/>
  <c r="N1178" i="1" s="1"/>
  <c r="L1179" i="1"/>
  <c r="M1179" i="1" s="1"/>
  <c r="N1179" i="1" s="1"/>
  <c r="L1180" i="1"/>
  <c r="M1180" i="1" s="1"/>
  <c r="N1180" i="1" s="1"/>
  <c r="L1181" i="1"/>
  <c r="M1181" i="1" s="1"/>
  <c r="N1181" i="1" s="1"/>
  <c r="L1182" i="1"/>
  <c r="M1182" i="1" s="1"/>
  <c r="N1182" i="1" s="1"/>
  <c r="L1183" i="1"/>
  <c r="M1183" i="1" s="1"/>
  <c r="N1183" i="1" s="1"/>
  <c r="L1184" i="1"/>
  <c r="M1184" i="1" s="1"/>
  <c r="N1184" i="1" s="1"/>
  <c r="L1185" i="1"/>
  <c r="M1185" i="1" s="1"/>
  <c r="N1185" i="1" s="1"/>
  <c r="L1186" i="1"/>
  <c r="M1186" i="1" s="1"/>
  <c r="N1186" i="1" s="1"/>
  <c r="L1187" i="1"/>
  <c r="M1187" i="1" s="1"/>
  <c r="N1187" i="1" s="1"/>
  <c r="L1188" i="1"/>
  <c r="M1188" i="1" s="1"/>
  <c r="N1188" i="1" s="1"/>
  <c r="L1189" i="1"/>
  <c r="M1189" i="1" s="1"/>
  <c r="N1189" i="1" s="1"/>
  <c r="L1190" i="1"/>
  <c r="M1190" i="1" s="1"/>
  <c r="N1190" i="1" s="1"/>
  <c r="L1191" i="1"/>
  <c r="M1191" i="1" s="1"/>
  <c r="N1191" i="1" s="1"/>
  <c r="L1192" i="1"/>
  <c r="M1192" i="1" s="1"/>
  <c r="N1192" i="1" s="1"/>
  <c r="L1193" i="1"/>
  <c r="M1193" i="1" s="1"/>
  <c r="N1193" i="1" s="1"/>
  <c r="L1194" i="1"/>
  <c r="M1194" i="1" s="1"/>
  <c r="N1194" i="1" s="1"/>
  <c r="L1195" i="1"/>
  <c r="M1195" i="1" s="1"/>
  <c r="N1195" i="1" s="1"/>
  <c r="L1196" i="1"/>
  <c r="M1196" i="1" s="1"/>
  <c r="N1196" i="1" s="1"/>
  <c r="L1197" i="1"/>
  <c r="M1197" i="1" s="1"/>
  <c r="N1197" i="1" s="1"/>
  <c r="L1198" i="1"/>
  <c r="M1198" i="1" s="1"/>
  <c r="N1198" i="1" s="1"/>
  <c r="L1199" i="1"/>
  <c r="M1199" i="1" s="1"/>
  <c r="N1199" i="1" s="1"/>
  <c r="L1200" i="1"/>
  <c r="M1200" i="1" s="1"/>
  <c r="N1200" i="1" s="1"/>
  <c r="L1201" i="1"/>
  <c r="M1201" i="1" s="1"/>
  <c r="N1201" i="1" s="1"/>
  <c r="L1202" i="1"/>
  <c r="M1202" i="1" s="1"/>
  <c r="N1202" i="1" s="1"/>
  <c r="L1203" i="1"/>
  <c r="M1203" i="1" s="1"/>
  <c r="N1203" i="1" s="1"/>
  <c r="L1204" i="1"/>
  <c r="M1204" i="1" s="1"/>
  <c r="N1204" i="1" s="1"/>
  <c r="L1205" i="1"/>
  <c r="M1205" i="1" s="1"/>
  <c r="N1205" i="1" s="1"/>
  <c r="L1206" i="1"/>
  <c r="M1206" i="1" s="1"/>
  <c r="N1206" i="1" s="1"/>
  <c r="L1207" i="1"/>
  <c r="M1207" i="1" s="1"/>
  <c r="N1207" i="1" s="1"/>
  <c r="L1208" i="1"/>
  <c r="M1208" i="1" s="1"/>
  <c r="N1208" i="1" s="1"/>
  <c r="L1209" i="1"/>
  <c r="M1209" i="1" s="1"/>
  <c r="N1209" i="1" s="1"/>
  <c r="L1210" i="1"/>
  <c r="M1210" i="1" s="1"/>
  <c r="N1210" i="1" s="1"/>
  <c r="L1211" i="1"/>
  <c r="M1211" i="1" s="1"/>
  <c r="N1211" i="1" s="1"/>
  <c r="L1212" i="1"/>
  <c r="M1212" i="1" s="1"/>
  <c r="N1212" i="1" s="1"/>
  <c r="L1213" i="1"/>
  <c r="M1213" i="1" s="1"/>
  <c r="N1213" i="1" s="1"/>
  <c r="L1214" i="1"/>
  <c r="M1214" i="1" s="1"/>
  <c r="N1214" i="1" s="1"/>
  <c r="L1215" i="1"/>
  <c r="M1215" i="1" s="1"/>
  <c r="N1215" i="1" s="1"/>
  <c r="L1216" i="1"/>
  <c r="M1216" i="1" s="1"/>
  <c r="N1216" i="1" s="1"/>
  <c r="L1217" i="1"/>
  <c r="M1217" i="1" s="1"/>
  <c r="N1217" i="1" s="1"/>
  <c r="L1218" i="1"/>
  <c r="M1218" i="1" s="1"/>
  <c r="N1218" i="1" s="1"/>
  <c r="L1219" i="1"/>
  <c r="M1219" i="1" s="1"/>
  <c r="N1219" i="1" s="1"/>
  <c r="L1220" i="1"/>
  <c r="M1220" i="1" s="1"/>
  <c r="N1220" i="1" s="1"/>
  <c r="L1221" i="1"/>
  <c r="M1221" i="1" s="1"/>
  <c r="N1221" i="1" s="1"/>
  <c r="L1222" i="1"/>
  <c r="M1222" i="1" s="1"/>
  <c r="N1222" i="1" s="1"/>
  <c r="L1223" i="1"/>
  <c r="M1223" i="1" s="1"/>
  <c r="N1223" i="1" s="1"/>
  <c r="L1224" i="1"/>
  <c r="M1224" i="1" s="1"/>
  <c r="N1224" i="1" s="1"/>
  <c r="L1225" i="1"/>
  <c r="M1225" i="1" s="1"/>
  <c r="N1225" i="1" s="1"/>
  <c r="L1226" i="1"/>
  <c r="M1226" i="1" s="1"/>
  <c r="N1226" i="1" s="1"/>
  <c r="L1227" i="1"/>
  <c r="M1227" i="1" s="1"/>
  <c r="N1227" i="1" s="1"/>
  <c r="L1228" i="1"/>
  <c r="M1228" i="1" s="1"/>
  <c r="N1228" i="1" s="1"/>
  <c r="L1229" i="1"/>
  <c r="M1229" i="1" s="1"/>
  <c r="N1229" i="1" s="1"/>
  <c r="L1230" i="1"/>
  <c r="M1230" i="1" s="1"/>
  <c r="N1230" i="1" s="1"/>
  <c r="L1231" i="1"/>
  <c r="M1231" i="1" s="1"/>
  <c r="N1231" i="1" s="1"/>
  <c r="L1232" i="1"/>
  <c r="M1232" i="1" s="1"/>
  <c r="N1232" i="1" s="1"/>
  <c r="L1233" i="1"/>
  <c r="M1233" i="1" s="1"/>
  <c r="N1233" i="1" s="1"/>
  <c r="L1234" i="1"/>
  <c r="M1234" i="1" s="1"/>
  <c r="N1234" i="1" s="1"/>
  <c r="L1235" i="1"/>
  <c r="M1235" i="1" s="1"/>
  <c r="N1235" i="1" s="1"/>
  <c r="L1236" i="1"/>
  <c r="M1236" i="1" s="1"/>
  <c r="N1236" i="1" s="1"/>
  <c r="L1237" i="1"/>
  <c r="M1237" i="1" s="1"/>
  <c r="N1237" i="1" s="1"/>
  <c r="L1238" i="1"/>
  <c r="M1238" i="1" s="1"/>
  <c r="N1238" i="1" s="1"/>
  <c r="L1239" i="1"/>
  <c r="M1239" i="1" s="1"/>
  <c r="N1239" i="1" s="1"/>
  <c r="L1240" i="1"/>
  <c r="M1240" i="1" s="1"/>
  <c r="N1240" i="1" s="1"/>
  <c r="L1241" i="1"/>
  <c r="M1241" i="1" s="1"/>
  <c r="N1241" i="1" s="1"/>
  <c r="L1242" i="1"/>
  <c r="M1242" i="1" s="1"/>
  <c r="N1242" i="1" s="1"/>
  <c r="L1243" i="1"/>
  <c r="M1243" i="1" s="1"/>
  <c r="N1243" i="1" s="1"/>
  <c r="L1244" i="1"/>
  <c r="M1244" i="1" s="1"/>
  <c r="N1244" i="1" s="1"/>
  <c r="L1245" i="1"/>
  <c r="M1245" i="1" s="1"/>
  <c r="N1245" i="1" s="1"/>
  <c r="L1246" i="1"/>
  <c r="M1246" i="1" s="1"/>
  <c r="N1246" i="1" s="1"/>
  <c r="L1247" i="1"/>
  <c r="M1247" i="1" s="1"/>
  <c r="N1247" i="1" s="1"/>
  <c r="L1248" i="1"/>
  <c r="M1248" i="1" s="1"/>
  <c r="N1248" i="1" s="1"/>
  <c r="L1249" i="1"/>
  <c r="M1249" i="1" s="1"/>
  <c r="N1249" i="1" s="1"/>
  <c r="L1250" i="1"/>
  <c r="M1250" i="1" s="1"/>
  <c r="N1250" i="1" s="1"/>
  <c r="L1251" i="1"/>
  <c r="M1251" i="1" s="1"/>
  <c r="N1251" i="1" s="1"/>
  <c r="L1252" i="1"/>
  <c r="M1252" i="1" s="1"/>
  <c r="N1252" i="1" s="1"/>
  <c r="L1253" i="1"/>
  <c r="M1253" i="1" s="1"/>
  <c r="N1253" i="1" s="1"/>
  <c r="L1254" i="1"/>
  <c r="M1254" i="1" s="1"/>
  <c r="N1254" i="1" s="1"/>
  <c r="L1255" i="1"/>
  <c r="M1255" i="1" s="1"/>
  <c r="N1255" i="1" s="1"/>
  <c r="L1256" i="1"/>
  <c r="M1256" i="1" s="1"/>
  <c r="N1256" i="1" s="1"/>
  <c r="L1257" i="1"/>
  <c r="M1257" i="1" s="1"/>
  <c r="N1257" i="1" s="1"/>
  <c r="L1258" i="1"/>
  <c r="M1258" i="1" s="1"/>
  <c r="N1258" i="1" s="1"/>
  <c r="L1259" i="1"/>
  <c r="M1259" i="1" s="1"/>
  <c r="N1259" i="1" s="1"/>
  <c r="L1260" i="1"/>
  <c r="M1260" i="1" s="1"/>
  <c r="N1260" i="1" s="1"/>
  <c r="L1261" i="1"/>
  <c r="M1261" i="1" s="1"/>
  <c r="N1261" i="1" s="1"/>
  <c r="L1262" i="1"/>
  <c r="M1262" i="1" s="1"/>
  <c r="N1262" i="1" s="1"/>
  <c r="L1263" i="1"/>
  <c r="M1263" i="1" s="1"/>
  <c r="N1263" i="1" s="1"/>
  <c r="L1264" i="1"/>
  <c r="M1264" i="1" s="1"/>
  <c r="N1264" i="1" s="1"/>
  <c r="L1265" i="1"/>
  <c r="M1265" i="1" s="1"/>
  <c r="N1265" i="1" s="1"/>
  <c r="L1266" i="1"/>
  <c r="M1266" i="1" s="1"/>
  <c r="N1266" i="1" s="1"/>
  <c r="L1267" i="1"/>
  <c r="M1267" i="1" s="1"/>
  <c r="N1267" i="1" s="1"/>
  <c r="L1268" i="1"/>
  <c r="M1268" i="1" s="1"/>
  <c r="N1268" i="1" s="1"/>
  <c r="L1269" i="1"/>
  <c r="M1269" i="1" s="1"/>
  <c r="N1269" i="1" s="1"/>
  <c r="L1270" i="1"/>
  <c r="M1270" i="1" s="1"/>
  <c r="N1270" i="1" s="1"/>
  <c r="L1271" i="1"/>
  <c r="M1271" i="1" s="1"/>
  <c r="N1271" i="1" s="1"/>
  <c r="L1272" i="1"/>
  <c r="M1272" i="1" s="1"/>
  <c r="N1272" i="1" s="1"/>
  <c r="L1273" i="1"/>
  <c r="M1273" i="1" s="1"/>
  <c r="N1273" i="1" s="1"/>
  <c r="L1274" i="1"/>
  <c r="M1274" i="1" s="1"/>
  <c r="N1274" i="1" s="1"/>
  <c r="L1275" i="1"/>
  <c r="M1275" i="1" s="1"/>
  <c r="N1275" i="1" s="1"/>
  <c r="L1276" i="1"/>
  <c r="M1276" i="1" s="1"/>
  <c r="N1276" i="1" s="1"/>
  <c r="L1277" i="1"/>
  <c r="M1277" i="1" s="1"/>
  <c r="N1277" i="1" s="1"/>
  <c r="L1278" i="1"/>
  <c r="M1278" i="1" s="1"/>
  <c r="N1278" i="1" s="1"/>
  <c r="L1279" i="1"/>
  <c r="M1279" i="1" s="1"/>
  <c r="N1279" i="1" s="1"/>
  <c r="L1280" i="1"/>
  <c r="M1280" i="1" s="1"/>
  <c r="N1280" i="1" s="1"/>
  <c r="L1281" i="1"/>
  <c r="M1281" i="1" s="1"/>
  <c r="N1281" i="1" s="1"/>
  <c r="L1282" i="1"/>
  <c r="M1282" i="1" s="1"/>
  <c r="N1282" i="1" s="1"/>
  <c r="L1283" i="1"/>
  <c r="M1283" i="1" s="1"/>
  <c r="N1283" i="1" s="1"/>
  <c r="L1284" i="1"/>
  <c r="M1284" i="1" s="1"/>
  <c r="N1284" i="1" s="1"/>
  <c r="L1285" i="1"/>
  <c r="M1285" i="1" s="1"/>
  <c r="N1285" i="1" s="1"/>
  <c r="L1286" i="1"/>
  <c r="M1286" i="1" s="1"/>
  <c r="N1286" i="1" s="1"/>
  <c r="L1287" i="1"/>
  <c r="M1287" i="1" s="1"/>
  <c r="N1287" i="1" s="1"/>
  <c r="L1288" i="1"/>
  <c r="M1288" i="1" s="1"/>
  <c r="N1288" i="1" s="1"/>
  <c r="L1289" i="1"/>
  <c r="M1289" i="1" s="1"/>
  <c r="N1289" i="1" s="1"/>
  <c r="L1290" i="1"/>
  <c r="M1290" i="1" s="1"/>
  <c r="N1290" i="1" s="1"/>
  <c r="L1291" i="1"/>
  <c r="M1291" i="1" s="1"/>
  <c r="N1291" i="1" s="1"/>
  <c r="L1292" i="1"/>
  <c r="M1292" i="1" s="1"/>
  <c r="N1292" i="1" s="1"/>
  <c r="L1293" i="1"/>
  <c r="M1293" i="1" s="1"/>
  <c r="N1293" i="1" s="1"/>
  <c r="L1294" i="1"/>
  <c r="M1294" i="1" s="1"/>
  <c r="N1294" i="1" s="1"/>
  <c r="L1295" i="1"/>
  <c r="M1295" i="1" s="1"/>
  <c r="N1295" i="1" s="1"/>
  <c r="L1296" i="1"/>
  <c r="M1296" i="1" s="1"/>
  <c r="N1296" i="1" s="1"/>
  <c r="L1297" i="1"/>
  <c r="M1297" i="1" s="1"/>
  <c r="N1297" i="1" s="1"/>
  <c r="L1298" i="1"/>
  <c r="M1298" i="1" s="1"/>
  <c r="N1298" i="1" s="1"/>
  <c r="L1299" i="1"/>
  <c r="M1299" i="1" s="1"/>
  <c r="N1299" i="1" s="1"/>
  <c r="L1300" i="1"/>
  <c r="M1300" i="1" s="1"/>
  <c r="N1300" i="1" s="1"/>
  <c r="L1301" i="1"/>
  <c r="M1301" i="1" s="1"/>
  <c r="N1301" i="1" s="1"/>
  <c r="L1302" i="1"/>
  <c r="M1302" i="1" s="1"/>
  <c r="N1302" i="1" s="1"/>
  <c r="L1303" i="1"/>
  <c r="M1303" i="1" s="1"/>
  <c r="N1303" i="1" s="1"/>
  <c r="L1304" i="1"/>
  <c r="M1304" i="1" s="1"/>
  <c r="N1304" i="1" s="1"/>
  <c r="L1305" i="1"/>
  <c r="M1305" i="1" s="1"/>
  <c r="N1305" i="1" s="1"/>
  <c r="L1306" i="1"/>
  <c r="M1306" i="1" s="1"/>
  <c r="N1306" i="1" s="1"/>
  <c r="L1307" i="1"/>
  <c r="M1307" i="1" s="1"/>
  <c r="N1307" i="1" s="1"/>
  <c r="L1308" i="1"/>
  <c r="M1308" i="1" s="1"/>
  <c r="N1308" i="1" s="1"/>
  <c r="L1309" i="1"/>
  <c r="M1309" i="1" s="1"/>
  <c r="N1309" i="1" s="1"/>
  <c r="L1310" i="1"/>
  <c r="M1310" i="1" s="1"/>
  <c r="N1310" i="1" s="1"/>
  <c r="L1311" i="1"/>
  <c r="M1311" i="1" s="1"/>
  <c r="N1311" i="1" s="1"/>
  <c r="L1312" i="1"/>
  <c r="M1312" i="1" s="1"/>
  <c r="N1312" i="1" s="1"/>
  <c r="L1313" i="1"/>
  <c r="M1313" i="1" s="1"/>
  <c r="N1313" i="1" s="1"/>
  <c r="L1314" i="1"/>
  <c r="M1314" i="1" s="1"/>
  <c r="N1314" i="1" s="1"/>
  <c r="L1315" i="1"/>
  <c r="M1315" i="1" s="1"/>
  <c r="N1315" i="1" s="1"/>
  <c r="L1316" i="1"/>
  <c r="M1316" i="1" s="1"/>
  <c r="N1316" i="1" s="1"/>
  <c r="L1317" i="1"/>
  <c r="M1317" i="1" s="1"/>
  <c r="N1317" i="1" s="1"/>
  <c r="L1318" i="1"/>
  <c r="M1318" i="1" s="1"/>
  <c r="N1318" i="1" s="1"/>
  <c r="L1319" i="1"/>
  <c r="M1319" i="1" s="1"/>
  <c r="N1319" i="1" s="1"/>
  <c r="L1320" i="1"/>
  <c r="M1320" i="1" s="1"/>
  <c r="N1320" i="1" s="1"/>
  <c r="L1321" i="1"/>
  <c r="M1321" i="1" s="1"/>
  <c r="N1321" i="1" s="1"/>
  <c r="L1322" i="1"/>
  <c r="M1322" i="1" s="1"/>
  <c r="N1322" i="1" s="1"/>
  <c r="L1323" i="1"/>
  <c r="M1323" i="1" s="1"/>
  <c r="N1323" i="1" s="1"/>
  <c r="L1324" i="1"/>
  <c r="M1324" i="1" s="1"/>
  <c r="N1324" i="1" s="1"/>
  <c r="L1325" i="1"/>
  <c r="M1325" i="1" s="1"/>
  <c r="N1325" i="1" s="1"/>
  <c r="L1326" i="1"/>
  <c r="M1326" i="1" s="1"/>
  <c r="N1326" i="1" s="1"/>
  <c r="L1327" i="1"/>
  <c r="M1327" i="1" s="1"/>
  <c r="N1327" i="1" s="1"/>
  <c r="L1131" i="1"/>
  <c r="M1131" i="1" s="1"/>
  <c r="N1131" i="1" s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M1009" i="1" s="1"/>
  <c r="L1010" i="1"/>
  <c r="L1011" i="1"/>
  <c r="L1012" i="1"/>
  <c r="M1012" i="1" s="1"/>
  <c r="L1013" i="1"/>
  <c r="M1013" i="1" s="1"/>
  <c r="L1014" i="1"/>
  <c r="M1014" i="1" s="1"/>
  <c r="L1015" i="1"/>
  <c r="M1015" i="1" s="1"/>
  <c r="L1016" i="1"/>
  <c r="M1016" i="1" s="1"/>
  <c r="L1017" i="1"/>
  <c r="M1017" i="1" s="1"/>
  <c r="L1018" i="1"/>
  <c r="M1018" i="1" s="1"/>
  <c r="L1019" i="1"/>
  <c r="M1019" i="1" s="1"/>
  <c r="L1020" i="1"/>
  <c r="M1020" i="1" s="1"/>
  <c r="L1021" i="1"/>
  <c r="M1021" i="1" s="1"/>
  <c r="L1022" i="1"/>
  <c r="M1022" i="1" s="1"/>
  <c r="L1023" i="1"/>
  <c r="M1023" i="1" s="1"/>
  <c r="L1024" i="1"/>
  <c r="M1024" i="1" s="1"/>
  <c r="L1025" i="1"/>
  <c r="M1025" i="1" s="1"/>
  <c r="L1026" i="1"/>
  <c r="M1026" i="1" s="1"/>
  <c r="L1027" i="1"/>
  <c r="M1027" i="1" s="1"/>
  <c r="L1028" i="1"/>
  <c r="M1028" i="1" s="1"/>
  <c r="L1029" i="1"/>
  <c r="M1029" i="1" s="1"/>
  <c r="L1030" i="1"/>
  <c r="M1030" i="1" s="1"/>
  <c r="L1031" i="1"/>
  <c r="M1031" i="1" s="1"/>
  <c r="L1032" i="1"/>
  <c r="M1032" i="1" s="1"/>
  <c r="L1033" i="1"/>
  <c r="M1033" i="1" s="1"/>
  <c r="L1034" i="1"/>
  <c r="M1034" i="1" s="1"/>
  <c r="L1035" i="1"/>
  <c r="M1035" i="1" s="1"/>
  <c r="L1036" i="1"/>
  <c r="M1036" i="1" s="1"/>
  <c r="L1037" i="1"/>
  <c r="M1037" i="1" s="1"/>
  <c r="L1038" i="1"/>
  <c r="M1038" i="1" s="1"/>
  <c r="L1039" i="1"/>
  <c r="M1039" i="1" s="1"/>
  <c r="L1040" i="1"/>
  <c r="M1040" i="1" s="1"/>
  <c r="L1041" i="1"/>
  <c r="M1041" i="1" s="1"/>
  <c r="L1042" i="1"/>
  <c r="M1042" i="1" s="1"/>
  <c r="L1043" i="1"/>
  <c r="M1043" i="1" s="1"/>
  <c r="L1044" i="1"/>
  <c r="M1044" i="1" s="1"/>
  <c r="L1045" i="1"/>
  <c r="M1045" i="1" s="1"/>
  <c r="L1046" i="1"/>
  <c r="M1046" i="1" s="1"/>
  <c r="L1047" i="1"/>
  <c r="M1047" i="1" s="1"/>
  <c r="L1048" i="1"/>
  <c r="M1048" i="1" s="1"/>
  <c r="L1049" i="1"/>
  <c r="M1049" i="1" s="1"/>
  <c r="L1050" i="1"/>
  <c r="M1050" i="1" s="1"/>
  <c r="L1051" i="1"/>
  <c r="M1051" i="1" s="1"/>
  <c r="L1052" i="1"/>
  <c r="M1052" i="1" s="1"/>
  <c r="L1053" i="1"/>
  <c r="M1053" i="1" s="1"/>
  <c r="L1054" i="1"/>
  <c r="M1054" i="1" s="1"/>
  <c r="L1055" i="1"/>
  <c r="M1055" i="1" s="1"/>
  <c r="L1056" i="1"/>
  <c r="M1056" i="1" s="1"/>
  <c r="L1057" i="1"/>
  <c r="M1057" i="1" s="1"/>
  <c r="L1058" i="1"/>
  <c r="M1058" i="1" s="1"/>
  <c r="L1059" i="1"/>
  <c r="M1059" i="1" s="1"/>
  <c r="L1060" i="1"/>
  <c r="M1060" i="1" s="1"/>
  <c r="L1061" i="1"/>
  <c r="M1061" i="1" s="1"/>
  <c r="L1062" i="1"/>
  <c r="M1062" i="1" s="1"/>
  <c r="L1063" i="1"/>
  <c r="M1063" i="1" s="1"/>
  <c r="L1064" i="1"/>
  <c r="M1064" i="1" s="1"/>
  <c r="L1065" i="1"/>
  <c r="M1065" i="1" s="1"/>
  <c r="L1066" i="1"/>
  <c r="M1066" i="1" s="1"/>
  <c r="L1067" i="1"/>
  <c r="M1067" i="1" s="1"/>
  <c r="L1068" i="1"/>
  <c r="M1068" i="1" s="1"/>
  <c r="L1069" i="1"/>
  <c r="M1069" i="1" s="1"/>
  <c r="L1070" i="1"/>
  <c r="M1070" i="1" s="1"/>
  <c r="L1071" i="1"/>
  <c r="M1071" i="1" s="1"/>
  <c r="L1072" i="1"/>
  <c r="M1072" i="1" s="1"/>
  <c r="L1073" i="1"/>
  <c r="M1073" i="1" s="1"/>
  <c r="L1074" i="1"/>
  <c r="M1074" i="1" s="1"/>
  <c r="L1075" i="1"/>
  <c r="M1075" i="1" s="1"/>
  <c r="L1076" i="1"/>
  <c r="M1076" i="1" s="1"/>
  <c r="L1077" i="1"/>
  <c r="M1077" i="1" s="1"/>
  <c r="L1078" i="1"/>
  <c r="M1078" i="1" s="1"/>
  <c r="L1079" i="1"/>
  <c r="M1079" i="1" s="1"/>
  <c r="L1080" i="1"/>
  <c r="M1080" i="1" s="1"/>
  <c r="L1081" i="1"/>
  <c r="M1081" i="1" s="1"/>
  <c r="L1082" i="1"/>
  <c r="M1082" i="1" s="1"/>
  <c r="L1083" i="1"/>
  <c r="M1083" i="1" s="1"/>
  <c r="L1084" i="1"/>
  <c r="M1084" i="1" s="1"/>
  <c r="L1085" i="1"/>
  <c r="M1085" i="1" s="1"/>
  <c r="L1086" i="1"/>
  <c r="M1086" i="1" s="1"/>
  <c r="L1087" i="1"/>
  <c r="M1087" i="1" s="1"/>
  <c r="L1088" i="1"/>
  <c r="M1088" i="1" s="1"/>
  <c r="L1089" i="1"/>
  <c r="M1089" i="1" s="1"/>
  <c r="L1090" i="1"/>
  <c r="M1090" i="1" s="1"/>
  <c r="L1091" i="1"/>
  <c r="M1091" i="1" s="1"/>
  <c r="L1092" i="1"/>
  <c r="M1092" i="1" s="1"/>
  <c r="L1093" i="1"/>
  <c r="M1093" i="1" s="1"/>
  <c r="L1094" i="1"/>
  <c r="M1094" i="1" s="1"/>
  <c r="L1095" i="1"/>
  <c r="M1095" i="1" s="1"/>
  <c r="L1096" i="1"/>
  <c r="M1096" i="1" s="1"/>
  <c r="L1097" i="1"/>
  <c r="M1097" i="1" s="1"/>
  <c r="L1098" i="1"/>
  <c r="M1098" i="1" s="1"/>
  <c r="L1099" i="1"/>
  <c r="M1099" i="1" s="1"/>
  <c r="L1100" i="1"/>
  <c r="M1100" i="1" s="1"/>
  <c r="L1101" i="1"/>
  <c r="M1101" i="1" s="1"/>
  <c r="L1102" i="1"/>
  <c r="M1102" i="1" s="1"/>
  <c r="L1103" i="1"/>
  <c r="M1103" i="1" s="1"/>
  <c r="L1104" i="1"/>
  <c r="M1104" i="1" s="1"/>
  <c r="L1105" i="1"/>
  <c r="M1105" i="1" s="1"/>
  <c r="L1106" i="1"/>
  <c r="M1106" i="1" s="1"/>
  <c r="L1107" i="1"/>
  <c r="M1107" i="1" s="1"/>
  <c r="L1108" i="1"/>
  <c r="M1108" i="1" s="1"/>
  <c r="L1109" i="1"/>
  <c r="M1109" i="1" s="1"/>
  <c r="L1110" i="1"/>
  <c r="M1110" i="1" s="1"/>
  <c r="L1111" i="1"/>
  <c r="M1111" i="1" s="1"/>
  <c r="L1112" i="1"/>
  <c r="M1112" i="1" s="1"/>
  <c r="L1113" i="1"/>
  <c r="M1113" i="1" s="1"/>
  <c r="L1114" i="1"/>
  <c r="M1114" i="1" s="1"/>
  <c r="L1115" i="1"/>
  <c r="M1115" i="1" s="1"/>
  <c r="L1116" i="1"/>
  <c r="M1116" i="1" s="1"/>
  <c r="L1117" i="1"/>
  <c r="M1117" i="1" s="1"/>
  <c r="L1118" i="1"/>
  <c r="M1118" i="1" s="1"/>
  <c r="L1119" i="1"/>
  <c r="M1119" i="1" s="1"/>
  <c r="L1120" i="1"/>
  <c r="M1120" i="1" s="1"/>
  <c r="L1121" i="1"/>
  <c r="M1121" i="1" s="1"/>
  <c r="L1122" i="1"/>
  <c r="M1122" i="1" s="1"/>
  <c r="L1123" i="1"/>
  <c r="M1123" i="1" s="1"/>
  <c r="L1124" i="1"/>
  <c r="M1124" i="1" s="1"/>
  <c r="L1125" i="1"/>
  <c r="M1125" i="1" s="1"/>
  <c r="L1126" i="1"/>
  <c r="M1126" i="1" s="1"/>
  <c r="L1127" i="1"/>
  <c r="M1127" i="1" s="1"/>
  <c r="L1128" i="1"/>
  <c r="M1128" i="1" s="1"/>
  <c r="L1129" i="1"/>
  <c r="M1129" i="1" s="1"/>
  <c r="L1130" i="1"/>
  <c r="M1130" i="1" s="1"/>
  <c r="L886" i="1"/>
  <c r="AI887" i="1" l="1"/>
  <c r="AI890" i="1"/>
  <c r="AI886" i="1"/>
  <c r="AD906" i="1"/>
  <c r="C28" i="6"/>
  <c r="AE890" i="1"/>
  <c r="AE887" i="1"/>
  <c r="AE888" i="1"/>
  <c r="AE889" i="1"/>
  <c r="AE891" i="1"/>
  <c r="AE892" i="1"/>
  <c r="AE893" i="1"/>
  <c r="AE894" i="1"/>
  <c r="AE895" i="1"/>
  <c r="AE896" i="1"/>
  <c r="AE897" i="1"/>
  <c r="AE898" i="1"/>
  <c r="AE899" i="1"/>
  <c r="AE900" i="1"/>
  <c r="AE901" i="1"/>
  <c r="AE902" i="1"/>
  <c r="AE903" i="1"/>
  <c r="AE904" i="1"/>
  <c r="AE905" i="1"/>
  <c r="AE906" i="1"/>
  <c r="AE907" i="1"/>
  <c r="AE908" i="1"/>
  <c r="AE909" i="1"/>
  <c r="AE910" i="1"/>
  <c r="AE911" i="1"/>
  <c r="AE912" i="1"/>
  <c r="AE913" i="1"/>
  <c r="AE914" i="1"/>
  <c r="AE915" i="1"/>
  <c r="AE916" i="1"/>
  <c r="AE917" i="1"/>
  <c r="AE918" i="1"/>
  <c r="AE919" i="1"/>
  <c r="AE920" i="1"/>
  <c r="AE921" i="1"/>
  <c r="AE922" i="1"/>
  <c r="AE923" i="1"/>
  <c r="AE924" i="1"/>
  <c r="AE925" i="1"/>
  <c r="AE926" i="1"/>
  <c r="AE927" i="1"/>
  <c r="AE928" i="1"/>
  <c r="AE929" i="1"/>
  <c r="AE930" i="1"/>
  <c r="AE931" i="1"/>
  <c r="AE932" i="1"/>
  <c r="AE933" i="1"/>
  <c r="AE934" i="1"/>
  <c r="AE935" i="1"/>
  <c r="AE936" i="1"/>
  <c r="AE937" i="1"/>
  <c r="AE938" i="1"/>
  <c r="AE939" i="1"/>
  <c r="AE940" i="1"/>
  <c r="AE941" i="1"/>
  <c r="AE942" i="1"/>
  <c r="AE943" i="1"/>
  <c r="AE944" i="1"/>
  <c r="AE945" i="1"/>
  <c r="AE946" i="1"/>
  <c r="AE947" i="1"/>
  <c r="AE948" i="1"/>
  <c r="AE949" i="1"/>
  <c r="AE950" i="1"/>
  <c r="AE951" i="1"/>
  <c r="AE952" i="1"/>
  <c r="AE953" i="1"/>
  <c r="AE954" i="1"/>
  <c r="AE955" i="1"/>
  <c r="AE956" i="1"/>
  <c r="AE957" i="1"/>
  <c r="AE958" i="1"/>
  <c r="AE959" i="1"/>
  <c r="AE960" i="1"/>
  <c r="AE961" i="1"/>
  <c r="AE962" i="1"/>
  <c r="AE963" i="1"/>
  <c r="AE964" i="1"/>
  <c r="AE965" i="1"/>
  <c r="AE966" i="1"/>
  <c r="AE967" i="1"/>
  <c r="AE968" i="1"/>
  <c r="AE969" i="1"/>
  <c r="AE970" i="1"/>
  <c r="AE971" i="1"/>
  <c r="AE972" i="1"/>
  <c r="AE973" i="1"/>
  <c r="AE974" i="1"/>
  <c r="AE975" i="1"/>
  <c r="AE976" i="1"/>
  <c r="AE977" i="1"/>
  <c r="AE978" i="1"/>
  <c r="AE979" i="1"/>
  <c r="AE980" i="1"/>
  <c r="AE981" i="1"/>
  <c r="AE982" i="1"/>
  <c r="AE983" i="1"/>
  <c r="AE984" i="1"/>
  <c r="AE985" i="1"/>
  <c r="AE986" i="1"/>
  <c r="AE987" i="1"/>
  <c r="AE988" i="1"/>
  <c r="AE989" i="1"/>
  <c r="AE990" i="1"/>
  <c r="AE991" i="1"/>
  <c r="AE992" i="1"/>
  <c r="AE993" i="1"/>
  <c r="AE994" i="1"/>
  <c r="AE995" i="1"/>
  <c r="AE996" i="1"/>
  <c r="AE997" i="1"/>
  <c r="AE998" i="1"/>
  <c r="AE999" i="1"/>
  <c r="AE1000" i="1"/>
  <c r="AE1001" i="1"/>
  <c r="AE1002" i="1"/>
  <c r="AE1003" i="1"/>
  <c r="AE1004" i="1"/>
  <c r="AE1005" i="1"/>
  <c r="AE1006" i="1"/>
  <c r="AE1007" i="1"/>
  <c r="AE1008" i="1"/>
  <c r="AE1009" i="1"/>
  <c r="AE1010" i="1"/>
  <c r="AE1011" i="1"/>
  <c r="AE1012" i="1"/>
  <c r="AE1013" i="1"/>
  <c r="AE1014" i="1"/>
  <c r="AE1015" i="1"/>
  <c r="AE1016" i="1"/>
  <c r="AE1017" i="1"/>
  <c r="AE1018" i="1"/>
  <c r="AE1019" i="1"/>
  <c r="AE1020" i="1"/>
  <c r="AE1021" i="1"/>
  <c r="AE1022" i="1"/>
  <c r="AE1023" i="1"/>
  <c r="AE1024" i="1"/>
  <c r="AE1025" i="1"/>
  <c r="AE1026" i="1"/>
  <c r="AE1027" i="1"/>
  <c r="AE1028" i="1"/>
  <c r="AE1029" i="1"/>
  <c r="AE1030" i="1"/>
  <c r="AE1031" i="1"/>
  <c r="AE1032" i="1"/>
  <c r="AE1033" i="1"/>
  <c r="AE1034" i="1"/>
  <c r="AE1035" i="1"/>
  <c r="AE1036" i="1"/>
  <c r="AE1037" i="1"/>
  <c r="AE1038" i="1"/>
  <c r="AE1039" i="1"/>
  <c r="AE1040" i="1"/>
  <c r="AE1041" i="1"/>
  <c r="AE1042" i="1"/>
  <c r="AE1043" i="1"/>
  <c r="AE1044" i="1"/>
  <c r="AE1045" i="1"/>
  <c r="AE1046" i="1"/>
  <c r="AE1047" i="1"/>
  <c r="AE1048" i="1"/>
  <c r="AE1049" i="1"/>
  <c r="AE1050" i="1"/>
  <c r="AE1051" i="1"/>
  <c r="AE1052" i="1"/>
  <c r="AE1053" i="1"/>
  <c r="AE1054" i="1"/>
  <c r="AE1055" i="1"/>
  <c r="AE1056" i="1"/>
  <c r="AE1057" i="1"/>
  <c r="AE1058" i="1"/>
  <c r="AE1059" i="1"/>
  <c r="AE1060" i="1"/>
  <c r="AE1061" i="1"/>
  <c r="AE1062" i="1"/>
  <c r="AE1063" i="1"/>
  <c r="AE1064" i="1"/>
  <c r="AE1065" i="1"/>
  <c r="AE1066" i="1"/>
  <c r="AE1067" i="1"/>
  <c r="AE1068" i="1"/>
  <c r="AE1069" i="1"/>
  <c r="AE1070" i="1"/>
  <c r="AE1071" i="1"/>
  <c r="AE1072" i="1"/>
  <c r="AE1073" i="1"/>
  <c r="AE1074" i="1"/>
  <c r="AE1075" i="1"/>
  <c r="AE1076" i="1"/>
  <c r="AE1077" i="1"/>
  <c r="AE1078" i="1"/>
  <c r="AE1079" i="1"/>
  <c r="AE1080" i="1"/>
  <c r="AE1081" i="1"/>
  <c r="AE1082" i="1"/>
  <c r="AE1083" i="1"/>
  <c r="AE1084" i="1"/>
  <c r="AE1085" i="1"/>
  <c r="AE1086" i="1"/>
  <c r="AE1087" i="1"/>
  <c r="AE1088" i="1"/>
  <c r="AE1089" i="1"/>
  <c r="AE1090" i="1"/>
  <c r="AE1091" i="1"/>
  <c r="AE1092" i="1"/>
  <c r="AE1093" i="1"/>
  <c r="AE1094" i="1"/>
  <c r="AE1095" i="1"/>
  <c r="AE1096" i="1"/>
  <c r="AE1097" i="1"/>
  <c r="AE1098" i="1"/>
  <c r="AE1099" i="1"/>
  <c r="AE1100" i="1"/>
  <c r="AE1101" i="1"/>
  <c r="AE1102" i="1"/>
  <c r="AE1103" i="1"/>
  <c r="AE1104" i="1"/>
  <c r="AE1105" i="1"/>
  <c r="AE1106" i="1"/>
  <c r="AE1107" i="1"/>
  <c r="AE1108" i="1"/>
  <c r="AE1109" i="1"/>
  <c r="AE1110" i="1"/>
  <c r="AE1111" i="1"/>
  <c r="AE1112" i="1"/>
  <c r="AE1113" i="1"/>
  <c r="AE1114" i="1"/>
  <c r="AE1115" i="1"/>
  <c r="AE1116" i="1"/>
  <c r="AE1117" i="1"/>
  <c r="AE1118" i="1"/>
  <c r="AE1119" i="1"/>
  <c r="AE1120" i="1"/>
  <c r="AE1121" i="1"/>
  <c r="AE1122" i="1"/>
  <c r="AE1123" i="1"/>
  <c r="AE1124" i="1"/>
  <c r="AE1125" i="1"/>
  <c r="AE1126" i="1"/>
  <c r="AE1127" i="1"/>
  <c r="AE1128" i="1"/>
  <c r="AE1129" i="1"/>
  <c r="AE1130" i="1"/>
  <c r="AE1131" i="1"/>
  <c r="AE1132" i="1"/>
  <c r="AE1133" i="1"/>
  <c r="AE1134" i="1"/>
  <c r="AE1135" i="1"/>
  <c r="AE1136" i="1"/>
  <c r="AE1137" i="1"/>
  <c r="AE1138" i="1"/>
  <c r="AE1139" i="1"/>
  <c r="AE1140" i="1"/>
  <c r="AE1141" i="1"/>
  <c r="AE1142" i="1"/>
  <c r="AE1143" i="1"/>
  <c r="AE1144" i="1"/>
  <c r="AE1145" i="1"/>
  <c r="AE1146" i="1"/>
  <c r="AE1147" i="1"/>
  <c r="AE1148" i="1"/>
  <c r="AE1149" i="1"/>
  <c r="AE1150" i="1"/>
  <c r="AE1151" i="1"/>
  <c r="AE1152" i="1"/>
  <c r="AE1153" i="1"/>
  <c r="AE1154" i="1"/>
  <c r="AE1155" i="1"/>
  <c r="AE1156" i="1"/>
  <c r="AE1157" i="1"/>
  <c r="AE1158" i="1"/>
  <c r="AE1159" i="1"/>
  <c r="AE1160" i="1"/>
  <c r="AE1161" i="1"/>
  <c r="AE1162" i="1"/>
  <c r="AE1163" i="1"/>
  <c r="AE1164" i="1"/>
  <c r="AE1165" i="1"/>
  <c r="AE1166" i="1"/>
  <c r="AE1167" i="1"/>
  <c r="AE1168" i="1"/>
  <c r="AE1169" i="1"/>
  <c r="AE1170" i="1"/>
  <c r="AE1171" i="1"/>
  <c r="AE1172" i="1"/>
  <c r="AE1173" i="1"/>
  <c r="AE1174" i="1"/>
  <c r="AE1175" i="1"/>
  <c r="AE1176" i="1"/>
  <c r="AE1177" i="1"/>
  <c r="AE1178" i="1"/>
  <c r="AE1179" i="1"/>
  <c r="AE1180" i="1"/>
  <c r="AE1181" i="1"/>
  <c r="AE1182" i="1"/>
  <c r="AE1183" i="1"/>
  <c r="AE1184" i="1"/>
  <c r="AE1185" i="1"/>
  <c r="AE1186" i="1"/>
  <c r="AE1187" i="1"/>
  <c r="AE1188" i="1"/>
  <c r="AE1189" i="1"/>
  <c r="AE1190" i="1"/>
  <c r="AE1191" i="1"/>
  <c r="AE1192" i="1"/>
  <c r="AE1193" i="1"/>
  <c r="AE1194" i="1"/>
  <c r="AE1195" i="1"/>
  <c r="AE1196" i="1"/>
  <c r="AE1197" i="1"/>
  <c r="AE1198" i="1"/>
  <c r="AE1199" i="1"/>
  <c r="AE1200" i="1"/>
  <c r="AE1201" i="1"/>
  <c r="AE1202" i="1"/>
  <c r="AE1203" i="1"/>
  <c r="AE1204" i="1"/>
  <c r="AE1205" i="1"/>
  <c r="AE1206" i="1"/>
  <c r="AE1207" i="1"/>
  <c r="AE1208" i="1"/>
  <c r="AE1209" i="1"/>
  <c r="AE1210" i="1"/>
  <c r="AE1211" i="1"/>
  <c r="AE1212" i="1"/>
  <c r="AE1213" i="1"/>
  <c r="AE1214" i="1"/>
  <c r="AE1215" i="1"/>
  <c r="AE1216" i="1"/>
  <c r="AE1217" i="1"/>
  <c r="AE1218" i="1"/>
  <c r="AE1219" i="1"/>
  <c r="AE1220" i="1"/>
  <c r="AE1221" i="1"/>
  <c r="AE1222" i="1"/>
  <c r="AE1223" i="1"/>
  <c r="AE1224" i="1"/>
  <c r="AE1225" i="1"/>
  <c r="AE1226" i="1"/>
  <c r="AE1227" i="1"/>
  <c r="AE1228" i="1"/>
  <c r="AE1229" i="1"/>
  <c r="AE1230" i="1"/>
  <c r="AE1231" i="1"/>
  <c r="AE1232" i="1"/>
  <c r="AE1233" i="1"/>
  <c r="AE1234" i="1"/>
  <c r="AE1235" i="1"/>
  <c r="AE1236" i="1"/>
  <c r="AE1237" i="1"/>
  <c r="AE1238" i="1"/>
  <c r="AE1239" i="1"/>
  <c r="AE1240" i="1"/>
  <c r="AE1241" i="1"/>
  <c r="AE1242" i="1"/>
  <c r="AE1243" i="1"/>
  <c r="AE1244" i="1"/>
  <c r="AE1245" i="1"/>
  <c r="AE1246" i="1"/>
  <c r="AE1247" i="1"/>
  <c r="AE1248" i="1"/>
  <c r="AE1249" i="1"/>
  <c r="AE1250" i="1"/>
  <c r="AE1251" i="1"/>
  <c r="AE1252" i="1"/>
  <c r="AE1253" i="1"/>
  <c r="AE1254" i="1"/>
  <c r="AE1255" i="1"/>
  <c r="AE1256" i="1"/>
  <c r="AE1257" i="1"/>
  <c r="AE1258" i="1"/>
  <c r="AE1259" i="1"/>
  <c r="AE1260" i="1"/>
  <c r="AE1261" i="1"/>
  <c r="AE1262" i="1"/>
  <c r="AE1263" i="1"/>
  <c r="AE1264" i="1"/>
  <c r="AE1265" i="1"/>
  <c r="AE1266" i="1"/>
  <c r="AE1267" i="1"/>
  <c r="AE1268" i="1"/>
  <c r="AE1269" i="1"/>
  <c r="AE1270" i="1"/>
  <c r="AE1271" i="1"/>
  <c r="AE1272" i="1"/>
  <c r="AE1273" i="1"/>
  <c r="AE1274" i="1"/>
  <c r="AE1275" i="1"/>
  <c r="AE1276" i="1"/>
  <c r="AE1277" i="1"/>
  <c r="AE1278" i="1"/>
  <c r="AE1279" i="1"/>
  <c r="AE1280" i="1"/>
  <c r="AE1281" i="1"/>
  <c r="AE1282" i="1"/>
  <c r="AE1283" i="1"/>
  <c r="AE1284" i="1"/>
  <c r="AE1285" i="1"/>
  <c r="AE1286" i="1"/>
  <c r="AE1287" i="1"/>
  <c r="AE1288" i="1"/>
  <c r="AE1289" i="1"/>
  <c r="AE1290" i="1"/>
  <c r="AE1291" i="1"/>
  <c r="AE1292" i="1"/>
  <c r="AE1293" i="1"/>
  <c r="AE1294" i="1"/>
  <c r="AE1295" i="1"/>
  <c r="AE1296" i="1"/>
  <c r="AE1297" i="1"/>
  <c r="AE1298" i="1"/>
  <c r="AE1299" i="1"/>
  <c r="AE1300" i="1"/>
  <c r="AE1301" i="1"/>
  <c r="AE1302" i="1"/>
  <c r="AE1303" i="1"/>
  <c r="AE1304" i="1"/>
  <c r="AE1305" i="1"/>
  <c r="AE1306" i="1"/>
  <c r="AE1307" i="1"/>
  <c r="AE1308" i="1"/>
  <c r="AE1309" i="1"/>
  <c r="AE1310" i="1"/>
  <c r="AE1311" i="1"/>
  <c r="AE1312" i="1"/>
  <c r="AE1313" i="1"/>
  <c r="AE1314" i="1"/>
  <c r="AE1315" i="1"/>
  <c r="AE1316" i="1"/>
  <c r="AE1317" i="1"/>
  <c r="AE1318" i="1"/>
  <c r="AE1319" i="1"/>
  <c r="AE1320" i="1"/>
  <c r="AE1321" i="1"/>
  <c r="AE1322" i="1"/>
  <c r="AE1323" i="1"/>
  <c r="AE1324" i="1"/>
  <c r="AE1325" i="1"/>
  <c r="AE1326" i="1"/>
  <c r="AE1327" i="1"/>
  <c r="AE886" i="1"/>
  <c r="C27" i="6"/>
  <c r="C26" i="6" l="1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" i="6"/>
  <c r="X3" i="1" l="1"/>
  <c r="X4" i="1"/>
  <c r="X5" i="1"/>
  <c r="X6" i="1"/>
  <c r="X7" i="1"/>
  <c r="X8" i="1"/>
  <c r="X9" i="1"/>
  <c r="X10" i="1"/>
  <c r="X11" i="1"/>
  <c r="X12" i="1"/>
  <c r="X13" i="1"/>
  <c r="X14" i="1"/>
  <c r="X15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6" i="1"/>
  <c r="X277" i="1"/>
  <c r="X279" i="1"/>
  <c r="X280" i="1"/>
  <c r="X281" i="1"/>
  <c r="X283" i="1"/>
  <c r="X285" i="1"/>
  <c r="X286" i="1"/>
  <c r="X287" i="1"/>
  <c r="X288" i="1"/>
  <c r="X290" i="1"/>
  <c r="X291" i="1"/>
  <c r="X292" i="1"/>
  <c r="X293" i="1"/>
  <c r="X295" i="1"/>
  <c r="X296" i="1"/>
  <c r="X298" i="1"/>
  <c r="X299" i="1"/>
  <c r="X300" i="1"/>
  <c r="X301" i="1"/>
  <c r="X303" i="1"/>
  <c r="X304" i="1"/>
  <c r="X305" i="1"/>
  <c r="X307" i="1"/>
  <c r="X308" i="1"/>
  <c r="X309" i="1"/>
  <c r="X312" i="1"/>
  <c r="X313" i="1"/>
  <c r="X314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2" i="1"/>
  <c r="X353" i="1"/>
  <c r="X355" i="1"/>
  <c r="X356" i="1"/>
  <c r="X358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4" i="1"/>
  <c r="X395" i="1"/>
  <c r="X396" i="1"/>
  <c r="X397" i="1"/>
  <c r="X398" i="1"/>
  <c r="X399" i="1"/>
  <c r="X401" i="1"/>
  <c r="X402" i="1"/>
  <c r="X403" i="1"/>
  <c r="X404" i="1"/>
  <c r="X406" i="1"/>
  <c r="X408" i="1"/>
  <c r="X409" i="1"/>
  <c r="X410" i="1"/>
  <c r="X411" i="1"/>
  <c r="X412" i="1"/>
  <c r="X413" i="1"/>
  <c r="X414" i="1"/>
  <c r="X415" i="1"/>
  <c r="X416" i="1"/>
  <c r="X418" i="1"/>
  <c r="X419" i="1"/>
  <c r="X421" i="1"/>
  <c r="X422" i="1"/>
  <c r="X423" i="1"/>
  <c r="X425" i="1"/>
  <c r="X426" i="1"/>
  <c r="X427" i="1"/>
  <c r="X428" i="1"/>
  <c r="X430" i="1"/>
  <c r="X432" i="1"/>
  <c r="X433" i="1"/>
  <c r="X436" i="1"/>
  <c r="X437" i="1"/>
  <c r="X439" i="1"/>
  <c r="X440" i="1"/>
  <c r="X441" i="1"/>
  <c r="X442" i="1"/>
  <c r="X443" i="1"/>
  <c r="X444" i="1"/>
  <c r="X445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60" i="1"/>
  <c r="X462" i="1"/>
  <c r="X463" i="1"/>
  <c r="X464" i="1"/>
  <c r="X465" i="1"/>
  <c r="X466" i="1"/>
  <c r="X467" i="1"/>
  <c r="X468" i="1"/>
  <c r="X469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2" i="1"/>
  <c r="X493" i="1"/>
  <c r="X494" i="1"/>
  <c r="X495" i="1"/>
  <c r="X496" i="1"/>
  <c r="X498" i="1"/>
  <c r="X499" i="1"/>
  <c r="X500" i="1"/>
  <c r="X501" i="1"/>
  <c r="X502" i="1"/>
  <c r="X503" i="1"/>
  <c r="X504" i="1"/>
  <c r="X506" i="1"/>
  <c r="X507" i="1"/>
  <c r="X508" i="1"/>
  <c r="X510" i="1"/>
  <c r="X511" i="1"/>
  <c r="X512" i="1"/>
  <c r="X515" i="1"/>
  <c r="X516" i="1"/>
  <c r="X517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9" i="1"/>
  <c r="X570" i="1"/>
  <c r="X571" i="1"/>
  <c r="X572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2" i="1"/>
  <c r="X713" i="1"/>
  <c r="X714" i="1"/>
  <c r="X715" i="1"/>
  <c r="X716" i="1"/>
  <c r="X717" i="1"/>
  <c r="X718" i="1"/>
  <c r="X720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6" i="1"/>
  <c r="X787" i="1"/>
  <c r="X789" i="1"/>
  <c r="X790" i="1"/>
  <c r="X792" i="1"/>
  <c r="X793" i="1"/>
  <c r="X794" i="1"/>
  <c r="X795" i="1"/>
  <c r="X796" i="1"/>
  <c r="X797" i="1"/>
  <c r="X798" i="1"/>
  <c r="X800" i="1"/>
  <c r="X801" i="1"/>
  <c r="X802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2" i="1"/>
  <c r="X833" i="1"/>
  <c r="X834" i="1"/>
  <c r="X835" i="1"/>
  <c r="X836" i="1"/>
  <c r="X837" i="1"/>
  <c r="X839" i="1"/>
  <c r="X840" i="1"/>
  <c r="X841" i="1"/>
  <c r="X842" i="1"/>
  <c r="X843" i="1"/>
  <c r="X844" i="1"/>
  <c r="X845" i="1"/>
  <c r="X848" i="1"/>
  <c r="X849" i="1"/>
  <c r="X850" i="1"/>
  <c r="X851" i="1"/>
  <c r="X852" i="1"/>
  <c r="X854" i="1"/>
  <c r="X855" i="1"/>
  <c r="X856" i="1"/>
  <c r="X857" i="1"/>
  <c r="X858" i="1"/>
  <c r="X859" i="1"/>
  <c r="X860" i="1"/>
  <c r="X861" i="1"/>
  <c r="X863" i="1"/>
  <c r="X864" i="1"/>
  <c r="X865" i="1"/>
  <c r="X866" i="1"/>
  <c r="X867" i="1"/>
  <c r="X868" i="1"/>
  <c r="X869" i="1"/>
  <c r="X870" i="1"/>
  <c r="X871" i="1"/>
  <c r="X872" i="1"/>
  <c r="X874" i="1"/>
  <c r="X875" i="1"/>
  <c r="X877" i="1"/>
  <c r="X878" i="1"/>
  <c r="X879" i="1"/>
  <c r="X880" i="1"/>
  <c r="X881" i="1"/>
  <c r="X882" i="1"/>
  <c r="X883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B893" i="1" l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AD1135" i="1" l="1"/>
  <c r="S667" i="1"/>
  <c r="S666" i="1"/>
  <c r="S665" i="1"/>
  <c r="S664" i="1"/>
  <c r="S663" i="1"/>
  <c r="S662" i="1"/>
  <c r="S661" i="1"/>
  <c r="S660" i="1"/>
  <c r="S659" i="1"/>
  <c r="S658" i="1"/>
  <c r="S657" i="1"/>
  <c r="S656" i="1"/>
  <c r="S679" i="1"/>
  <c r="S678" i="1"/>
  <c r="S677" i="1"/>
  <c r="S676" i="1"/>
  <c r="S675" i="1"/>
  <c r="S674" i="1"/>
  <c r="S673" i="1"/>
  <c r="S672" i="1"/>
  <c r="S671" i="1"/>
  <c r="S690" i="1"/>
  <c r="S689" i="1"/>
  <c r="S688" i="1"/>
  <c r="S687" i="1"/>
  <c r="S686" i="1"/>
  <c r="S685" i="1"/>
  <c r="S684" i="1"/>
  <c r="S683" i="1"/>
  <c r="S682" i="1"/>
  <c r="S723" i="1"/>
  <c r="S722" i="1"/>
  <c r="S721" i="1"/>
  <c r="S720" i="1"/>
  <c r="S719" i="1"/>
  <c r="S718" i="1"/>
  <c r="S717" i="1"/>
  <c r="S716" i="1"/>
  <c r="S715" i="1"/>
  <c r="S714" i="1"/>
  <c r="S713" i="1"/>
  <c r="S712" i="1"/>
  <c r="S711" i="1"/>
  <c r="S710" i="1"/>
  <c r="S709" i="1"/>
  <c r="S708" i="1"/>
  <c r="S707" i="1"/>
  <c r="S706" i="1"/>
  <c r="S705" i="1"/>
  <c r="S704" i="1"/>
  <c r="S703" i="1"/>
  <c r="S702" i="1"/>
  <c r="S701" i="1"/>
  <c r="S700" i="1"/>
  <c r="S699" i="1"/>
  <c r="S698" i="1"/>
  <c r="S697" i="1"/>
  <c r="S696" i="1"/>
  <c r="S695" i="1"/>
  <c r="S694" i="1"/>
  <c r="S735" i="1"/>
  <c r="S734" i="1"/>
  <c r="S733" i="1"/>
  <c r="S732" i="1"/>
  <c r="S731" i="1"/>
  <c r="S730" i="1"/>
  <c r="S729" i="1"/>
  <c r="S728" i="1"/>
  <c r="S727" i="1"/>
  <c r="S747" i="1"/>
  <c r="S746" i="1"/>
  <c r="S745" i="1"/>
  <c r="S744" i="1"/>
  <c r="S743" i="1"/>
  <c r="S742" i="1"/>
  <c r="S741" i="1"/>
  <c r="S740" i="1"/>
  <c r="S739" i="1"/>
  <c r="S738" i="1"/>
  <c r="S737" i="1"/>
  <c r="S751" i="1"/>
  <c r="S750" i="1"/>
  <c r="S749" i="1"/>
  <c r="S753" i="1"/>
  <c r="S759" i="1"/>
  <c r="S758" i="1"/>
  <c r="S757" i="1"/>
  <c r="S756" i="1"/>
  <c r="S755" i="1"/>
  <c r="S764" i="1"/>
  <c r="S763" i="1"/>
  <c r="S762" i="1"/>
  <c r="S761" i="1"/>
  <c r="S774" i="1"/>
  <c r="S773" i="1"/>
  <c r="S772" i="1"/>
  <c r="S771" i="1"/>
  <c r="S770" i="1"/>
  <c r="S769" i="1"/>
  <c r="S768" i="1"/>
  <c r="S767" i="1"/>
  <c r="S786" i="1"/>
  <c r="S785" i="1"/>
  <c r="S784" i="1"/>
  <c r="S783" i="1"/>
  <c r="S782" i="1"/>
  <c r="S781" i="1"/>
  <c r="S780" i="1"/>
  <c r="S779" i="1"/>
  <c r="S778" i="1"/>
  <c r="S777" i="1"/>
  <c r="S776" i="1"/>
  <c r="S793" i="1"/>
  <c r="S792" i="1"/>
  <c r="S791" i="1"/>
  <c r="S790" i="1"/>
  <c r="S789" i="1"/>
  <c r="S788" i="1"/>
  <c r="S815" i="1"/>
  <c r="S814" i="1"/>
  <c r="S813" i="1"/>
  <c r="S812" i="1"/>
  <c r="S811" i="1"/>
  <c r="S810" i="1"/>
  <c r="S809" i="1"/>
  <c r="S808" i="1"/>
  <c r="S807" i="1"/>
  <c r="S806" i="1"/>
  <c r="S805" i="1"/>
  <c r="S804" i="1"/>
  <c r="S803" i="1"/>
  <c r="S802" i="1"/>
  <c r="S801" i="1"/>
  <c r="S800" i="1"/>
  <c r="S799" i="1"/>
  <c r="S798" i="1"/>
  <c r="S797" i="1"/>
  <c r="S820" i="1"/>
  <c r="S819" i="1"/>
  <c r="S818" i="1"/>
  <c r="S817" i="1"/>
  <c r="S832" i="1"/>
  <c r="S831" i="1"/>
  <c r="S830" i="1"/>
  <c r="S829" i="1"/>
  <c r="S828" i="1"/>
  <c r="S827" i="1"/>
  <c r="S826" i="1"/>
  <c r="S825" i="1"/>
  <c r="S824" i="1"/>
  <c r="S823" i="1"/>
  <c r="S868" i="1"/>
  <c r="S867" i="1"/>
  <c r="S866" i="1"/>
  <c r="S865" i="1"/>
  <c r="S864" i="1"/>
  <c r="S863" i="1"/>
  <c r="S862" i="1"/>
  <c r="S861" i="1"/>
  <c r="S860" i="1"/>
  <c r="S859" i="1"/>
  <c r="S858" i="1"/>
  <c r="S857" i="1"/>
  <c r="S856" i="1"/>
  <c r="S855" i="1"/>
  <c r="S854" i="1"/>
  <c r="S853" i="1"/>
  <c r="S852" i="1"/>
  <c r="S851" i="1"/>
  <c r="S850" i="1"/>
  <c r="S849" i="1"/>
  <c r="S848" i="1"/>
  <c r="S847" i="1"/>
  <c r="S846" i="1"/>
  <c r="S845" i="1"/>
  <c r="S844" i="1"/>
  <c r="S843" i="1"/>
  <c r="S842" i="1"/>
  <c r="S841" i="1"/>
  <c r="S840" i="1"/>
  <c r="S839" i="1"/>
  <c r="S838" i="1"/>
  <c r="S837" i="1"/>
  <c r="S836" i="1"/>
  <c r="S835" i="1"/>
  <c r="S834" i="1"/>
  <c r="S871" i="1"/>
  <c r="S873" i="1"/>
  <c r="S886" i="1"/>
  <c r="S885" i="1"/>
  <c r="S884" i="1"/>
  <c r="S883" i="1"/>
  <c r="S882" i="1"/>
  <c r="S881" i="1"/>
  <c r="S880" i="1"/>
  <c r="S879" i="1"/>
  <c r="S878" i="1"/>
  <c r="S877" i="1"/>
  <c r="S876" i="1"/>
  <c r="S875" i="1"/>
  <c r="S897" i="1"/>
  <c r="S913" i="1"/>
  <c r="S958" i="1"/>
  <c r="S969" i="1"/>
  <c r="S968" i="1"/>
  <c r="S974" i="1"/>
  <c r="S979" i="1"/>
  <c r="S985" i="1"/>
  <c r="S990" i="1"/>
  <c r="S997" i="1"/>
  <c r="S1009" i="1"/>
  <c r="S1008" i="1"/>
  <c r="S1007" i="1"/>
  <c r="S1018" i="1"/>
  <c r="S1032" i="1"/>
  <c r="S1031" i="1"/>
  <c r="S1030" i="1"/>
  <c r="S1038" i="1"/>
  <c r="S1037" i="1"/>
  <c r="S1036" i="1"/>
  <c r="S1040" i="1"/>
  <c r="S1043" i="1"/>
  <c r="S1042" i="1"/>
  <c r="S1052" i="1"/>
  <c r="S1051" i="1"/>
  <c r="S1050" i="1"/>
  <c r="S1049" i="1"/>
  <c r="S1056" i="1"/>
  <c r="S1062" i="1"/>
  <c r="S1068" i="1"/>
  <c r="S1067" i="1"/>
  <c r="S1066" i="1"/>
  <c r="S1071" i="1"/>
  <c r="S1073" i="1"/>
  <c r="S1079" i="1"/>
  <c r="S1078" i="1"/>
  <c r="S1077" i="1"/>
  <c r="S1076" i="1"/>
  <c r="S1096" i="1"/>
  <c r="S1095" i="1"/>
  <c r="S1098" i="1"/>
  <c r="S1101" i="1"/>
  <c r="S1105" i="1"/>
  <c r="S1107" i="1"/>
  <c r="S1114" i="1"/>
  <c r="S1117" i="1"/>
  <c r="S1116" i="1"/>
  <c r="S1120" i="1"/>
  <c r="S1119" i="1"/>
  <c r="S1124" i="1"/>
  <c r="S1129" i="1"/>
  <c r="S1128" i="1"/>
  <c r="S1127" i="1"/>
  <c r="S1135" i="1"/>
  <c r="S1137" i="1"/>
  <c r="S1139" i="1"/>
  <c r="S1143" i="1"/>
  <c r="S1147" i="1"/>
  <c r="S1149" i="1"/>
  <c r="S1152" i="1"/>
  <c r="S1158" i="1"/>
  <c r="S1157" i="1"/>
  <c r="S1156" i="1"/>
  <c r="S1155" i="1"/>
  <c r="S1154" i="1"/>
  <c r="S1167" i="1"/>
  <c r="S1166" i="1"/>
  <c r="S1165" i="1"/>
  <c r="S1170" i="1"/>
  <c r="S1169" i="1"/>
  <c r="S1184" i="1"/>
  <c r="S1183" i="1"/>
  <c r="S1182" i="1"/>
  <c r="S1181" i="1"/>
  <c r="S1180" i="1"/>
  <c r="S1179" i="1"/>
  <c r="S1187" i="1"/>
  <c r="S1186" i="1"/>
  <c r="S1190" i="1"/>
  <c r="S1189" i="1"/>
  <c r="S1194" i="1"/>
  <c r="S1193" i="1"/>
  <c r="S1201" i="1"/>
  <c r="S1200" i="1"/>
  <c r="S1199" i="1"/>
  <c r="S1198" i="1"/>
  <c r="S1206" i="1"/>
  <c r="S1205" i="1"/>
  <c r="S1212" i="1"/>
  <c r="S1219" i="1"/>
  <c r="S1218" i="1"/>
  <c r="S1217" i="1"/>
  <c r="S1216" i="1"/>
  <c r="S1215" i="1"/>
  <c r="S1214" i="1"/>
  <c r="S1222" i="1"/>
  <c r="S1224" i="1"/>
  <c r="S1230" i="1"/>
  <c r="S1229" i="1"/>
  <c r="S1228" i="1"/>
  <c r="S1237" i="1"/>
  <c r="S1236" i="1"/>
  <c r="S1325" i="1"/>
  <c r="S1323" i="1"/>
  <c r="S1320" i="1"/>
  <c r="S1316" i="1"/>
  <c r="S1315" i="1"/>
  <c r="S1308" i="1"/>
  <c r="S1300" i="1"/>
  <c r="S1299" i="1"/>
  <c r="S1298" i="1"/>
  <c r="S1297" i="1"/>
  <c r="S1296" i="1"/>
  <c r="S1295" i="1"/>
  <c r="S1293" i="1"/>
  <c r="S1289" i="1"/>
  <c r="S1288" i="1"/>
  <c r="S1287" i="1"/>
  <c r="S1285" i="1"/>
  <c r="S1284" i="1"/>
  <c r="S1282" i="1"/>
  <c r="S1281" i="1"/>
  <c r="S1280" i="1"/>
  <c r="S1277" i="1"/>
  <c r="S1272" i="1"/>
  <c r="S1271" i="1"/>
  <c r="S1270" i="1"/>
  <c r="S1269" i="1"/>
  <c r="S1268" i="1"/>
  <c r="S1267" i="1"/>
  <c r="S1261" i="1"/>
  <c r="S1260" i="1"/>
  <c r="S1259" i="1"/>
  <c r="S1258" i="1"/>
  <c r="S1257" i="1"/>
  <c r="S1256" i="1"/>
  <c r="S1255" i="1"/>
  <c r="S1252" i="1"/>
  <c r="S1251" i="1"/>
  <c r="S1247" i="1"/>
  <c r="S1243" i="1"/>
  <c r="M1328" i="1"/>
  <c r="M840" i="1"/>
  <c r="S1240" i="1"/>
  <c r="B1269" i="1" l="1"/>
  <c r="B1268" i="1"/>
  <c r="B1267" i="1"/>
  <c r="AD1132" i="1"/>
  <c r="AG1132" i="1" s="1"/>
  <c r="AI1132" i="1"/>
  <c r="AJ1132" i="1" s="1"/>
  <c r="AD1133" i="1"/>
  <c r="AF1133" i="1" s="1"/>
  <c r="AI1133" i="1"/>
  <c r="AJ1133" i="1" s="1"/>
  <c r="AD1134" i="1"/>
  <c r="AG1134" i="1" s="1"/>
  <c r="AI1134" i="1"/>
  <c r="AJ1134" i="1" s="1"/>
  <c r="AG1135" i="1"/>
  <c r="AI1135" i="1"/>
  <c r="AJ1135" i="1" s="1"/>
  <c r="AD1136" i="1"/>
  <c r="AG1136" i="1" s="1"/>
  <c r="AI1136" i="1"/>
  <c r="AJ1136" i="1" s="1"/>
  <c r="AD1137" i="1"/>
  <c r="AF1137" i="1" s="1"/>
  <c r="AI1137" i="1"/>
  <c r="AJ1137" i="1" s="1"/>
  <c r="AD1138" i="1"/>
  <c r="AG1138" i="1" s="1"/>
  <c r="AI1138" i="1"/>
  <c r="AJ1138" i="1" s="1"/>
  <c r="AD1139" i="1"/>
  <c r="AG1139" i="1" s="1"/>
  <c r="AI1139" i="1"/>
  <c r="AJ1139" i="1" s="1"/>
  <c r="AD1140" i="1"/>
  <c r="AF1140" i="1" s="1"/>
  <c r="AI1140" i="1"/>
  <c r="AJ1140" i="1" s="1"/>
  <c r="AD1141" i="1"/>
  <c r="AG1141" i="1" s="1"/>
  <c r="AI1141" i="1"/>
  <c r="AJ1141" i="1" s="1"/>
  <c r="AD1142" i="1"/>
  <c r="AG1142" i="1" s="1"/>
  <c r="AI1142" i="1"/>
  <c r="AJ1142" i="1" s="1"/>
  <c r="AD1143" i="1"/>
  <c r="AF1143" i="1" s="1"/>
  <c r="AI1143" i="1"/>
  <c r="AJ1143" i="1" s="1"/>
  <c r="AD1144" i="1"/>
  <c r="AF1144" i="1" s="1"/>
  <c r="AI1144" i="1"/>
  <c r="AJ1144" i="1" s="1"/>
  <c r="AD1145" i="1"/>
  <c r="AG1145" i="1" s="1"/>
  <c r="AI1145" i="1"/>
  <c r="AJ1145" i="1" s="1"/>
  <c r="AD1146" i="1"/>
  <c r="AF1146" i="1" s="1"/>
  <c r="AI1146" i="1"/>
  <c r="AJ1146" i="1" s="1"/>
  <c r="AD1147" i="1"/>
  <c r="AF1147" i="1" s="1"/>
  <c r="AI1147" i="1"/>
  <c r="AJ1147" i="1" s="1"/>
  <c r="AD1148" i="1"/>
  <c r="AG1148" i="1" s="1"/>
  <c r="AI1148" i="1"/>
  <c r="AJ1148" i="1" s="1"/>
  <c r="AD1149" i="1"/>
  <c r="AF1149" i="1" s="1"/>
  <c r="AI1149" i="1"/>
  <c r="AJ1149" i="1" s="1"/>
  <c r="AD1150" i="1"/>
  <c r="AF1150" i="1" s="1"/>
  <c r="AI1150" i="1"/>
  <c r="AJ1150" i="1" s="1"/>
  <c r="AD1151" i="1"/>
  <c r="AF1151" i="1" s="1"/>
  <c r="AI1151" i="1"/>
  <c r="AJ1151" i="1" s="1"/>
  <c r="AD1152" i="1"/>
  <c r="AG1152" i="1" s="1"/>
  <c r="AI1152" i="1"/>
  <c r="AJ1152" i="1" s="1"/>
  <c r="AD1153" i="1"/>
  <c r="AF1153" i="1" s="1"/>
  <c r="AI1153" i="1"/>
  <c r="AJ1153" i="1" s="1"/>
  <c r="AD1154" i="1"/>
  <c r="AG1154" i="1" s="1"/>
  <c r="AI1154" i="1"/>
  <c r="AJ1154" i="1" s="1"/>
  <c r="AD1155" i="1"/>
  <c r="AG1155" i="1" s="1"/>
  <c r="AI1155" i="1"/>
  <c r="AJ1155" i="1" s="1"/>
  <c r="AD1156" i="1"/>
  <c r="AG1156" i="1" s="1"/>
  <c r="AI1156" i="1"/>
  <c r="AJ1156" i="1" s="1"/>
  <c r="AD1157" i="1"/>
  <c r="AG1157" i="1" s="1"/>
  <c r="AI1157" i="1"/>
  <c r="AJ1157" i="1" s="1"/>
  <c r="AD1158" i="1"/>
  <c r="AG1158" i="1" s="1"/>
  <c r="AI1158" i="1"/>
  <c r="AJ1158" i="1" s="1"/>
  <c r="AD1159" i="1"/>
  <c r="AG1159" i="1" s="1"/>
  <c r="AI1159" i="1"/>
  <c r="AJ1159" i="1" s="1"/>
  <c r="AD1160" i="1"/>
  <c r="AG1160" i="1" s="1"/>
  <c r="AI1160" i="1"/>
  <c r="AJ1160" i="1" s="1"/>
  <c r="AD1161" i="1"/>
  <c r="AF1161" i="1" s="1"/>
  <c r="AI1161" i="1"/>
  <c r="AJ1161" i="1" s="1"/>
  <c r="AD1162" i="1"/>
  <c r="AI1162" i="1"/>
  <c r="AJ1162" i="1" s="1"/>
  <c r="AD1163" i="1"/>
  <c r="AG1163" i="1" s="1"/>
  <c r="AI1163" i="1"/>
  <c r="AJ1163" i="1" s="1"/>
  <c r="AD1164" i="1"/>
  <c r="AF1164" i="1" s="1"/>
  <c r="AI1164" i="1"/>
  <c r="AJ1164" i="1" s="1"/>
  <c r="AD1165" i="1"/>
  <c r="AG1165" i="1" s="1"/>
  <c r="AI1165" i="1"/>
  <c r="AJ1165" i="1" s="1"/>
  <c r="AD1166" i="1"/>
  <c r="AF1166" i="1" s="1"/>
  <c r="AI1166" i="1"/>
  <c r="AJ1166" i="1" s="1"/>
  <c r="AD1167" i="1"/>
  <c r="AF1167" i="1" s="1"/>
  <c r="AI1167" i="1"/>
  <c r="AJ1167" i="1" s="1"/>
  <c r="AD1168" i="1"/>
  <c r="AI1168" i="1"/>
  <c r="AJ1168" i="1" s="1"/>
  <c r="AD1169" i="1"/>
  <c r="AG1169" i="1" s="1"/>
  <c r="AI1169" i="1"/>
  <c r="AJ1169" i="1" s="1"/>
  <c r="AD1170" i="1"/>
  <c r="AF1170" i="1" s="1"/>
  <c r="AI1170" i="1"/>
  <c r="AJ1170" i="1" s="1"/>
  <c r="AD1171" i="1"/>
  <c r="AG1171" i="1" s="1"/>
  <c r="AI1171" i="1"/>
  <c r="AJ1171" i="1" s="1"/>
  <c r="AD1172" i="1"/>
  <c r="AG1172" i="1" s="1"/>
  <c r="AI1172" i="1"/>
  <c r="AJ1172" i="1" s="1"/>
  <c r="AD1173" i="1"/>
  <c r="AF1173" i="1" s="1"/>
  <c r="AI1173" i="1"/>
  <c r="AJ1173" i="1" s="1"/>
  <c r="AD1174" i="1"/>
  <c r="AI1174" i="1"/>
  <c r="AJ1174" i="1" s="1"/>
  <c r="AD1175" i="1"/>
  <c r="AG1175" i="1" s="1"/>
  <c r="AI1175" i="1"/>
  <c r="AJ1175" i="1" s="1"/>
  <c r="AD1176" i="1"/>
  <c r="AF1176" i="1" s="1"/>
  <c r="AI1176" i="1"/>
  <c r="AJ1176" i="1" s="1"/>
  <c r="AD1177" i="1"/>
  <c r="AG1177" i="1" s="1"/>
  <c r="AI1177" i="1"/>
  <c r="AJ1177" i="1" s="1"/>
  <c r="AD1178" i="1"/>
  <c r="AG1178" i="1" s="1"/>
  <c r="AI1178" i="1"/>
  <c r="AJ1178" i="1" s="1"/>
  <c r="AD1179" i="1"/>
  <c r="AF1179" i="1" s="1"/>
  <c r="AI1179" i="1"/>
  <c r="AJ1179" i="1" s="1"/>
  <c r="AD1180" i="1"/>
  <c r="AI1180" i="1"/>
  <c r="AJ1180" i="1" s="1"/>
  <c r="AD1181" i="1"/>
  <c r="AG1181" i="1" s="1"/>
  <c r="AI1181" i="1"/>
  <c r="AJ1181" i="1" s="1"/>
  <c r="AD1182" i="1"/>
  <c r="AF1182" i="1" s="1"/>
  <c r="AI1182" i="1"/>
  <c r="AJ1182" i="1" s="1"/>
  <c r="AD1183" i="1"/>
  <c r="AG1183" i="1" s="1"/>
  <c r="AI1183" i="1"/>
  <c r="AJ1183" i="1" s="1"/>
  <c r="AD1184" i="1"/>
  <c r="AG1184" i="1" s="1"/>
  <c r="AI1184" i="1"/>
  <c r="AJ1184" i="1" s="1"/>
  <c r="AD1185" i="1"/>
  <c r="AF1185" i="1" s="1"/>
  <c r="AI1185" i="1"/>
  <c r="AJ1185" i="1" s="1"/>
  <c r="AD1186" i="1"/>
  <c r="AI1186" i="1"/>
  <c r="AJ1186" i="1" s="1"/>
  <c r="AD1187" i="1"/>
  <c r="AG1187" i="1" s="1"/>
  <c r="AI1187" i="1"/>
  <c r="AJ1187" i="1" s="1"/>
  <c r="AD1188" i="1"/>
  <c r="AG1188" i="1" s="1"/>
  <c r="AI1188" i="1"/>
  <c r="AJ1188" i="1" s="1"/>
  <c r="AD1189" i="1"/>
  <c r="AF1189" i="1" s="1"/>
  <c r="AI1189" i="1"/>
  <c r="AJ1189" i="1" s="1"/>
  <c r="AD1190" i="1"/>
  <c r="AF1190" i="1" s="1"/>
  <c r="AI1190" i="1"/>
  <c r="AJ1190" i="1" s="1"/>
  <c r="AD1191" i="1"/>
  <c r="AF1191" i="1" s="1"/>
  <c r="AI1191" i="1"/>
  <c r="AJ1191" i="1" s="1"/>
  <c r="AD1192" i="1"/>
  <c r="AI1192" i="1"/>
  <c r="AJ1192" i="1" s="1"/>
  <c r="AD1193" i="1"/>
  <c r="AG1193" i="1" s="1"/>
  <c r="AI1193" i="1"/>
  <c r="AJ1193" i="1" s="1"/>
  <c r="AD1194" i="1"/>
  <c r="AF1194" i="1" s="1"/>
  <c r="AI1194" i="1"/>
  <c r="AJ1194" i="1" s="1"/>
  <c r="AD1195" i="1"/>
  <c r="AG1195" i="1" s="1"/>
  <c r="AI1195" i="1"/>
  <c r="AJ1195" i="1" s="1"/>
  <c r="AD1196" i="1"/>
  <c r="AG1196" i="1" s="1"/>
  <c r="AI1196" i="1"/>
  <c r="AJ1196" i="1" s="1"/>
  <c r="AD1197" i="1"/>
  <c r="AF1197" i="1" s="1"/>
  <c r="AI1197" i="1"/>
  <c r="AJ1197" i="1" s="1"/>
  <c r="AD1198" i="1"/>
  <c r="AI1198" i="1"/>
  <c r="AJ1198" i="1" s="1"/>
  <c r="AD1199" i="1"/>
  <c r="AG1199" i="1" s="1"/>
  <c r="AI1199" i="1"/>
  <c r="AJ1199" i="1" s="1"/>
  <c r="AD1200" i="1"/>
  <c r="AG1200" i="1" s="1"/>
  <c r="AI1200" i="1"/>
  <c r="AJ1200" i="1" s="1"/>
  <c r="AD1201" i="1"/>
  <c r="AF1201" i="1" s="1"/>
  <c r="AI1201" i="1"/>
  <c r="AJ1201" i="1" s="1"/>
  <c r="AD1202" i="1"/>
  <c r="AG1202" i="1" s="1"/>
  <c r="AI1202" i="1"/>
  <c r="AJ1202" i="1" s="1"/>
  <c r="AD1203" i="1"/>
  <c r="AF1203" i="1" s="1"/>
  <c r="AI1203" i="1"/>
  <c r="AJ1203" i="1" s="1"/>
  <c r="AD1204" i="1"/>
  <c r="AI1204" i="1"/>
  <c r="AJ1204" i="1" s="1"/>
  <c r="AD1205" i="1"/>
  <c r="AG1205" i="1" s="1"/>
  <c r="AI1205" i="1"/>
  <c r="AJ1205" i="1" s="1"/>
  <c r="AD1206" i="1"/>
  <c r="AF1206" i="1" s="1"/>
  <c r="AI1206" i="1"/>
  <c r="AJ1206" i="1" s="1"/>
  <c r="AD1207" i="1"/>
  <c r="AG1207" i="1" s="1"/>
  <c r="AI1207" i="1"/>
  <c r="AJ1207" i="1" s="1"/>
  <c r="AD1208" i="1"/>
  <c r="AF1208" i="1" s="1"/>
  <c r="AI1208" i="1"/>
  <c r="AJ1208" i="1" s="1"/>
  <c r="AD1209" i="1"/>
  <c r="AF1209" i="1" s="1"/>
  <c r="AI1209" i="1"/>
  <c r="AJ1209" i="1" s="1"/>
  <c r="AD1210" i="1"/>
  <c r="AI1210" i="1"/>
  <c r="AJ1210" i="1" s="1"/>
  <c r="AD1211" i="1"/>
  <c r="AG1211" i="1" s="1"/>
  <c r="AI1211" i="1"/>
  <c r="AJ1211" i="1" s="1"/>
  <c r="AD1212" i="1"/>
  <c r="AG1212" i="1" s="1"/>
  <c r="AI1212" i="1"/>
  <c r="AJ1212" i="1" s="1"/>
  <c r="AD1213" i="1"/>
  <c r="AF1213" i="1" s="1"/>
  <c r="AI1213" i="1"/>
  <c r="AJ1213" i="1" s="1"/>
  <c r="AD1214" i="1"/>
  <c r="AF1214" i="1" s="1"/>
  <c r="AI1214" i="1"/>
  <c r="AJ1214" i="1" s="1"/>
  <c r="AD1215" i="1"/>
  <c r="AF1215" i="1" s="1"/>
  <c r="AI1215" i="1"/>
  <c r="AJ1215" i="1" s="1"/>
  <c r="AD1216" i="1"/>
  <c r="AI1216" i="1"/>
  <c r="AJ1216" i="1" s="1"/>
  <c r="AD1217" i="1"/>
  <c r="AI1217" i="1"/>
  <c r="AJ1217" i="1" s="1"/>
  <c r="AD1218" i="1"/>
  <c r="AI1218" i="1"/>
  <c r="AJ1218" i="1" s="1"/>
  <c r="AD1219" i="1"/>
  <c r="AI1219" i="1"/>
  <c r="AJ1219" i="1" s="1"/>
  <c r="AD1220" i="1"/>
  <c r="AI1220" i="1"/>
  <c r="AJ1220" i="1" s="1"/>
  <c r="AD1221" i="1"/>
  <c r="AI1221" i="1"/>
  <c r="AJ1221" i="1" s="1"/>
  <c r="AD1222" i="1"/>
  <c r="AI1222" i="1"/>
  <c r="AJ1222" i="1" s="1"/>
  <c r="AD1223" i="1"/>
  <c r="AI1223" i="1"/>
  <c r="AJ1223" i="1" s="1"/>
  <c r="AD1224" i="1"/>
  <c r="AI1224" i="1"/>
  <c r="AJ1224" i="1" s="1"/>
  <c r="AD1225" i="1"/>
  <c r="AI1225" i="1"/>
  <c r="AJ1225" i="1" s="1"/>
  <c r="AD1226" i="1"/>
  <c r="AI1226" i="1"/>
  <c r="AJ1226" i="1" s="1"/>
  <c r="AD1227" i="1"/>
  <c r="AI1227" i="1"/>
  <c r="AJ1227" i="1" s="1"/>
  <c r="AD1228" i="1"/>
  <c r="AI1228" i="1"/>
  <c r="AJ1228" i="1" s="1"/>
  <c r="AD1229" i="1"/>
  <c r="AI1229" i="1"/>
  <c r="AJ1229" i="1" s="1"/>
  <c r="AD1230" i="1"/>
  <c r="AI1230" i="1"/>
  <c r="AJ1230" i="1" s="1"/>
  <c r="AD1231" i="1"/>
  <c r="AI1231" i="1"/>
  <c r="AJ1231" i="1" s="1"/>
  <c r="AD1232" i="1"/>
  <c r="AI1232" i="1"/>
  <c r="AJ1232" i="1" s="1"/>
  <c r="AD1233" i="1"/>
  <c r="AI1233" i="1"/>
  <c r="AJ1233" i="1" s="1"/>
  <c r="AD1234" i="1"/>
  <c r="AI1234" i="1"/>
  <c r="AJ1234" i="1" s="1"/>
  <c r="AD1235" i="1"/>
  <c r="AI1235" i="1"/>
  <c r="AJ1235" i="1" s="1"/>
  <c r="AD1236" i="1"/>
  <c r="AI1236" i="1"/>
  <c r="AJ1236" i="1" s="1"/>
  <c r="AD1237" i="1"/>
  <c r="AI1237" i="1"/>
  <c r="AJ1237" i="1" s="1"/>
  <c r="AD1238" i="1"/>
  <c r="AI1238" i="1"/>
  <c r="AJ1238" i="1" s="1"/>
  <c r="AD1239" i="1"/>
  <c r="AI1239" i="1"/>
  <c r="AJ1239" i="1" s="1"/>
  <c r="AD1240" i="1"/>
  <c r="AI1240" i="1"/>
  <c r="AJ1240" i="1" s="1"/>
  <c r="AD1241" i="1"/>
  <c r="AI1241" i="1"/>
  <c r="AJ1241" i="1" s="1"/>
  <c r="AD1242" i="1"/>
  <c r="AI1242" i="1"/>
  <c r="AJ1242" i="1" s="1"/>
  <c r="AD1243" i="1"/>
  <c r="AI1243" i="1"/>
  <c r="AJ1243" i="1" s="1"/>
  <c r="AD1244" i="1"/>
  <c r="AI1244" i="1"/>
  <c r="AJ1244" i="1" s="1"/>
  <c r="AD1245" i="1"/>
  <c r="AI1245" i="1"/>
  <c r="AJ1245" i="1" s="1"/>
  <c r="AD1246" i="1"/>
  <c r="AI1246" i="1"/>
  <c r="AJ1246" i="1" s="1"/>
  <c r="AD1247" i="1"/>
  <c r="AI1247" i="1"/>
  <c r="AJ1247" i="1" s="1"/>
  <c r="AD1248" i="1"/>
  <c r="AI1248" i="1"/>
  <c r="AJ1248" i="1" s="1"/>
  <c r="AD1249" i="1"/>
  <c r="AI1249" i="1"/>
  <c r="AJ1249" i="1" s="1"/>
  <c r="AD1250" i="1"/>
  <c r="AI1250" i="1"/>
  <c r="AJ1250" i="1" s="1"/>
  <c r="AD1251" i="1"/>
  <c r="AI1251" i="1"/>
  <c r="AJ1251" i="1" s="1"/>
  <c r="AD1252" i="1"/>
  <c r="AI1252" i="1"/>
  <c r="AJ1252" i="1" s="1"/>
  <c r="AD1253" i="1"/>
  <c r="AI1253" i="1"/>
  <c r="AJ1253" i="1" s="1"/>
  <c r="AD1254" i="1"/>
  <c r="AI1254" i="1"/>
  <c r="AJ1254" i="1" s="1"/>
  <c r="AD1255" i="1"/>
  <c r="AI1255" i="1"/>
  <c r="AJ1255" i="1" s="1"/>
  <c r="AD1256" i="1"/>
  <c r="AI1256" i="1"/>
  <c r="AJ1256" i="1" s="1"/>
  <c r="AD1257" i="1"/>
  <c r="AI1257" i="1"/>
  <c r="AJ1257" i="1" s="1"/>
  <c r="AD1258" i="1"/>
  <c r="AI1258" i="1"/>
  <c r="AJ1258" i="1" s="1"/>
  <c r="AD1259" i="1"/>
  <c r="AI1259" i="1"/>
  <c r="AJ1259" i="1" s="1"/>
  <c r="AD1260" i="1"/>
  <c r="AI1260" i="1"/>
  <c r="AJ1260" i="1" s="1"/>
  <c r="AD1261" i="1"/>
  <c r="AI1261" i="1"/>
  <c r="AJ1261" i="1" s="1"/>
  <c r="AD1262" i="1"/>
  <c r="AI1262" i="1"/>
  <c r="AJ1262" i="1" s="1"/>
  <c r="AD1263" i="1"/>
  <c r="AI1263" i="1"/>
  <c r="AJ1263" i="1" s="1"/>
  <c r="AD1264" i="1"/>
  <c r="AI1264" i="1"/>
  <c r="AJ1264" i="1" s="1"/>
  <c r="AD1265" i="1"/>
  <c r="AI1265" i="1"/>
  <c r="AJ1265" i="1" s="1"/>
  <c r="AD1266" i="1"/>
  <c r="AI1266" i="1"/>
  <c r="AJ1266" i="1" s="1"/>
  <c r="AD1267" i="1"/>
  <c r="AI1267" i="1"/>
  <c r="AJ1267" i="1" s="1"/>
  <c r="AD1268" i="1"/>
  <c r="AI1268" i="1"/>
  <c r="AJ1268" i="1" s="1"/>
  <c r="AD1269" i="1"/>
  <c r="AF1269" i="1" s="1"/>
  <c r="AI1269" i="1"/>
  <c r="AJ1269" i="1" s="1"/>
  <c r="AD1270" i="1"/>
  <c r="AG1270" i="1" s="1"/>
  <c r="AI1270" i="1"/>
  <c r="AJ1270" i="1" s="1"/>
  <c r="AD1271" i="1"/>
  <c r="AG1271" i="1" s="1"/>
  <c r="AI1271" i="1"/>
  <c r="AJ1271" i="1" s="1"/>
  <c r="AD1272" i="1"/>
  <c r="AG1272" i="1" s="1"/>
  <c r="AI1272" i="1"/>
  <c r="AJ1272" i="1" s="1"/>
  <c r="AD1273" i="1"/>
  <c r="AG1273" i="1" s="1"/>
  <c r="AI1273" i="1"/>
  <c r="AJ1273" i="1" s="1"/>
  <c r="AD1274" i="1"/>
  <c r="AG1274" i="1" s="1"/>
  <c r="AI1274" i="1"/>
  <c r="AJ1274" i="1" s="1"/>
  <c r="AD1275" i="1"/>
  <c r="AG1275" i="1" s="1"/>
  <c r="AI1275" i="1"/>
  <c r="AJ1275" i="1" s="1"/>
  <c r="AD1276" i="1"/>
  <c r="AG1276" i="1" s="1"/>
  <c r="AI1276" i="1"/>
  <c r="AJ1276" i="1" s="1"/>
  <c r="AD1277" i="1"/>
  <c r="AG1277" i="1" s="1"/>
  <c r="AI1277" i="1"/>
  <c r="AJ1277" i="1" s="1"/>
  <c r="AD1278" i="1"/>
  <c r="AG1278" i="1" s="1"/>
  <c r="AI1278" i="1"/>
  <c r="AJ1278" i="1" s="1"/>
  <c r="AD1279" i="1"/>
  <c r="AG1279" i="1" s="1"/>
  <c r="AI1279" i="1"/>
  <c r="AJ1279" i="1" s="1"/>
  <c r="AD1280" i="1"/>
  <c r="AG1280" i="1" s="1"/>
  <c r="AI1280" i="1"/>
  <c r="AJ1280" i="1" s="1"/>
  <c r="AD1281" i="1"/>
  <c r="AG1281" i="1" s="1"/>
  <c r="AI1281" i="1"/>
  <c r="AJ1281" i="1" s="1"/>
  <c r="AD1282" i="1"/>
  <c r="AG1282" i="1" s="1"/>
  <c r="AI1282" i="1"/>
  <c r="AJ1282" i="1" s="1"/>
  <c r="AD1283" i="1"/>
  <c r="AG1283" i="1" s="1"/>
  <c r="AI1283" i="1"/>
  <c r="AJ1283" i="1" s="1"/>
  <c r="AD1284" i="1"/>
  <c r="AG1284" i="1" s="1"/>
  <c r="AI1284" i="1"/>
  <c r="AJ1284" i="1" s="1"/>
  <c r="AD1285" i="1"/>
  <c r="AG1285" i="1" s="1"/>
  <c r="AI1285" i="1"/>
  <c r="AJ1285" i="1" s="1"/>
  <c r="AD1286" i="1"/>
  <c r="AG1286" i="1" s="1"/>
  <c r="AI1286" i="1"/>
  <c r="AJ1286" i="1" s="1"/>
  <c r="AD1287" i="1"/>
  <c r="AG1287" i="1" s="1"/>
  <c r="AI1287" i="1"/>
  <c r="AJ1287" i="1" s="1"/>
  <c r="AD1288" i="1"/>
  <c r="AG1288" i="1" s="1"/>
  <c r="AI1288" i="1"/>
  <c r="AJ1288" i="1" s="1"/>
  <c r="AD1289" i="1"/>
  <c r="AG1289" i="1" s="1"/>
  <c r="AI1289" i="1"/>
  <c r="AJ1289" i="1" s="1"/>
  <c r="AD1290" i="1"/>
  <c r="AG1290" i="1" s="1"/>
  <c r="AI1290" i="1"/>
  <c r="AJ1290" i="1" s="1"/>
  <c r="AD1291" i="1"/>
  <c r="AG1291" i="1" s="1"/>
  <c r="AI1291" i="1"/>
  <c r="AJ1291" i="1" s="1"/>
  <c r="AD1292" i="1"/>
  <c r="AG1292" i="1" s="1"/>
  <c r="AI1292" i="1"/>
  <c r="AJ1292" i="1" s="1"/>
  <c r="AD1293" i="1"/>
  <c r="AG1293" i="1" s="1"/>
  <c r="AI1293" i="1"/>
  <c r="AJ1293" i="1" s="1"/>
  <c r="AD1294" i="1"/>
  <c r="AG1294" i="1" s="1"/>
  <c r="AI1294" i="1"/>
  <c r="AJ1294" i="1" s="1"/>
  <c r="AD1295" i="1"/>
  <c r="AG1295" i="1" s="1"/>
  <c r="AI1295" i="1"/>
  <c r="AJ1295" i="1" s="1"/>
  <c r="AD1296" i="1"/>
  <c r="AG1296" i="1" s="1"/>
  <c r="AI1296" i="1"/>
  <c r="AJ1296" i="1" s="1"/>
  <c r="AD1297" i="1"/>
  <c r="AG1297" i="1" s="1"/>
  <c r="AI1297" i="1"/>
  <c r="AJ1297" i="1" s="1"/>
  <c r="AD1298" i="1"/>
  <c r="AG1298" i="1" s="1"/>
  <c r="AI1298" i="1"/>
  <c r="AJ1298" i="1" s="1"/>
  <c r="AD1299" i="1"/>
  <c r="AG1299" i="1" s="1"/>
  <c r="AI1299" i="1"/>
  <c r="AJ1299" i="1" s="1"/>
  <c r="AD1300" i="1"/>
  <c r="AG1300" i="1" s="1"/>
  <c r="AI1300" i="1"/>
  <c r="AJ1300" i="1" s="1"/>
  <c r="AD1301" i="1"/>
  <c r="AG1301" i="1" s="1"/>
  <c r="AI1301" i="1"/>
  <c r="AJ1301" i="1" s="1"/>
  <c r="AD1302" i="1"/>
  <c r="AG1302" i="1" s="1"/>
  <c r="AI1302" i="1"/>
  <c r="AJ1302" i="1" s="1"/>
  <c r="AD1303" i="1"/>
  <c r="AG1303" i="1" s="1"/>
  <c r="AI1303" i="1"/>
  <c r="AJ1303" i="1" s="1"/>
  <c r="AD1304" i="1"/>
  <c r="AG1304" i="1" s="1"/>
  <c r="AI1304" i="1"/>
  <c r="AJ1304" i="1" s="1"/>
  <c r="AD1305" i="1"/>
  <c r="AG1305" i="1" s="1"/>
  <c r="AI1305" i="1"/>
  <c r="AJ1305" i="1" s="1"/>
  <c r="AD1306" i="1"/>
  <c r="AG1306" i="1" s="1"/>
  <c r="AI1306" i="1"/>
  <c r="AJ1306" i="1" s="1"/>
  <c r="AD1307" i="1"/>
  <c r="AG1307" i="1" s="1"/>
  <c r="AI1307" i="1"/>
  <c r="AJ1307" i="1" s="1"/>
  <c r="AD1308" i="1"/>
  <c r="AG1308" i="1" s="1"/>
  <c r="AI1308" i="1"/>
  <c r="AJ1308" i="1" s="1"/>
  <c r="AD1309" i="1"/>
  <c r="AG1309" i="1" s="1"/>
  <c r="AI1309" i="1"/>
  <c r="AJ1309" i="1" s="1"/>
  <c r="AD1310" i="1"/>
  <c r="AG1310" i="1" s="1"/>
  <c r="AI1310" i="1"/>
  <c r="AJ1310" i="1" s="1"/>
  <c r="AD1311" i="1"/>
  <c r="AG1311" i="1" s="1"/>
  <c r="AI1311" i="1"/>
  <c r="AJ1311" i="1" s="1"/>
  <c r="AD1312" i="1"/>
  <c r="AG1312" i="1" s="1"/>
  <c r="AI1312" i="1"/>
  <c r="AJ1312" i="1" s="1"/>
  <c r="AD1313" i="1"/>
  <c r="AG1313" i="1" s="1"/>
  <c r="AI1313" i="1"/>
  <c r="AJ1313" i="1" s="1"/>
  <c r="AD1314" i="1"/>
  <c r="AG1314" i="1" s="1"/>
  <c r="AI1314" i="1"/>
  <c r="AJ1314" i="1" s="1"/>
  <c r="AD1315" i="1"/>
  <c r="AG1315" i="1" s="1"/>
  <c r="AI1315" i="1"/>
  <c r="AJ1315" i="1" s="1"/>
  <c r="AD1316" i="1"/>
  <c r="AG1316" i="1" s="1"/>
  <c r="AI1316" i="1"/>
  <c r="AJ1316" i="1" s="1"/>
  <c r="AD1317" i="1"/>
  <c r="AG1317" i="1" s="1"/>
  <c r="AI1317" i="1"/>
  <c r="AJ1317" i="1" s="1"/>
  <c r="AD1318" i="1"/>
  <c r="AG1318" i="1" s="1"/>
  <c r="AI1318" i="1"/>
  <c r="AJ1318" i="1" s="1"/>
  <c r="AD1319" i="1"/>
  <c r="AG1319" i="1" s="1"/>
  <c r="AI1319" i="1"/>
  <c r="AJ1319" i="1" s="1"/>
  <c r="AD1320" i="1"/>
  <c r="AG1320" i="1" s="1"/>
  <c r="AI1320" i="1"/>
  <c r="AJ1320" i="1" s="1"/>
  <c r="AD1321" i="1"/>
  <c r="AG1321" i="1" s="1"/>
  <c r="AI1321" i="1"/>
  <c r="AJ1321" i="1" s="1"/>
  <c r="AD1322" i="1"/>
  <c r="AG1322" i="1" s="1"/>
  <c r="AI1322" i="1"/>
  <c r="AJ1322" i="1" s="1"/>
  <c r="AD1323" i="1"/>
  <c r="AG1323" i="1" s="1"/>
  <c r="AI1323" i="1"/>
  <c r="AJ1323" i="1" s="1"/>
  <c r="AD1324" i="1"/>
  <c r="AG1324" i="1" s="1"/>
  <c r="AI1324" i="1"/>
  <c r="AJ1324" i="1" s="1"/>
  <c r="AD1325" i="1"/>
  <c r="AG1325" i="1" s="1"/>
  <c r="AI1325" i="1"/>
  <c r="AJ1325" i="1" s="1"/>
  <c r="AD1326" i="1"/>
  <c r="AG1326" i="1" s="1"/>
  <c r="AI1326" i="1"/>
  <c r="AJ1326" i="1" s="1"/>
  <c r="AD1327" i="1"/>
  <c r="AG1327" i="1" s="1"/>
  <c r="AI1327" i="1"/>
  <c r="AJ1327" i="1" s="1"/>
  <c r="AA1011" i="1"/>
  <c r="AB1011" i="1" s="1"/>
  <c r="AA936" i="1"/>
  <c r="AB936" i="1" s="1"/>
  <c r="AA934" i="1"/>
  <c r="AB934" i="1" s="1"/>
  <c r="AA930" i="1"/>
  <c r="AB930" i="1" s="1"/>
  <c r="AA928" i="1"/>
  <c r="AB928" i="1" s="1"/>
  <c r="AA924" i="1"/>
  <c r="AB924" i="1" s="1"/>
  <c r="AA884" i="1"/>
  <c r="AB884" i="1" s="1"/>
  <c r="AA882" i="1"/>
  <c r="AB882" i="1" s="1"/>
  <c r="AA880" i="1"/>
  <c r="AB880" i="1" s="1"/>
  <c r="AA876" i="1"/>
  <c r="AB876" i="1" s="1"/>
  <c r="AA838" i="1"/>
  <c r="AB838" i="1" s="1"/>
  <c r="AA840" i="1"/>
  <c r="AB840" i="1" s="1"/>
  <c r="AA843" i="1"/>
  <c r="AB843" i="1" s="1"/>
  <c r="AA873" i="1"/>
  <c r="AB873" i="1" s="1"/>
  <c r="AA870" i="1"/>
  <c r="AB870" i="1" s="1"/>
  <c r="AA867" i="1"/>
  <c r="AB867" i="1" s="1"/>
  <c r="AA861" i="1"/>
  <c r="AB861" i="1" s="1"/>
  <c r="AA858" i="1"/>
  <c r="AB858" i="1" s="1"/>
  <c r="AA864" i="1"/>
  <c r="AB864" i="1" s="1"/>
  <c r="AA854" i="1"/>
  <c r="AB854" i="1" s="1"/>
  <c r="AA851" i="1"/>
  <c r="AB851" i="1" s="1"/>
  <c r="AA846" i="1"/>
  <c r="AB846" i="1" s="1"/>
  <c r="AA833" i="1"/>
  <c r="AB833" i="1" s="1"/>
  <c r="AA830" i="1"/>
  <c r="AB830" i="1" s="1"/>
  <c r="AA826" i="1"/>
  <c r="AB826" i="1" s="1"/>
  <c r="AA822" i="1"/>
  <c r="AB822" i="1" s="1"/>
  <c r="AA819" i="1"/>
  <c r="AB819" i="1" s="1"/>
  <c r="AA816" i="1"/>
  <c r="AB816" i="1" s="1"/>
  <c r="AA814" i="1"/>
  <c r="AB814" i="1" s="1"/>
  <c r="AA809" i="1"/>
  <c r="AB809" i="1" s="1"/>
  <c r="AA804" i="1"/>
  <c r="AB804" i="1" s="1"/>
  <c r="AA798" i="1"/>
  <c r="AB798" i="1" s="1"/>
  <c r="AA797" i="1"/>
  <c r="AB797" i="1" s="1"/>
  <c r="AA795" i="1"/>
  <c r="AB795" i="1" s="1"/>
  <c r="AA791" i="1"/>
  <c r="AB791" i="1" s="1"/>
  <c r="AA788" i="1"/>
  <c r="AB788" i="1" s="1"/>
  <c r="AA785" i="1"/>
  <c r="AB785" i="1" s="1"/>
  <c r="AA770" i="1"/>
  <c r="AB770" i="1" s="1"/>
  <c r="AA766" i="1"/>
  <c r="AB766" i="1" s="1"/>
  <c r="AA764" i="1"/>
  <c r="AB764" i="1" s="1"/>
  <c r="AA755" i="1"/>
  <c r="AB755" i="1" s="1"/>
  <c r="AA753" i="1"/>
  <c r="AB753" i="1" s="1"/>
  <c r="AA750" i="1"/>
  <c r="AB750" i="1" s="1"/>
  <c r="AA736" i="1"/>
  <c r="AB736" i="1" s="1"/>
  <c r="AA730" i="1"/>
  <c r="AB730" i="1" s="1"/>
  <c r="AA727" i="1"/>
  <c r="AB727" i="1" s="1"/>
  <c r="AA720" i="1"/>
  <c r="AB720" i="1" s="1"/>
  <c r="AA704" i="1"/>
  <c r="AB704" i="1" s="1"/>
  <c r="AA703" i="1"/>
  <c r="AB703" i="1" s="1"/>
  <c r="AA701" i="1"/>
  <c r="AB701" i="1" s="1"/>
  <c r="AA697" i="1"/>
  <c r="AB697" i="1" s="1"/>
  <c r="AA695" i="1"/>
  <c r="AB695" i="1" s="1"/>
  <c r="AA693" i="1"/>
  <c r="AB693" i="1" s="1"/>
  <c r="AA690" i="1"/>
  <c r="AB690" i="1" s="1"/>
  <c r="AA686" i="1"/>
  <c r="AB686" i="1" s="1"/>
  <c r="AA682" i="1"/>
  <c r="AB682" i="1" s="1"/>
  <c r="AA680" i="1"/>
  <c r="AB680" i="1" s="1"/>
  <c r="AA676" i="1"/>
  <c r="AB676" i="1" s="1"/>
  <c r="AA670" i="1"/>
  <c r="AB670" i="1" s="1"/>
  <c r="AA665" i="1"/>
  <c r="AB665" i="1" s="1"/>
  <c r="AA661" i="1"/>
  <c r="AB661" i="1" s="1"/>
  <c r="AA658" i="1"/>
  <c r="AB658" i="1" s="1"/>
  <c r="AA643" i="1"/>
  <c r="AB643" i="1" s="1"/>
  <c r="AA640" i="1"/>
  <c r="AB640" i="1" s="1"/>
  <c r="AA634" i="1"/>
  <c r="AB634" i="1" s="1"/>
  <c r="AA630" i="1"/>
  <c r="AB630" i="1" s="1"/>
  <c r="AA629" i="1"/>
  <c r="AB629" i="1" s="1"/>
  <c r="AA625" i="1"/>
  <c r="AB625" i="1" s="1"/>
  <c r="AA622" i="1"/>
  <c r="AB622" i="1" s="1"/>
  <c r="AA619" i="1"/>
  <c r="AB619" i="1" s="1"/>
  <c r="AA616" i="1"/>
  <c r="AB616" i="1" s="1"/>
  <c r="AA602" i="1"/>
  <c r="AB602" i="1" s="1"/>
  <c r="AA599" i="1"/>
  <c r="AB599" i="1" s="1"/>
  <c r="AA595" i="1"/>
  <c r="AB595" i="1" s="1"/>
  <c r="AA587" i="1"/>
  <c r="AB587" i="1" s="1"/>
  <c r="AA584" i="1"/>
  <c r="AB584" i="1" s="1"/>
  <c r="AA557" i="1"/>
  <c r="AB557" i="1" s="1"/>
  <c r="AA562" i="1"/>
  <c r="AB562" i="1" s="1"/>
  <c r="AA561" i="1"/>
  <c r="AB561" i="1" s="1"/>
  <c r="AA567" i="1"/>
  <c r="AB567" i="1" s="1"/>
  <c r="AA570" i="1"/>
  <c r="AB570" i="1" s="1"/>
  <c r="AA574" i="1"/>
  <c r="AB574" i="1" s="1"/>
  <c r="AA577" i="1"/>
  <c r="AB577" i="1" s="1"/>
  <c r="AA580" i="1"/>
  <c r="AB580" i="1" s="1"/>
  <c r="AA576" i="1"/>
  <c r="AB576" i="1" s="1"/>
  <c r="AA572" i="1"/>
  <c r="AB572" i="1" s="1"/>
  <c r="AA568" i="1"/>
  <c r="AB568" i="1" s="1"/>
  <c r="AA566" i="1"/>
  <c r="AB566" i="1" s="1"/>
  <c r="AA559" i="1"/>
  <c r="AB559" i="1" s="1"/>
  <c r="AA558" i="1"/>
  <c r="AB558" i="1" s="1"/>
  <c r="AA554" i="1"/>
  <c r="AB554" i="1" s="1"/>
  <c r="AA553" i="1"/>
  <c r="AB553" i="1" s="1"/>
  <c r="AB555" i="1"/>
  <c r="AB583" i="1"/>
  <c r="AB591" i="1"/>
  <c r="AB592" i="1"/>
  <c r="AB604" i="1"/>
  <c r="AB611" i="1"/>
  <c r="AB620" i="1"/>
  <c r="AB627" i="1"/>
  <c r="AB635" i="1"/>
  <c r="AB667" i="1"/>
  <c r="AB669" i="1"/>
  <c r="AB683" i="1"/>
  <c r="AB687" i="1"/>
  <c r="AB689" i="1"/>
  <c r="AB694" i="1"/>
  <c r="AB699" i="1"/>
  <c r="AB702" i="1"/>
  <c r="AB706" i="1"/>
  <c r="AB713" i="1"/>
  <c r="AB714" i="1"/>
  <c r="AB715" i="1"/>
  <c r="AB717" i="1"/>
  <c r="AB719" i="1"/>
  <c r="AB722" i="1"/>
  <c r="AB723" i="1"/>
  <c r="AB724" i="1"/>
  <c r="AB725" i="1"/>
  <c r="AB732" i="1"/>
  <c r="AB734" i="1"/>
  <c r="AB735" i="1"/>
  <c r="AB738" i="1"/>
  <c r="AB740" i="1"/>
  <c r="AB741" i="1"/>
  <c r="AB742" i="1"/>
  <c r="AB744" i="1"/>
  <c r="AB745" i="1"/>
  <c r="AB746" i="1"/>
  <c r="AB747" i="1"/>
  <c r="AB752" i="1"/>
  <c r="AB756" i="1"/>
  <c r="AB757" i="1"/>
  <c r="AB758" i="1"/>
  <c r="AB760" i="1"/>
  <c r="AB761" i="1"/>
  <c r="AB762" i="1"/>
  <c r="AB763" i="1"/>
  <c r="AB765" i="1"/>
  <c r="AB769" i="1"/>
  <c r="AB771" i="1"/>
  <c r="AB772" i="1"/>
  <c r="AB774" i="1"/>
  <c r="AB777" i="1"/>
  <c r="AB779" i="1"/>
  <c r="AB781" i="1"/>
  <c r="AB782" i="1"/>
  <c r="AB784" i="1"/>
  <c r="AB786" i="1"/>
  <c r="AB789" i="1"/>
  <c r="AB790" i="1"/>
  <c r="AB793" i="1"/>
  <c r="AB794" i="1"/>
  <c r="AB799" i="1"/>
  <c r="AB832" i="1"/>
  <c r="P605" i="1"/>
  <c r="T605" i="1" s="1"/>
  <c r="P636" i="1"/>
  <c r="T636" i="1" s="1"/>
  <c r="P679" i="1"/>
  <c r="T679" i="1" s="1"/>
  <c r="P585" i="1"/>
  <c r="T585" i="1" s="1"/>
  <c r="P557" i="1"/>
  <c r="T557" i="1" s="1"/>
  <c r="P559" i="1"/>
  <c r="T559" i="1" s="1"/>
  <c r="P576" i="1"/>
  <c r="T576" i="1" s="1"/>
  <c r="P597" i="1"/>
  <c r="T597" i="1" s="1"/>
  <c r="P632" i="1"/>
  <c r="T632" i="1" s="1"/>
  <c r="P842" i="1"/>
  <c r="T842" i="1" s="1"/>
  <c r="P649" i="1"/>
  <c r="T649" i="1" s="1"/>
  <c r="P634" i="1"/>
  <c r="T634" i="1" s="1"/>
  <c r="P1192" i="1"/>
  <c r="T1192" i="1" s="1"/>
  <c r="P977" i="1"/>
  <c r="T977" i="1" s="1"/>
  <c r="T628" i="1"/>
  <c r="T570" i="1"/>
  <c r="P567" i="1"/>
  <c r="T567" i="1" s="1"/>
  <c r="P571" i="1"/>
  <c r="T571" i="1" s="1"/>
  <c r="P578" i="1"/>
  <c r="T578" i="1" s="1"/>
  <c r="P630" i="1"/>
  <c r="T630" i="1" s="1"/>
  <c r="P645" i="1"/>
  <c r="T645" i="1" s="1"/>
  <c r="P818" i="1"/>
  <c r="T818" i="1" s="1"/>
  <c r="P1277" i="1"/>
  <c r="T1277" i="1" s="1"/>
  <c r="P644" i="1"/>
  <c r="T644" i="1" s="1"/>
  <c r="P654" i="1"/>
  <c r="T654" i="1" s="1"/>
  <c r="P711" i="1"/>
  <c r="T711" i="1" s="1"/>
  <c r="P1200" i="1"/>
  <c r="T1200" i="1" s="1"/>
  <c r="P992" i="1"/>
  <c r="T992" i="1" s="1"/>
  <c r="P907" i="1"/>
  <c r="T907" i="1" s="1"/>
  <c r="P817" i="1"/>
  <c r="T817" i="1" s="1"/>
  <c r="P776" i="1"/>
  <c r="T776" i="1" s="1"/>
  <c r="P685" i="1"/>
  <c r="T685" i="1" s="1"/>
  <c r="P640" i="1"/>
  <c r="T640" i="1" s="1"/>
  <c r="P639" i="1"/>
  <c r="T639" i="1" s="1"/>
  <c r="P637" i="1"/>
  <c r="T637" i="1" s="1"/>
  <c r="P633" i="1"/>
  <c r="T633" i="1" s="1"/>
  <c r="P629" i="1"/>
  <c r="T629" i="1" s="1"/>
  <c r="P616" i="1"/>
  <c r="T616" i="1" s="1"/>
  <c r="P594" i="1"/>
  <c r="T594" i="1" s="1"/>
  <c r="P579" i="1"/>
  <c r="T579" i="1" s="1"/>
  <c r="P572" i="1"/>
  <c r="T572" i="1" s="1"/>
  <c r="P625" i="1"/>
  <c r="T625" i="1" s="1"/>
  <c r="P592" i="1"/>
  <c r="T592" i="1" s="1"/>
  <c r="P560" i="1"/>
  <c r="T560" i="1" s="1"/>
  <c r="P555" i="1"/>
  <c r="T555" i="1" s="1"/>
  <c r="P1225" i="1"/>
  <c r="T1225" i="1" s="1"/>
  <c r="P1201" i="1"/>
  <c r="T1201" i="1" s="1"/>
  <c r="P1198" i="1"/>
  <c r="T1198" i="1" s="1"/>
  <c r="P1176" i="1"/>
  <c r="T1176" i="1" s="1"/>
  <c r="P1087" i="1"/>
  <c r="T1087" i="1" s="1"/>
  <c r="P1083" i="1"/>
  <c r="T1083" i="1" s="1"/>
  <c r="P1066" i="1"/>
  <c r="T1066" i="1" s="1"/>
  <c r="P1062" i="1"/>
  <c r="T1062" i="1" s="1"/>
  <c r="P1041" i="1"/>
  <c r="T1041" i="1" s="1"/>
  <c r="P1013" i="1"/>
  <c r="T1013" i="1" s="1"/>
  <c r="P996" i="1"/>
  <c r="T996" i="1" s="1"/>
  <c r="P963" i="1"/>
  <c r="T963" i="1" s="1"/>
  <c r="P894" i="1"/>
  <c r="T894" i="1" s="1"/>
  <c r="P795" i="1"/>
  <c r="T795" i="1" s="1"/>
  <c r="P730" i="1"/>
  <c r="T730" i="1" s="1"/>
  <c r="P681" i="1"/>
  <c r="T681" i="1" s="1"/>
  <c r="P658" i="1"/>
  <c r="T658" i="1" s="1"/>
  <c r="P646" i="1"/>
  <c r="T646" i="1" s="1"/>
  <c r="T674" i="1"/>
  <c r="P1241" i="1"/>
  <c r="T1241" i="1" s="1"/>
  <c r="P1161" i="1"/>
  <c r="T1161" i="1" s="1"/>
  <c r="P1126" i="1"/>
  <c r="T1126" i="1" s="1"/>
  <c r="P932" i="1"/>
  <c r="T932" i="1" s="1"/>
  <c r="T778" i="1"/>
  <c r="T709" i="1"/>
  <c r="P680" i="1"/>
  <c r="T680" i="1" s="1"/>
  <c r="T673" i="1"/>
  <c r="P1257" i="1"/>
  <c r="T1257" i="1" s="1"/>
  <c r="P1222" i="1"/>
  <c r="T1222" i="1" s="1"/>
  <c r="P1196" i="1"/>
  <c r="T1196" i="1" s="1"/>
  <c r="P1189" i="1"/>
  <c r="T1189" i="1" s="1"/>
  <c r="P1128" i="1"/>
  <c r="T1128" i="1" s="1"/>
  <c r="P1065" i="1"/>
  <c r="T1065" i="1" s="1"/>
  <c r="P1007" i="1"/>
  <c r="T1007" i="1" s="1"/>
  <c r="P960" i="1"/>
  <c r="T960" i="1" s="1"/>
  <c r="P931" i="1"/>
  <c r="T931" i="1" s="1"/>
  <c r="P721" i="1"/>
  <c r="T721" i="1" s="1"/>
  <c r="P697" i="1"/>
  <c r="T697" i="1" s="1"/>
  <c r="P686" i="1"/>
  <c r="T686" i="1" s="1"/>
  <c r="P677" i="1"/>
  <c r="T677" i="1" s="1"/>
  <c r="P675" i="1"/>
  <c r="T675" i="1" s="1"/>
  <c r="P668" i="1"/>
  <c r="T668" i="1" s="1"/>
  <c r="P666" i="1"/>
  <c r="T666" i="1" s="1"/>
  <c r="P659" i="1"/>
  <c r="T659" i="1" s="1"/>
  <c r="P657" i="1"/>
  <c r="T657" i="1" s="1"/>
  <c r="P655" i="1"/>
  <c r="T655" i="1" s="1"/>
  <c r="P641" i="1"/>
  <c r="T641" i="1" s="1"/>
  <c r="P635" i="1"/>
  <c r="T635" i="1" s="1"/>
  <c r="P617" i="1"/>
  <c r="T617" i="1" s="1"/>
  <c r="P600" i="1"/>
  <c r="T600" i="1" s="1"/>
  <c r="P591" i="1"/>
  <c r="T591" i="1" s="1"/>
  <c r="P580" i="1"/>
  <c r="T580" i="1" s="1"/>
  <c r="P569" i="1"/>
  <c r="T569" i="1" s="1"/>
  <c r="P565" i="1"/>
  <c r="T565" i="1" s="1"/>
  <c r="P554" i="1"/>
  <c r="T554" i="1" s="1"/>
  <c r="P965" i="1"/>
  <c r="T965" i="1" s="1"/>
  <c r="P956" i="1"/>
  <c r="T956" i="1" s="1"/>
  <c r="P946" i="1"/>
  <c r="T946" i="1" s="1"/>
  <c r="P930" i="1"/>
  <c r="T930" i="1" s="1"/>
  <c r="P904" i="1"/>
  <c r="T904" i="1" s="1"/>
  <c r="P849" i="1"/>
  <c r="T849" i="1" s="1"/>
  <c r="P779" i="1"/>
  <c r="T779" i="1" s="1"/>
  <c r="P734" i="1"/>
  <c r="T734" i="1" s="1"/>
  <c r="P724" i="1"/>
  <c r="T724" i="1" s="1"/>
  <c r="P1303" i="1"/>
  <c r="T1303" i="1" s="1"/>
  <c r="P1247" i="1"/>
  <c r="T1247" i="1" s="1"/>
  <c r="P1232" i="1"/>
  <c r="T1232" i="1" s="1"/>
  <c r="P1188" i="1"/>
  <c r="T1188" i="1" s="1"/>
  <c r="P1186" i="1"/>
  <c r="T1186" i="1" s="1"/>
  <c r="P1163" i="1"/>
  <c r="T1163" i="1" s="1"/>
  <c r="P1157" i="1"/>
  <c r="T1157" i="1" s="1"/>
  <c r="P1190" i="1"/>
  <c r="T1190" i="1" s="1"/>
  <c r="P1174" i="1"/>
  <c r="T1174" i="1" s="1"/>
  <c r="P1108" i="1"/>
  <c r="T1108" i="1" s="1"/>
  <c r="P1123" i="1"/>
  <c r="T1123" i="1" s="1"/>
  <c r="P1072" i="1"/>
  <c r="T1072" i="1" s="1"/>
  <c r="P1033" i="1"/>
  <c r="T1033" i="1" s="1"/>
  <c r="P1030" i="1"/>
  <c r="T1030" i="1" s="1"/>
  <c r="P1005" i="1"/>
  <c r="T1005" i="1" s="1"/>
  <c r="P1143" i="1"/>
  <c r="T1143" i="1" s="1"/>
  <c r="P1093" i="1"/>
  <c r="T1093" i="1" s="1"/>
  <c r="P1051" i="1"/>
  <c r="T1051" i="1" s="1"/>
  <c r="P1010" i="1"/>
  <c r="T1010" i="1" s="1"/>
  <c r="P979" i="1"/>
  <c r="T979" i="1" s="1"/>
  <c r="P937" i="1"/>
  <c r="T937" i="1" s="1"/>
  <c r="P922" i="1"/>
  <c r="T922" i="1" s="1"/>
  <c r="P866" i="1"/>
  <c r="T866" i="1" s="1"/>
  <c r="P1298" i="1"/>
  <c r="T1298" i="1" s="1"/>
  <c r="P1267" i="1"/>
  <c r="T1267" i="1" s="1"/>
  <c r="P1251" i="1"/>
  <c r="T1251" i="1" s="1"/>
  <c r="P1234" i="1"/>
  <c r="T1234" i="1" s="1"/>
  <c r="P1228" i="1"/>
  <c r="T1228" i="1" s="1"/>
  <c r="P1254" i="1"/>
  <c r="T1254" i="1" s="1"/>
  <c r="P1300" i="1"/>
  <c r="T1300" i="1" s="1"/>
  <c r="P1285" i="1"/>
  <c r="T1285" i="1" s="1"/>
  <c r="P1275" i="1"/>
  <c r="T1275" i="1" s="1"/>
  <c r="P1205" i="1"/>
  <c r="T1205" i="1" s="1"/>
  <c r="P1194" i="1"/>
  <c r="T1194" i="1" s="1"/>
  <c r="P1183" i="1"/>
  <c r="T1183" i="1" s="1"/>
  <c r="P1182" i="1"/>
  <c r="T1182" i="1" s="1"/>
  <c r="P1172" i="1"/>
  <c r="T1172" i="1" s="1"/>
  <c r="P1167" i="1"/>
  <c r="T1167" i="1" s="1"/>
  <c r="P1153" i="1"/>
  <c r="T1153" i="1" s="1"/>
  <c r="P1043" i="1"/>
  <c r="T1043" i="1" s="1"/>
  <c r="P1024" i="1"/>
  <c r="T1024" i="1" s="1"/>
  <c r="P999" i="1"/>
  <c r="T999" i="1" s="1"/>
  <c r="P957" i="1"/>
  <c r="T957" i="1" s="1"/>
  <c r="P967" i="1"/>
  <c r="T967" i="1" s="1"/>
  <c r="P952" i="1"/>
  <c r="T952" i="1" s="1"/>
  <c r="P935" i="1"/>
  <c r="T935" i="1" s="1"/>
  <c r="P917" i="1"/>
  <c r="T917" i="1" s="1"/>
  <c r="P856" i="1"/>
  <c r="T856" i="1" s="1"/>
  <c r="P670" i="1"/>
  <c r="T670" i="1" s="1"/>
  <c r="P662" i="1"/>
  <c r="T662" i="1" s="1"/>
  <c r="P660" i="1"/>
  <c r="T660" i="1" s="1"/>
  <c r="P656" i="1"/>
  <c r="T656" i="1" s="1"/>
  <c r="P653" i="1"/>
  <c r="T653" i="1" s="1"/>
  <c r="P648" i="1"/>
  <c r="T648" i="1" s="1"/>
  <c r="P1168" i="1"/>
  <c r="T1168" i="1" s="1"/>
  <c r="P1154" i="1"/>
  <c r="T1154" i="1" s="1"/>
  <c r="P1147" i="1"/>
  <c r="T1147" i="1" s="1"/>
  <c r="P1145" i="1"/>
  <c r="T1145" i="1" s="1"/>
  <c r="P1130" i="1"/>
  <c r="T1130" i="1" s="1"/>
  <c r="P1119" i="1"/>
  <c r="T1119" i="1" s="1"/>
  <c r="P1109" i="1"/>
  <c r="T1109" i="1" s="1"/>
  <c r="P1098" i="1"/>
  <c r="T1098" i="1" s="1"/>
  <c r="P1097" i="1"/>
  <c r="T1097" i="1" s="1"/>
  <c r="P1086" i="1"/>
  <c r="T1086" i="1" s="1"/>
  <c r="P1090" i="1"/>
  <c r="T1090" i="1" s="1"/>
  <c r="P1089" i="1"/>
  <c r="T1089" i="1" s="1"/>
  <c r="P1085" i="1"/>
  <c r="T1085" i="1" s="1"/>
  <c r="P1080" i="1"/>
  <c r="T1080" i="1" s="1"/>
  <c r="P1076" i="1"/>
  <c r="T1076" i="1" s="1"/>
  <c r="P1073" i="1"/>
  <c r="T1073" i="1" s="1"/>
  <c r="P1056" i="1"/>
  <c r="T1056" i="1" s="1"/>
  <c r="P1012" i="1"/>
  <c r="T1012" i="1" s="1"/>
  <c r="P1006" i="1"/>
  <c r="T1006" i="1" s="1"/>
  <c r="P995" i="1"/>
  <c r="T995" i="1" s="1"/>
  <c r="P994" i="1"/>
  <c r="T994" i="1" s="1"/>
  <c r="P978" i="1"/>
  <c r="T978" i="1" s="1"/>
  <c r="P891" i="1"/>
  <c r="T891" i="1" s="1"/>
  <c r="P900" i="1"/>
  <c r="T900" i="1" s="1"/>
  <c r="P905" i="1"/>
  <c r="T905" i="1" s="1"/>
  <c r="P918" i="1"/>
  <c r="T918" i="1" s="1"/>
  <c r="P934" i="1"/>
  <c r="T934" i="1" s="1"/>
  <c r="P948" i="1"/>
  <c r="T948" i="1" s="1"/>
  <c r="P938" i="1"/>
  <c r="T938" i="1" s="1"/>
  <c r="P906" i="1"/>
  <c r="T906" i="1" s="1"/>
  <c r="P902" i="1"/>
  <c r="T902" i="1" s="1"/>
  <c r="P901" i="1"/>
  <c r="T901" i="1" s="1"/>
  <c r="P878" i="1"/>
  <c r="T878" i="1" s="1"/>
  <c r="P1081" i="1"/>
  <c r="T1081" i="1" s="1"/>
  <c r="P1074" i="1"/>
  <c r="T1074" i="1" s="1"/>
  <c r="P1067" i="1"/>
  <c r="T1067" i="1" s="1"/>
  <c r="P1055" i="1"/>
  <c r="T1055" i="1" s="1"/>
  <c r="P1046" i="1"/>
  <c r="T1046" i="1" s="1"/>
  <c r="P1037" i="1"/>
  <c r="T1037" i="1" s="1"/>
  <c r="P1028" i="1"/>
  <c r="T1028" i="1" s="1"/>
  <c r="P1027" i="1"/>
  <c r="T1027" i="1" s="1"/>
  <c r="P1011" i="1"/>
  <c r="T1011" i="1" s="1"/>
  <c r="P971" i="1"/>
  <c r="T971" i="1" s="1"/>
  <c r="P986" i="1"/>
  <c r="T986" i="1" s="1"/>
  <c r="P989" i="1"/>
  <c r="T989" i="1" s="1"/>
  <c r="P1000" i="1"/>
  <c r="T1000" i="1" s="1"/>
  <c r="P1008" i="1"/>
  <c r="T1008" i="1" s="1"/>
  <c r="P1016" i="1"/>
  <c r="T1016" i="1" s="1"/>
  <c r="P1020" i="1"/>
  <c r="T1020" i="1" s="1"/>
  <c r="P1018" i="1"/>
  <c r="T1018" i="1" s="1"/>
  <c r="P1001" i="1"/>
  <c r="T1001" i="1" s="1"/>
  <c r="P990" i="1"/>
  <c r="T990" i="1" s="1"/>
  <c r="P988" i="1"/>
  <c r="T988" i="1" s="1"/>
  <c r="P1152" i="1"/>
  <c r="T1152" i="1" s="1"/>
  <c r="P1141" i="1"/>
  <c r="T1141" i="1" s="1"/>
  <c r="P1125" i="1"/>
  <c r="T1125" i="1" s="1"/>
  <c r="P1106" i="1"/>
  <c r="T1106" i="1" s="1"/>
  <c r="P1099" i="1"/>
  <c r="T1099" i="1" s="1"/>
  <c r="P1082" i="1"/>
  <c r="T1082" i="1" s="1"/>
  <c r="P1253" i="1"/>
  <c r="T1253" i="1" s="1"/>
  <c r="P1244" i="1"/>
  <c r="T1244" i="1" s="1"/>
  <c r="P1238" i="1"/>
  <c r="T1238" i="1" s="1"/>
  <c r="P1237" i="1"/>
  <c r="T1237" i="1" s="1"/>
  <c r="P1226" i="1"/>
  <c r="T1226" i="1" s="1"/>
  <c r="P1215" i="1"/>
  <c r="T1215" i="1" s="1"/>
  <c r="P1213" i="1"/>
  <c r="T1213" i="1" s="1"/>
  <c r="P1210" i="1"/>
  <c r="T1210" i="1" s="1"/>
  <c r="P1209" i="1"/>
  <c r="T1209" i="1" s="1"/>
  <c r="P1263" i="1"/>
  <c r="T1263" i="1" s="1"/>
  <c r="P1273" i="1"/>
  <c r="T1273" i="1" s="1"/>
  <c r="P1282" i="1"/>
  <c r="T1282" i="1" s="1"/>
  <c r="P1295" i="1"/>
  <c r="T1295" i="1" s="1"/>
  <c r="P1311" i="1"/>
  <c r="T1311" i="1" s="1"/>
  <c r="P1316" i="1"/>
  <c r="T1316" i="1" s="1"/>
  <c r="P1301" i="1"/>
  <c r="T1301" i="1" s="1"/>
  <c r="P1297" i="1"/>
  <c r="T1297" i="1" s="1"/>
  <c r="P1291" i="1"/>
  <c r="T1291" i="1" s="1"/>
  <c r="P1276" i="1"/>
  <c r="T1276" i="1" s="1"/>
  <c r="P1249" i="1"/>
  <c r="T1249" i="1" s="1"/>
  <c r="P1245" i="1"/>
  <c r="T1245" i="1" s="1"/>
  <c r="P1239" i="1"/>
  <c r="T1239" i="1" s="1"/>
  <c r="P1236" i="1"/>
  <c r="T1236" i="1" s="1"/>
  <c r="P1235" i="1"/>
  <c r="T1235" i="1" s="1"/>
  <c r="P1233" i="1"/>
  <c r="T1233" i="1" s="1"/>
  <c r="P1224" i="1"/>
  <c r="T1224" i="1" s="1"/>
  <c r="P1214" i="1"/>
  <c r="T1214" i="1" s="1"/>
  <c r="P1155" i="1"/>
  <c r="T1155" i="1" s="1"/>
  <c r="P1156" i="1"/>
  <c r="T1156" i="1" s="1"/>
  <c r="P1159" i="1"/>
  <c r="T1159" i="1" s="1"/>
  <c r="P1158" i="1"/>
  <c r="T1158" i="1" s="1"/>
  <c r="P1166" i="1"/>
  <c r="T1166" i="1" s="1"/>
  <c r="P1170" i="1"/>
  <c r="T1170" i="1" s="1"/>
  <c r="P1180" i="1"/>
  <c r="T1180" i="1" s="1"/>
  <c r="P1162" i="1"/>
  <c r="T1162" i="1" s="1"/>
  <c r="P1149" i="1"/>
  <c r="T1149" i="1" s="1"/>
  <c r="P1144" i="1"/>
  <c r="T1144" i="1" s="1"/>
  <c r="P1135" i="1"/>
  <c r="T1135" i="1" s="1"/>
  <c r="P1111" i="1"/>
  <c r="T1111" i="1" s="1"/>
  <c r="P1101" i="1"/>
  <c r="T1101" i="1" s="1"/>
  <c r="P1092" i="1"/>
  <c r="T1092" i="1" s="1"/>
  <c r="P1084" i="1"/>
  <c r="T1084" i="1" s="1"/>
  <c r="P1023" i="1"/>
  <c r="T1023" i="1" s="1"/>
  <c r="P1032" i="1"/>
  <c r="T1032" i="1" s="1"/>
  <c r="P1035" i="1"/>
  <c r="T1035" i="1" s="1"/>
  <c r="P1040" i="1"/>
  <c r="T1040" i="1" s="1"/>
  <c r="P1044" i="1"/>
  <c r="T1044" i="1" s="1"/>
  <c r="P1053" i="1"/>
  <c r="T1053" i="1" s="1"/>
  <c r="P1061" i="1"/>
  <c r="T1061" i="1" s="1"/>
  <c r="P1070" i="1"/>
  <c r="T1070" i="1" s="1"/>
  <c r="P1078" i="1"/>
  <c r="T1078" i="1" s="1"/>
  <c r="P1060" i="1"/>
  <c r="T1060" i="1" s="1"/>
  <c r="P1052" i="1"/>
  <c r="T1052" i="1" s="1"/>
  <c r="P1050" i="1"/>
  <c r="T1050" i="1" s="1"/>
  <c r="P1025" i="1"/>
  <c r="T1025" i="1" s="1"/>
  <c r="P1021" i="1"/>
  <c r="T1021" i="1" s="1"/>
  <c r="P1017" i="1"/>
  <c r="T1017" i="1" s="1"/>
  <c r="P1015" i="1"/>
  <c r="T1015" i="1" s="1"/>
  <c r="P1014" i="1"/>
  <c r="T1014" i="1" s="1"/>
  <c r="P1009" i="1"/>
  <c r="T1009" i="1" s="1"/>
  <c r="P1004" i="1"/>
  <c r="T1004" i="1" s="1"/>
  <c r="P998" i="1"/>
  <c r="T998" i="1" s="1"/>
  <c r="P987" i="1"/>
  <c r="T987" i="1" s="1"/>
  <c r="P984" i="1"/>
  <c r="T984" i="1" s="1"/>
  <c r="P983" i="1"/>
  <c r="T983" i="1" s="1"/>
  <c r="P975" i="1"/>
  <c r="T975" i="1" s="1"/>
  <c r="P970" i="1"/>
  <c r="T970" i="1" s="1"/>
  <c r="P968" i="1"/>
  <c r="T968" i="1" s="1"/>
  <c r="P964" i="1"/>
  <c r="T964" i="1" s="1"/>
  <c r="P961" i="1"/>
  <c r="T961" i="1" s="1"/>
  <c r="P950" i="1"/>
  <c r="T950" i="1" s="1"/>
  <c r="P955" i="1"/>
  <c r="T955" i="1" s="1"/>
  <c r="P949" i="1"/>
  <c r="T949" i="1" s="1"/>
  <c r="P945" i="1"/>
  <c r="T945" i="1" s="1"/>
  <c r="P944" i="1"/>
  <c r="T944" i="1" s="1"/>
  <c r="P940" i="1"/>
  <c r="T940" i="1" s="1"/>
  <c r="P933" i="1"/>
  <c r="T933" i="1" s="1"/>
  <c r="P928" i="1"/>
  <c r="T928" i="1" s="1"/>
  <c r="P927" i="1"/>
  <c r="T927" i="1" s="1"/>
  <c r="P921" i="1"/>
  <c r="T921" i="1" s="1"/>
  <c r="P920" i="1"/>
  <c r="T920" i="1" s="1"/>
  <c r="P916" i="1"/>
  <c r="T916" i="1" s="1"/>
  <c r="P910" i="1"/>
  <c r="T910" i="1" s="1"/>
  <c r="P925" i="1"/>
  <c r="T925" i="1" s="1"/>
  <c r="P924" i="1"/>
  <c r="T924" i="1" s="1"/>
  <c r="P914" i="1"/>
  <c r="T914" i="1" s="1"/>
  <c r="P903" i="1"/>
  <c r="T903" i="1" s="1"/>
  <c r="P899" i="1"/>
  <c r="T899" i="1" s="1"/>
  <c r="P893" i="1"/>
  <c r="T893" i="1" s="1"/>
  <c r="P783" i="1"/>
  <c r="T783" i="1" s="1"/>
  <c r="P732" i="1"/>
  <c r="T732" i="1" s="1"/>
  <c r="P718" i="1"/>
  <c r="T718" i="1" s="1"/>
  <c r="P694" i="1"/>
  <c r="T694" i="1" s="1"/>
  <c r="P693" i="1"/>
  <c r="T693" i="1" s="1"/>
  <c r="P683" i="1"/>
  <c r="T683" i="1" s="1"/>
  <c r="P678" i="1"/>
  <c r="T678" i="1" s="1"/>
  <c r="P756" i="1"/>
  <c r="T756" i="1" s="1"/>
  <c r="P777" i="1"/>
  <c r="T777" i="1" s="1"/>
  <c r="P791" i="1"/>
  <c r="T791" i="1" s="1"/>
  <c r="P784" i="1"/>
  <c r="T784" i="1" s="1"/>
  <c r="P809" i="1"/>
  <c r="T809" i="1" s="1"/>
  <c r="P806" i="1"/>
  <c r="T806" i="1" s="1"/>
  <c r="P825" i="1"/>
  <c r="T825" i="1" s="1"/>
  <c r="P864" i="1"/>
  <c r="T864" i="1" s="1"/>
  <c r="P887" i="1"/>
  <c r="T887" i="1" s="1"/>
  <c r="P897" i="1"/>
  <c r="T897" i="1" s="1"/>
  <c r="P895" i="1"/>
  <c r="T895" i="1" s="1"/>
  <c r="T857" i="1"/>
  <c r="T853" i="1"/>
  <c r="T821" i="1"/>
  <c r="T813" i="1"/>
  <c r="T794" i="1"/>
  <c r="T773" i="1"/>
  <c r="T757" i="1"/>
  <c r="T741" i="1"/>
  <c r="T736" i="1"/>
  <c r="T727" i="1"/>
  <c r="T719" i="1"/>
  <c r="T698" i="1"/>
  <c r="T688" i="1"/>
  <c r="P682" i="1"/>
  <c r="T682" i="1" s="1"/>
  <c r="P671" i="1"/>
  <c r="T671" i="1" s="1"/>
  <c r="T669" i="1"/>
  <c r="T663" i="1"/>
  <c r="T652" i="1"/>
  <c r="T647" i="1"/>
  <c r="T642" i="1"/>
  <c r="T627" i="1"/>
  <c r="T624" i="1"/>
  <c r="P623" i="1"/>
  <c r="T623" i="1" s="1"/>
  <c r="T620" i="1"/>
  <c r="T611" i="1"/>
  <c r="T606" i="1"/>
  <c r="P599" i="1"/>
  <c r="T599" i="1" s="1"/>
  <c r="T595" i="1"/>
  <c r="T590" i="1"/>
  <c r="P587" i="1"/>
  <c r="T587" i="1" s="1"/>
  <c r="P584" i="1"/>
  <c r="T584" i="1" s="1"/>
  <c r="P603" i="1"/>
  <c r="T603" i="1" s="1"/>
  <c r="P610" i="1"/>
  <c r="T610" i="1" s="1"/>
  <c r="P609" i="1"/>
  <c r="T609" i="1" s="1"/>
  <c r="P621" i="1"/>
  <c r="T621" i="1" s="1"/>
  <c r="P622" i="1"/>
  <c r="T622" i="1" s="1"/>
  <c r="P613" i="1"/>
  <c r="T613" i="1" s="1"/>
  <c r="P602" i="1"/>
  <c r="T602" i="1" s="1"/>
  <c r="P601" i="1"/>
  <c r="T601" i="1" s="1"/>
  <c r="P598" i="1"/>
  <c r="T598" i="1" s="1"/>
  <c r="P588" i="1"/>
  <c r="T588" i="1" s="1"/>
  <c r="P582" i="1"/>
  <c r="T582" i="1" s="1"/>
  <c r="P574" i="1"/>
  <c r="T574" i="1" s="1"/>
  <c r="P562" i="1"/>
  <c r="T562" i="1" s="1"/>
  <c r="P564" i="1"/>
  <c r="T564" i="1" s="1"/>
  <c r="P568" i="1"/>
  <c r="T568" i="1" s="1"/>
  <c r="P573" i="1"/>
  <c r="T573" i="1" s="1"/>
  <c r="P586" i="1"/>
  <c r="T586" i="1" s="1"/>
  <c r="P577" i="1"/>
  <c r="T577" i="1" s="1"/>
  <c r="P563" i="1"/>
  <c r="T563" i="1" s="1"/>
  <c r="P558" i="1"/>
  <c r="T558" i="1" s="1"/>
  <c r="P553" i="1"/>
  <c r="T553" i="1" s="1"/>
  <c r="P1088" i="1"/>
  <c r="T1088" i="1" s="1"/>
  <c r="P1096" i="1"/>
  <c r="T1096" i="1" s="1"/>
  <c r="P1102" i="1"/>
  <c r="T1102" i="1" s="1"/>
  <c r="P1115" i="1"/>
  <c r="T1115" i="1" s="1"/>
  <c r="P1121" i="1"/>
  <c r="T1121" i="1" s="1"/>
  <c r="P1127" i="1"/>
  <c r="T1127" i="1" s="1"/>
  <c r="P1137" i="1"/>
  <c r="T1137" i="1" s="1"/>
  <c r="P1140" i="1"/>
  <c r="T1140" i="1" s="1"/>
  <c r="P1146" i="1"/>
  <c r="T1146" i="1" s="1"/>
  <c r="P1151" i="1"/>
  <c r="T1151" i="1" s="1"/>
  <c r="P1150" i="1"/>
  <c r="T1150" i="1" s="1"/>
  <c r="P1148" i="1"/>
  <c r="T1148" i="1" s="1"/>
  <c r="P1142" i="1"/>
  <c r="T1142" i="1" s="1"/>
  <c r="P1139" i="1"/>
  <c r="T1139" i="1" s="1"/>
  <c r="P1131" i="1"/>
  <c r="T1131" i="1" s="1"/>
  <c r="P1324" i="1"/>
  <c r="T1324" i="1" s="1"/>
  <c r="P1321" i="1"/>
  <c r="T1321" i="1" s="1"/>
  <c r="P1319" i="1"/>
  <c r="T1319" i="1" s="1"/>
  <c r="P1313" i="1"/>
  <c r="T1313" i="1" s="1"/>
  <c r="P1309" i="1"/>
  <c r="T1309" i="1" s="1"/>
  <c r="P1308" i="1"/>
  <c r="T1308" i="1" s="1"/>
  <c r="P1305" i="1"/>
  <c r="T1305" i="1" s="1"/>
  <c r="P1299" i="1"/>
  <c r="T1299" i="1" s="1"/>
  <c r="P1296" i="1"/>
  <c r="T1296" i="1" s="1"/>
  <c r="P1293" i="1"/>
  <c r="T1293" i="1" s="1"/>
  <c r="P1292" i="1"/>
  <c r="T1292" i="1" s="1"/>
  <c r="P1287" i="1"/>
  <c r="T1287" i="1" s="1"/>
  <c r="P1284" i="1"/>
  <c r="T1284" i="1" s="1"/>
  <c r="P1269" i="1"/>
  <c r="T1269" i="1" s="1"/>
  <c r="P1264" i="1"/>
  <c r="T1264" i="1" s="1"/>
  <c r="P1261" i="1"/>
  <c r="T1261" i="1" s="1"/>
  <c r="P1260" i="1"/>
  <c r="T1260" i="1" s="1"/>
  <c r="P1258" i="1"/>
  <c r="T1258" i="1" s="1"/>
  <c r="P1250" i="1"/>
  <c r="T1250" i="1" s="1"/>
  <c r="P1246" i="1"/>
  <c r="T1246" i="1" s="1"/>
  <c r="P1242" i="1"/>
  <c r="T1242" i="1" s="1"/>
  <c r="P1240" i="1"/>
  <c r="T1240" i="1" s="1"/>
  <c r="P1221" i="1"/>
  <c r="T1221" i="1" s="1"/>
  <c r="P1220" i="1"/>
  <c r="T1220" i="1" s="1"/>
  <c r="P1216" i="1"/>
  <c r="T1216" i="1" s="1"/>
  <c r="P1211" i="1"/>
  <c r="T1211" i="1" s="1"/>
  <c r="P1206" i="1"/>
  <c r="T1206" i="1" s="1"/>
  <c r="P1202" i="1"/>
  <c r="T1202" i="1" s="1"/>
  <c r="P1199" i="1"/>
  <c r="T1199" i="1" s="1"/>
  <c r="P1197" i="1"/>
  <c r="T1197" i="1" s="1"/>
  <c r="P1218" i="1"/>
  <c r="T1218" i="1" s="1"/>
  <c r="P1208" i="1"/>
  <c r="T1208" i="1" s="1"/>
  <c r="P1207" i="1"/>
  <c r="T1207" i="1" s="1"/>
  <c r="P1204" i="1"/>
  <c r="T1204" i="1" s="1"/>
  <c r="P1203" i="1"/>
  <c r="T1203" i="1" s="1"/>
  <c r="P1195" i="1"/>
  <c r="T1195" i="1" s="1"/>
  <c r="P1294" i="1"/>
  <c r="T1294" i="1" s="1"/>
  <c r="P1288" i="1"/>
  <c r="T1288" i="1" s="1"/>
  <c r="P1279" i="1"/>
  <c r="T1279" i="1" s="1"/>
  <c r="P1271" i="1"/>
  <c r="T1271" i="1" s="1"/>
  <c r="P1270" i="1"/>
  <c r="T1270" i="1" s="1"/>
  <c r="P1265" i="1"/>
  <c r="T1265" i="1" s="1"/>
  <c r="P1306" i="1"/>
  <c r="T1306" i="1" s="1"/>
  <c r="P1310" i="1"/>
  <c r="T1310" i="1" s="1"/>
  <c r="P1315" i="1"/>
  <c r="T1315" i="1" s="1"/>
  <c r="P1320" i="1"/>
  <c r="T1320" i="1" s="1"/>
  <c r="P1326" i="1"/>
  <c r="T1326" i="1" s="1"/>
  <c r="P1325" i="1"/>
  <c r="T1325" i="1" s="1"/>
  <c r="P1322" i="1"/>
  <c r="T1322" i="1" s="1"/>
  <c r="P1317" i="1"/>
  <c r="T1317" i="1" s="1"/>
  <c r="P1312" i="1"/>
  <c r="T1312" i="1" s="1"/>
  <c r="P1290" i="1"/>
  <c r="T1290" i="1" s="1"/>
  <c r="P1289" i="1"/>
  <c r="T1289" i="1" s="1"/>
  <c r="P1286" i="1"/>
  <c r="T1286" i="1" s="1"/>
  <c r="P1283" i="1"/>
  <c r="T1283" i="1" s="1"/>
  <c r="P1281" i="1"/>
  <c r="T1281" i="1" s="1"/>
  <c r="P1280" i="1"/>
  <c r="T1280" i="1" s="1"/>
  <c r="P1278" i="1"/>
  <c r="T1278" i="1" s="1"/>
  <c r="P1274" i="1"/>
  <c r="T1274" i="1" s="1"/>
  <c r="P1272" i="1"/>
  <c r="T1272" i="1" s="1"/>
  <c r="P1268" i="1"/>
  <c r="T1268" i="1" s="1"/>
  <c r="P1231" i="1"/>
  <c r="T1231" i="1" s="1"/>
  <c r="P1230" i="1"/>
  <c r="T1230" i="1" s="1"/>
  <c r="P1229" i="1"/>
  <c r="T1229" i="1" s="1"/>
  <c r="P1227" i="1"/>
  <c r="T1227" i="1" s="1"/>
  <c r="P1223" i="1"/>
  <c r="T1223" i="1" s="1"/>
  <c r="P1219" i="1"/>
  <c r="T1219" i="1" s="1"/>
  <c r="P1217" i="1"/>
  <c r="T1217" i="1" s="1"/>
  <c r="P1212" i="1"/>
  <c r="T1212" i="1" s="1"/>
  <c r="P1187" i="1"/>
  <c r="T1187" i="1" s="1"/>
  <c r="P1185" i="1"/>
  <c r="T1185" i="1" s="1"/>
  <c r="P1178" i="1"/>
  <c r="T1178" i="1" s="1"/>
  <c r="P1175" i="1"/>
  <c r="T1175" i="1" s="1"/>
  <c r="P1173" i="1"/>
  <c r="T1173" i="1" s="1"/>
  <c r="P1165" i="1"/>
  <c r="T1165" i="1" s="1"/>
  <c r="P1160" i="1"/>
  <c r="T1160" i="1" s="1"/>
  <c r="P1138" i="1"/>
  <c r="T1138" i="1" s="1"/>
  <c r="P1136" i="1"/>
  <c r="T1136" i="1" s="1"/>
  <c r="P1134" i="1"/>
  <c r="T1134" i="1" s="1"/>
  <c r="P1133" i="1"/>
  <c r="T1133" i="1" s="1"/>
  <c r="P1132" i="1"/>
  <c r="T1132" i="1" s="1"/>
  <c r="P1129" i="1"/>
  <c r="T1129" i="1" s="1"/>
  <c r="P1122" i="1"/>
  <c r="T1122" i="1" s="1"/>
  <c r="P1116" i="1"/>
  <c r="T1116" i="1" s="1"/>
  <c r="P1114" i="1"/>
  <c r="T1114" i="1" s="1"/>
  <c r="P1103" i="1"/>
  <c r="T1103" i="1" s="1"/>
  <c r="P1047" i="1"/>
  <c r="T1047" i="1" s="1"/>
  <c r="P1048" i="1"/>
  <c r="T1048" i="1" s="1"/>
  <c r="P1059" i="1"/>
  <c r="T1059" i="1" s="1"/>
  <c r="P1063" i="1"/>
  <c r="T1063" i="1" s="1"/>
  <c r="P1069" i="1"/>
  <c r="T1069" i="1" s="1"/>
  <c r="P1075" i="1"/>
  <c r="T1075" i="1" s="1"/>
  <c r="P1077" i="1"/>
  <c r="T1077" i="1" s="1"/>
  <c r="P1079" i="1"/>
  <c r="T1079" i="1" s="1"/>
  <c r="P1039" i="1"/>
  <c r="T1039" i="1" s="1"/>
  <c r="P1036" i="1"/>
  <c r="T1036" i="1" s="1"/>
  <c r="P1034" i="1"/>
  <c r="T1034" i="1" s="1"/>
  <c r="P1031" i="1"/>
  <c r="T1031" i="1" s="1"/>
  <c r="P1029" i="1"/>
  <c r="T1029" i="1" s="1"/>
  <c r="P1026" i="1"/>
  <c r="T1026" i="1" s="1"/>
  <c r="P1022" i="1"/>
  <c r="T1022" i="1" s="1"/>
  <c r="P1019" i="1"/>
  <c r="T1019" i="1" s="1"/>
  <c r="P974" i="1"/>
  <c r="T974" i="1" s="1"/>
  <c r="P973" i="1"/>
  <c r="T973" i="1" s="1"/>
  <c r="P972" i="1"/>
  <c r="T972" i="1" s="1"/>
  <c r="P969" i="1"/>
  <c r="T969" i="1" s="1"/>
  <c r="P966" i="1"/>
  <c r="T966" i="1" s="1"/>
  <c r="P962" i="1"/>
  <c r="T962" i="1" s="1"/>
  <c r="P959" i="1"/>
  <c r="T959" i="1" s="1"/>
  <c r="P958" i="1"/>
  <c r="T958" i="1" s="1"/>
  <c r="P954" i="1"/>
  <c r="T954" i="1" s="1"/>
  <c r="P953" i="1"/>
  <c r="T953" i="1" s="1"/>
  <c r="P951" i="1"/>
  <c r="T951" i="1" s="1"/>
  <c r="P947" i="1"/>
  <c r="T947" i="1" s="1"/>
  <c r="P913" i="1"/>
  <c r="T913" i="1" s="1"/>
  <c r="P912" i="1"/>
  <c r="T912" i="1" s="1"/>
  <c r="P909" i="1"/>
  <c r="T909" i="1" s="1"/>
  <c r="P908" i="1"/>
  <c r="T908" i="1" s="1"/>
  <c r="P898" i="1"/>
  <c r="T898" i="1" s="1"/>
  <c r="P896" i="1"/>
  <c r="T896" i="1" s="1"/>
  <c r="P889" i="1"/>
  <c r="T889" i="1" s="1"/>
  <c r="T867" i="1"/>
  <c r="P890" i="1"/>
  <c r="T890" i="1" s="1"/>
  <c r="T874" i="1"/>
  <c r="T873" i="1"/>
  <c r="T858" i="1"/>
  <c r="T848" i="1"/>
  <c r="T831" i="1"/>
  <c r="P828" i="1"/>
  <c r="T828" i="1" s="1"/>
  <c r="T827" i="1"/>
  <c r="P847" i="1"/>
  <c r="T847" i="1" s="1"/>
  <c r="T845" i="1"/>
  <c r="T835" i="1"/>
  <c r="T824" i="1"/>
  <c r="T816" i="1"/>
  <c r="T810" i="1"/>
  <c r="T800" i="1"/>
  <c r="T782" i="1"/>
  <c r="T774" i="1"/>
  <c r="T764" i="1"/>
  <c r="T790" i="1"/>
  <c r="P786" i="1"/>
  <c r="T786" i="1" s="1"/>
  <c r="T797" i="1"/>
  <c r="T822" i="1"/>
  <c r="P820" i="1"/>
  <c r="T820" i="1" s="1"/>
  <c r="T814" i="1"/>
  <c r="T811" i="1"/>
  <c r="T808" i="1"/>
  <c r="T807" i="1"/>
  <c r="P798" i="1"/>
  <c r="T798" i="1" s="1"/>
  <c r="T750" i="1"/>
  <c r="T742" i="1"/>
  <c r="T738" i="1"/>
  <c r="T731" i="1"/>
  <c r="T728" i="1"/>
  <c r="T726" i="1"/>
  <c r="T725" i="1"/>
  <c r="T715" i="1"/>
  <c r="T690" i="1"/>
  <c r="T684" i="1"/>
  <c r="T661" i="1"/>
  <c r="T665" i="1"/>
  <c r="P667" i="1"/>
  <c r="T667" i="1" s="1"/>
  <c r="T672" i="1"/>
  <c r="T676" i="1"/>
  <c r="T651" i="1"/>
  <c r="T650" i="1"/>
  <c r="T643" i="1"/>
  <c r="T638" i="1"/>
  <c r="T631" i="1"/>
  <c r="T619" i="1"/>
  <c r="T618" i="1"/>
  <c r="T615" i="1"/>
  <c r="T614" i="1"/>
  <c r="T612" i="1"/>
  <c r="T608" i="1"/>
  <c r="T607" i="1"/>
  <c r="T596" i="1"/>
  <c r="T593" i="1"/>
  <c r="T583" i="1"/>
  <c r="T581" i="1"/>
  <c r="T575" i="1"/>
  <c r="P561" i="1"/>
  <c r="T561" i="1" s="1"/>
  <c r="T556" i="1"/>
  <c r="T729" i="1"/>
  <c r="T733" i="1"/>
  <c r="T746" i="1"/>
  <c r="T745" i="1"/>
  <c r="T743" i="1"/>
  <c r="T737" i="1"/>
  <c r="T720" i="1"/>
  <c r="T714" i="1"/>
  <c r="T713" i="1"/>
  <c r="P705" i="1"/>
  <c r="T705" i="1" s="1"/>
  <c r="T804" i="1"/>
  <c r="T803" i="1"/>
  <c r="T801" i="1"/>
  <c r="P793" i="1"/>
  <c r="T793" i="1" s="1"/>
  <c r="T792" i="1"/>
  <c r="T787" i="1"/>
  <c r="T780" i="1"/>
  <c r="T775" i="1"/>
  <c r="P833" i="1"/>
  <c r="T833" i="1" s="1"/>
  <c r="T838" i="1"/>
  <c r="T839" i="1"/>
  <c r="T841" i="1"/>
  <c r="T855" i="1"/>
  <c r="T862" i="1"/>
  <c r="T870" i="1"/>
  <c r="T881" i="1"/>
  <c r="P886" i="1"/>
  <c r="T886" i="1" s="1"/>
  <c r="P885" i="1"/>
  <c r="T885" i="1" s="1"/>
  <c r="P882" i="1"/>
  <c r="T882" i="1" s="1"/>
  <c r="P879" i="1"/>
  <c r="T879" i="1" s="1"/>
  <c r="P872" i="1"/>
  <c r="T872" i="1" s="1"/>
  <c r="P871" i="1"/>
  <c r="T871" i="1" s="1"/>
  <c r="P869" i="1"/>
  <c r="T869" i="1" s="1"/>
  <c r="P865" i="1"/>
  <c r="T865" i="1" s="1"/>
  <c r="P859" i="1"/>
  <c r="T859" i="1" s="1"/>
  <c r="P836" i="1"/>
  <c r="T836" i="1" s="1"/>
  <c r="P826" i="1"/>
  <c r="T826" i="1" s="1"/>
  <c r="P823" i="1"/>
  <c r="T823" i="1" s="1"/>
  <c r="P819" i="1"/>
  <c r="T819" i="1" s="1"/>
  <c r="P815" i="1"/>
  <c r="T815" i="1" s="1"/>
  <c r="P812" i="1"/>
  <c r="T812" i="1" s="1"/>
  <c r="P805" i="1"/>
  <c r="T805" i="1" s="1"/>
  <c r="P802" i="1"/>
  <c r="T802" i="1" s="1"/>
  <c r="P799" i="1"/>
  <c r="T799" i="1" s="1"/>
  <c r="P796" i="1"/>
  <c r="T796" i="1" s="1"/>
  <c r="P789" i="1"/>
  <c r="T789" i="1" s="1"/>
  <c r="P788" i="1"/>
  <c r="T788" i="1" s="1"/>
  <c r="P785" i="1"/>
  <c r="T785" i="1" s="1"/>
  <c r="P781" i="1"/>
  <c r="T781" i="1" s="1"/>
  <c r="P758" i="1"/>
  <c r="T758" i="1" s="1"/>
  <c r="P753" i="1"/>
  <c r="T753" i="1" s="1"/>
  <c r="P752" i="1"/>
  <c r="T752" i="1" s="1"/>
  <c r="P772" i="1"/>
  <c r="T772" i="1" s="1"/>
  <c r="P769" i="1"/>
  <c r="T769" i="1" s="1"/>
  <c r="P766" i="1"/>
  <c r="T766" i="1" s="1"/>
  <c r="P761" i="1"/>
  <c r="T761" i="1" s="1"/>
  <c r="P760" i="1"/>
  <c r="T760" i="1" s="1"/>
  <c r="P755" i="1"/>
  <c r="T755" i="1" s="1"/>
  <c r="P749" i="1"/>
  <c r="T749" i="1" s="1"/>
  <c r="P747" i="1"/>
  <c r="T747" i="1" s="1"/>
  <c r="P740" i="1"/>
  <c r="T740" i="1" s="1"/>
  <c r="P739" i="1"/>
  <c r="T739" i="1" s="1"/>
  <c r="P735" i="1"/>
  <c r="T735" i="1" s="1"/>
  <c r="P723" i="1"/>
  <c r="T723" i="1" s="1"/>
  <c r="P722" i="1"/>
  <c r="T722" i="1" s="1"/>
  <c r="P708" i="1"/>
  <c r="T708" i="1" s="1"/>
  <c r="P704" i="1"/>
  <c r="T704" i="1" s="1"/>
  <c r="P702" i="1"/>
  <c r="T702" i="1" s="1"/>
  <c r="P691" i="1"/>
  <c r="T691" i="1" s="1"/>
  <c r="P687" i="1"/>
  <c r="T687" i="1" s="1"/>
  <c r="P696" i="1"/>
  <c r="T696" i="1" s="1"/>
  <c r="P695" i="1"/>
  <c r="T695" i="1" s="1"/>
  <c r="P703" i="1"/>
  <c r="T703" i="1" s="1"/>
  <c r="P706" i="1"/>
  <c r="T706" i="1" s="1"/>
  <c r="P710" i="1"/>
  <c r="T710" i="1" s="1"/>
  <c r="P717" i="1"/>
  <c r="T717" i="1" s="1"/>
  <c r="P716" i="1"/>
  <c r="T716" i="1" s="1"/>
  <c r="P712" i="1"/>
  <c r="T712" i="1" s="1"/>
  <c r="P707" i="1"/>
  <c r="T707" i="1" s="1"/>
  <c r="P701" i="1"/>
  <c r="T701" i="1" s="1"/>
  <c r="P700" i="1"/>
  <c r="T700" i="1" s="1"/>
  <c r="P699" i="1"/>
  <c r="T699" i="1" s="1"/>
  <c r="P692" i="1"/>
  <c r="T692" i="1" s="1"/>
  <c r="P689" i="1"/>
  <c r="T689" i="1" s="1"/>
  <c r="P768" i="1"/>
  <c r="T768" i="1" s="1"/>
  <c r="P767" i="1"/>
  <c r="T767" i="1" s="1"/>
  <c r="P765" i="1"/>
  <c r="T765" i="1" s="1"/>
  <c r="P763" i="1"/>
  <c r="T763" i="1" s="1"/>
  <c r="P771" i="1"/>
  <c r="T771" i="1" s="1"/>
  <c r="P770" i="1"/>
  <c r="T770" i="1" s="1"/>
  <c r="P762" i="1"/>
  <c r="T762" i="1" s="1"/>
  <c r="P759" i="1"/>
  <c r="T759" i="1" s="1"/>
  <c r="P754" i="1"/>
  <c r="T754" i="1" s="1"/>
  <c r="P751" i="1"/>
  <c r="T751" i="1" s="1"/>
  <c r="P748" i="1"/>
  <c r="T748" i="1" s="1"/>
  <c r="P744" i="1"/>
  <c r="T744" i="1" s="1"/>
  <c r="P863" i="1"/>
  <c r="T863" i="1" s="1"/>
  <c r="P868" i="1"/>
  <c r="T868" i="1" s="1"/>
  <c r="P892" i="1"/>
  <c r="T892" i="1" s="1"/>
  <c r="P888" i="1"/>
  <c r="T888" i="1" s="1"/>
  <c r="P884" i="1"/>
  <c r="T884" i="1" s="1"/>
  <c r="P883" i="1"/>
  <c r="T883" i="1" s="1"/>
  <c r="P880" i="1"/>
  <c r="T880" i="1" s="1"/>
  <c r="P877" i="1"/>
  <c r="T877" i="1" s="1"/>
  <c r="P876" i="1"/>
  <c r="T876" i="1" s="1"/>
  <c r="P875" i="1"/>
  <c r="T875" i="1" s="1"/>
  <c r="P861" i="1"/>
  <c r="T861" i="1" s="1"/>
  <c r="P860" i="1"/>
  <c r="T860" i="1" s="1"/>
  <c r="P854" i="1"/>
  <c r="T854" i="1" s="1"/>
  <c r="P851" i="1"/>
  <c r="T851" i="1" s="1"/>
  <c r="P850" i="1"/>
  <c r="T850" i="1" s="1"/>
  <c r="P846" i="1"/>
  <c r="T846" i="1" s="1"/>
  <c r="P844" i="1"/>
  <c r="T844" i="1" s="1"/>
  <c r="P840" i="1"/>
  <c r="T840" i="1" s="1"/>
  <c r="P834" i="1"/>
  <c r="T834" i="1" s="1"/>
  <c r="P830" i="1"/>
  <c r="T830" i="1" s="1"/>
  <c r="P852" i="1"/>
  <c r="T852" i="1" s="1"/>
  <c r="P843" i="1"/>
  <c r="T843" i="1" s="1"/>
  <c r="P837" i="1"/>
  <c r="T837" i="1" s="1"/>
  <c r="P832" i="1"/>
  <c r="T832" i="1" s="1"/>
  <c r="P829" i="1"/>
  <c r="T829" i="1" s="1"/>
  <c r="P943" i="1"/>
  <c r="T943" i="1" s="1"/>
  <c r="P942" i="1"/>
  <c r="T942" i="1" s="1"/>
  <c r="P941" i="1"/>
  <c r="T941" i="1" s="1"/>
  <c r="P939" i="1"/>
  <c r="T939" i="1" s="1"/>
  <c r="P936" i="1"/>
  <c r="T936" i="1" s="1"/>
  <c r="P929" i="1"/>
  <c r="T929" i="1" s="1"/>
  <c r="P926" i="1"/>
  <c r="T926" i="1" s="1"/>
  <c r="P923" i="1"/>
  <c r="T923" i="1" s="1"/>
  <c r="P919" i="1"/>
  <c r="T919" i="1" s="1"/>
  <c r="P915" i="1"/>
  <c r="T915" i="1" s="1"/>
  <c r="P911" i="1"/>
  <c r="T911" i="1" s="1"/>
  <c r="P1003" i="1"/>
  <c r="T1003" i="1" s="1"/>
  <c r="P1002" i="1"/>
  <c r="T1002" i="1" s="1"/>
  <c r="P997" i="1"/>
  <c r="T997" i="1" s="1"/>
  <c r="P993" i="1"/>
  <c r="T993" i="1" s="1"/>
  <c r="P991" i="1"/>
  <c r="T991" i="1" s="1"/>
  <c r="P985" i="1"/>
  <c r="T985" i="1" s="1"/>
  <c r="P982" i="1"/>
  <c r="T982" i="1" s="1"/>
  <c r="P981" i="1"/>
  <c r="T981" i="1" s="1"/>
  <c r="P980" i="1"/>
  <c r="T980" i="1" s="1"/>
  <c r="P976" i="1"/>
  <c r="T976" i="1" s="1"/>
  <c r="P1071" i="1"/>
  <c r="T1071" i="1" s="1"/>
  <c r="P1068" i="1"/>
  <c r="T1068" i="1" s="1"/>
  <c r="P1064" i="1"/>
  <c r="T1064" i="1" s="1"/>
  <c r="P1058" i="1"/>
  <c r="T1058" i="1" s="1"/>
  <c r="P1057" i="1"/>
  <c r="T1057" i="1" s="1"/>
  <c r="P1054" i="1"/>
  <c r="T1054" i="1" s="1"/>
  <c r="P1049" i="1"/>
  <c r="T1049" i="1" s="1"/>
  <c r="P1045" i="1"/>
  <c r="T1045" i="1" s="1"/>
  <c r="P1042" i="1"/>
  <c r="T1042" i="1" s="1"/>
  <c r="P1038" i="1"/>
  <c r="T1038" i="1" s="1"/>
  <c r="P1094" i="1"/>
  <c r="T1094" i="1" s="1"/>
  <c r="P1105" i="1"/>
  <c r="T1105" i="1" s="1"/>
  <c r="P1104" i="1"/>
  <c r="T1104" i="1" s="1"/>
  <c r="P1110" i="1"/>
  <c r="T1110" i="1" s="1"/>
  <c r="P1113" i="1"/>
  <c r="T1113" i="1" s="1"/>
  <c r="P1118" i="1"/>
  <c r="T1118" i="1" s="1"/>
  <c r="P1124" i="1"/>
  <c r="T1124" i="1" s="1"/>
  <c r="P1120" i="1"/>
  <c r="T1120" i="1" s="1"/>
  <c r="P1117" i="1"/>
  <c r="T1117" i="1" s="1"/>
  <c r="P1112" i="1"/>
  <c r="T1112" i="1" s="1"/>
  <c r="P1107" i="1"/>
  <c r="T1107" i="1" s="1"/>
  <c r="P1100" i="1"/>
  <c r="T1100" i="1" s="1"/>
  <c r="P1095" i="1"/>
  <c r="T1095" i="1" s="1"/>
  <c r="P1091" i="1"/>
  <c r="T1091" i="1" s="1"/>
  <c r="P1191" i="1"/>
  <c r="T1191" i="1" s="1"/>
  <c r="P1193" i="1"/>
  <c r="T1193" i="1" s="1"/>
  <c r="P1184" i="1"/>
  <c r="T1184" i="1" s="1"/>
  <c r="P1181" i="1"/>
  <c r="T1181" i="1" s="1"/>
  <c r="P1179" i="1"/>
  <c r="T1179" i="1" s="1"/>
  <c r="P1177" i="1"/>
  <c r="T1177" i="1" s="1"/>
  <c r="P1171" i="1"/>
  <c r="T1171" i="1" s="1"/>
  <c r="P1169" i="1"/>
  <c r="T1169" i="1" s="1"/>
  <c r="P1164" i="1"/>
  <c r="T1164" i="1" s="1"/>
  <c r="P1266" i="1"/>
  <c r="T1266" i="1" s="1"/>
  <c r="P1262" i="1"/>
  <c r="T1262" i="1" s="1"/>
  <c r="P1259" i="1"/>
  <c r="T1259" i="1" s="1"/>
  <c r="P1256" i="1"/>
  <c r="T1256" i="1" s="1"/>
  <c r="P1255" i="1"/>
  <c r="T1255" i="1" s="1"/>
  <c r="P1252" i="1"/>
  <c r="T1252" i="1" s="1"/>
  <c r="P1248" i="1"/>
  <c r="T1248" i="1" s="1"/>
  <c r="P1243" i="1"/>
  <c r="T1243" i="1" s="1"/>
  <c r="P1302" i="1"/>
  <c r="T1302" i="1" s="1"/>
  <c r="P1304" i="1"/>
  <c r="T1304" i="1" s="1"/>
  <c r="P1307" i="1"/>
  <c r="T1307" i="1" s="1"/>
  <c r="P1314" i="1"/>
  <c r="T1314" i="1" s="1"/>
  <c r="P1318" i="1"/>
  <c r="T1318" i="1" s="1"/>
  <c r="P1323" i="1"/>
  <c r="T1323" i="1" s="1"/>
  <c r="P1327" i="1"/>
  <c r="T1327" i="1" s="1"/>
  <c r="P566" i="1"/>
  <c r="T566" i="1" s="1"/>
  <c r="P589" i="1"/>
  <c r="T589" i="1" s="1"/>
  <c r="P604" i="1"/>
  <c r="T604" i="1" s="1"/>
  <c r="P626" i="1"/>
  <c r="T626" i="1" s="1"/>
  <c r="P664" i="1"/>
  <c r="T664" i="1" s="1"/>
  <c r="AA1130" i="1"/>
  <c r="AB1130" i="1" s="1"/>
  <c r="AA1059" i="1"/>
  <c r="AB1059" i="1" s="1"/>
  <c r="AA1025" i="1"/>
  <c r="AB1025" i="1" s="1"/>
  <c r="AA974" i="1"/>
  <c r="AB974" i="1" s="1"/>
  <c r="AA949" i="1"/>
  <c r="AB949" i="1" s="1"/>
  <c r="AA921" i="1"/>
  <c r="AB921" i="1" s="1"/>
  <c r="AA892" i="1"/>
  <c r="AB892" i="1" s="1"/>
  <c r="AA966" i="1"/>
  <c r="AB966" i="1" s="1"/>
  <c r="AA954" i="1"/>
  <c r="AB954" i="1" s="1"/>
  <c r="AA929" i="1"/>
  <c r="AB929" i="1" s="1"/>
  <c r="AA920" i="1"/>
  <c r="AB920" i="1" s="1"/>
  <c r="AA904" i="1"/>
  <c r="AB904" i="1" s="1"/>
  <c r="AA1014" i="1"/>
  <c r="AB1014" i="1" s="1"/>
  <c r="AA1022" i="1"/>
  <c r="AB1022" i="1" s="1"/>
  <c r="AA1027" i="1"/>
  <c r="AB1027" i="1" s="1"/>
  <c r="AA1074" i="1"/>
  <c r="AB1074" i="1" s="1"/>
  <c r="AA1274" i="1"/>
  <c r="AB1274" i="1" s="1"/>
  <c r="AA1156" i="1"/>
  <c r="AB1156" i="1" s="1"/>
  <c r="AA1016" i="1"/>
  <c r="AB1016" i="1" s="1"/>
  <c r="AA1012" i="1"/>
  <c r="AB1012" i="1" s="1"/>
  <c r="AA979" i="1"/>
  <c r="AB979" i="1" s="1"/>
  <c r="AA944" i="1"/>
  <c r="AB944" i="1" s="1"/>
  <c r="AA926" i="1"/>
  <c r="AB926" i="1" s="1"/>
  <c r="AA891" i="1"/>
  <c r="AB891" i="1" s="1"/>
  <c r="AA1198" i="1"/>
  <c r="AB1198" i="1" s="1"/>
  <c r="AA1212" i="1"/>
  <c r="AB1212" i="1" s="1"/>
  <c r="AA1223" i="1"/>
  <c r="AB1223" i="1" s="1"/>
  <c r="AA1250" i="1"/>
  <c r="AB1250" i="1" s="1"/>
  <c r="AA1218" i="1"/>
  <c r="AB1218" i="1" s="1"/>
  <c r="AA1172" i="1"/>
  <c r="AB1172" i="1" s="1"/>
  <c r="AA1138" i="1"/>
  <c r="AB1138" i="1" s="1"/>
  <c r="AA1081" i="1"/>
  <c r="AB1081" i="1" s="1"/>
  <c r="AA1060" i="1"/>
  <c r="AB1060" i="1" s="1"/>
  <c r="AA1030" i="1"/>
  <c r="AB1030" i="1" s="1"/>
  <c r="AA1019" i="1"/>
  <c r="AB1019" i="1" s="1"/>
  <c r="AA1010" i="1"/>
  <c r="AB1010" i="1" s="1"/>
  <c r="AA996" i="1"/>
  <c r="AB996" i="1" s="1"/>
  <c r="AA991" i="1"/>
  <c r="AB991" i="1" s="1"/>
  <c r="AA976" i="1"/>
  <c r="AB976" i="1" s="1"/>
  <c r="AA960" i="1"/>
  <c r="AB960" i="1" s="1"/>
  <c r="AA935" i="1"/>
  <c r="AB935" i="1" s="1"/>
  <c r="AA927" i="1"/>
  <c r="AB927" i="1" s="1"/>
  <c r="AA911" i="1"/>
  <c r="AB911" i="1" s="1"/>
  <c r="AA901" i="1"/>
  <c r="AB901" i="1" s="1"/>
  <c r="AA895" i="1"/>
  <c r="AB895" i="1" s="1"/>
  <c r="AA940" i="1"/>
  <c r="AB940" i="1" s="1"/>
  <c r="AA939" i="1"/>
  <c r="AB939" i="1" s="1"/>
  <c r="AA906" i="1"/>
  <c r="AB906" i="1" s="1"/>
  <c r="AA900" i="1"/>
  <c r="AB900" i="1" s="1"/>
  <c r="AA890" i="1"/>
  <c r="AB890" i="1" s="1"/>
  <c r="AA1072" i="1"/>
  <c r="AB1072" i="1" s="1"/>
  <c r="AA1089" i="1"/>
  <c r="AB1089" i="1" s="1"/>
  <c r="AA1283" i="1"/>
  <c r="AB1283" i="1" s="1"/>
  <c r="AA933" i="1"/>
  <c r="AB933" i="1" s="1"/>
  <c r="AA918" i="1"/>
  <c r="AB918" i="1" s="1"/>
  <c r="AA1094" i="1"/>
  <c r="AB1094" i="1" s="1"/>
  <c r="AA1090" i="1"/>
  <c r="AB1090" i="1" s="1"/>
  <c r="AA1039" i="1"/>
  <c r="AB1039" i="1" s="1"/>
  <c r="AA1028" i="1"/>
  <c r="AB1028" i="1" s="1"/>
  <c r="AA1023" i="1"/>
  <c r="AB1023" i="1" s="1"/>
  <c r="AA1018" i="1"/>
  <c r="AB1018" i="1" s="1"/>
  <c r="AA1279" i="1"/>
  <c r="AB1279" i="1" s="1"/>
  <c r="AA1264" i="1"/>
  <c r="AB1264" i="1" s="1"/>
  <c r="AA1260" i="1"/>
  <c r="AB1260" i="1" s="1"/>
  <c r="AA1248" i="1"/>
  <c r="AB1248" i="1" s="1"/>
  <c r="AA1205" i="1"/>
  <c r="AB1205" i="1" s="1"/>
  <c r="AA1195" i="1"/>
  <c r="AB1195" i="1" s="1"/>
  <c r="AA1259" i="1"/>
  <c r="AB1259" i="1" s="1"/>
  <c r="AA1270" i="1"/>
  <c r="AB1270" i="1" s="1"/>
  <c r="AA1281" i="1"/>
  <c r="AB1281" i="1" s="1"/>
  <c r="AA1282" i="1"/>
  <c r="AB1282" i="1" s="1"/>
  <c r="AA1280" i="1"/>
  <c r="AB1280" i="1" s="1"/>
  <c r="AA1273" i="1"/>
  <c r="AB1273" i="1" s="1"/>
  <c r="AA1197" i="1"/>
  <c r="AB1197" i="1" s="1"/>
  <c r="AA1159" i="1"/>
  <c r="AB1159" i="1" s="1"/>
  <c r="AA1103" i="1"/>
  <c r="AB1103" i="1" s="1"/>
  <c r="AA1082" i="1"/>
  <c r="AB1082" i="1" s="1"/>
  <c r="AA1069" i="1"/>
  <c r="AB1069" i="1" s="1"/>
  <c r="AA1316" i="1"/>
  <c r="AB1316" i="1" s="1"/>
  <c r="AA1304" i="1"/>
  <c r="AB1304" i="1" s="1"/>
  <c r="AA1287" i="1"/>
  <c r="AB1287" i="1" s="1"/>
  <c r="AA1286" i="1"/>
  <c r="AB1286" i="1" s="1"/>
  <c r="AA1235" i="1"/>
  <c r="AB1235" i="1" s="1"/>
  <c r="AA1231" i="1"/>
  <c r="AB1231" i="1" s="1"/>
  <c r="AA1214" i="1"/>
  <c r="AB1214" i="1" s="1"/>
  <c r="AA986" i="1"/>
  <c r="AB986" i="1" s="1"/>
  <c r="AA983" i="1"/>
  <c r="AB983" i="1" s="1"/>
  <c r="AA981" i="1"/>
  <c r="AB981" i="1" s="1"/>
  <c r="AA967" i="1"/>
  <c r="AB967" i="1" s="1"/>
  <c r="AA951" i="1"/>
  <c r="AB951" i="1" s="1"/>
  <c r="AA925" i="1"/>
  <c r="AB925" i="1" s="1"/>
  <c r="AA916" i="1"/>
  <c r="AB916" i="1" s="1"/>
  <c r="AA902" i="1"/>
  <c r="AB902" i="1" s="1"/>
  <c r="AA896" i="1"/>
  <c r="AB896" i="1" s="1"/>
  <c r="AA887" i="1"/>
  <c r="AB887" i="1" s="1"/>
  <c r="AA1297" i="1"/>
  <c r="AB1297" i="1" s="1"/>
  <c r="AA1291" i="1"/>
  <c r="AB1291" i="1" s="1"/>
  <c r="AA1276" i="1"/>
  <c r="AB1276" i="1" s="1"/>
  <c r="AA1267" i="1"/>
  <c r="AB1267" i="1" s="1"/>
  <c r="AA1262" i="1"/>
  <c r="AB1262" i="1" s="1"/>
  <c r="AA1244" i="1"/>
  <c r="AB1244" i="1" s="1"/>
  <c r="AA1243" i="1"/>
  <c r="AB1243" i="1" s="1"/>
  <c r="AA1241" i="1"/>
  <c r="AB1241" i="1" s="1"/>
  <c r="AA1237" i="1"/>
  <c r="AB1237" i="1" s="1"/>
  <c r="AA1236" i="1"/>
  <c r="AB1236" i="1" s="1"/>
  <c r="AA1233" i="1"/>
  <c r="AB1233" i="1" s="1"/>
  <c r="AA1220" i="1"/>
  <c r="AB1220" i="1" s="1"/>
  <c r="AA1207" i="1"/>
  <c r="AB1207" i="1" s="1"/>
  <c r="AA1203" i="1"/>
  <c r="AB1203" i="1" s="1"/>
  <c r="AA1202" i="1"/>
  <c r="AB1202" i="1" s="1"/>
  <c r="AA1199" i="1"/>
  <c r="AB1199" i="1" s="1"/>
  <c r="AA1196" i="1"/>
  <c r="AB1196" i="1" s="1"/>
  <c r="AA1175" i="1"/>
  <c r="AB1175" i="1" s="1"/>
  <c r="AA1167" i="1"/>
  <c r="AB1167" i="1" s="1"/>
  <c r="AA1139" i="1"/>
  <c r="AB1139" i="1" s="1"/>
  <c r="AA1127" i="1"/>
  <c r="AB1127" i="1" s="1"/>
  <c r="AA1109" i="1"/>
  <c r="AB1109" i="1" s="1"/>
  <c r="AA1105" i="1"/>
  <c r="AB1105" i="1" s="1"/>
  <c r="AA1099" i="1"/>
  <c r="AB1099" i="1" s="1"/>
  <c r="AA1088" i="1"/>
  <c r="AB1088" i="1" s="1"/>
  <c r="AA1083" i="1"/>
  <c r="AB1083" i="1" s="1"/>
  <c r="AA1073" i="1"/>
  <c r="AB1073" i="1" s="1"/>
  <c r="AA1048" i="1"/>
  <c r="AB1048" i="1" s="1"/>
  <c r="AA1043" i="1"/>
  <c r="AB1043" i="1" s="1"/>
  <c r="AA1041" i="1"/>
  <c r="AB1041" i="1" s="1"/>
  <c r="AA1033" i="1"/>
  <c r="AB1033" i="1" s="1"/>
  <c r="AA1024" i="1"/>
  <c r="AB1024" i="1" s="1"/>
  <c r="AA1021" i="1"/>
  <c r="AB1021" i="1" s="1"/>
  <c r="AA1015" i="1"/>
  <c r="AB1015" i="1" s="1"/>
  <c r="AA1002" i="1"/>
  <c r="AB1002" i="1" s="1"/>
  <c r="AA1006" i="1"/>
  <c r="AB1006" i="1" s="1"/>
  <c r="AA1000" i="1"/>
  <c r="AB1000" i="1" s="1"/>
  <c r="AA995" i="1"/>
  <c r="AB995" i="1" s="1"/>
  <c r="AA978" i="1"/>
  <c r="AB978" i="1" s="1"/>
  <c r="AA977" i="1"/>
  <c r="AB977" i="1" s="1"/>
  <c r="AA969" i="1"/>
  <c r="AB969" i="1" s="1"/>
  <c r="AA964" i="1"/>
  <c r="AB964" i="1" s="1"/>
  <c r="AA963" i="1"/>
  <c r="AB963" i="1" s="1"/>
  <c r="AA957" i="1"/>
  <c r="AB957" i="1" s="1"/>
  <c r="AA943" i="1"/>
  <c r="AB943" i="1" s="1"/>
  <c r="AA973" i="1"/>
  <c r="AB973" i="1" s="1"/>
  <c r="AA971" i="1"/>
  <c r="AB971" i="1" s="1"/>
  <c r="AA970" i="1"/>
  <c r="AB970" i="1" s="1"/>
  <c r="AA965" i="1"/>
  <c r="AB965" i="1" s="1"/>
  <c r="AA956" i="1"/>
  <c r="AB956" i="1" s="1"/>
  <c r="AA953" i="1"/>
  <c r="AB953" i="1" s="1"/>
  <c r="AA946" i="1"/>
  <c r="AB946" i="1" s="1"/>
  <c r="AA941" i="1"/>
  <c r="AB941" i="1" s="1"/>
  <c r="AA982" i="1"/>
  <c r="AB982" i="1" s="1"/>
  <c r="AA984" i="1"/>
  <c r="AB984" i="1" s="1"/>
  <c r="AA988" i="1"/>
  <c r="AB988" i="1" s="1"/>
  <c r="AA994" i="1"/>
  <c r="AB994" i="1" s="1"/>
  <c r="AA1032" i="1"/>
  <c r="AB1032" i="1" s="1"/>
  <c r="AA1034" i="1"/>
  <c r="AB1034" i="1" s="1"/>
  <c r="AA1057" i="1"/>
  <c r="AB1057" i="1" s="1"/>
  <c r="AA1063" i="1"/>
  <c r="AB1063" i="1" s="1"/>
  <c r="AA1079" i="1"/>
  <c r="AB1079" i="1" s="1"/>
  <c r="AA1155" i="1"/>
  <c r="AB1155" i="1" s="1"/>
  <c r="AA1146" i="1"/>
  <c r="AB1146" i="1" s="1"/>
  <c r="AA1135" i="1"/>
  <c r="AB1135" i="1" s="1"/>
  <c r="AA1129" i="1"/>
  <c r="AB1129" i="1" s="1"/>
  <c r="AA1116" i="1"/>
  <c r="AB1116" i="1" s="1"/>
  <c r="AA1095" i="1"/>
  <c r="AB1095" i="1" s="1"/>
  <c r="AA1086" i="1"/>
  <c r="AB1086" i="1" s="1"/>
  <c r="AA1096" i="1"/>
  <c r="AB1096" i="1" s="1"/>
  <c r="AA1100" i="1"/>
  <c r="AB1100" i="1" s="1"/>
  <c r="AA1113" i="1"/>
  <c r="AB1113" i="1" s="1"/>
  <c r="AA1121" i="1"/>
  <c r="AB1121" i="1" s="1"/>
  <c r="AA1117" i="1"/>
  <c r="AB1117" i="1" s="1"/>
  <c r="AA1133" i="1"/>
  <c r="AB1133" i="1" s="1"/>
  <c r="AA1201" i="1"/>
  <c r="AB1201" i="1" s="1"/>
  <c r="AA1193" i="1"/>
  <c r="AB1193" i="1" s="1"/>
  <c r="AA1189" i="1"/>
  <c r="AB1189" i="1" s="1"/>
  <c r="AA1179" i="1"/>
  <c r="AB1179" i="1" s="1"/>
  <c r="AA1162" i="1"/>
  <c r="AB1162" i="1" s="1"/>
  <c r="AA1253" i="1"/>
  <c r="AB1253" i="1" s="1"/>
  <c r="AA1258" i="1"/>
  <c r="AB1258" i="1" s="1"/>
  <c r="AA1269" i="1"/>
  <c r="AB1269" i="1" s="1"/>
  <c r="AA1313" i="1"/>
  <c r="AB1313" i="1" s="1"/>
  <c r="AA1317" i="1"/>
  <c r="AB1317" i="1" s="1"/>
  <c r="AA1254" i="1"/>
  <c r="AB1254" i="1" s="1"/>
  <c r="AA1271" i="1"/>
  <c r="AB1271" i="1" s="1"/>
  <c r="AA1275" i="1"/>
  <c r="AB1275" i="1" s="1"/>
  <c r="AA1277" i="1"/>
  <c r="AB1277" i="1" s="1"/>
  <c r="AA1239" i="1"/>
  <c r="AB1239" i="1" s="1"/>
  <c r="AA1238" i="1"/>
  <c r="AB1238" i="1" s="1"/>
  <c r="AA1228" i="1"/>
  <c r="AB1228" i="1" s="1"/>
  <c r="AA1226" i="1"/>
  <c r="AB1226" i="1" s="1"/>
  <c r="AA1222" i="1"/>
  <c r="AB1222" i="1" s="1"/>
  <c r="AA1216" i="1"/>
  <c r="AB1216" i="1" s="1"/>
  <c r="AA1215" i="1"/>
  <c r="AB1215" i="1" s="1"/>
  <c r="AA1211" i="1"/>
  <c r="AB1211" i="1" s="1"/>
  <c r="AA1204" i="1"/>
  <c r="AB1204" i="1" s="1"/>
  <c r="AA1185" i="1"/>
  <c r="AB1185" i="1" s="1"/>
  <c r="AA1177" i="1"/>
  <c r="AB1177" i="1" s="1"/>
  <c r="AA1176" i="1"/>
  <c r="AB1176" i="1" s="1"/>
  <c r="AA1168" i="1"/>
  <c r="AB1168" i="1" s="1"/>
  <c r="AA1166" i="1"/>
  <c r="AB1166" i="1" s="1"/>
  <c r="AA1164" i="1"/>
  <c r="AB1164" i="1" s="1"/>
  <c r="AA1161" i="1"/>
  <c r="AB1161" i="1" s="1"/>
  <c r="AA1153" i="1"/>
  <c r="AB1153" i="1" s="1"/>
  <c r="AA1147" i="1"/>
  <c r="AA1151" i="1"/>
  <c r="AB1151" i="1" s="1"/>
  <c r="AA1150" i="1"/>
  <c r="AB1150" i="1" s="1"/>
  <c r="AA1131" i="1"/>
  <c r="AB1131" i="1" s="1"/>
  <c r="AA1126" i="1"/>
  <c r="AB1126" i="1" s="1"/>
  <c r="AA1123" i="1"/>
  <c r="AB1123" i="1" s="1"/>
  <c r="AA1119" i="1"/>
  <c r="AB1119" i="1" s="1"/>
  <c r="AA1111" i="1"/>
  <c r="AB1111" i="1" s="1"/>
  <c r="AA1106" i="1"/>
  <c r="AB1106" i="1" s="1"/>
  <c r="AA1102" i="1"/>
  <c r="AB1102" i="1" s="1"/>
  <c r="AA1093" i="1"/>
  <c r="AB1093" i="1" s="1"/>
  <c r="AA1084" i="1"/>
  <c r="AB1084" i="1" s="1"/>
  <c r="AA1078" i="1"/>
  <c r="AB1078" i="1" s="1"/>
  <c r="AA1070" i="1"/>
  <c r="AB1070" i="1" s="1"/>
  <c r="AA1055" i="1"/>
  <c r="AB1055" i="1" s="1"/>
  <c r="AA1046" i="1"/>
  <c r="AB1046" i="1" s="1"/>
  <c r="AA1040" i="1"/>
  <c r="AB1040" i="1" s="1"/>
  <c r="AA1035" i="1"/>
  <c r="AB1035" i="1" s="1"/>
  <c r="AA1051" i="1"/>
  <c r="AB1051" i="1" s="1"/>
  <c r="AA1050" i="1"/>
  <c r="AB1050" i="1" s="1"/>
  <c r="AA1045" i="1"/>
  <c r="AB1045" i="1" s="1"/>
  <c r="AA1038" i="1"/>
  <c r="AB1038" i="1" s="1"/>
  <c r="AA1029" i="1"/>
  <c r="AB1029" i="1" s="1"/>
  <c r="AA1009" i="1"/>
  <c r="AB1009" i="1" s="1"/>
  <c r="AA1005" i="1"/>
  <c r="AB1005" i="1" s="1"/>
  <c r="AA1004" i="1"/>
  <c r="AB1004" i="1" s="1"/>
  <c r="AA1001" i="1"/>
  <c r="AB1001" i="1" s="1"/>
  <c r="AA999" i="1"/>
  <c r="AB999" i="1" s="1"/>
  <c r="AA992" i="1"/>
  <c r="AB992" i="1" s="1"/>
  <c r="AA985" i="1"/>
  <c r="AB985" i="1" s="1"/>
  <c r="AA980" i="1"/>
  <c r="AB980" i="1" s="1"/>
  <c r="AA975" i="1"/>
  <c r="AB975" i="1" s="1"/>
  <c r="AA972" i="1"/>
  <c r="AB972" i="1" s="1"/>
  <c r="AA950" i="1"/>
  <c r="AB950" i="1" s="1"/>
  <c r="AA938" i="1"/>
  <c r="AB938" i="1" s="1"/>
  <c r="AA932" i="1"/>
  <c r="AB932" i="1" s="1"/>
  <c r="AA922" i="1"/>
  <c r="AB922" i="1" s="1"/>
  <c r="AA917" i="1"/>
  <c r="AB917" i="1" s="1"/>
  <c r="AA912" i="1"/>
  <c r="AB912" i="1" s="1"/>
  <c r="AA909" i="1"/>
  <c r="AB909" i="1" s="1"/>
  <c r="AA923" i="1"/>
  <c r="AB923" i="1" s="1"/>
  <c r="AA919" i="1"/>
  <c r="AB919" i="1" s="1"/>
  <c r="AA907" i="1"/>
  <c r="AB907" i="1" s="1"/>
  <c r="AA899" i="1"/>
  <c r="AB899" i="1" s="1"/>
  <c r="AA893" i="1"/>
  <c r="AB893" i="1" s="1"/>
  <c r="AA888" i="1"/>
  <c r="AB888" i="1" s="1"/>
  <c r="AA1314" i="1"/>
  <c r="AB1314" i="1" s="1"/>
  <c r="AA1321" i="1"/>
  <c r="AB1321" i="1" s="1"/>
  <c r="AA1312" i="1"/>
  <c r="AB1312" i="1" s="1"/>
  <c r="AA1299" i="1"/>
  <c r="AB1299" i="1" s="1"/>
  <c r="AA1290" i="1"/>
  <c r="AB1290" i="1" s="1"/>
  <c r="AA1284" i="1"/>
  <c r="AB1284" i="1" s="1"/>
  <c r="AA1278" i="1"/>
  <c r="AB1278" i="1" s="1"/>
  <c r="AA1272" i="1"/>
  <c r="AB1272" i="1" s="1"/>
  <c r="AA1234" i="1"/>
  <c r="AB1234" i="1" s="1"/>
  <c r="AA1246" i="1"/>
  <c r="AB1246" i="1" s="1"/>
  <c r="AA1251" i="1"/>
  <c r="AB1251" i="1" s="1"/>
  <c r="AA1256" i="1"/>
  <c r="AB1256" i="1" s="1"/>
  <c r="AA1257" i="1"/>
  <c r="AB1257" i="1" s="1"/>
  <c r="AA1247" i="1"/>
  <c r="AB1247" i="1" s="1"/>
  <c r="AA1242" i="1"/>
  <c r="AB1242" i="1" s="1"/>
  <c r="AA1229" i="1"/>
  <c r="AB1229" i="1" s="1"/>
  <c r="AA1225" i="1"/>
  <c r="AB1225" i="1" s="1"/>
  <c r="AA1221" i="1"/>
  <c r="AB1221" i="1" s="1"/>
  <c r="AA1210" i="1"/>
  <c r="AB1210" i="1" s="1"/>
  <c r="AA1208" i="1"/>
  <c r="AB1208" i="1" s="1"/>
  <c r="AA1206" i="1"/>
  <c r="AB1206" i="1" s="1"/>
  <c r="AA1200" i="1"/>
  <c r="AB1200" i="1" s="1"/>
  <c r="AA1194" i="1"/>
  <c r="AB1194" i="1" s="1"/>
  <c r="AA1186" i="1"/>
  <c r="AB1186" i="1" s="1"/>
  <c r="AA1181" i="1"/>
  <c r="AB1181" i="1" s="1"/>
  <c r="AA1325" i="1"/>
  <c r="AB1325" i="1" s="1"/>
  <c r="AA1319" i="1"/>
  <c r="AB1319" i="1" s="1"/>
  <c r="AA1315" i="1"/>
  <c r="AB1315" i="1" s="1"/>
  <c r="AA1311" i="1"/>
  <c r="AB1311" i="1" s="1"/>
  <c r="AA1309" i="1"/>
  <c r="AB1309" i="1" s="1"/>
  <c r="AA1307" i="1"/>
  <c r="AB1307" i="1" s="1"/>
  <c r="AA1302" i="1"/>
  <c r="AB1302" i="1" s="1"/>
  <c r="AA1298" i="1"/>
  <c r="AB1298" i="1" s="1"/>
  <c r="AA1294" i="1"/>
  <c r="AB1294" i="1" s="1"/>
  <c r="AA1322" i="1"/>
  <c r="AB1322" i="1" s="1"/>
  <c r="AA1326" i="1"/>
  <c r="AB1326" i="1" s="1"/>
  <c r="AA1310" i="1"/>
  <c r="AB1310" i="1" s="1"/>
  <c r="AA1308" i="1"/>
  <c r="AB1308" i="1" s="1"/>
  <c r="AA1305" i="1"/>
  <c r="AB1305" i="1" s="1"/>
  <c r="AA1252" i="1"/>
  <c r="AB1252" i="1" s="1"/>
  <c r="AA1249" i="1"/>
  <c r="AB1249" i="1" s="1"/>
  <c r="AA1245" i="1"/>
  <c r="AB1245" i="1" s="1"/>
  <c r="AA1240" i="1"/>
  <c r="AB1240" i="1" s="1"/>
  <c r="AA1217" i="1"/>
  <c r="AB1217" i="1" s="1"/>
  <c r="AA1213" i="1"/>
  <c r="AB1213" i="1" s="1"/>
  <c r="AA1209" i="1"/>
  <c r="AB1209" i="1" s="1"/>
  <c r="AA1192" i="1"/>
  <c r="AB1192" i="1" s="1"/>
  <c r="AA1191" i="1"/>
  <c r="AB1191" i="1" s="1"/>
  <c r="AA1188" i="1"/>
  <c r="AB1188" i="1" s="1"/>
  <c r="AA1184" i="1"/>
  <c r="AB1184" i="1" s="1"/>
  <c r="AA1180" i="1"/>
  <c r="AB1180" i="1" s="1"/>
  <c r="AA1174" i="1"/>
  <c r="AB1174" i="1" s="1"/>
  <c r="AA1158" i="1"/>
  <c r="AB1158" i="1" s="1"/>
  <c r="AA1154" i="1"/>
  <c r="AB1154" i="1" s="1"/>
  <c r="AA1148" i="1"/>
  <c r="AB1148" i="1" s="1"/>
  <c r="AA1142" i="1"/>
  <c r="AB1142" i="1" s="1"/>
  <c r="AA1134" i="1"/>
  <c r="AB1134" i="1" s="1"/>
  <c r="AA1125" i="1"/>
  <c r="AB1125" i="1" s="1"/>
  <c r="AA1120" i="1"/>
  <c r="AB1120" i="1" s="1"/>
  <c r="AA1112" i="1"/>
  <c r="AB1112" i="1" s="1"/>
  <c r="AA1108" i="1"/>
  <c r="AB1108" i="1" s="1"/>
  <c r="AA1101" i="1"/>
  <c r="AB1101" i="1" s="1"/>
  <c r="AA1091" i="1"/>
  <c r="AB1091" i="1" s="1"/>
  <c r="AA1080" i="1"/>
  <c r="AB1080" i="1" s="1"/>
  <c r="AA1076" i="1"/>
  <c r="AB1076" i="1" s="1"/>
  <c r="AA1065" i="1"/>
  <c r="AB1065" i="1" s="1"/>
  <c r="AA1052" i="1"/>
  <c r="AB1052" i="1" s="1"/>
  <c r="AA1037" i="1"/>
  <c r="AB1037" i="1" s="1"/>
  <c r="AA1031" i="1"/>
  <c r="AB1031" i="1" s="1"/>
  <c r="AA1026" i="1"/>
  <c r="AB1026" i="1" s="1"/>
  <c r="AA1020" i="1"/>
  <c r="AB1020" i="1" s="1"/>
  <c r="AA1007" i="1"/>
  <c r="AB1007" i="1" s="1"/>
  <c r="AA1003" i="1"/>
  <c r="AB1003" i="1" s="1"/>
  <c r="AA998" i="1"/>
  <c r="AB998" i="1" s="1"/>
  <c r="AA997" i="1"/>
  <c r="AB997" i="1" s="1"/>
  <c r="AA993" i="1"/>
  <c r="AB993" i="1" s="1"/>
  <c r="AA989" i="1"/>
  <c r="AB989" i="1" s="1"/>
  <c r="AA962" i="1"/>
  <c r="AB962" i="1" s="1"/>
  <c r="AA958" i="1"/>
  <c r="AB958" i="1" s="1"/>
  <c r="AA952" i="1"/>
  <c r="AB952" i="1" s="1"/>
  <c r="AA948" i="1"/>
  <c r="AB948" i="1" s="1"/>
  <c r="AA945" i="1"/>
  <c r="AB945" i="1" s="1"/>
  <c r="AA942" i="1"/>
  <c r="AB942" i="1" s="1"/>
  <c r="AA915" i="1"/>
  <c r="AB915" i="1" s="1"/>
  <c r="AA914" i="1"/>
  <c r="AB914" i="1" s="1"/>
  <c r="AA910" i="1"/>
  <c r="AB910" i="1" s="1"/>
  <c r="AA908" i="1"/>
  <c r="AB908" i="1" s="1"/>
  <c r="AA905" i="1"/>
  <c r="AB905" i="1" s="1"/>
  <c r="AA903" i="1"/>
  <c r="AB903" i="1" s="1"/>
  <c r="AA898" i="1"/>
  <c r="AB898" i="1" s="1"/>
  <c r="AA894" i="1"/>
  <c r="AB894" i="1" s="1"/>
  <c r="AA889" i="1"/>
  <c r="AB889" i="1" s="1"/>
  <c r="AA886" i="1"/>
  <c r="AB886" i="1" s="1"/>
  <c r="AA1157" i="1"/>
  <c r="AB1157" i="1" s="1"/>
  <c r="AA1160" i="1"/>
  <c r="AB1160" i="1" s="1"/>
  <c r="AA1163" i="1"/>
  <c r="AB1163" i="1" s="1"/>
  <c r="AA1170" i="1"/>
  <c r="AB1170" i="1" s="1"/>
  <c r="AA1171" i="1"/>
  <c r="AB1171" i="1" s="1"/>
  <c r="AA1169" i="1"/>
  <c r="AB1169" i="1" s="1"/>
  <c r="AA1165" i="1"/>
  <c r="AB1165" i="1" s="1"/>
  <c r="AA1152" i="1"/>
  <c r="AB1152" i="1" s="1"/>
  <c r="AA1149" i="1"/>
  <c r="AB1149" i="1" s="1"/>
  <c r="AA1145" i="1"/>
  <c r="AB1145" i="1" s="1"/>
  <c r="AA1141" i="1"/>
  <c r="AB1141" i="1" s="1"/>
  <c r="AA1136" i="1"/>
  <c r="AB1136" i="1" s="1"/>
  <c r="AA1132" i="1"/>
  <c r="AB1132" i="1" s="1"/>
  <c r="AA1124" i="1"/>
  <c r="AB1124" i="1" s="1"/>
  <c r="AA1122" i="1"/>
  <c r="AB1122" i="1" s="1"/>
  <c r="AA1118" i="1"/>
  <c r="AB1118" i="1" s="1"/>
  <c r="AA1114" i="1"/>
  <c r="AB1114" i="1" s="1"/>
  <c r="AA1107" i="1"/>
  <c r="AB1107" i="1" s="1"/>
  <c r="AA1077" i="1"/>
  <c r="AB1077" i="1" s="1"/>
  <c r="AA1075" i="1"/>
  <c r="AB1075" i="1" s="1"/>
  <c r="AA1071" i="1"/>
  <c r="AB1071" i="1" s="1"/>
  <c r="AA1068" i="1"/>
  <c r="AB1068" i="1" s="1"/>
  <c r="AA1064" i="1"/>
  <c r="AB1064" i="1" s="1"/>
  <c r="AA1062" i="1"/>
  <c r="AB1062" i="1" s="1"/>
  <c r="AA1058" i="1"/>
  <c r="AB1058" i="1" s="1"/>
  <c r="AA1053" i="1"/>
  <c r="AB1053" i="1" s="1"/>
  <c r="AA1047" i="1"/>
  <c r="AB1047" i="1" s="1"/>
  <c r="AA1044" i="1"/>
  <c r="AB1044" i="1" s="1"/>
  <c r="AA1301" i="1"/>
  <c r="AB1301" i="1" s="1"/>
  <c r="AA1296" i="1"/>
  <c r="AB1296" i="1" s="1"/>
  <c r="AA1293" i="1"/>
  <c r="AB1293" i="1" s="1"/>
  <c r="AA1289" i="1"/>
  <c r="AB1289" i="1" s="1"/>
  <c r="AA1285" i="1"/>
  <c r="AB1285" i="1" s="1"/>
  <c r="AA1318" i="1"/>
  <c r="AB1318" i="1" s="1"/>
  <c r="AA1320" i="1"/>
  <c r="AB1320" i="1" s="1"/>
  <c r="AA1323" i="1"/>
  <c r="AB1323" i="1" s="1"/>
  <c r="AA1327" i="1"/>
  <c r="AB1327" i="1" s="1"/>
  <c r="AA1324" i="1"/>
  <c r="AB1324" i="1" s="1"/>
  <c r="AA1306" i="1"/>
  <c r="AB1306" i="1" s="1"/>
  <c r="AA1303" i="1"/>
  <c r="AB1303" i="1" s="1"/>
  <c r="AA1300" i="1"/>
  <c r="AB1300" i="1" s="1"/>
  <c r="AA1295" i="1"/>
  <c r="AB1295" i="1" s="1"/>
  <c r="AA1292" i="1"/>
  <c r="AB1292" i="1" s="1"/>
  <c r="AA1288" i="1"/>
  <c r="AB1288" i="1" s="1"/>
  <c r="AA1268" i="1"/>
  <c r="AB1268" i="1" s="1"/>
  <c r="AA1266" i="1"/>
  <c r="AB1266" i="1" s="1"/>
  <c r="AA1265" i="1"/>
  <c r="AB1265" i="1" s="1"/>
  <c r="AA1263" i="1"/>
  <c r="AB1263" i="1" s="1"/>
  <c r="AA1261" i="1"/>
  <c r="AB1261" i="1" s="1"/>
  <c r="AA1255" i="1"/>
  <c r="AB1255" i="1" s="1"/>
  <c r="AA1232" i="1"/>
  <c r="AB1232" i="1" s="1"/>
  <c r="AA1230" i="1"/>
  <c r="AB1230" i="1" s="1"/>
  <c r="AA1227" i="1"/>
  <c r="AB1227" i="1" s="1"/>
  <c r="AA1224" i="1"/>
  <c r="AB1224" i="1" s="1"/>
  <c r="AA1219" i="1"/>
  <c r="AB1219" i="1" s="1"/>
  <c r="AA1190" i="1"/>
  <c r="AB1190" i="1" s="1"/>
  <c r="AA1187" i="1"/>
  <c r="AB1187" i="1" s="1"/>
  <c r="AA1182" i="1"/>
  <c r="AB1182" i="1" s="1"/>
  <c r="AA1178" i="1"/>
  <c r="AB1178" i="1" s="1"/>
  <c r="AA1173" i="1"/>
  <c r="AB1173" i="1" s="1"/>
  <c r="AA1144" i="1"/>
  <c r="AB1144" i="1" s="1"/>
  <c r="AA1143" i="1"/>
  <c r="AB1143" i="1" s="1"/>
  <c r="AA1140" i="1"/>
  <c r="AB1140" i="1" s="1"/>
  <c r="AA1137" i="1"/>
  <c r="AB1137" i="1" s="1"/>
  <c r="AA1128" i="1"/>
  <c r="AB1128" i="1" s="1"/>
  <c r="AA1098" i="1"/>
  <c r="AB1098" i="1" s="1"/>
  <c r="AA1092" i="1"/>
  <c r="AB1092" i="1" s="1"/>
  <c r="AA1087" i="1"/>
  <c r="AB1087" i="1" s="1"/>
  <c r="AA1110" i="1"/>
  <c r="AB1110" i="1" s="1"/>
  <c r="AA1104" i="1"/>
  <c r="AB1104" i="1" s="1"/>
  <c r="AA1097" i="1"/>
  <c r="AB1097" i="1" s="1"/>
  <c r="AA1085" i="1"/>
  <c r="AB1085" i="1" s="1"/>
  <c r="AA1067" i="1"/>
  <c r="AB1067" i="1" s="1"/>
  <c r="AA1066" i="1"/>
  <c r="AB1066" i="1" s="1"/>
  <c r="AA1061" i="1"/>
  <c r="AB1061" i="1" s="1"/>
  <c r="AA1056" i="1"/>
  <c r="AB1056" i="1" s="1"/>
  <c r="AA1049" i="1"/>
  <c r="AB1049" i="1" s="1"/>
  <c r="AA1042" i="1"/>
  <c r="AB1042" i="1" s="1"/>
  <c r="AA1036" i="1"/>
  <c r="AB1036" i="1" s="1"/>
  <c r="AA897" i="1"/>
  <c r="AB897" i="1" s="1"/>
  <c r="AA913" i="1"/>
  <c r="AB913" i="1" s="1"/>
  <c r="AA931" i="1"/>
  <c r="AB931" i="1" s="1"/>
  <c r="AA937" i="1"/>
  <c r="AB937" i="1" s="1"/>
  <c r="AA947" i="1"/>
  <c r="AB947" i="1" s="1"/>
  <c r="AA955" i="1"/>
  <c r="AB955" i="1" s="1"/>
  <c r="AA959" i="1"/>
  <c r="AB959" i="1" s="1"/>
  <c r="AA961" i="1"/>
  <c r="AB961" i="1" s="1"/>
  <c r="AA968" i="1"/>
  <c r="AB968" i="1" s="1"/>
  <c r="AA987" i="1"/>
  <c r="AB987" i="1" s="1"/>
  <c r="AA990" i="1"/>
  <c r="AB990" i="1" s="1"/>
  <c r="AA1008" i="1"/>
  <c r="AB1008" i="1" s="1"/>
  <c r="AA1013" i="1"/>
  <c r="AB1013" i="1" s="1"/>
  <c r="AA1017" i="1"/>
  <c r="AB1017" i="1" s="1"/>
  <c r="AA1054" i="1"/>
  <c r="AB1054" i="1" s="1"/>
  <c r="AA1115" i="1"/>
  <c r="AB1115" i="1" s="1"/>
  <c r="AA1183" i="1"/>
  <c r="AB1183" i="1" s="1"/>
  <c r="AF1303" i="1" l="1"/>
  <c r="AF1159" i="1"/>
  <c r="AG1197" i="1"/>
  <c r="AH1197" i="1" s="1"/>
  <c r="AF1171" i="1"/>
  <c r="AG1170" i="1"/>
  <c r="AH1170" i="1" s="1"/>
  <c r="AH1200" i="1"/>
  <c r="AF1205" i="1"/>
  <c r="AG1176" i="1"/>
  <c r="AH1176" i="1" s="1"/>
  <c r="AG1161" i="1"/>
  <c r="AH1161" i="1" s="1"/>
  <c r="AF1178" i="1"/>
  <c r="AH1136" i="1"/>
  <c r="AF1138" i="1"/>
  <c r="AG1133" i="1"/>
  <c r="AH1133" i="1" s="1"/>
  <c r="AH1316" i="1"/>
  <c r="AF1313" i="1"/>
  <c r="AH1301" i="1"/>
  <c r="AH1280" i="1"/>
  <c r="AF1202" i="1"/>
  <c r="AG1191" i="1"/>
  <c r="AH1191" i="1" s="1"/>
  <c r="AF1177" i="1"/>
  <c r="AF1154" i="1"/>
  <c r="AF1134" i="1"/>
  <c r="AF1325" i="1"/>
  <c r="AH1195" i="1"/>
  <c r="AG1173" i="1"/>
  <c r="AH1173" i="1" s="1"/>
  <c r="AG1166" i="1"/>
  <c r="AH1166" i="1" s="1"/>
  <c r="AH1324" i="1"/>
  <c r="AH1315" i="1"/>
  <c r="AG1167" i="1"/>
  <c r="AH1167" i="1" s="1"/>
  <c r="AF1156" i="1"/>
  <c r="AH1154" i="1"/>
  <c r="AH1323" i="1"/>
  <c r="AH1158" i="1"/>
  <c r="AH1317" i="1"/>
  <c r="AH1183" i="1"/>
  <c r="AF1323" i="1"/>
  <c r="AF1301" i="1"/>
  <c r="AF1195" i="1"/>
  <c r="AF1152" i="1"/>
  <c r="AF1141" i="1"/>
  <c r="AF1136" i="1"/>
  <c r="AH1327" i="1"/>
  <c r="AH1322" i="1"/>
  <c r="AF1319" i="1"/>
  <c r="AF1311" i="1"/>
  <c r="AH1305" i="1"/>
  <c r="AH1199" i="1"/>
  <c r="AF1157" i="1"/>
  <c r="AH1142" i="1"/>
  <c r="AH1135" i="1"/>
  <c r="AH1311" i="1"/>
  <c r="AH1188" i="1"/>
  <c r="AH1307" i="1"/>
  <c r="AH1212" i="1"/>
  <c r="AH1177" i="1"/>
  <c r="AH1172" i="1"/>
  <c r="AH1165" i="1"/>
  <c r="AH1159" i="1"/>
  <c r="AF1317" i="1"/>
  <c r="AF1307" i="1"/>
  <c r="AF1212" i="1"/>
  <c r="AG1185" i="1"/>
  <c r="AH1185" i="1" s="1"/>
  <c r="AF1183" i="1"/>
  <c r="AF1160" i="1"/>
  <c r="AG1143" i="1"/>
  <c r="AH1143" i="1" s="1"/>
  <c r="AF1139" i="1"/>
  <c r="AH1326" i="1"/>
  <c r="AF1321" i="1"/>
  <c r="AH1319" i="1"/>
  <c r="AH1314" i="1"/>
  <c r="AF1310" i="1"/>
  <c r="AF1299" i="1"/>
  <c r="AF1297" i="1"/>
  <c r="AF1295" i="1"/>
  <c r="AF1293" i="1"/>
  <c r="AF1291" i="1"/>
  <c r="AF1289" i="1"/>
  <c r="AF1287" i="1"/>
  <c r="AF1285" i="1"/>
  <c r="AF1283" i="1"/>
  <c r="AF1281" i="1"/>
  <c r="AF1279" i="1"/>
  <c r="AF1277" i="1"/>
  <c r="AF1275" i="1"/>
  <c r="AF1273" i="1"/>
  <c r="AF1271" i="1"/>
  <c r="AH1207" i="1"/>
  <c r="AG1189" i="1"/>
  <c r="AH1189" i="1" s="1"/>
  <c r="AG1164" i="1"/>
  <c r="AH1164" i="1" s="1"/>
  <c r="AH1152" i="1"/>
  <c r="AH1148" i="1"/>
  <c r="AG1146" i="1"/>
  <c r="AH1146" i="1" s="1"/>
  <c r="AG1144" i="1"/>
  <c r="AH1144" i="1" s="1"/>
  <c r="AH1321" i="1"/>
  <c r="AH1310" i="1"/>
  <c r="AH1299" i="1"/>
  <c r="AH1297" i="1"/>
  <c r="AH1295" i="1"/>
  <c r="AH1293" i="1"/>
  <c r="AH1291" i="1"/>
  <c r="AH1289" i="1"/>
  <c r="AH1287" i="1"/>
  <c r="AH1285" i="1"/>
  <c r="AH1283" i="1"/>
  <c r="AH1281" i="1"/>
  <c r="AH1279" i="1"/>
  <c r="AH1277" i="1"/>
  <c r="AH1275" i="1"/>
  <c r="AH1273" i="1"/>
  <c r="AH1271" i="1"/>
  <c r="AG1213" i="1"/>
  <c r="AH1213" i="1" s="1"/>
  <c r="AF1211" i="1"/>
  <c r="AH1205" i="1"/>
  <c r="AF1200" i="1"/>
  <c r="AH1193" i="1"/>
  <c r="AG1179" i="1"/>
  <c r="AH1179" i="1" s="1"/>
  <c r="AF1142" i="1"/>
  <c r="AH1318" i="1"/>
  <c r="AG1214" i="1"/>
  <c r="AH1214" i="1" s="1"/>
  <c r="AG1208" i="1"/>
  <c r="AH1208" i="1" s="1"/>
  <c r="AG1206" i="1"/>
  <c r="AH1206" i="1" s="1"/>
  <c r="AG1190" i="1"/>
  <c r="AH1190" i="1" s="1"/>
  <c r="AG1151" i="1"/>
  <c r="AH1151" i="1" s="1"/>
  <c r="AG1149" i="1"/>
  <c r="AH1149" i="1" s="1"/>
  <c r="AG1147" i="1"/>
  <c r="AH1147" i="1" s="1"/>
  <c r="AF1327" i="1"/>
  <c r="AH1325" i="1"/>
  <c r="AH1320" i="1"/>
  <c r="AF1315" i="1"/>
  <c r="AH1313" i="1"/>
  <c r="AF1305" i="1"/>
  <c r="AH1303" i="1"/>
  <c r="AF1298" i="1"/>
  <c r="AF1296" i="1"/>
  <c r="AF1294" i="1"/>
  <c r="AF1292" i="1"/>
  <c r="AF1290" i="1"/>
  <c r="AF1288" i="1"/>
  <c r="AF1286" i="1"/>
  <c r="AF1284" i="1"/>
  <c r="AF1282" i="1"/>
  <c r="AF1280" i="1"/>
  <c r="AF1278" i="1"/>
  <c r="AF1276" i="1"/>
  <c r="AF1274" i="1"/>
  <c r="AF1272" i="1"/>
  <c r="AF1270" i="1"/>
  <c r="AF1175" i="1"/>
  <c r="AF1169" i="1"/>
  <c r="AF1165" i="1"/>
  <c r="AF1207" i="1"/>
  <c r="AG1203" i="1"/>
  <c r="AH1203" i="1" s="1"/>
  <c r="AF1196" i="1"/>
  <c r="AF1193" i="1"/>
  <c r="AF1188" i="1"/>
  <c r="AF1184" i="1"/>
  <c r="AH1181" i="1"/>
  <c r="AF1172" i="1"/>
  <c r="AH1169" i="1"/>
  <c r="AF1158" i="1"/>
  <c r="AF1155" i="1"/>
  <c r="AF1148" i="1"/>
  <c r="AF1145" i="1"/>
  <c r="AF1135" i="1"/>
  <c r="AF1132" i="1"/>
  <c r="AG1201" i="1"/>
  <c r="AH1201" i="1" s="1"/>
  <c r="AG1194" i="1"/>
  <c r="AH1194" i="1" s="1"/>
  <c r="AG1182" i="1"/>
  <c r="AH1182" i="1" s="1"/>
  <c r="AH1163" i="1"/>
  <c r="AH1160" i="1"/>
  <c r="AG1153" i="1"/>
  <c r="AH1153" i="1" s="1"/>
  <c r="AG1150" i="1"/>
  <c r="AH1150" i="1" s="1"/>
  <c r="AG1140" i="1"/>
  <c r="AH1140" i="1" s="1"/>
  <c r="AG1137" i="1"/>
  <c r="AH1137" i="1" s="1"/>
  <c r="AG1209" i="1"/>
  <c r="AH1209" i="1" s="1"/>
  <c r="AF1187" i="1"/>
  <c r="AH1175" i="1"/>
  <c r="AH1171" i="1"/>
  <c r="AH1134" i="1"/>
  <c r="AF1326" i="1"/>
  <c r="AF1324" i="1"/>
  <c r="AF1322" i="1"/>
  <c r="AF1320" i="1"/>
  <c r="AF1318" i="1"/>
  <c r="AF1316" i="1"/>
  <c r="AF1314" i="1"/>
  <c r="AF1312" i="1"/>
  <c r="AF1309" i="1"/>
  <c r="AF1308" i="1"/>
  <c r="AF1306" i="1"/>
  <c r="AF1304" i="1"/>
  <c r="AF1302" i="1"/>
  <c r="AF1300" i="1"/>
  <c r="AH1187" i="1"/>
  <c r="AH1141" i="1"/>
  <c r="AH1312" i="1"/>
  <c r="AH1309" i="1"/>
  <c r="AH1308" i="1"/>
  <c r="AH1306" i="1"/>
  <c r="AH1304" i="1"/>
  <c r="AH1302" i="1"/>
  <c r="AH1300" i="1"/>
  <c r="AH1298" i="1"/>
  <c r="AH1296" i="1"/>
  <c r="AH1294" i="1"/>
  <c r="AH1292" i="1"/>
  <c r="AH1290" i="1"/>
  <c r="AH1288" i="1"/>
  <c r="AH1286" i="1"/>
  <c r="AH1284" i="1"/>
  <c r="AH1282" i="1"/>
  <c r="AH1278" i="1"/>
  <c r="AH1276" i="1"/>
  <c r="AH1274" i="1"/>
  <c r="AH1272" i="1"/>
  <c r="AH1270" i="1"/>
  <c r="AH1211" i="1"/>
  <c r="AG1265" i="1"/>
  <c r="AH1265" i="1" s="1"/>
  <c r="AF1265" i="1"/>
  <c r="AG1261" i="1"/>
  <c r="AH1261" i="1" s="1"/>
  <c r="AF1261" i="1"/>
  <c r="AG1253" i="1"/>
  <c r="AH1253" i="1" s="1"/>
  <c r="AF1253" i="1"/>
  <c r="AG1249" i="1"/>
  <c r="AH1249" i="1" s="1"/>
  <c r="AF1249" i="1"/>
  <c r="AG1243" i="1"/>
  <c r="AH1243" i="1" s="1"/>
  <c r="AF1243" i="1"/>
  <c r="AG1237" i="1"/>
  <c r="AH1237" i="1" s="1"/>
  <c r="AF1237" i="1"/>
  <c r="AG1231" i="1"/>
  <c r="AH1231" i="1" s="1"/>
  <c r="AF1231" i="1"/>
  <c r="AG1227" i="1"/>
  <c r="AH1227" i="1" s="1"/>
  <c r="AF1227" i="1"/>
  <c r="AG1223" i="1"/>
  <c r="AH1223" i="1" s="1"/>
  <c r="AF1223" i="1"/>
  <c r="AG1221" i="1"/>
  <c r="AH1221" i="1" s="1"/>
  <c r="AF1221" i="1"/>
  <c r="AG1217" i="1"/>
  <c r="AH1217" i="1" s="1"/>
  <c r="AF1217" i="1"/>
  <c r="AG1180" i="1"/>
  <c r="AH1180" i="1" s="1"/>
  <c r="AF1180" i="1"/>
  <c r="AG1269" i="1"/>
  <c r="AH1269" i="1" s="1"/>
  <c r="AF1199" i="1"/>
  <c r="AF1181" i="1"/>
  <c r="AF1163" i="1"/>
  <c r="AH1156" i="1"/>
  <c r="AH1138" i="1"/>
  <c r="AG1263" i="1"/>
  <c r="AH1263" i="1" s="1"/>
  <c r="AF1263" i="1"/>
  <c r="AG1259" i="1"/>
  <c r="AH1259" i="1" s="1"/>
  <c r="AF1259" i="1"/>
  <c r="AG1255" i="1"/>
  <c r="AH1255" i="1" s="1"/>
  <c r="AF1255" i="1"/>
  <c r="AG1251" i="1"/>
  <c r="AH1251" i="1" s="1"/>
  <c r="AF1251" i="1"/>
  <c r="AG1245" i="1"/>
  <c r="AH1245" i="1" s="1"/>
  <c r="AF1245" i="1"/>
  <c r="AG1241" i="1"/>
  <c r="AH1241" i="1" s="1"/>
  <c r="AF1241" i="1"/>
  <c r="AG1239" i="1"/>
  <c r="AH1239" i="1" s="1"/>
  <c r="AF1239" i="1"/>
  <c r="AG1233" i="1"/>
  <c r="AH1233" i="1" s="1"/>
  <c r="AF1233" i="1"/>
  <c r="AG1229" i="1"/>
  <c r="AH1229" i="1" s="1"/>
  <c r="AF1229" i="1"/>
  <c r="AG1225" i="1"/>
  <c r="AH1225" i="1" s="1"/>
  <c r="AF1225" i="1"/>
  <c r="AG1219" i="1"/>
  <c r="AH1219" i="1" s="1"/>
  <c r="AF1219" i="1"/>
  <c r="AG1210" i="1"/>
  <c r="AH1210" i="1" s="1"/>
  <c r="AF1210" i="1"/>
  <c r="AG1192" i="1"/>
  <c r="AH1192" i="1" s="1"/>
  <c r="AF1192" i="1"/>
  <c r="AG1174" i="1"/>
  <c r="AH1174" i="1" s="1"/>
  <c r="AF1174" i="1"/>
  <c r="AH1196" i="1"/>
  <c r="AH1178" i="1"/>
  <c r="AG1268" i="1"/>
  <c r="AH1268" i="1" s="1"/>
  <c r="AF1268" i="1"/>
  <c r="AG1266" i="1"/>
  <c r="AH1266" i="1" s="1"/>
  <c r="AF1266" i="1"/>
  <c r="AG1264" i="1"/>
  <c r="AH1264" i="1" s="1"/>
  <c r="AF1264" i="1"/>
  <c r="AG1262" i="1"/>
  <c r="AH1262" i="1" s="1"/>
  <c r="AF1262" i="1"/>
  <c r="AG1260" i="1"/>
  <c r="AH1260" i="1" s="1"/>
  <c r="AF1260" i="1"/>
  <c r="AG1258" i="1"/>
  <c r="AH1258" i="1" s="1"/>
  <c r="AF1258" i="1"/>
  <c r="AG1256" i="1"/>
  <c r="AH1256" i="1" s="1"/>
  <c r="AF1256" i="1"/>
  <c r="AG1254" i="1"/>
  <c r="AH1254" i="1" s="1"/>
  <c r="AF1254" i="1"/>
  <c r="AG1252" i="1"/>
  <c r="AH1252" i="1" s="1"/>
  <c r="AF1252" i="1"/>
  <c r="AG1250" i="1"/>
  <c r="AH1250" i="1" s="1"/>
  <c r="AF1250" i="1"/>
  <c r="AG1248" i="1"/>
  <c r="AH1248" i="1" s="1"/>
  <c r="AF1248" i="1"/>
  <c r="AG1246" i="1"/>
  <c r="AH1246" i="1" s="1"/>
  <c r="AF1246" i="1"/>
  <c r="AG1244" i="1"/>
  <c r="AH1244" i="1" s="1"/>
  <c r="AF1244" i="1"/>
  <c r="AG1242" i="1"/>
  <c r="AH1242" i="1" s="1"/>
  <c r="AF1242" i="1"/>
  <c r="AG1240" i="1"/>
  <c r="AH1240" i="1" s="1"/>
  <c r="AF1240" i="1"/>
  <c r="AG1238" i="1"/>
  <c r="AH1238" i="1" s="1"/>
  <c r="AF1238" i="1"/>
  <c r="AG1236" i="1"/>
  <c r="AH1236" i="1" s="1"/>
  <c r="AF1236" i="1"/>
  <c r="AG1234" i="1"/>
  <c r="AH1234" i="1" s="1"/>
  <c r="AF1234" i="1"/>
  <c r="AG1232" i="1"/>
  <c r="AH1232" i="1" s="1"/>
  <c r="AF1232" i="1"/>
  <c r="AG1230" i="1"/>
  <c r="AH1230" i="1" s="1"/>
  <c r="AF1230" i="1"/>
  <c r="AG1228" i="1"/>
  <c r="AH1228" i="1" s="1"/>
  <c r="AF1228" i="1"/>
  <c r="AG1226" i="1"/>
  <c r="AH1226" i="1" s="1"/>
  <c r="AF1226" i="1"/>
  <c r="AG1224" i="1"/>
  <c r="AH1224" i="1" s="1"/>
  <c r="AF1224" i="1"/>
  <c r="AG1222" i="1"/>
  <c r="AH1222" i="1" s="1"/>
  <c r="AF1222" i="1"/>
  <c r="AG1220" i="1"/>
  <c r="AH1220" i="1" s="1"/>
  <c r="AF1220" i="1"/>
  <c r="AG1218" i="1"/>
  <c r="AH1218" i="1" s="1"/>
  <c r="AF1218" i="1"/>
  <c r="AG1216" i="1"/>
  <c r="AH1216" i="1" s="1"/>
  <c r="AF1216" i="1"/>
  <c r="AH1202" i="1"/>
  <c r="AH1184" i="1"/>
  <c r="AG1267" i="1"/>
  <c r="AH1267" i="1" s="1"/>
  <c r="AF1267" i="1"/>
  <c r="AG1257" i="1"/>
  <c r="AH1257" i="1" s="1"/>
  <c r="AF1257" i="1"/>
  <c r="AG1247" i="1"/>
  <c r="AH1247" i="1" s="1"/>
  <c r="AF1247" i="1"/>
  <c r="AG1235" i="1"/>
  <c r="AH1235" i="1" s="1"/>
  <c r="AF1235" i="1"/>
  <c r="AG1198" i="1"/>
  <c r="AH1198" i="1" s="1"/>
  <c r="AF1198" i="1"/>
  <c r="AG1162" i="1"/>
  <c r="AH1162" i="1" s="1"/>
  <c r="AF1162" i="1"/>
  <c r="AG1204" i="1"/>
  <c r="AH1204" i="1" s="1"/>
  <c r="AF1204" i="1"/>
  <c r="AG1186" i="1"/>
  <c r="AH1186" i="1" s="1"/>
  <c r="AF1186" i="1"/>
  <c r="AG1168" i="1"/>
  <c r="AH1168" i="1" s="1"/>
  <c r="AF1168" i="1"/>
  <c r="AH1155" i="1"/>
  <c r="AH1132" i="1"/>
  <c r="AG1215" i="1"/>
  <c r="AH1215" i="1" s="1"/>
  <c r="AH1157" i="1"/>
  <c r="AH1145" i="1"/>
  <c r="AH1139" i="1"/>
  <c r="AD1131" i="1"/>
  <c r="AG1131" i="1" s="1"/>
  <c r="AI1131" i="1"/>
  <c r="AJ1131" i="1" s="1"/>
  <c r="AF1131" i="1" l="1"/>
  <c r="AH1131" i="1"/>
  <c r="M559" i="1" l="1"/>
  <c r="M558" i="1"/>
  <c r="M560" i="1"/>
  <c r="M561" i="1"/>
  <c r="M562" i="1"/>
  <c r="M589" i="1"/>
  <c r="M603" i="1"/>
  <c r="M604" i="1"/>
  <c r="M617" i="1"/>
  <c r="M618" i="1"/>
  <c r="M619" i="1"/>
  <c r="M620" i="1"/>
  <c r="M630" i="1"/>
  <c r="M631" i="1"/>
  <c r="N1024" i="1"/>
  <c r="N1070" i="1"/>
  <c r="M992" i="1"/>
  <c r="N992" i="1" s="1"/>
  <c r="M914" i="1"/>
  <c r="N914" i="1" s="1"/>
  <c r="N1125" i="1"/>
  <c r="N1118" i="1"/>
  <c r="N1104" i="1"/>
  <c r="N1023" i="1"/>
  <c r="M973" i="1"/>
  <c r="N973" i="1" s="1"/>
  <c r="M918" i="1"/>
  <c r="N918" i="1" s="1"/>
  <c r="M1000" i="1"/>
  <c r="N1000" i="1" s="1"/>
  <c r="M951" i="1"/>
  <c r="N951" i="1" s="1"/>
  <c r="M916" i="1"/>
  <c r="N916" i="1" s="1"/>
  <c r="M978" i="1"/>
  <c r="N978" i="1" s="1"/>
  <c r="M929" i="1"/>
  <c r="N929" i="1" s="1"/>
  <c r="M908" i="1"/>
  <c r="N908" i="1" s="1"/>
  <c r="N1117" i="1"/>
  <c r="N1101" i="1"/>
  <c r="N1040" i="1"/>
  <c r="M948" i="1"/>
  <c r="N948" i="1" s="1"/>
  <c r="N1114" i="1"/>
  <c r="N1098" i="1"/>
  <c r="M1008" i="1"/>
  <c r="N1008" i="1" s="1"/>
  <c r="M898" i="1"/>
  <c r="N898" i="1" s="1"/>
  <c r="M953" i="1"/>
  <c r="N953" i="1" s="1"/>
  <c r="M980" i="1"/>
  <c r="N980" i="1" s="1"/>
  <c r="N1054" i="1"/>
  <c r="N1122" i="1"/>
  <c r="N1100" i="1"/>
  <c r="N1044" i="1"/>
  <c r="N1012" i="1"/>
  <c r="M972" i="1"/>
  <c r="N972" i="1" s="1"/>
  <c r="N1021" i="1"/>
  <c r="N1046" i="1"/>
  <c r="N1064" i="1"/>
  <c r="N1085" i="1"/>
  <c r="N1109" i="1"/>
  <c r="N1090" i="1"/>
  <c r="N1065" i="1"/>
  <c r="N1045" i="1"/>
  <c r="N1028" i="1"/>
  <c r="N1015" i="1"/>
  <c r="M994" i="1"/>
  <c r="N994" i="1" s="1"/>
  <c r="M989" i="1"/>
  <c r="N989" i="1" s="1"/>
  <c r="M975" i="1"/>
  <c r="N975" i="1" s="1"/>
  <c r="M935" i="1"/>
  <c r="N935" i="1" s="1"/>
  <c r="M917" i="1"/>
  <c r="N917" i="1" s="1"/>
  <c r="M896" i="1"/>
  <c r="N896" i="1" s="1"/>
  <c r="N1119" i="1"/>
  <c r="M968" i="1"/>
  <c r="N968" i="1" s="1"/>
  <c r="M897" i="1"/>
  <c r="N897" i="1" s="1"/>
  <c r="N1030" i="1"/>
  <c r="N1014" i="1"/>
  <c r="M979" i="1"/>
  <c r="N979" i="1" s="1"/>
  <c r="M852" i="1"/>
  <c r="N1071" i="1"/>
  <c r="N1031" i="1"/>
  <c r="M970" i="1"/>
  <c r="N970" i="1" s="1"/>
  <c r="M867" i="1"/>
  <c r="M888" i="1"/>
  <c r="N888" i="1" s="1"/>
  <c r="M894" i="1"/>
  <c r="N894" i="1" s="1"/>
  <c r="M905" i="1"/>
  <c r="N905" i="1" s="1"/>
  <c r="M940" i="1"/>
  <c r="N940" i="1" s="1"/>
  <c r="M967" i="1"/>
  <c r="N967" i="1" s="1"/>
  <c r="M986" i="1"/>
  <c r="N986" i="1" s="1"/>
  <c r="M1002" i="1"/>
  <c r="N1002" i="1" s="1"/>
  <c r="N1022" i="1"/>
  <c r="N1063" i="1"/>
  <c r="N1099" i="1"/>
  <c r="N1113" i="1"/>
  <c r="N1121" i="1"/>
  <c r="N1110" i="1"/>
  <c r="N1089" i="1"/>
  <c r="N1035" i="1"/>
  <c r="M987" i="1"/>
  <c r="N987" i="1" s="1"/>
  <c r="M960" i="1"/>
  <c r="N960" i="1" s="1"/>
  <c r="M903" i="1"/>
  <c r="N903" i="1" s="1"/>
  <c r="M573" i="1"/>
  <c r="M587" i="1"/>
  <c r="M621" i="1"/>
  <c r="M669" i="1"/>
  <c r="M691" i="1"/>
  <c r="M693" i="1"/>
  <c r="M942" i="1"/>
  <c r="N942" i="1" s="1"/>
  <c r="M963" i="1"/>
  <c r="N963" i="1" s="1"/>
  <c r="N1083" i="1"/>
  <c r="N1033" i="1"/>
  <c r="N1127" i="1"/>
  <c r="N1091" i="1"/>
  <c r="N1055" i="1"/>
  <c r="M981" i="1"/>
  <c r="N981" i="1" s="1"/>
  <c r="M925" i="1"/>
  <c r="N925" i="1" s="1"/>
  <c r="M887" i="1"/>
  <c r="N887" i="1" s="1"/>
  <c r="N1096" i="1"/>
  <c r="N1116" i="1"/>
  <c r="N1076" i="1"/>
  <c r="M991" i="1"/>
  <c r="N991" i="1" s="1"/>
  <c r="S887" i="1"/>
  <c r="S888" i="1"/>
  <c r="S889" i="1"/>
  <c r="S890" i="1"/>
  <c r="S891" i="1"/>
  <c r="S892" i="1"/>
  <c r="S893" i="1"/>
  <c r="S894" i="1"/>
  <c r="S895" i="1"/>
  <c r="S896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9" i="1"/>
  <c r="S960" i="1"/>
  <c r="S961" i="1"/>
  <c r="S962" i="1"/>
  <c r="S963" i="1"/>
  <c r="S964" i="1"/>
  <c r="S965" i="1"/>
  <c r="S966" i="1"/>
  <c r="S967" i="1"/>
  <c r="S970" i="1"/>
  <c r="S971" i="1"/>
  <c r="S972" i="1"/>
  <c r="S973" i="1"/>
  <c r="S975" i="1"/>
  <c r="S976" i="1"/>
  <c r="S977" i="1"/>
  <c r="S978" i="1"/>
  <c r="S980" i="1"/>
  <c r="S981" i="1"/>
  <c r="S982" i="1"/>
  <c r="S983" i="1"/>
  <c r="S984" i="1"/>
  <c r="S986" i="1"/>
  <c r="S987" i="1"/>
  <c r="S988" i="1"/>
  <c r="S989" i="1"/>
  <c r="S991" i="1"/>
  <c r="S992" i="1"/>
  <c r="S993" i="1"/>
  <c r="S994" i="1"/>
  <c r="S995" i="1"/>
  <c r="S996" i="1"/>
  <c r="S998" i="1"/>
  <c r="S999" i="1"/>
  <c r="S1000" i="1"/>
  <c r="S1001" i="1"/>
  <c r="S1002" i="1"/>
  <c r="S1003" i="1"/>
  <c r="S1004" i="1"/>
  <c r="S1005" i="1"/>
  <c r="S1006" i="1"/>
  <c r="S1010" i="1"/>
  <c r="S1011" i="1"/>
  <c r="S1012" i="1"/>
  <c r="S1013" i="1"/>
  <c r="S1014" i="1"/>
  <c r="S1015" i="1"/>
  <c r="S1016" i="1"/>
  <c r="S1017" i="1"/>
  <c r="S1019" i="1"/>
  <c r="S1020" i="1"/>
  <c r="S1021" i="1"/>
  <c r="S1022" i="1"/>
  <c r="S1023" i="1"/>
  <c r="S1024" i="1"/>
  <c r="S1025" i="1"/>
  <c r="S1026" i="1"/>
  <c r="S1027" i="1"/>
  <c r="S1028" i="1"/>
  <c r="S1029" i="1"/>
  <c r="S1033" i="1"/>
  <c r="S1034" i="1"/>
  <c r="S1035" i="1"/>
  <c r="S1039" i="1"/>
  <c r="S1041" i="1"/>
  <c r="S1044" i="1"/>
  <c r="S1045" i="1"/>
  <c r="S1046" i="1"/>
  <c r="S1047" i="1"/>
  <c r="S1048" i="1"/>
  <c r="S1053" i="1"/>
  <c r="S1054" i="1"/>
  <c r="S1055" i="1"/>
  <c r="S1057" i="1"/>
  <c r="S1058" i="1"/>
  <c r="S1059" i="1"/>
  <c r="S1060" i="1"/>
  <c r="S1061" i="1"/>
  <c r="S1063" i="1"/>
  <c r="S1064" i="1"/>
  <c r="S1065" i="1"/>
  <c r="S1069" i="1"/>
  <c r="S1070" i="1"/>
  <c r="S1072" i="1"/>
  <c r="S1074" i="1"/>
  <c r="S1075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7" i="1"/>
  <c r="S1099" i="1"/>
  <c r="S1100" i="1"/>
  <c r="S1102" i="1"/>
  <c r="S1103" i="1"/>
  <c r="S1104" i="1"/>
  <c r="S1106" i="1"/>
  <c r="S1108" i="1"/>
  <c r="S1109" i="1"/>
  <c r="S1110" i="1"/>
  <c r="S1111" i="1"/>
  <c r="S1112" i="1"/>
  <c r="S1113" i="1"/>
  <c r="S1115" i="1"/>
  <c r="S1118" i="1"/>
  <c r="S1121" i="1"/>
  <c r="S1122" i="1"/>
  <c r="S1123" i="1"/>
  <c r="S1125" i="1"/>
  <c r="S1126" i="1"/>
  <c r="S1130" i="1"/>
  <c r="M886" i="1"/>
  <c r="N886" i="1" s="1"/>
  <c r="M889" i="1"/>
  <c r="N889" i="1" s="1"/>
  <c r="M890" i="1"/>
  <c r="N890" i="1" s="1"/>
  <c r="M891" i="1"/>
  <c r="N891" i="1" s="1"/>
  <c r="M892" i="1"/>
  <c r="N892" i="1" s="1"/>
  <c r="M893" i="1"/>
  <c r="N893" i="1" s="1"/>
  <c r="M895" i="1"/>
  <c r="N895" i="1" s="1"/>
  <c r="M899" i="1"/>
  <c r="N899" i="1" s="1"/>
  <c r="M900" i="1"/>
  <c r="N900" i="1" s="1"/>
  <c r="M901" i="1"/>
  <c r="N901" i="1" s="1"/>
  <c r="M902" i="1"/>
  <c r="N902" i="1" s="1"/>
  <c r="M904" i="1"/>
  <c r="N904" i="1" s="1"/>
  <c r="M906" i="1"/>
  <c r="N906" i="1" s="1"/>
  <c r="M907" i="1"/>
  <c r="N907" i="1" s="1"/>
  <c r="M909" i="1"/>
  <c r="N909" i="1" s="1"/>
  <c r="M910" i="1"/>
  <c r="N910" i="1" s="1"/>
  <c r="M911" i="1"/>
  <c r="N911" i="1" s="1"/>
  <c r="M912" i="1"/>
  <c r="N912" i="1" s="1"/>
  <c r="M913" i="1"/>
  <c r="N913" i="1" s="1"/>
  <c r="M915" i="1"/>
  <c r="N915" i="1" s="1"/>
  <c r="M919" i="1"/>
  <c r="N919" i="1" s="1"/>
  <c r="M920" i="1"/>
  <c r="N920" i="1" s="1"/>
  <c r="M921" i="1"/>
  <c r="N921" i="1" s="1"/>
  <c r="M922" i="1"/>
  <c r="N922" i="1" s="1"/>
  <c r="M923" i="1"/>
  <c r="N923" i="1" s="1"/>
  <c r="M924" i="1"/>
  <c r="N924" i="1" s="1"/>
  <c r="M926" i="1"/>
  <c r="N926" i="1" s="1"/>
  <c r="M927" i="1"/>
  <c r="N927" i="1" s="1"/>
  <c r="M928" i="1"/>
  <c r="N928" i="1" s="1"/>
  <c r="M930" i="1"/>
  <c r="N930" i="1" s="1"/>
  <c r="M931" i="1"/>
  <c r="N931" i="1" s="1"/>
  <c r="M932" i="1"/>
  <c r="N932" i="1" s="1"/>
  <c r="M933" i="1"/>
  <c r="N933" i="1" s="1"/>
  <c r="M934" i="1"/>
  <c r="N934" i="1" s="1"/>
  <c r="M936" i="1"/>
  <c r="N936" i="1" s="1"/>
  <c r="M937" i="1"/>
  <c r="N937" i="1" s="1"/>
  <c r="M938" i="1"/>
  <c r="N938" i="1" s="1"/>
  <c r="M939" i="1"/>
  <c r="N939" i="1" s="1"/>
  <c r="M941" i="1"/>
  <c r="N941" i="1" s="1"/>
  <c r="M943" i="1"/>
  <c r="N943" i="1" s="1"/>
  <c r="M944" i="1"/>
  <c r="N944" i="1" s="1"/>
  <c r="M945" i="1"/>
  <c r="N945" i="1" s="1"/>
  <c r="M946" i="1"/>
  <c r="N946" i="1" s="1"/>
  <c r="M947" i="1"/>
  <c r="N947" i="1" s="1"/>
  <c r="M949" i="1"/>
  <c r="N949" i="1" s="1"/>
  <c r="M950" i="1"/>
  <c r="N950" i="1" s="1"/>
  <c r="M952" i="1"/>
  <c r="N952" i="1" s="1"/>
  <c r="M954" i="1"/>
  <c r="N954" i="1" s="1"/>
  <c r="M955" i="1"/>
  <c r="N955" i="1" s="1"/>
  <c r="M956" i="1"/>
  <c r="N956" i="1" s="1"/>
  <c r="M957" i="1"/>
  <c r="N957" i="1" s="1"/>
  <c r="M958" i="1"/>
  <c r="N958" i="1" s="1"/>
  <c r="M959" i="1"/>
  <c r="N959" i="1" s="1"/>
  <c r="M961" i="1"/>
  <c r="N961" i="1" s="1"/>
  <c r="M962" i="1"/>
  <c r="N962" i="1" s="1"/>
  <c r="M964" i="1"/>
  <c r="N964" i="1" s="1"/>
  <c r="M965" i="1"/>
  <c r="N965" i="1" s="1"/>
  <c r="M966" i="1"/>
  <c r="N966" i="1" s="1"/>
  <c r="M969" i="1"/>
  <c r="N969" i="1" s="1"/>
  <c r="M971" i="1"/>
  <c r="N971" i="1" s="1"/>
  <c r="M974" i="1"/>
  <c r="N974" i="1" s="1"/>
  <c r="M976" i="1"/>
  <c r="N976" i="1" s="1"/>
  <c r="M977" i="1"/>
  <c r="N977" i="1" s="1"/>
  <c r="M982" i="1"/>
  <c r="N982" i="1" s="1"/>
  <c r="M983" i="1"/>
  <c r="N983" i="1" s="1"/>
  <c r="M984" i="1"/>
  <c r="N984" i="1" s="1"/>
  <c r="M985" i="1"/>
  <c r="N985" i="1" s="1"/>
  <c r="M988" i="1"/>
  <c r="N988" i="1" s="1"/>
  <c r="M990" i="1"/>
  <c r="N990" i="1" s="1"/>
  <c r="M993" i="1"/>
  <c r="N993" i="1" s="1"/>
  <c r="M995" i="1"/>
  <c r="N995" i="1" s="1"/>
  <c r="M996" i="1"/>
  <c r="N996" i="1" s="1"/>
  <c r="M997" i="1"/>
  <c r="N997" i="1" s="1"/>
  <c r="M998" i="1"/>
  <c r="N998" i="1" s="1"/>
  <c r="M999" i="1"/>
  <c r="N999" i="1" s="1"/>
  <c r="M1001" i="1"/>
  <c r="N1001" i="1" s="1"/>
  <c r="M1003" i="1"/>
  <c r="N1003" i="1" s="1"/>
  <c r="M1004" i="1"/>
  <c r="N1004" i="1" s="1"/>
  <c r="M1005" i="1"/>
  <c r="N1005" i="1" s="1"/>
  <c r="M1006" i="1"/>
  <c r="N1006" i="1" s="1"/>
  <c r="M1007" i="1"/>
  <c r="N1007" i="1" s="1"/>
  <c r="N1009" i="1"/>
  <c r="M1010" i="1"/>
  <c r="N1010" i="1" s="1"/>
  <c r="M1011" i="1"/>
  <c r="N1011" i="1" s="1"/>
  <c r="N1013" i="1"/>
  <c r="N1016" i="1"/>
  <c r="N1017" i="1"/>
  <c r="N1018" i="1"/>
  <c r="N1019" i="1"/>
  <c r="N1020" i="1"/>
  <c r="N1025" i="1"/>
  <c r="N1026" i="1"/>
  <c r="N1027" i="1"/>
  <c r="N1029" i="1"/>
  <c r="N1032" i="1"/>
  <c r="N1034" i="1"/>
  <c r="N1036" i="1"/>
  <c r="N1037" i="1"/>
  <c r="N1038" i="1"/>
  <c r="N1039" i="1"/>
  <c r="N1041" i="1"/>
  <c r="N1042" i="1"/>
  <c r="N1043" i="1"/>
  <c r="N1047" i="1"/>
  <c r="N1048" i="1"/>
  <c r="N1049" i="1"/>
  <c r="N1050" i="1"/>
  <c r="N1051" i="1"/>
  <c r="N1052" i="1"/>
  <c r="N1053" i="1"/>
  <c r="N1056" i="1"/>
  <c r="N1057" i="1"/>
  <c r="N1058" i="1"/>
  <c r="N1059" i="1"/>
  <c r="N1060" i="1"/>
  <c r="N1061" i="1"/>
  <c r="N1062" i="1"/>
  <c r="N1066" i="1"/>
  <c r="N1067" i="1"/>
  <c r="N1068" i="1"/>
  <c r="N1069" i="1"/>
  <c r="N1072" i="1"/>
  <c r="N1073" i="1"/>
  <c r="N1074" i="1"/>
  <c r="N1075" i="1"/>
  <c r="N1077" i="1"/>
  <c r="N1078" i="1"/>
  <c r="N1079" i="1"/>
  <c r="N1080" i="1"/>
  <c r="N1081" i="1"/>
  <c r="N1082" i="1"/>
  <c r="N1084" i="1"/>
  <c r="N1086" i="1"/>
  <c r="N1087" i="1"/>
  <c r="N1088" i="1"/>
  <c r="N1092" i="1"/>
  <c r="N1093" i="1"/>
  <c r="N1094" i="1"/>
  <c r="N1095" i="1"/>
  <c r="N1097" i="1"/>
  <c r="N1102" i="1"/>
  <c r="N1103" i="1"/>
  <c r="N1105" i="1"/>
  <c r="N1106" i="1"/>
  <c r="N1107" i="1"/>
  <c r="N1108" i="1"/>
  <c r="N1111" i="1"/>
  <c r="N1112" i="1"/>
  <c r="N1115" i="1"/>
  <c r="N1120" i="1"/>
  <c r="N1123" i="1"/>
  <c r="N1124" i="1"/>
  <c r="N1126" i="1"/>
  <c r="N1128" i="1"/>
  <c r="N1129" i="1"/>
  <c r="N1130" i="1"/>
  <c r="AD886" i="1" l="1"/>
  <c r="AF886" i="1" s="1"/>
  <c r="AJ886" i="1"/>
  <c r="AD887" i="1"/>
  <c r="AJ887" i="1"/>
  <c r="AD888" i="1"/>
  <c r="AG888" i="1" s="1"/>
  <c r="AI888" i="1"/>
  <c r="AJ888" i="1" s="1"/>
  <c r="AD889" i="1"/>
  <c r="AF889" i="1" s="1"/>
  <c r="AI889" i="1"/>
  <c r="AJ889" i="1" s="1"/>
  <c r="AD890" i="1"/>
  <c r="AJ890" i="1"/>
  <c r="AD891" i="1"/>
  <c r="AG891" i="1" s="1"/>
  <c r="AI891" i="1"/>
  <c r="AJ891" i="1" s="1"/>
  <c r="AD892" i="1"/>
  <c r="AG892" i="1" s="1"/>
  <c r="AI892" i="1"/>
  <c r="AJ892" i="1" s="1"/>
  <c r="AD893" i="1"/>
  <c r="AG893" i="1" s="1"/>
  <c r="AI893" i="1"/>
  <c r="AJ893" i="1" s="1"/>
  <c r="AD894" i="1"/>
  <c r="AG894" i="1" s="1"/>
  <c r="AI894" i="1"/>
  <c r="AJ894" i="1" s="1"/>
  <c r="AD895" i="1"/>
  <c r="AG895" i="1" s="1"/>
  <c r="AI895" i="1"/>
  <c r="AJ895" i="1" s="1"/>
  <c r="AD896" i="1"/>
  <c r="AG896" i="1" s="1"/>
  <c r="AI896" i="1"/>
  <c r="AJ896" i="1" s="1"/>
  <c r="AD897" i="1"/>
  <c r="AG897" i="1" s="1"/>
  <c r="AI897" i="1"/>
  <c r="AJ897" i="1" s="1"/>
  <c r="AD898" i="1"/>
  <c r="AF898" i="1" s="1"/>
  <c r="AI898" i="1"/>
  <c r="AJ898" i="1" s="1"/>
  <c r="AD899" i="1"/>
  <c r="AF899" i="1" s="1"/>
  <c r="AI899" i="1"/>
  <c r="AJ899" i="1" s="1"/>
  <c r="AD900" i="1"/>
  <c r="AI900" i="1"/>
  <c r="AJ900" i="1" s="1"/>
  <c r="AD901" i="1"/>
  <c r="AG901" i="1" s="1"/>
  <c r="AI901" i="1"/>
  <c r="AJ901" i="1" s="1"/>
  <c r="AD902" i="1"/>
  <c r="AF902" i="1" s="1"/>
  <c r="AI902" i="1"/>
  <c r="AJ902" i="1" s="1"/>
  <c r="AD903" i="1"/>
  <c r="AI903" i="1"/>
  <c r="AJ903" i="1" s="1"/>
  <c r="AD904" i="1"/>
  <c r="AF904" i="1" s="1"/>
  <c r="AI904" i="1"/>
  <c r="AJ904" i="1" s="1"/>
  <c r="AD905" i="1"/>
  <c r="AG905" i="1" s="1"/>
  <c r="AI905" i="1"/>
  <c r="AJ905" i="1" s="1"/>
  <c r="AG906" i="1"/>
  <c r="AI906" i="1"/>
  <c r="AJ906" i="1" s="1"/>
  <c r="AD907" i="1"/>
  <c r="AI907" i="1"/>
  <c r="AJ907" i="1" s="1"/>
  <c r="AD908" i="1"/>
  <c r="AF908" i="1" s="1"/>
  <c r="AI908" i="1"/>
  <c r="AJ908" i="1" s="1"/>
  <c r="AD909" i="1"/>
  <c r="AF909" i="1" s="1"/>
  <c r="AI909" i="1"/>
  <c r="AJ909" i="1" s="1"/>
  <c r="AD910" i="1"/>
  <c r="AI910" i="1"/>
  <c r="AJ910" i="1" s="1"/>
  <c r="AD911" i="1"/>
  <c r="AG911" i="1" s="1"/>
  <c r="AI911" i="1"/>
  <c r="AJ911" i="1" s="1"/>
  <c r="AD912" i="1"/>
  <c r="AF912" i="1" s="1"/>
  <c r="AI912" i="1"/>
  <c r="AJ912" i="1" s="1"/>
  <c r="AD913" i="1"/>
  <c r="AG913" i="1" s="1"/>
  <c r="AI913" i="1"/>
  <c r="AJ913" i="1" s="1"/>
  <c r="AD914" i="1"/>
  <c r="AG914" i="1" s="1"/>
  <c r="AI914" i="1"/>
  <c r="AJ914" i="1" s="1"/>
  <c r="AD915" i="1"/>
  <c r="AI915" i="1"/>
  <c r="AJ915" i="1" s="1"/>
  <c r="AD916" i="1"/>
  <c r="AG916" i="1" s="1"/>
  <c r="AI916" i="1"/>
  <c r="AJ916" i="1" s="1"/>
  <c r="AD917" i="1"/>
  <c r="AF917" i="1" s="1"/>
  <c r="AI917" i="1"/>
  <c r="AJ917" i="1" s="1"/>
  <c r="AD918" i="1"/>
  <c r="AI918" i="1"/>
  <c r="AJ918" i="1" s="1"/>
  <c r="AD919" i="1"/>
  <c r="AG919" i="1" s="1"/>
  <c r="AI919" i="1"/>
  <c r="AJ919" i="1" s="1"/>
  <c r="AD920" i="1"/>
  <c r="AG920" i="1" s="1"/>
  <c r="AI920" i="1"/>
  <c r="AJ920" i="1" s="1"/>
  <c r="AD921" i="1"/>
  <c r="AI921" i="1"/>
  <c r="AJ921" i="1" s="1"/>
  <c r="AD922" i="1"/>
  <c r="AG922" i="1" s="1"/>
  <c r="AI922" i="1"/>
  <c r="AJ922" i="1" s="1"/>
  <c r="AD923" i="1"/>
  <c r="AI923" i="1"/>
  <c r="AJ923" i="1" s="1"/>
  <c r="AD924" i="1"/>
  <c r="AG924" i="1" s="1"/>
  <c r="AI924" i="1"/>
  <c r="AJ924" i="1" s="1"/>
  <c r="AD925" i="1"/>
  <c r="AF925" i="1" s="1"/>
  <c r="AI925" i="1"/>
  <c r="AJ925" i="1" s="1"/>
  <c r="AD926" i="1"/>
  <c r="AG926" i="1" s="1"/>
  <c r="AI926" i="1"/>
  <c r="AJ926" i="1" s="1"/>
  <c r="AD927" i="1"/>
  <c r="AI927" i="1"/>
  <c r="AJ927" i="1" s="1"/>
  <c r="AD928" i="1"/>
  <c r="AG928" i="1" s="1"/>
  <c r="AI928" i="1"/>
  <c r="AJ928" i="1" s="1"/>
  <c r="AD929" i="1"/>
  <c r="AF929" i="1" s="1"/>
  <c r="AI929" i="1"/>
  <c r="AJ929" i="1" s="1"/>
  <c r="AD930" i="1"/>
  <c r="AG930" i="1" s="1"/>
  <c r="AI930" i="1"/>
  <c r="AJ930" i="1" s="1"/>
  <c r="AD931" i="1"/>
  <c r="AI931" i="1"/>
  <c r="AJ931" i="1" s="1"/>
  <c r="AD932" i="1"/>
  <c r="AG932" i="1" s="1"/>
  <c r="AI932" i="1"/>
  <c r="AJ932" i="1" s="1"/>
  <c r="AD933" i="1"/>
  <c r="AI933" i="1"/>
  <c r="AJ933" i="1" s="1"/>
  <c r="AD934" i="1"/>
  <c r="AG934" i="1" s="1"/>
  <c r="AI934" i="1"/>
  <c r="AJ934" i="1" s="1"/>
  <c r="AD935" i="1"/>
  <c r="AF935" i="1" s="1"/>
  <c r="AI935" i="1"/>
  <c r="AJ935" i="1" s="1"/>
  <c r="AD936" i="1"/>
  <c r="AG936" i="1" s="1"/>
  <c r="AI936" i="1"/>
  <c r="AJ936" i="1" s="1"/>
  <c r="AD937" i="1"/>
  <c r="AG937" i="1" s="1"/>
  <c r="AI937" i="1"/>
  <c r="AJ937" i="1" s="1"/>
  <c r="AD938" i="1"/>
  <c r="AF938" i="1" s="1"/>
  <c r="AI938" i="1"/>
  <c r="AJ938" i="1" s="1"/>
  <c r="AD939" i="1"/>
  <c r="AI939" i="1"/>
  <c r="AJ939" i="1" s="1"/>
  <c r="AD940" i="1"/>
  <c r="AG940" i="1" s="1"/>
  <c r="AI940" i="1"/>
  <c r="AJ940" i="1" s="1"/>
  <c r="AD941" i="1"/>
  <c r="AF941" i="1" s="1"/>
  <c r="AI941" i="1"/>
  <c r="AJ941" i="1" s="1"/>
  <c r="AD942" i="1"/>
  <c r="AF942" i="1" s="1"/>
  <c r="AI942" i="1"/>
  <c r="AJ942" i="1" s="1"/>
  <c r="AD943" i="1"/>
  <c r="AF943" i="1" s="1"/>
  <c r="AI943" i="1"/>
  <c r="AJ943" i="1" s="1"/>
  <c r="AD944" i="1"/>
  <c r="AF944" i="1" s="1"/>
  <c r="AI944" i="1"/>
  <c r="AJ944" i="1" s="1"/>
  <c r="AD945" i="1"/>
  <c r="AG945" i="1" s="1"/>
  <c r="AI945" i="1"/>
  <c r="AJ945" i="1" s="1"/>
  <c r="AD946" i="1"/>
  <c r="AG946" i="1" s="1"/>
  <c r="AI946" i="1"/>
  <c r="AJ946" i="1" s="1"/>
  <c r="AD947" i="1"/>
  <c r="AI947" i="1"/>
  <c r="AJ947" i="1" s="1"/>
  <c r="AD948" i="1"/>
  <c r="AG948" i="1" s="1"/>
  <c r="AI948" i="1"/>
  <c r="AJ948" i="1" s="1"/>
  <c r="AD949" i="1"/>
  <c r="AG949" i="1" s="1"/>
  <c r="AI949" i="1"/>
  <c r="AJ949" i="1" s="1"/>
  <c r="AD950" i="1"/>
  <c r="AI950" i="1"/>
  <c r="AJ950" i="1" s="1"/>
  <c r="AD951" i="1"/>
  <c r="AG951" i="1" s="1"/>
  <c r="AI951" i="1"/>
  <c r="AJ951" i="1" s="1"/>
  <c r="AD952" i="1"/>
  <c r="AF952" i="1" s="1"/>
  <c r="AI952" i="1"/>
  <c r="AJ952" i="1" s="1"/>
  <c r="AD953" i="1"/>
  <c r="AG953" i="1" s="1"/>
  <c r="AI953" i="1"/>
  <c r="AJ953" i="1" s="1"/>
  <c r="AD954" i="1"/>
  <c r="AF954" i="1" s="1"/>
  <c r="AI954" i="1"/>
  <c r="AJ954" i="1" s="1"/>
  <c r="AD955" i="1"/>
  <c r="AG955" i="1" s="1"/>
  <c r="AI955" i="1"/>
  <c r="AJ955" i="1" s="1"/>
  <c r="AD956" i="1"/>
  <c r="AI956" i="1"/>
  <c r="AJ956" i="1" s="1"/>
  <c r="AD957" i="1"/>
  <c r="AG957" i="1" s="1"/>
  <c r="AI957" i="1"/>
  <c r="AJ957" i="1" s="1"/>
  <c r="AD958" i="1"/>
  <c r="AF958" i="1" s="1"/>
  <c r="AI958" i="1"/>
  <c r="AJ958" i="1" s="1"/>
  <c r="AD959" i="1"/>
  <c r="AF959" i="1" s="1"/>
  <c r="AI959" i="1"/>
  <c r="AJ959" i="1" s="1"/>
  <c r="AD960" i="1"/>
  <c r="AF960" i="1" s="1"/>
  <c r="AI960" i="1"/>
  <c r="AJ960" i="1" s="1"/>
  <c r="AD961" i="1"/>
  <c r="AG961" i="1" s="1"/>
  <c r="AI961" i="1"/>
  <c r="AJ961" i="1" s="1"/>
  <c r="AD962" i="1"/>
  <c r="AG962" i="1" s="1"/>
  <c r="AI962" i="1"/>
  <c r="AJ962" i="1" s="1"/>
  <c r="AD963" i="1"/>
  <c r="AF963" i="1" s="1"/>
  <c r="AI963" i="1"/>
  <c r="AJ963" i="1" s="1"/>
  <c r="AD964" i="1"/>
  <c r="AG964" i="1" s="1"/>
  <c r="AI964" i="1"/>
  <c r="AD965" i="1"/>
  <c r="AF965" i="1" s="1"/>
  <c r="AI965" i="1"/>
  <c r="AJ965" i="1" s="1"/>
  <c r="AD966" i="1"/>
  <c r="AG966" i="1" s="1"/>
  <c r="AI966" i="1"/>
  <c r="AD967" i="1"/>
  <c r="AI967" i="1"/>
  <c r="AJ967" i="1" s="1"/>
  <c r="AD968" i="1"/>
  <c r="AI968" i="1"/>
  <c r="AD969" i="1"/>
  <c r="AG969" i="1" s="1"/>
  <c r="AI969" i="1"/>
  <c r="AJ969" i="1" s="1"/>
  <c r="AD970" i="1"/>
  <c r="AF970" i="1" s="1"/>
  <c r="AI970" i="1"/>
  <c r="AD971" i="1"/>
  <c r="AI971" i="1"/>
  <c r="AJ971" i="1" s="1"/>
  <c r="AD972" i="1"/>
  <c r="AG972" i="1" s="1"/>
  <c r="AI972" i="1"/>
  <c r="AJ972" i="1" s="1"/>
  <c r="AD973" i="1"/>
  <c r="AI973" i="1"/>
  <c r="AJ973" i="1" s="1"/>
  <c r="AD974" i="1"/>
  <c r="AI974" i="1"/>
  <c r="AD975" i="1"/>
  <c r="AF975" i="1" s="1"/>
  <c r="AI975" i="1"/>
  <c r="AJ975" i="1" s="1"/>
  <c r="AD976" i="1"/>
  <c r="AG976" i="1" s="1"/>
  <c r="AI976" i="1"/>
  <c r="AD977" i="1"/>
  <c r="AG977" i="1" s="1"/>
  <c r="AI977" i="1"/>
  <c r="AJ977" i="1" s="1"/>
  <c r="AD978" i="1"/>
  <c r="AF978" i="1" s="1"/>
  <c r="AI978" i="1"/>
  <c r="AJ978" i="1" s="1"/>
  <c r="AD979" i="1"/>
  <c r="AG979" i="1" s="1"/>
  <c r="AI979" i="1"/>
  <c r="AD980" i="1"/>
  <c r="AF980" i="1" s="1"/>
  <c r="AI980" i="1"/>
  <c r="AJ980" i="1" s="1"/>
  <c r="AD981" i="1"/>
  <c r="AF981" i="1" s="1"/>
  <c r="AI981" i="1"/>
  <c r="AD982" i="1"/>
  <c r="AF982" i="1" s="1"/>
  <c r="AI982" i="1"/>
  <c r="AD983" i="1"/>
  <c r="AI983" i="1"/>
  <c r="AJ983" i="1" s="1"/>
  <c r="AD984" i="1"/>
  <c r="AG984" i="1" s="1"/>
  <c r="AI984" i="1"/>
  <c r="AD985" i="1"/>
  <c r="AG985" i="1" s="1"/>
  <c r="AI985" i="1"/>
  <c r="AD986" i="1"/>
  <c r="AF986" i="1" s="1"/>
  <c r="AI986" i="1"/>
  <c r="AJ986" i="1" s="1"/>
  <c r="AD987" i="1"/>
  <c r="AG987" i="1" s="1"/>
  <c r="AI987" i="1"/>
  <c r="AD988" i="1"/>
  <c r="AI988" i="1"/>
  <c r="AD989" i="1"/>
  <c r="AG989" i="1" s="1"/>
  <c r="AI989" i="1"/>
  <c r="AJ989" i="1" s="1"/>
  <c r="AD990" i="1"/>
  <c r="AF990" i="1" s="1"/>
  <c r="AI990" i="1"/>
  <c r="AD991" i="1"/>
  <c r="AI991" i="1"/>
  <c r="AD992" i="1"/>
  <c r="AF992" i="1" s="1"/>
  <c r="AI992" i="1"/>
  <c r="AJ992" i="1" s="1"/>
  <c r="AD993" i="1"/>
  <c r="AG993" i="1" s="1"/>
  <c r="AI993" i="1"/>
  <c r="AD994" i="1"/>
  <c r="AF994" i="1" s="1"/>
  <c r="AI994" i="1"/>
  <c r="AD995" i="1"/>
  <c r="AF995" i="1" s="1"/>
  <c r="AI995" i="1"/>
  <c r="AD996" i="1"/>
  <c r="AG996" i="1" s="1"/>
  <c r="AI996" i="1"/>
  <c r="AJ996" i="1" s="1"/>
  <c r="AD997" i="1"/>
  <c r="AI997" i="1"/>
  <c r="AD998" i="1"/>
  <c r="AF998" i="1" s="1"/>
  <c r="AI998" i="1"/>
  <c r="AJ998" i="1" s="1"/>
  <c r="AD999" i="1"/>
  <c r="AF999" i="1" s="1"/>
  <c r="AI999" i="1"/>
  <c r="AD1000" i="1"/>
  <c r="AF1000" i="1" s="1"/>
  <c r="AI1000" i="1"/>
  <c r="AJ1000" i="1" s="1"/>
  <c r="AD1001" i="1"/>
  <c r="AG1001" i="1" s="1"/>
  <c r="AI1001" i="1"/>
  <c r="AD1002" i="1"/>
  <c r="AF1002" i="1" s="1"/>
  <c r="AI1002" i="1"/>
  <c r="AJ1002" i="1" s="1"/>
  <c r="AD1003" i="1"/>
  <c r="AF1003" i="1" s="1"/>
  <c r="AI1003" i="1"/>
  <c r="AD1004" i="1"/>
  <c r="AF1004" i="1" s="1"/>
  <c r="AI1004" i="1"/>
  <c r="AJ1004" i="1" s="1"/>
  <c r="AD1005" i="1"/>
  <c r="AG1005" i="1" s="1"/>
  <c r="AI1005" i="1"/>
  <c r="AJ1005" i="1" s="1"/>
  <c r="AD1006" i="1"/>
  <c r="AF1006" i="1" s="1"/>
  <c r="AI1006" i="1"/>
  <c r="AJ1006" i="1" s="1"/>
  <c r="AD1007" i="1"/>
  <c r="AG1007" i="1" s="1"/>
  <c r="AI1007" i="1"/>
  <c r="AD1008" i="1"/>
  <c r="AG1008" i="1" s="1"/>
  <c r="AI1008" i="1"/>
  <c r="AJ1008" i="1" s="1"/>
  <c r="AD1009" i="1"/>
  <c r="AF1009" i="1" s="1"/>
  <c r="AI1009" i="1"/>
  <c r="AD1010" i="1"/>
  <c r="AF1010" i="1" s="1"/>
  <c r="AI1010" i="1"/>
  <c r="AJ1010" i="1" s="1"/>
  <c r="AD1011" i="1"/>
  <c r="AG1011" i="1" s="1"/>
  <c r="AI1011" i="1"/>
  <c r="AJ1011" i="1" s="1"/>
  <c r="AD1012" i="1"/>
  <c r="AF1012" i="1" s="1"/>
  <c r="AI1012" i="1"/>
  <c r="AJ1012" i="1" s="1"/>
  <c r="AD1013" i="1"/>
  <c r="AG1013" i="1" s="1"/>
  <c r="AI1013" i="1"/>
  <c r="AD1014" i="1"/>
  <c r="AG1014" i="1" s="1"/>
  <c r="AI1014" i="1"/>
  <c r="AJ1014" i="1" s="1"/>
  <c r="AD1015" i="1"/>
  <c r="AF1015" i="1" s="1"/>
  <c r="AI1015" i="1"/>
  <c r="AD1016" i="1"/>
  <c r="AF1016" i="1" s="1"/>
  <c r="AI1016" i="1"/>
  <c r="AJ1016" i="1" s="1"/>
  <c r="AD1017" i="1"/>
  <c r="AG1017" i="1" s="1"/>
  <c r="AI1017" i="1"/>
  <c r="AJ1017" i="1" s="1"/>
  <c r="AD1018" i="1"/>
  <c r="AF1018" i="1" s="1"/>
  <c r="AI1018" i="1"/>
  <c r="AJ1018" i="1" s="1"/>
  <c r="AD1019" i="1"/>
  <c r="AG1019" i="1" s="1"/>
  <c r="AI1019" i="1"/>
  <c r="AD1020" i="1"/>
  <c r="AG1020" i="1" s="1"/>
  <c r="AI1020" i="1"/>
  <c r="AJ1020" i="1" s="1"/>
  <c r="AD1021" i="1"/>
  <c r="AF1021" i="1" s="1"/>
  <c r="AI1021" i="1"/>
  <c r="AD1022" i="1"/>
  <c r="AF1022" i="1" s="1"/>
  <c r="AI1022" i="1"/>
  <c r="AJ1022" i="1" s="1"/>
  <c r="AD1023" i="1"/>
  <c r="AG1023" i="1" s="1"/>
  <c r="AI1023" i="1"/>
  <c r="AJ1023" i="1" s="1"/>
  <c r="AD1024" i="1"/>
  <c r="AF1024" i="1" s="1"/>
  <c r="AI1024" i="1"/>
  <c r="AJ1024" i="1" s="1"/>
  <c r="AD1025" i="1"/>
  <c r="AG1025" i="1" s="1"/>
  <c r="AI1025" i="1"/>
  <c r="AD1026" i="1"/>
  <c r="AG1026" i="1" s="1"/>
  <c r="AI1026" i="1"/>
  <c r="AJ1026" i="1" s="1"/>
  <c r="AD1027" i="1"/>
  <c r="AF1027" i="1" s="1"/>
  <c r="AI1027" i="1"/>
  <c r="AD1028" i="1"/>
  <c r="AF1028" i="1" s="1"/>
  <c r="AI1028" i="1"/>
  <c r="AJ1028" i="1" s="1"/>
  <c r="AD1029" i="1"/>
  <c r="AG1029" i="1" s="1"/>
  <c r="AI1029" i="1"/>
  <c r="AJ1029" i="1" s="1"/>
  <c r="AD1030" i="1"/>
  <c r="AF1030" i="1" s="1"/>
  <c r="AI1030" i="1"/>
  <c r="AJ1030" i="1" s="1"/>
  <c r="AD1031" i="1"/>
  <c r="AG1031" i="1" s="1"/>
  <c r="AI1031" i="1"/>
  <c r="AD1032" i="1"/>
  <c r="AG1032" i="1" s="1"/>
  <c r="AI1032" i="1"/>
  <c r="AJ1032" i="1" s="1"/>
  <c r="AD1033" i="1"/>
  <c r="AF1033" i="1" s="1"/>
  <c r="AI1033" i="1"/>
  <c r="AJ1033" i="1" s="1"/>
  <c r="AD1034" i="1"/>
  <c r="AG1034" i="1" s="1"/>
  <c r="AI1034" i="1"/>
  <c r="AJ1034" i="1" s="1"/>
  <c r="AD1035" i="1"/>
  <c r="AF1035" i="1" s="1"/>
  <c r="AI1035" i="1"/>
  <c r="AJ1035" i="1" s="1"/>
  <c r="AD1036" i="1"/>
  <c r="AG1036" i="1" s="1"/>
  <c r="AI1036" i="1"/>
  <c r="AD1037" i="1"/>
  <c r="AF1037" i="1" s="1"/>
  <c r="AI1037" i="1"/>
  <c r="AJ1037" i="1" s="1"/>
  <c r="AD1038" i="1"/>
  <c r="AF1038" i="1" s="1"/>
  <c r="AI1038" i="1"/>
  <c r="AD1039" i="1"/>
  <c r="AF1039" i="1" s="1"/>
  <c r="AI1039" i="1"/>
  <c r="AJ1039" i="1" s="1"/>
  <c r="AD1040" i="1"/>
  <c r="AG1040" i="1" s="1"/>
  <c r="AI1040" i="1"/>
  <c r="AJ1040" i="1" s="1"/>
  <c r="AD1041" i="1"/>
  <c r="AF1041" i="1" s="1"/>
  <c r="AI1041" i="1"/>
  <c r="AJ1041" i="1" s="1"/>
  <c r="AD1042" i="1"/>
  <c r="AG1042" i="1" s="1"/>
  <c r="AI1042" i="1"/>
  <c r="AD1043" i="1"/>
  <c r="AF1043" i="1" s="1"/>
  <c r="AI1043" i="1"/>
  <c r="AJ1043" i="1" s="1"/>
  <c r="AD1044" i="1"/>
  <c r="AF1044" i="1" s="1"/>
  <c r="AI1044" i="1"/>
  <c r="AD1045" i="1"/>
  <c r="AF1045" i="1" s="1"/>
  <c r="AI1045" i="1"/>
  <c r="AJ1045" i="1" s="1"/>
  <c r="AD1046" i="1"/>
  <c r="AG1046" i="1" s="1"/>
  <c r="AI1046" i="1"/>
  <c r="AD1047" i="1"/>
  <c r="AF1047" i="1" s="1"/>
  <c r="AI1047" i="1"/>
  <c r="AJ1047" i="1" s="1"/>
  <c r="AD1048" i="1"/>
  <c r="AI1048" i="1"/>
  <c r="AJ1048" i="1" s="1"/>
  <c r="AD1049" i="1"/>
  <c r="AG1049" i="1" s="1"/>
  <c r="AI1049" i="1"/>
  <c r="AJ1049" i="1" s="1"/>
  <c r="AD1050" i="1"/>
  <c r="AF1050" i="1" s="1"/>
  <c r="AI1050" i="1"/>
  <c r="AJ1050" i="1" s="1"/>
  <c r="AD1051" i="1"/>
  <c r="AG1051" i="1" s="1"/>
  <c r="AI1051" i="1"/>
  <c r="AD1052" i="1"/>
  <c r="AF1052" i="1" s="1"/>
  <c r="AI1052" i="1"/>
  <c r="AJ1052" i="1" s="1"/>
  <c r="AD1053" i="1"/>
  <c r="AF1053" i="1" s="1"/>
  <c r="AI1053" i="1"/>
  <c r="AD1054" i="1"/>
  <c r="AI1054" i="1"/>
  <c r="AJ1054" i="1" s="1"/>
  <c r="AD1055" i="1"/>
  <c r="AI1055" i="1"/>
  <c r="AD1056" i="1"/>
  <c r="AF1056" i="1" s="1"/>
  <c r="AI1056" i="1"/>
  <c r="AJ1056" i="1" s="1"/>
  <c r="AD1057" i="1"/>
  <c r="AI1057" i="1"/>
  <c r="AJ1057" i="1" s="1"/>
  <c r="AD1058" i="1"/>
  <c r="AF1058" i="1" s="1"/>
  <c r="AI1058" i="1"/>
  <c r="AD1059" i="1"/>
  <c r="AF1059" i="1" s="1"/>
  <c r="AI1059" i="1"/>
  <c r="AD1060" i="1"/>
  <c r="AI1060" i="1"/>
  <c r="AJ1060" i="1" s="1"/>
  <c r="AD1061" i="1"/>
  <c r="AI1061" i="1"/>
  <c r="AD1062" i="1"/>
  <c r="AF1062" i="1" s="1"/>
  <c r="AI1062" i="1"/>
  <c r="AJ1062" i="1" s="1"/>
  <c r="AD1063" i="1"/>
  <c r="AI1063" i="1"/>
  <c r="AJ1063" i="1" s="1"/>
  <c r="AD1064" i="1"/>
  <c r="AF1064" i="1" s="1"/>
  <c r="AI1064" i="1"/>
  <c r="AJ1064" i="1" s="1"/>
  <c r="AD1065" i="1"/>
  <c r="AF1065" i="1" s="1"/>
  <c r="AI1065" i="1"/>
  <c r="AD1066" i="1"/>
  <c r="AI1066" i="1"/>
  <c r="AJ1066" i="1" s="1"/>
  <c r="AD1067" i="1"/>
  <c r="AI1067" i="1"/>
  <c r="AD1068" i="1"/>
  <c r="AF1068" i="1" s="1"/>
  <c r="AI1068" i="1"/>
  <c r="AJ1068" i="1" s="1"/>
  <c r="AD1069" i="1"/>
  <c r="AI1069" i="1"/>
  <c r="AJ1069" i="1" s="1"/>
  <c r="AD1070" i="1"/>
  <c r="AF1070" i="1" s="1"/>
  <c r="AI1070" i="1"/>
  <c r="AJ1070" i="1" s="1"/>
  <c r="AD1071" i="1"/>
  <c r="AF1071" i="1" s="1"/>
  <c r="AI1071" i="1"/>
  <c r="AD1072" i="1"/>
  <c r="AI1072" i="1"/>
  <c r="AJ1072" i="1" s="1"/>
  <c r="AD1073" i="1"/>
  <c r="AI1073" i="1"/>
  <c r="AD1074" i="1"/>
  <c r="AF1074" i="1" s="1"/>
  <c r="AI1074" i="1"/>
  <c r="AJ1074" i="1" s="1"/>
  <c r="AD1075" i="1"/>
  <c r="AI1075" i="1"/>
  <c r="AJ1075" i="1" s="1"/>
  <c r="AD1076" i="1"/>
  <c r="AF1076" i="1" s="1"/>
  <c r="AI1076" i="1"/>
  <c r="AD1077" i="1"/>
  <c r="AI1077" i="1"/>
  <c r="AJ1077" i="1" s="1"/>
  <c r="AD1078" i="1"/>
  <c r="AI1078" i="1"/>
  <c r="AJ1078" i="1" s="1"/>
  <c r="AD1079" i="1"/>
  <c r="AF1079" i="1" s="1"/>
  <c r="AI1079" i="1"/>
  <c r="AD1080" i="1"/>
  <c r="AI1080" i="1"/>
  <c r="AJ1080" i="1" s="1"/>
  <c r="AD1081" i="1"/>
  <c r="AF1081" i="1" s="1"/>
  <c r="AI1081" i="1"/>
  <c r="AJ1081" i="1" s="1"/>
  <c r="AD1082" i="1"/>
  <c r="AI1082" i="1"/>
  <c r="AJ1082" i="1" s="1"/>
  <c r="AD1083" i="1"/>
  <c r="AF1083" i="1" s="1"/>
  <c r="AI1083" i="1"/>
  <c r="AD1084" i="1"/>
  <c r="AF1084" i="1" s="1"/>
  <c r="AI1084" i="1"/>
  <c r="AD1085" i="1"/>
  <c r="AI1085" i="1"/>
  <c r="AJ1085" i="1" s="1"/>
  <c r="AD1086" i="1"/>
  <c r="AI1086" i="1"/>
  <c r="AD1087" i="1"/>
  <c r="AF1087" i="1" s="1"/>
  <c r="AI1087" i="1"/>
  <c r="AJ1087" i="1" s="1"/>
  <c r="AD1088" i="1"/>
  <c r="AI1088" i="1"/>
  <c r="AJ1088" i="1" s="1"/>
  <c r="AD1089" i="1"/>
  <c r="AF1089" i="1" s="1"/>
  <c r="AI1089" i="1"/>
  <c r="AD1090" i="1"/>
  <c r="AF1090" i="1" s="1"/>
  <c r="AI1090" i="1"/>
  <c r="AD1091" i="1"/>
  <c r="AI1091" i="1"/>
  <c r="AJ1091" i="1" s="1"/>
  <c r="AD1092" i="1"/>
  <c r="AI1092" i="1"/>
  <c r="AD1093" i="1"/>
  <c r="AF1093" i="1" s="1"/>
  <c r="AI1093" i="1"/>
  <c r="AJ1093" i="1" s="1"/>
  <c r="AD1094" i="1"/>
  <c r="AI1094" i="1"/>
  <c r="AJ1094" i="1" s="1"/>
  <c r="AD1095" i="1"/>
  <c r="AF1095" i="1" s="1"/>
  <c r="AI1095" i="1"/>
  <c r="AD1096" i="1"/>
  <c r="AF1096" i="1" s="1"/>
  <c r="AI1096" i="1"/>
  <c r="AD1097" i="1"/>
  <c r="AI1097" i="1"/>
  <c r="AJ1097" i="1" s="1"/>
  <c r="AD1098" i="1"/>
  <c r="AI1098" i="1"/>
  <c r="AD1099" i="1"/>
  <c r="AF1099" i="1" s="1"/>
  <c r="AI1099" i="1"/>
  <c r="AJ1099" i="1" s="1"/>
  <c r="AD1100" i="1"/>
  <c r="AI1100" i="1"/>
  <c r="AJ1100" i="1" s="1"/>
  <c r="AD1101" i="1"/>
  <c r="AF1101" i="1" s="1"/>
  <c r="AI1101" i="1"/>
  <c r="AD1102" i="1"/>
  <c r="AF1102" i="1" s="1"/>
  <c r="AI1102" i="1"/>
  <c r="AD1103" i="1"/>
  <c r="AI1103" i="1"/>
  <c r="AJ1103" i="1" s="1"/>
  <c r="AD1104" i="1"/>
  <c r="AI1104" i="1"/>
  <c r="AD1105" i="1"/>
  <c r="AF1105" i="1" s="1"/>
  <c r="AI1105" i="1"/>
  <c r="AJ1105" i="1" s="1"/>
  <c r="AD1106" i="1"/>
  <c r="AI1106" i="1"/>
  <c r="AJ1106" i="1" s="1"/>
  <c r="AD1107" i="1"/>
  <c r="AF1107" i="1" s="1"/>
  <c r="AI1107" i="1"/>
  <c r="AJ1107" i="1" s="1"/>
  <c r="AD1108" i="1"/>
  <c r="AF1108" i="1" s="1"/>
  <c r="AI1108" i="1"/>
  <c r="AD1109" i="1"/>
  <c r="AI1109" i="1"/>
  <c r="AJ1109" i="1" s="1"/>
  <c r="AD1110" i="1"/>
  <c r="AF1110" i="1" s="1"/>
  <c r="AI1110" i="1"/>
  <c r="AJ1110" i="1" s="1"/>
  <c r="AD1111" i="1"/>
  <c r="AG1111" i="1" s="1"/>
  <c r="AI1111" i="1"/>
  <c r="AJ1111" i="1" s="1"/>
  <c r="AD1112" i="1"/>
  <c r="AG1112" i="1" s="1"/>
  <c r="AI1112" i="1"/>
  <c r="AJ1112" i="1" s="1"/>
  <c r="AD1113" i="1"/>
  <c r="AG1113" i="1" s="1"/>
  <c r="AI1113" i="1"/>
  <c r="AJ1113" i="1" s="1"/>
  <c r="AD1114" i="1"/>
  <c r="AG1114" i="1" s="1"/>
  <c r="AI1114" i="1"/>
  <c r="AJ1114" i="1" s="1"/>
  <c r="AD1115" i="1"/>
  <c r="AG1115" i="1" s="1"/>
  <c r="AI1115" i="1"/>
  <c r="AJ1115" i="1" s="1"/>
  <c r="AD1116" i="1"/>
  <c r="AG1116" i="1" s="1"/>
  <c r="AI1116" i="1"/>
  <c r="AJ1116" i="1" s="1"/>
  <c r="AD1117" i="1"/>
  <c r="AG1117" i="1" s="1"/>
  <c r="AI1117" i="1"/>
  <c r="AJ1117" i="1" s="1"/>
  <c r="AD1118" i="1"/>
  <c r="AG1118" i="1" s="1"/>
  <c r="AI1118" i="1"/>
  <c r="AJ1118" i="1" s="1"/>
  <c r="AD1119" i="1"/>
  <c r="AG1119" i="1" s="1"/>
  <c r="AI1119" i="1"/>
  <c r="AJ1119" i="1" s="1"/>
  <c r="AD1120" i="1"/>
  <c r="AG1120" i="1" s="1"/>
  <c r="AI1120" i="1"/>
  <c r="AJ1120" i="1" s="1"/>
  <c r="AD1121" i="1"/>
  <c r="AG1121" i="1" s="1"/>
  <c r="AI1121" i="1"/>
  <c r="AJ1121" i="1" s="1"/>
  <c r="AD1122" i="1"/>
  <c r="AG1122" i="1" s="1"/>
  <c r="AI1122" i="1"/>
  <c r="AJ1122" i="1" s="1"/>
  <c r="AD1123" i="1"/>
  <c r="AG1123" i="1" s="1"/>
  <c r="AI1123" i="1"/>
  <c r="AJ1123" i="1" s="1"/>
  <c r="AD1124" i="1"/>
  <c r="AG1124" i="1" s="1"/>
  <c r="AI1124" i="1"/>
  <c r="AJ1124" i="1" s="1"/>
  <c r="AD1125" i="1"/>
  <c r="AG1125" i="1" s="1"/>
  <c r="AI1125" i="1"/>
  <c r="AJ1125" i="1" s="1"/>
  <c r="AD1126" i="1"/>
  <c r="AG1126" i="1" s="1"/>
  <c r="AI1126" i="1"/>
  <c r="AJ1126" i="1" s="1"/>
  <c r="AD1127" i="1"/>
  <c r="AG1127" i="1" s="1"/>
  <c r="AI1127" i="1"/>
  <c r="AJ1127" i="1" s="1"/>
  <c r="AD1128" i="1"/>
  <c r="AG1128" i="1" s="1"/>
  <c r="AI1128" i="1"/>
  <c r="AJ1128" i="1" s="1"/>
  <c r="AD1129" i="1"/>
  <c r="AG1129" i="1" s="1"/>
  <c r="AI1129" i="1"/>
  <c r="AJ1129" i="1" s="1"/>
  <c r="AD1130" i="1"/>
  <c r="AG1130" i="1" s="1"/>
  <c r="AI1130" i="1"/>
  <c r="AJ1130" i="1" s="1"/>
  <c r="AF916" i="1" l="1"/>
  <c r="AG1065" i="1"/>
  <c r="AH1065" i="1" s="1"/>
  <c r="AF945" i="1"/>
  <c r="AF901" i="1"/>
  <c r="AG1037" i="1"/>
  <c r="AH1037" i="1" s="1"/>
  <c r="AG1083" i="1"/>
  <c r="AH1083" i="1" s="1"/>
  <c r="AF966" i="1"/>
  <c r="AH897" i="1"/>
  <c r="AF985" i="1"/>
  <c r="AF1046" i="1"/>
  <c r="AG1002" i="1"/>
  <c r="AH1002" i="1" s="1"/>
  <c r="AF1026" i="1"/>
  <c r="AF1014" i="1"/>
  <c r="AG952" i="1"/>
  <c r="AH952" i="1" s="1"/>
  <c r="AG963" i="1"/>
  <c r="AH963" i="1" s="1"/>
  <c r="AF906" i="1"/>
  <c r="AF1023" i="1"/>
  <c r="AF937" i="1"/>
  <c r="AF1001" i="1"/>
  <c r="AF976" i="1"/>
  <c r="AF946" i="1"/>
  <c r="AG1089" i="1"/>
  <c r="AH1089" i="1" s="1"/>
  <c r="AG1071" i="1"/>
  <c r="AH1071" i="1" s="1"/>
  <c r="AF1005" i="1"/>
  <c r="AH936" i="1"/>
  <c r="AF930" i="1"/>
  <c r="AG1052" i="1"/>
  <c r="AH1052" i="1" s="1"/>
  <c r="AF1032" i="1"/>
  <c r="AF1020" i="1"/>
  <c r="AF1008" i="1"/>
  <c r="AF936" i="1"/>
  <c r="AF1011" i="1"/>
  <c r="AG998" i="1"/>
  <c r="AH998" i="1" s="1"/>
  <c r="AF934" i="1"/>
  <c r="AG1043" i="1"/>
  <c r="AH1043" i="1" s="1"/>
  <c r="AF1029" i="1"/>
  <c r="AG978" i="1"/>
  <c r="AH978" i="1" s="1"/>
  <c r="AF955" i="1"/>
  <c r="AF953" i="1"/>
  <c r="AF951" i="1"/>
  <c r="AF932" i="1"/>
  <c r="AF924" i="1"/>
  <c r="AF905" i="1"/>
  <c r="AG954" i="1"/>
  <c r="AH954" i="1" s="1"/>
  <c r="AH906" i="1"/>
  <c r="AH1124" i="1"/>
  <c r="AH1115" i="1"/>
  <c r="AF1040" i="1"/>
  <c r="AF969" i="1"/>
  <c r="AH966" i="1"/>
  <c r="AF928" i="1"/>
  <c r="AF926" i="1"/>
  <c r="AF895" i="1"/>
  <c r="AF893" i="1"/>
  <c r="AF891" i="1"/>
  <c r="AH911" i="1"/>
  <c r="AF894" i="1"/>
  <c r="AG1062" i="1"/>
  <c r="AH1062" i="1" s="1"/>
  <c r="AG1050" i="1"/>
  <c r="AH1050" i="1" s="1"/>
  <c r="AF1034" i="1"/>
  <c r="AF1019" i="1"/>
  <c r="AF1017" i="1"/>
  <c r="AF987" i="1"/>
  <c r="AF1129" i="1"/>
  <c r="AH1127" i="1"/>
  <c r="AF1120" i="1"/>
  <c r="AH1118" i="1"/>
  <c r="AF1111" i="1"/>
  <c r="AG1070" i="1"/>
  <c r="AH1070" i="1" s="1"/>
  <c r="AG1068" i="1"/>
  <c r="AH1068" i="1" s="1"/>
  <c r="AF1042" i="1"/>
  <c r="AG1033" i="1"/>
  <c r="AH1033" i="1" s="1"/>
  <c r="AF1025" i="1"/>
  <c r="AG1016" i="1"/>
  <c r="AH1016" i="1" s="1"/>
  <c r="AF1007" i="1"/>
  <c r="AG990" i="1"/>
  <c r="AH990" i="1" s="1"/>
  <c r="AG986" i="1"/>
  <c r="AH986" i="1" s="1"/>
  <c r="AF984" i="1"/>
  <c r="AG982" i="1"/>
  <c r="AH982" i="1" s="1"/>
  <c r="AG975" i="1"/>
  <c r="AH975" i="1" s="1"/>
  <c r="AF962" i="1"/>
  <c r="AG960" i="1"/>
  <c r="AH960" i="1" s="1"/>
  <c r="AG958" i="1"/>
  <c r="AH958" i="1" s="1"/>
  <c r="AF948" i="1"/>
  <c r="AG944" i="1"/>
  <c r="AH944" i="1" s="1"/>
  <c r="AG935" i="1"/>
  <c r="AH935" i="1" s="1"/>
  <c r="AG929" i="1"/>
  <c r="AH929" i="1" s="1"/>
  <c r="AG925" i="1"/>
  <c r="AH925" i="1" s="1"/>
  <c r="AG898" i="1"/>
  <c r="AH898" i="1" s="1"/>
  <c r="AF996" i="1"/>
  <c r="AG994" i="1"/>
  <c r="AH994" i="1" s="1"/>
  <c r="AH976" i="1"/>
  <c r="AF949" i="1"/>
  <c r="AG908" i="1"/>
  <c r="AH908" i="1" s="1"/>
  <c r="AF896" i="1"/>
  <c r="AF1126" i="1"/>
  <c r="AF1117" i="1"/>
  <c r="AF1049" i="1"/>
  <c r="AG1045" i="1"/>
  <c r="AH1045" i="1" s="1"/>
  <c r="AF1036" i="1"/>
  <c r="AG1028" i="1"/>
  <c r="AH1028" i="1" s="1"/>
  <c r="AG1010" i="1"/>
  <c r="AH1010" i="1" s="1"/>
  <c r="AG981" i="1"/>
  <c r="AH981" i="1" s="1"/>
  <c r="AH953" i="1"/>
  <c r="AH1130" i="1"/>
  <c r="AF1123" i="1"/>
  <c r="AH1121" i="1"/>
  <c r="AF1114" i="1"/>
  <c r="AH1112" i="1"/>
  <c r="AG1101" i="1"/>
  <c r="AH1101" i="1" s="1"/>
  <c r="AG1064" i="1"/>
  <c r="AH1064" i="1" s="1"/>
  <c r="AG1039" i="1"/>
  <c r="AH1039" i="1" s="1"/>
  <c r="AF1031" i="1"/>
  <c r="AG1022" i="1"/>
  <c r="AH1022" i="1" s="1"/>
  <c r="AF1013" i="1"/>
  <c r="AG1004" i="1"/>
  <c r="AH1004" i="1" s="1"/>
  <c r="AG995" i="1"/>
  <c r="AH995" i="1" s="1"/>
  <c r="AF993" i="1"/>
  <c r="AF989" i="1"/>
  <c r="AF979" i="1"/>
  <c r="AF972" i="1"/>
  <c r="AG970" i="1"/>
  <c r="AH970" i="1" s="1"/>
  <c r="AH961" i="1"/>
  <c r="AH924" i="1"/>
  <c r="AF897" i="1"/>
  <c r="AF1130" i="1"/>
  <c r="AF1127" i="1"/>
  <c r="AF1124" i="1"/>
  <c r="AF1121" i="1"/>
  <c r="AF1118" i="1"/>
  <c r="AF1115" i="1"/>
  <c r="AF1112" i="1"/>
  <c r="AG1095" i="1"/>
  <c r="AH1095" i="1" s="1"/>
  <c r="AG1079" i="1"/>
  <c r="AH1079" i="1" s="1"/>
  <c r="AG1076" i="1"/>
  <c r="AH1076" i="1" s="1"/>
  <c r="AG1058" i="1"/>
  <c r="AH1058" i="1" s="1"/>
  <c r="AG1056" i="1"/>
  <c r="AH1056" i="1" s="1"/>
  <c r="AF1051" i="1"/>
  <c r="AH1040" i="1"/>
  <c r="AH1034" i="1"/>
  <c r="AH1029" i="1"/>
  <c r="AH1023" i="1"/>
  <c r="AH1017" i="1"/>
  <c r="AH1011" i="1"/>
  <c r="AH1005" i="1"/>
  <c r="AF977" i="1"/>
  <c r="AF964" i="1"/>
  <c r="AF961" i="1"/>
  <c r="AH957" i="1"/>
  <c r="AG943" i="1"/>
  <c r="AH943" i="1" s="1"/>
  <c r="AG941" i="1"/>
  <c r="AH941" i="1" s="1"/>
  <c r="AF922" i="1"/>
  <c r="AF920" i="1"/>
  <c r="AF913" i="1"/>
  <c r="AF911" i="1"/>
  <c r="AF892" i="1"/>
  <c r="AF888" i="1"/>
  <c r="AF1128" i="1"/>
  <c r="AF1125" i="1"/>
  <c r="AF1122" i="1"/>
  <c r="AF1119" i="1"/>
  <c r="AF1116" i="1"/>
  <c r="AF1113" i="1"/>
  <c r="AG1107" i="1"/>
  <c r="AH1107" i="1" s="1"/>
  <c r="AG1053" i="1"/>
  <c r="AH1053" i="1" s="1"/>
  <c r="AG1044" i="1"/>
  <c r="AH1044" i="1" s="1"/>
  <c r="AG1038" i="1"/>
  <c r="AH1038" i="1" s="1"/>
  <c r="AG1027" i="1"/>
  <c r="AH1027" i="1" s="1"/>
  <c r="AG1021" i="1"/>
  <c r="AH1021" i="1" s="1"/>
  <c r="AG1015" i="1"/>
  <c r="AH1015" i="1" s="1"/>
  <c r="AG1009" i="1"/>
  <c r="AH1009" i="1" s="1"/>
  <c r="AG1003" i="1"/>
  <c r="AH1003" i="1" s="1"/>
  <c r="AG999" i="1"/>
  <c r="AH999" i="1" s="1"/>
  <c r="AJ966" i="1"/>
  <c r="AG942" i="1"/>
  <c r="AH942" i="1" s="1"/>
  <c r="AG938" i="1"/>
  <c r="AH938" i="1" s="1"/>
  <c r="AG904" i="1"/>
  <c r="AH904" i="1" s="1"/>
  <c r="AH1113" i="1"/>
  <c r="AG1074" i="1"/>
  <c r="AH1074" i="1" s="1"/>
  <c r="AG1059" i="1"/>
  <c r="AH1059" i="1" s="1"/>
  <c r="AG1047" i="1"/>
  <c r="AH1047" i="1" s="1"/>
  <c r="AG1041" i="1"/>
  <c r="AH1041" i="1" s="1"/>
  <c r="AG1035" i="1"/>
  <c r="AH1035" i="1" s="1"/>
  <c r="AG1030" i="1"/>
  <c r="AH1030" i="1" s="1"/>
  <c r="AG1024" i="1"/>
  <c r="AH1024" i="1" s="1"/>
  <c r="AG1018" i="1"/>
  <c r="AH1018" i="1" s="1"/>
  <c r="AG1012" i="1"/>
  <c r="AH1012" i="1" s="1"/>
  <c r="AG1006" i="1"/>
  <c r="AH1006" i="1" s="1"/>
  <c r="AG1000" i="1"/>
  <c r="AH1000" i="1" s="1"/>
  <c r="AG992" i="1"/>
  <c r="AH992" i="1" s="1"/>
  <c r="AF940" i="1"/>
  <c r="AF919" i="1"/>
  <c r="AF914" i="1"/>
  <c r="AH891" i="1"/>
  <c r="AH977" i="1"/>
  <c r="AH972" i="1"/>
  <c r="AH916" i="1"/>
  <c r="AH896" i="1"/>
  <c r="AJ1102" i="1"/>
  <c r="AJ1092" i="1"/>
  <c r="AJ1084" i="1"/>
  <c r="AF1075" i="1"/>
  <c r="AG1075" i="1"/>
  <c r="AH1075" i="1" s="1"/>
  <c r="AF1060" i="1"/>
  <c r="AG1060" i="1"/>
  <c r="AH1060" i="1" s="1"/>
  <c r="AJ1053" i="1"/>
  <c r="AJ1044" i="1"/>
  <c r="AJ1038" i="1"/>
  <c r="AJ1027" i="1"/>
  <c r="AJ1021" i="1"/>
  <c r="AJ1015" i="1"/>
  <c r="AJ1009" i="1"/>
  <c r="AJ1003" i="1"/>
  <c r="AJ981" i="1"/>
  <c r="AG980" i="1"/>
  <c r="AH980" i="1" s="1"/>
  <c r="AG974" i="1"/>
  <c r="AH974" i="1" s="1"/>
  <c r="AF974" i="1"/>
  <c r="AF1100" i="1"/>
  <c r="AG1100" i="1"/>
  <c r="AH1100" i="1" s="1"/>
  <c r="AF1092" i="1"/>
  <c r="AG1092" i="1"/>
  <c r="AH1092" i="1" s="1"/>
  <c r="AF1082" i="1"/>
  <c r="AG1082" i="1"/>
  <c r="AH1082" i="1" s="1"/>
  <c r="AF1080" i="1"/>
  <c r="AG1080" i="1"/>
  <c r="AH1080" i="1" s="1"/>
  <c r="AF1066" i="1"/>
  <c r="AG1066" i="1"/>
  <c r="AH1066" i="1" s="1"/>
  <c r="AJ1055" i="1"/>
  <c r="AF967" i="1"/>
  <c r="AG967" i="1"/>
  <c r="AH967" i="1" s="1"/>
  <c r="AJ1104" i="1"/>
  <c r="AJ1096" i="1"/>
  <c r="AJ1086" i="1"/>
  <c r="AF1072" i="1"/>
  <c r="AG1072" i="1"/>
  <c r="AH1072" i="1" s="1"/>
  <c r="AJ1065" i="1"/>
  <c r="AJ1061" i="1"/>
  <c r="AF1055" i="1"/>
  <c r="AG1055" i="1"/>
  <c r="AH1055" i="1" s="1"/>
  <c r="AF983" i="1"/>
  <c r="AG983" i="1"/>
  <c r="AH983" i="1" s="1"/>
  <c r="AJ1059" i="1"/>
  <c r="AG890" i="1"/>
  <c r="AH890" i="1" s="1"/>
  <c r="AF890" i="1"/>
  <c r="AF1109" i="1"/>
  <c r="AG1109" i="1"/>
  <c r="AH1109" i="1" s="1"/>
  <c r="AF1104" i="1"/>
  <c r="AG1104" i="1"/>
  <c r="AH1104" i="1" s="1"/>
  <c r="AF1094" i="1"/>
  <c r="AG1094" i="1"/>
  <c r="AH1094" i="1" s="1"/>
  <c r="AF1091" i="1"/>
  <c r="AG1091" i="1"/>
  <c r="AH1091" i="1" s="1"/>
  <c r="AF1086" i="1"/>
  <c r="AG1086" i="1"/>
  <c r="AH1086" i="1" s="1"/>
  <c r="AF1078" i="1"/>
  <c r="AG1078" i="1"/>
  <c r="AH1078" i="1" s="1"/>
  <c r="AF1077" i="1"/>
  <c r="AG1077" i="1"/>
  <c r="AH1077" i="1" s="1"/>
  <c r="AJ1071" i="1"/>
  <c r="AJ1067" i="1"/>
  <c r="AF1061" i="1"/>
  <c r="AG1061" i="1"/>
  <c r="AH1061" i="1" s="1"/>
  <c r="AF1057" i="1"/>
  <c r="AG1057" i="1"/>
  <c r="AH1057" i="1" s="1"/>
  <c r="AH1051" i="1"/>
  <c r="AJ1051" i="1"/>
  <c r="AJ995" i="1"/>
  <c r="AF988" i="1"/>
  <c r="AG988" i="1"/>
  <c r="AH988" i="1" s="1"/>
  <c r="AH984" i="1"/>
  <c r="AJ984" i="1"/>
  <c r="AF973" i="1"/>
  <c r="AG973" i="1"/>
  <c r="AH973" i="1" s="1"/>
  <c r="AJ968" i="1"/>
  <c r="AG910" i="1"/>
  <c r="AH910" i="1" s="1"/>
  <c r="AF910" i="1"/>
  <c r="AG903" i="1"/>
  <c r="AH903" i="1" s="1"/>
  <c r="AF903" i="1"/>
  <c r="AG887" i="1"/>
  <c r="AH887" i="1" s="1"/>
  <c r="AF887" i="1"/>
  <c r="AJ1108" i="1"/>
  <c r="AJ1098" i="1"/>
  <c r="AJ1090" i="1"/>
  <c r="AJ1076" i="1"/>
  <c r="AJ1073" i="1"/>
  <c r="AF1067" i="1"/>
  <c r="AG1067" i="1"/>
  <c r="AH1067" i="1" s="1"/>
  <c r="AF1063" i="1"/>
  <c r="AG1063" i="1"/>
  <c r="AH1063" i="1" s="1"/>
  <c r="AH1046" i="1"/>
  <c r="AJ1046" i="1"/>
  <c r="AF997" i="1"/>
  <c r="AG997" i="1"/>
  <c r="AH997" i="1" s="1"/>
  <c r="AH987" i="1"/>
  <c r="AJ987" i="1"/>
  <c r="AG968" i="1"/>
  <c r="AH968" i="1" s="1"/>
  <c r="AF968" i="1"/>
  <c r="AF1097" i="1"/>
  <c r="AG1097" i="1"/>
  <c r="AH1097" i="1" s="1"/>
  <c r="AF1106" i="1"/>
  <c r="AG1106" i="1"/>
  <c r="AH1106" i="1" s="1"/>
  <c r="AF1103" i="1"/>
  <c r="AG1103" i="1"/>
  <c r="AH1103" i="1" s="1"/>
  <c r="AF1098" i="1"/>
  <c r="AG1098" i="1"/>
  <c r="AH1098" i="1" s="1"/>
  <c r="AF1088" i="1"/>
  <c r="AG1088" i="1"/>
  <c r="AH1088" i="1" s="1"/>
  <c r="AF1085" i="1"/>
  <c r="AG1085" i="1"/>
  <c r="AH1085" i="1" s="1"/>
  <c r="AF1073" i="1"/>
  <c r="AG1073" i="1"/>
  <c r="AH1073" i="1" s="1"/>
  <c r="AF1069" i="1"/>
  <c r="AG1069" i="1"/>
  <c r="AH1069" i="1" s="1"/>
  <c r="AF1054" i="1"/>
  <c r="AG1054" i="1"/>
  <c r="AH1054" i="1" s="1"/>
  <c r="AG1048" i="1"/>
  <c r="AH1048" i="1" s="1"/>
  <c r="AF1048" i="1"/>
  <c r="AF991" i="1"/>
  <c r="AG991" i="1"/>
  <c r="AH991" i="1" s="1"/>
  <c r="AJ974" i="1"/>
  <c r="AF971" i="1"/>
  <c r="AG971" i="1"/>
  <c r="AH971" i="1" s="1"/>
  <c r="AH1129" i="1"/>
  <c r="AH1126" i="1"/>
  <c r="AH1123" i="1"/>
  <c r="AH1120" i="1"/>
  <c r="AH1117" i="1"/>
  <c r="AH1114" i="1"/>
  <c r="AH1111" i="1"/>
  <c r="AH1042" i="1"/>
  <c r="AJ1042" i="1"/>
  <c r="AH1036" i="1"/>
  <c r="AJ1036" i="1"/>
  <c r="AH1031" i="1"/>
  <c r="AJ1031" i="1"/>
  <c r="AH1025" i="1"/>
  <c r="AJ1025" i="1"/>
  <c r="AH1019" i="1"/>
  <c r="AJ1019" i="1"/>
  <c r="AH1013" i="1"/>
  <c r="AJ1013" i="1"/>
  <c r="AH1007" i="1"/>
  <c r="AJ1007" i="1"/>
  <c r="AH1001" i="1"/>
  <c r="AJ1001" i="1"/>
  <c r="AG918" i="1"/>
  <c r="AH918" i="1" s="1"/>
  <c r="AF918" i="1"/>
  <c r="AJ990" i="1"/>
  <c r="AG931" i="1"/>
  <c r="AH931" i="1" s="1"/>
  <c r="AF931" i="1"/>
  <c r="AH1128" i="1"/>
  <c r="AH1125" i="1"/>
  <c r="AH1122" i="1"/>
  <c r="AH1119" i="1"/>
  <c r="AH1116" i="1"/>
  <c r="AG1108" i="1"/>
  <c r="AH1108" i="1" s="1"/>
  <c r="AG1105" i="1"/>
  <c r="AH1105" i="1" s="1"/>
  <c r="AG1102" i="1"/>
  <c r="AH1102" i="1" s="1"/>
  <c r="AG1099" i="1"/>
  <c r="AH1099" i="1" s="1"/>
  <c r="AG1096" i="1"/>
  <c r="AH1096" i="1" s="1"/>
  <c r="AG1093" i="1"/>
  <c r="AH1093" i="1" s="1"/>
  <c r="AG1090" i="1"/>
  <c r="AH1090" i="1" s="1"/>
  <c r="AG1087" i="1"/>
  <c r="AH1087" i="1" s="1"/>
  <c r="AG1084" i="1"/>
  <c r="AH1084" i="1" s="1"/>
  <c r="AG1081" i="1"/>
  <c r="AH1081" i="1" s="1"/>
  <c r="AJ999" i="1"/>
  <c r="AH993" i="1"/>
  <c r="AJ993" i="1"/>
  <c r="AH979" i="1"/>
  <c r="AJ979" i="1"/>
  <c r="AJ970" i="1"/>
  <c r="AH964" i="1"/>
  <c r="AJ964" i="1"/>
  <c r="AG923" i="1"/>
  <c r="AH923" i="1" s="1"/>
  <c r="AF923" i="1"/>
  <c r="AH1049" i="1"/>
  <c r="AH996" i="1"/>
  <c r="AG907" i="1"/>
  <c r="AH907" i="1" s="1"/>
  <c r="AF907" i="1"/>
  <c r="AG900" i="1"/>
  <c r="AH900" i="1" s="1"/>
  <c r="AF900" i="1"/>
  <c r="AH1032" i="1"/>
  <c r="AH1026" i="1"/>
  <c r="AH1020" i="1"/>
  <c r="AH1014" i="1"/>
  <c r="AH1008" i="1"/>
  <c r="AH989" i="1"/>
  <c r="AH985" i="1"/>
  <c r="AH969" i="1"/>
  <c r="AH948" i="1"/>
  <c r="AH940" i="1"/>
  <c r="AH928" i="1"/>
  <c r="AH905" i="1"/>
  <c r="AG965" i="1"/>
  <c r="AH965" i="1" s="1"/>
  <c r="AG959" i="1"/>
  <c r="AH959" i="1" s="1"/>
  <c r="AH955" i="1"/>
  <c r="AH951" i="1"/>
  <c r="AH934" i="1"/>
  <c r="AH930" i="1"/>
  <c r="AG917" i="1"/>
  <c r="AH917" i="1" s="1"/>
  <c r="AG912" i="1"/>
  <c r="AH912" i="1" s="1"/>
  <c r="AG909" i="1"/>
  <c r="AH909" i="1" s="1"/>
  <c r="AG902" i="1"/>
  <c r="AH902" i="1" s="1"/>
  <c r="AG899" i="1"/>
  <c r="AH899" i="1" s="1"/>
  <c r="AG889" i="1"/>
  <c r="AH889" i="1" s="1"/>
  <c r="AG886" i="1"/>
  <c r="AH886" i="1" s="1"/>
  <c r="AF957" i="1"/>
  <c r="AH922" i="1"/>
  <c r="AH962" i="1"/>
  <c r="AH945" i="1"/>
  <c r="AG1110" i="1"/>
  <c r="AH1110" i="1" s="1"/>
  <c r="AJ1101" i="1"/>
  <c r="AJ1095" i="1"/>
  <c r="AJ1089" i="1"/>
  <c r="AJ1083" i="1"/>
  <c r="AJ1079" i="1"/>
  <c r="AJ1058" i="1"/>
  <c r="AJ994" i="1"/>
  <c r="AJ988" i="1"/>
  <c r="AJ982" i="1"/>
  <c r="AJ976" i="1"/>
  <c r="AG921" i="1"/>
  <c r="AH921" i="1" s="1"/>
  <c r="AF921" i="1"/>
  <c r="AH919" i="1"/>
  <c r="AG947" i="1"/>
  <c r="AH947" i="1" s="1"/>
  <c r="AF947" i="1"/>
  <c r="AG939" i="1"/>
  <c r="AH939" i="1" s="1"/>
  <c r="AF939" i="1"/>
  <c r="AH937" i="1"/>
  <c r="AG927" i="1"/>
  <c r="AH927" i="1" s="1"/>
  <c r="AF927" i="1"/>
  <c r="AH892" i="1"/>
  <c r="AJ997" i="1"/>
  <c r="AJ991" i="1"/>
  <c r="AJ985" i="1"/>
  <c r="AG915" i="1"/>
  <c r="AH915" i="1" s="1"/>
  <c r="AF915" i="1"/>
  <c r="AH913" i="1"/>
  <c r="AG956" i="1"/>
  <c r="AH956" i="1" s="1"/>
  <c r="AF956" i="1"/>
  <c r="AG950" i="1"/>
  <c r="AH950" i="1" s="1"/>
  <c r="AF950" i="1"/>
  <c r="AG933" i="1"/>
  <c r="AH933" i="1" s="1"/>
  <c r="AF933" i="1"/>
  <c r="AH949" i="1"/>
  <c r="AH946" i="1"/>
  <c r="AH932" i="1"/>
  <c r="AH926" i="1"/>
  <c r="AH920" i="1"/>
  <c r="AH914" i="1"/>
  <c r="AH893" i="1"/>
  <c r="AH894" i="1"/>
  <c r="AH888" i="1"/>
  <c r="AH901" i="1"/>
  <c r="AH895" i="1"/>
  <c r="B886" i="1"/>
  <c r="B887" i="1"/>
  <c r="B888" i="1"/>
  <c r="B889" i="1"/>
  <c r="B890" i="1"/>
  <c r="B891" i="1"/>
  <c r="B892" i="1"/>
  <c r="B121" i="1" l="1"/>
  <c r="B120" i="1"/>
  <c r="B119" i="1"/>
  <c r="B118" i="1"/>
  <c r="B117" i="1"/>
  <c r="B116" i="1"/>
  <c r="B115" i="1"/>
  <c r="B114" i="1"/>
  <c r="B113" i="1"/>
  <c r="B112" i="1"/>
  <c r="B111" i="1"/>
  <c r="B110" i="1"/>
  <c r="B105" i="1"/>
  <c r="B106" i="1"/>
  <c r="B107" i="1"/>
  <c r="B108" i="1"/>
  <c r="B109" i="1"/>
  <c r="B104" i="1"/>
  <c r="B103" i="1"/>
  <c r="B102" i="1"/>
  <c r="B101" i="1"/>
  <c r="B100" i="1"/>
  <c r="B99" i="1"/>
  <c r="B98" i="1"/>
  <c r="B97" i="1"/>
  <c r="B96" i="1"/>
  <c r="B95" i="1"/>
  <c r="B94" i="1"/>
  <c r="B88" i="1"/>
  <c r="B89" i="1"/>
  <c r="B90" i="1"/>
  <c r="B91" i="1"/>
  <c r="B92" i="1"/>
  <c r="B93" i="1"/>
  <c r="B87" i="1"/>
  <c r="B86" i="1"/>
  <c r="B85" i="1"/>
  <c r="B84" i="1"/>
  <c r="B83" i="1"/>
  <c r="B82" i="1"/>
  <c r="B81" i="1"/>
  <c r="B80" i="1"/>
  <c r="B79" i="1"/>
  <c r="B77" i="1"/>
  <c r="B78" i="1"/>
  <c r="B76" i="1"/>
  <c r="B75" i="1"/>
  <c r="B74" i="1"/>
  <c r="B73" i="1"/>
  <c r="B72" i="1"/>
  <c r="B71" i="1"/>
  <c r="B70" i="1"/>
  <c r="B69" i="1"/>
  <c r="B68" i="1"/>
  <c r="B67" i="1"/>
  <c r="B66" i="1"/>
  <c r="B65" i="1"/>
  <c r="B55" i="1"/>
  <c r="B56" i="1"/>
  <c r="B57" i="1"/>
  <c r="B58" i="1"/>
  <c r="B59" i="1"/>
  <c r="B60" i="1"/>
  <c r="B61" i="1"/>
  <c r="B62" i="1"/>
  <c r="B63" i="1"/>
  <c r="B64" i="1"/>
  <c r="B54" i="1"/>
  <c r="B53" i="1"/>
  <c r="B52" i="1"/>
  <c r="B51" i="1"/>
  <c r="B50" i="1"/>
  <c r="B49" i="1"/>
  <c r="B48" i="1"/>
  <c r="B47" i="1"/>
  <c r="B46" i="1"/>
  <c r="B45" i="1"/>
  <c r="B38" i="1"/>
  <c r="B39" i="1"/>
  <c r="B40" i="1"/>
  <c r="B41" i="1"/>
  <c r="B42" i="1"/>
  <c r="B43" i="1"/>
  <c r="B44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16" i="1"/>
  <c r="B17" i="1"/>
  <c r="B18" i="1"/>
  <c r="B19" i="1"/>
  <c r="B20" i="1"/>
  <c r="B21" i="1"/>
  <c r="B22" i="1"/>
  <c r="B23" i="1"/>
  <c r="B24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B196" i="1"/>
  <c r="AA783" i="1" l="1"/>
  <c r="AB783" i="1" s="1"/>
  <c r="AA775" i="1"/>
  <c r="AB775" i="1" s="1"/>
  <c r="AA711" i="1"/>
  <c r="AB711" i="1" s="1"/>
  <c r="AA662" i="1"/>
  <c r="AB662" i="1" s="1"/>
  <c r="AA647" i="1"/>
  <c r="AB647" i="1" s="1"/>
  <c r="AA748" i="1"/>
  <c r="AB748" i="1" s="1"/>
  <c r="AA787" i="1"/>
  <c r="AB787" i="1" s="1"/>
  <c r="AA650" i="1"/>
  <c r="AB650" i="1" s="1"/>
  <c r="AA707" i="1"/>
  <c r="AB707" i="1" s="1"/>
  <c r="AA710" i="1"/>
  <c r="AB710" i="1" s="1"/>
  <c r="AA709" i="1"/>
  <c r="AB709" i="1" s="1"/>
  <c r="AA649" i="1"/>
  <c r="AB649" i="1" s="1"/>
  <c r="AA653" i="1"/>
  <c r="AB653" i="1" s="1"/>
  <c r="AA654" i="1"/>
  <c r="AB654" i="1" s="1"/>
  <c r="AA668" i="1"/>
  <c r="AB668" i="1" s="1"/>
  <c r="AA672" i="1"/>
  <c r="AB672" i="1" s="1"/>
  <c r="AA663" i="1"/>
  <c r="AB663" i="1" s="1"/>
  <c r="AA657" i="1"/>
  <c r="AB657" i="1" s="1"/>
  <c r="AA631" i="1"/>
  <c r="AB631" i="1" s="1"/>
  <c r="AA615" i="1"/>
  <c r="AB615" i="1" s="1"/>
  <c r="AA608" i="1"/>
  <c r="AB608" i="1" s="1"/>
  <c r="AA594" i="1"/>
  <c r="AB594" i="1" s="1"/>
  <c r="AA593" i="1"/>
  <c r="AB593" i="1" s="1"/>
  <c r="AA598" i="1"/>
  <c r="AB598" i="1" s="1"/>
  <c r="AA600" i="1"/>
  <c r="AB600" i="1" s="1"/>
  <c r="AA605" i="1"/>
  <c r="AB605" i="1" s="1"/>
  <c r="AA596" i="1"/>
  <c r="AB596" i="1" s="1"/>
  <c r="AA586" i="1"/>
  <c r="AB586" i="1" s="1"/>
  <c r="AA582" i="1"/>
  <c r="AB582" i="1" s="1"/>
  <c r="AA601" i="1"/>
  <c r="AB601" i="1" s="1"/>
  <c r="AA610" i="1"/>
  <c r="AB610" i="1" s="1"/>
  <c r="AA589" i="1"/>
  <c r="AB589" i="1" s="1"/>
  <c r="AA556" i="1"/>
  <c r="AB556" i="1" s="1"/>
  <c r="AA552" i="1"/>
  <c r="AB552" i="1" s="1"/>
  <c r="AA477" i="1"/>
  <c r="AA463" i="1"/>
  <c r="AA395" i="1"/>
  <c r="AA283" i="1"/>
  <c r="AA280" i="1"/>
  <c r="AA213" i="1"/>
  <c r="AA538" i="1"/>
  <c r="AA443" i="1"/>
  <c r="AA239" i="1"/>
  <c r="AA261" i="1"/>
  <c r="AA402" i="1"/>
  <c r="AA282" i="1"/>
  <c r="AA379" i="1"/>
  <c r="AA409" i="1"/>
  <c r="AA235" i="1"/>
  <c r="AA281" i="1"/>
  <c r="AA401" i="1"/>
  <c r="AA306" i="1"/>
  <c r="AA597" i="1"/>
  <c r="AB597" i="1" s="1"/>
  <c r="AA637" i="1"/>
  <c r="AB637" i="1" s="1"/>
  <c r="AA645" i="1"/>
  <c r="AB645" i="1" s="1"/>
  <c r="AA721" i="1"/>
  <c r="AB721" i="1" s="1"/>
  <c r="AA731" i="1"/>
  <c r="AB731" i="1" s="1"/>
  <c r="AA726" i="1"/>
  <c r="AB726" i="1" s="1"/>
  <c r="AA664" i="1"/>
  <c r="AB664" i="1" s="1"/>
  <c r="AA623" i="1"/>
  <c r="AB623" i="1" s="1"/>
  <c r="AA607" i="1"/>
  <c r="AB607" i="1" s="1"/>
  <c r="AA638" i="1"/>
  <c r="AB638" i="1" s="1"/>
  <c r="AA628" i="1"/>
  <c r="AB628" i="1" s="1"/>
  <c r="AA677" i="1"/>
  <c r="AB677" i="1" s="1"/>
  <c r="AA563" i="1"/>
  <c r="AB563" i="1" s="1"/>
  <c r="AA780" i="1"/>
  <c r="AB780" i="1" s="1"/>
  <c r="AA778" i="1"/>
  <c r="AB778" i="1" s="1"/>
  <c r="AA868" i="1"/>
  <c r="AB868" i="1" s="1"/>
  <c r="AA712" i="1"/>
  <c r="AB712" i="1" s="1"/>
  <c r="AA869" i="1"/>
  <c r="AB869" i="1" s="1"/>
  <c r="AA802" i="1"/>
  <c r="AB802" i="1" s="1"/>
  <c r="AA728" i="1"/>
  <c r="AB728" i="1" s="1"/>
  <c r="AA716" i="1"/>
  <c r="AB716" i="1" s="1"/>
  <c r="AA681" i="1"/>
  <c r="AB681" i="1" s="1"/>
  <c r="AA633" i="1"/>
  <c r="AB633" i="1" s="1"/>
  <c r="AA632" i="1"/>
  <c r="AB632" i="1" s="1"/>
  <c r="AA609" i="1"/>
  <c r="AB609" i="1" s="1"/>
  <c r="AA803" i="1" l="1"/>
  <c r="AB803" i="1" s="1"/>
  <c r="AA801" i="1"/>
  <c r="AB801" i="1" s="1"/>
  <c r="AA800" i="1"/>
  <c r="AB800" i="1" s="1"/>
  <c r="AA796" i="1"/>
  <c r="AB796" i="1" s="1"/>
  <c r="AD630" i="1" l="1"/>
  <c r="AD681" i="1"/>
  <c r="AD680" i="1"/>
  <c r="AD659" i="1"/>
  <c r="AD634" i="1"/>
  <c r="AD633" i="1"/>
  <c r="AD632" i="1"/>
  <c r="AD631" i="1"/>
  <c r="AD542" i="1"/>
  <c r="AD213" i="1"/>
  <c r="AA883" i="1"/>
  <c r="AB883" i="1" s="1"/>
  <c r="AD2" i="1" l="1"/>
  <c r="AD794" i="1"/>
  <c r="AD795" i="1"/>
  <c r="AD796" i="1"/>
  <c r="C15" i="7" l="1"/>
  <c r="B15" i="7"/>
  <c r="N4" i="1"/>
  <c r="N10" i="1"/>
  <c r="N13" i="1"/>
  <c r="N14" i="1"/>
  <c r="N15" i="1"/>
  <c r="N16" i="1"/>
  <c r="N18" i="1"/>
  <c r="N19" i="1"/>
  <c r="N20" i="1"/>
  <c r="N24" i="1"/>
  <c r="N25" i="1"/>
  <c r="N26" i="1"/>
  <c r="N29" i="1"/>
  <c r="N32" i="1"/>
  <c r="N34" i="1"/>
  <c r="N36" i="1"/>
  <c r="N37" i="1"/>
  <c r="N39" i="1"/>
  <c r="N40" i="1"/>
  <c r="N42" i="1"/>
  <c r="N43" i="1"/>
  <c r="N45" i="1"/>
  <c r="N46" i="1"/>
  <c r="N48" i="1"/>
  <c r="N49" i="1"/>
  <c r="N51" i="1"/>
  <c r="N53" i="1"/>
  <c r="N54" i="1"/>
  <c r="N56" i="1"/>
  <c r="N59" i="1"/>
  <c r="N66" i="1"/>
  <c r="N67" i="1"/>
  <c r="N70" i="1"/>
  <c r="N71" i="1"/>
  <c r="N72" i="1"/>
  <c r="N73" i="1"/>
  <c r="N74" i="1"/>
  <c r="N75" i="1"/>
  <c r="N80" i="1"/>
  <c r="N81" i="1"/>
  <c r="N83" i="1"/>
  <c r="N84" i="1"/>
  <c r="N86" i="1"/>
  <c r="N89" i="1"/>
  <c r="N90" i="1"/>
  <c r="N91" i="1"/>
  <c r="N92" i="1"/>
  <c r="N93" i="1"/>
  <c r="N95" i="1"/>
  <c r="N96" i="1"/>
  <c r="N97" i="1"/>
  <c r="N98" i="1"/>
  <c r="N100" i="1"/>
  <c r="N103" i="1"/>
  <c r="N104" i="1"/>
  <c r="N105" i="1"/>
  <c r="N107" i="1"/>
  <c r="N108" i="1"/>
  <c r="N110" i="1"/>
  <c r="N111" i="1"/>
  <c r="N113" i="1"/>
  <c r="N115" i="1"/>
  <c r="N116" i="1"/>
  <c r="N117" i="1"/>
  <c r="N119" i="1"/>
  <c r="N120" i="1"/>
  <c r="N559" i="1"/>
  <c r="N561" i="1"/>
  <c r="N572" i="1"/>
  <c r="N573" i="1"/>
  <c r="N587" i="1"/>
  <c r="N589" i="1"/>
  <c r="N603" i="1"/>
  <c r="N604" i="1"/>
  <c r="N617" i="1"/>
  <c r="N619" i="1"/>
  <c r="N621" i="1"/>
  <c r="N630" i="1"/>
  <c r="N631" i="1"/>
  <c r="N669" i="1"/>
  <c r="N691" i="1"/>
  <c r="N693" i="1"/>
  <c r="W803" i="1" l="1"/>
  <c r="X803" i="1" s="1"/>
  <c r="W719" i="1"/>
  <c r="X719" i="1" s="1"/>
  <c r="W461" i="1"/>
  <c r="X461" i="1" s="1"/>
  <c r="W846" i="1"/>
  <c r="X846" i="1" s="1"/>
  <c r="W873" i="1"/>
  <c r="X873" i="1" s="1"/>
  <c r="W884" i="1"/>
  <c r="X884" i="1" s="1"/>
  <c r="W721" i="1"/>
  <c r="X721" i="1" s="1"/>
  <c r="W315" i="1"/>
  <c r="X315" i="1" s="1"/>
  <c r="W838" i="1"/>
  <c r="X838" i="1" s="1"/>
  <c r="W885" i="1"/>
  <c r="X885" i="1" s="1"/>
  <c r="W853" i="1"/>
  <c r="X853" i="1" s="1"/>
  <c r="W573" i="1"/>
  <c r="X573" i="1" s="1"/>
  <c r="W862" i="1"/>
  <c r="X862" i="1" s="1"/>
  <c r="W799" i="1"/>
  <c r="X799" i="1" s="1"/>
  <c r="W791" i="1"/>
  <c r="X791" i="1" s="1"/>
  <c r="W568" i="1"/>
  <c r="X568" i="1" s="1"/>
  <c r="W407" i="1"/>
  <c r="X407" i="1" s="1"/>
  <c r="W785" i="1"/>
  <c r="X785" i="1" s="1"/>
  <c r="W847" i="1"/>
  <c r="X847" i="1" s="1"/>
  <c r="W876" i="1"/>
  <c r="X876" i="1" s="1"/>
  <c r="W788" i="1"/>
  <c r="X788" i="1" s="1"/>
  <c r="W711" i="1"/>
  <c r="X711" i="1" s="1"/>
  <c r="W770" i="1"/>
  <c r="X770" i="1" s="1"/>
  <c r="W831" i="1"/>
  <c r="X831" i="1" s="1"/>
  <c r="W354" i="1"/>
  <c r="X354" i="1" s="1"/>
  <c r="W351" i="1"/>
  <c r="X351" i="1" s="1"/>
  <c r="W311" i="1"/>
  <c r="X311" i="1" s="1"/>
  <c r="W310" i="1"/>
  <c r="X310" i="1" s="1"/>
  <c r="W297" i="1"/>
  <c r="X297" i="1" s="1"/>
  <c r="W284" i="1"/>
  <c r="X284" i="1" s="1"/>
  <c r="W275" i="1"/>
  <c r="X275" i="1" s="1"/>
  <c r="W294" i="1"/>
  <c r="X294" i="1" s="1"/>
  <c r="W350" i="1"/>
  <c r="X350" i="1" s="1"/>
  <c r="W377" i="1"/>
  <c r="X377" i="1" s="1"/>
  <c r="W424" i="1"/>
  <c r="X424" i="1" s="1"/>
  <c r="W431" i="1"/>
  <c r="X431" i="1" s="1"/>
  <c r="W497" i="1"/>
  <c r="X497" i="1" s="1"/>
  <c r="W518" i="1"/>
  <c r="X518" i="1" s="1"/>
  <c r="W509" i="1"/>
  <c r="X509" i="1" s="1"/>
  <c r="W470" i="1"/>
  <c r="X470" i="1" s="1"/>
  <c r="W446" i="1"/>
  <c r="X446" i="1" s="1"/>
  <c r="W434" i="1"/>
  <c r="X434" i="1" s="1"/>
  <c r="W459" i="1"/>
  <c r="X459" i="1" s="1"/>
  <c r="W514" i="1"/>
  <c r="X514" i="1" s="1"/>
  <c r="W491" i="1"/>
  <c r="X491" i="1" s="1"/>
  <c r="W405" i="1"/>
  <c r="X405" i="1" s="1"/>
  <c r="W359" i="1"/>
  <c r="X359" i="1" s="1"/>
  <c r="W306" i="1"/>
  <c r="X306" i="1" s="1"/>
  <c r="W289" i="1"/>
  <c r="X289" i="1" s="1"/>
  <c r="W302" i="1"/>
  <c r="X302" i="1" s="1"/>
  <c r="W260" i="1"/>
  <c r="X260" i="1" s="1"/>
  <c r="W417" i="1"/>
  <c r="X417" i="1" s="1"/>
  <c r="W435" i="1"/>
  <c r="X435" i="1" s="1"/>
  <c r="W400" i="1"/>
  <c r="X400" i="1" s="1"/>
  <c r="W429" i="1"/>
  <c r="X429" i="1" s="1"/>
  <c r="W505" i="1"/>
  <c r="X505" i="1" s="1"/>
  <c r="W513" i="1"/>
  <c r="X513" i="1" s="1"/>
  <c r="W282" i="1"/>
  <c r="X282" i="1" s="1"/>
  <c r="W278" i="1"/>
  <c r="X278" i="1" s="1"/>
  <c r="W357" i="1"/>
  <c r="X357" i="1" s="1"/>
  <c r="W438" i="1"/>
  <c r="X438" i="1" s="1"/>
  <c r="W420" i="1"/>
  <c r="X420" i="1" s="1"/>
  <c r="W393" i="1"/>
  <c r="X393" i="1" s="1"/>
  <c r="P548" i="1"/>
  <c r="P541" i="1"/>
  <c r="P503" i="1"/>
  <c r="P507" i="1"/>
  <c r="P522" i="1"/>
  <c r="P515" i="1"/>
  <c r="P501" i="1"/>
  <c r="P500" i="1"/>
  <c r="P497" i="1"/>
  <c r="P492" i="1"/>
  <c r="P490" i="1"/>
  <c r="P460" i="1"/>
  <c r="P451" i="1"/>
  <c r="P449" i="1"/>
  <c r="P439" i="1"/>
  <c r="P421" i="1"/>
  <c r="P413" i="1"/>
  <c r="P419" i="1"/>
  <c r="P444" i="1"/>
  <c r="P471" i="1"/>
  <c r="P414" i="1"/>
  <c r="P382" i="1"/>
  <c r="P368" i="1"/>
  <c r="P356" i="1"/>
  <c r="P349" i="1"/>
  <c r="P339" i="1"/>
  <c r="P336" i="1"/>
  <c r="P329" i="1"/>
  <c r="P317" i="1"/>
  <c r="P305" i="1"/>
  <c r="P295" i="1"/>
  <c r="P269" i="1"/>
  <c r="P246" i="1"/>
  <c r="P235" i="1"/>
  <c r="P224" i="1"/>
  <c r="P549" i="1"/>
  <c r="P536" i="1"/>
  <c r="P535" i="1"/>
  <c r="P533" i="1"/>
  <c r="P528" i="1"/>
  <c r="P523" i="1"/>
  <c r="P494" i="1"/>
  <c r="P489" i="1"/>
  <c r="P485" i="1"/>
  <c r="P479" i="1"/>
  <c r="P469" i="1"/>
  <c r="P462" i="1"/>
  <c r="P454" i="1"/>
  <c r="P445" i="1"/>
  <c r="P425" i="1"/>
  <c r="P417" i="1"/>
  <c r="P352" i="1"/>
  <c r="P371" i="1"/>
  <c r="P374" i="1"/>
  <c r="P378" i="1"/>
  <c r="P395" i="1"/>
  <c r="P400" i="1"/>
  <c r="P407" i="1"/>
  <c r="P372" i="1"/>
  <c r="P348" i="1"/>
  <c r="P338" i="1"/>
  <c r="P326" i="1"/>
  <c r="P320" i="1"/>
  <c r="P298" i="1"/>
  <c r="P293" i="1"/>
  <c r="P274" i="1"/>
  <c r="P268" i="1"/>
  <c r="P260" i="1"/>
  <c r="P249" i="1"/>
  <c r="P228" i="1"/>
  <c r="P550" i="1"/>
  <c r="P546" i="1"/>
  <c r="P545" i="1"/>
  <c r="P544" i="1"/>
  <c r="P540" i="1"/>
  <c r="P538" i="1"/>
  <c r="P537" i="1"/>
  <c r="P534" i="1"/>
  <c r="P532" i="1"/>
  <c r="P531" i="1"/>
  <c r="P529" i="1"/>
  <c r="P525" i="1"/>
  <c r="P521" i="1"/>
  <c r="P518" i="1"/>
  <c r="P514" i="1"/>
  <c r="P511" i="1"/>
  <c r="P510" i="1"/>
  <c r="P506" i="1"/>
  <c r="P504" i="1"/>
  <c r="P502" i="1"/>
  <c r="P499" i="1"/>
  <c r="P498" i="1"/>
  <c r="P496" i="1"/>
  <c r="P493" i="1"/>
  <c r="P488" i="1"/>
  <c r="P487" i="1"/>
  <c r="P482" i="1"/>
  <c r="P481" i="1"/>
  <c r="P478" i="1"/>
  <c r="P477" i="1"/>
  <c r="P474" i="1"/>
  <c r="P472" i="1"/>
  <c r="P470" i="1"/>
  <c r="P468" i="1"/>
  <c r="P467" i="1"/>
  <c r="P464" i="1"/>
  <c r="P458" i="1"/>
  <c r="P456" i="1"/>
  <c r="P453" i="1"/>
  <c r="P447" i="1"/>
  <c r="P446" i="1"/>
  <c r="P441" i="1"/>
  <c r="P429" i="1"/>
  <c r="P422" i="1"/>
  <c r="P415" i="1"/>
  <c r="P411" i="1"/>
  <c r="P410" i="1"/>
  <c r="P408" i="1"/>
  <c r="P399" i="1"/>
  <c r="P398" i="1"/>
  <c r="P394" i="1"/>
  <c r="P388" i="1"/>
  <c r="P379" i="1"/>
  <c r="P377" i="1"/>
  <c r="P375" i="1"/>
  <c r="P373" i="1"/>
  <c r="P367" i="1"/>
  <c r="P365" i="1"/>
  <c r="P364" i="1"/>
  <c r="P361" i="1"/>
  <c r="P360" i="1"/>
  <c r="P354" i="1"/>
  <c r="P353" i="1"/>
  <c r="P347" i="1"/>
  <c r="P345" i="1"/>
  <c r="P344" i="1"/>
  <c r="P342" i="1"/>
  <c r="P335" i="1"/>
  <c r="P333" i="1"/>
  <c r="P330" i="1"/>
  <c r="P325" i="1"/>
  <c r="P324" i="1"/>
  <c r="P322" i="1"/>
  <c r="P315" i="1"/>
  <c r="P311" i="1"/>
  <c r="P310" i="1"/>
  <c r="P306" i="1"/>
  <c r="P302" i="1"/>
  <c r="P299" i="1"/>
  <c r="P296" i="1"/>
  <c r="P292" i="1"/>
  <c r="P285" i="1"/>
  <c r="P284" i="1"/>
  <c r="P272" i="1"/>
  <c r="P270" i="1"/>
  <c r="P267" i="1"/>
  <c r="P265" i="1"/>
  <c r="P263" i="1"/>
  <c r="P259" i="1"/>
  <c r="P253" i="1"/>
  <c r="P247" i="1"/>
  <c r="P244" i="1"/>
  <c r="P240" i="1"/>
  <c r="P234" i="1"/>
  <c r="P231" i="1"/>
  <c r="P229" i="1"/>
  <c r="P211" i="1"/>
  <c r="P28" i="1"/>
  <c r="P87" i="1"/>
  <c r="P29" i="1"/>
  <c r="P14" i="1"/>
  <c r="P67" i="1"/>
  <c r="P86" i="1"/>
  <c r="P82" i="1"/>
  <c r="P24" i="1"/>
  <c r="P46" i="1"/>
  <c r="P54" i="1"/>
  <c r="P68" i="1"/>
  <c r="P93" i="1"/>
  <c r="P11" i="1"/>
  <c r="P60" i="1"/>
  <c r="P72" i="1"/>
  <c r="P92" i="1"/>
  <c r="P19" i="1"/>
  <c r="P7" i="1"/>
  <c r="P76" i="1"/>
  <c r="P65" i="1"/>
  <c r="P15" i="1"/>
  <c r="P174" i="1"/>
  <c r="P169" i="1"/>
  <c r="P166" i="1"/>
  <c r="P155" i="1"/>
  <c r="P147" i="1"/>
  <c r="P144" i="1"/>
  <c r="P138" i="1"/>
  <c r="P129" i="1"/>
  <c r="P118" i="1"/>
  <c r="P106" i="1"/>
  <c r="P98" i="1"/>
  <c r="P83" i="1"/>
  <c r="P79" i="1"/>
  <c r="P71" i="1"/>
  <c r="P50" i="1"/>
  <c r="P33" i="1"/>
  <c r="P36" i="1"/>
  <c r="P32" i="1"/>
  <c r="P58" i="1"/>
  <c r="P105" i="1"/>
  <c r="P114" i="1"/>
  <c r="P95" i="1"/>
  <c r="P75" i="1"/>
  <c r="P81" i="1"/>
  <c r="P117" i="1"/>
  <c r="P125" i="1"/>
  <c r="P136" i="1"/>
  <c r="P194" i="1"/>
  <c r="P152" i="1"/>
  <c r="P180" i="1"/>
  <c r="P182" i="1"/>
  <c r="P187" i="1"/>
  <c r="P177" i="1"/>
  <c r="P161" i="1"/>
  <c r="P132" i="1"/>
  <c r="P113" i="1"/>
  <c r="P94" i="1"/>
  <c r="P26" i="1"/>
  <c r="P3" i="1"/>
  <c r="P35" i="1"/>
  <c r="P100" i="1"/>
  <c r="P119" i="1"/>
  <c r="P131" i="1"/>
  <c r="P141" i="1"/>
  <c r="P176" i="1"/>
  <c r="P186" i="1"/>
  <c r="P156" i="1"/>
  <c r="P154" i="1"/>
  <c r="P127" i="1"/>
  <c r="P111" i="1"/>
  <c r="P85" i="1"/>
  <c r="P59" i="1"/>
  <c r="P40" i="1"/>
  <c r="P39" i="1"/>
  <c r="AA295" i="1"/>
  <c r="AA335" i="1"/>
  <c r="AA371" i="1"/>
  <c r="AA397" i="1"/>
  <c r="AA481" i="1"/>
  <c r="AA489" i="1"/>
  <c r="AA305" i="1"/>
  <c r="AA387" i="1"/>
  <c r="AA415" i="1"/>
  <c r="AA465" i="1"/>
  <c r="AA504" i="1"/>
  <c r="AA530" i="1"/>
  <c r="AA549" i="1"/>
  <c r="AA484" i="1"/>
  <c r="AA456" i="1"/>
  <c r="AA408" i="1"/>
  <c r="AA377" i="1"/>
  <c r="AA299" i="1"/>
  <c r="AA614" i="1" l="1"/>
  <c r="AB614" i="1" s="1"/>
  <c r="AA812" i="1"/>
  <c r="AB812" i="1" s="1"/>
  <c r="AA827" i="1"/>
  <c r="AB827" i="1" s="1"/>
  <c r="AA856" i="1"/>
  <c r="AB856" i="1" s="1"/>
  <c r="AA831" i="1"/>
  <c r="AB831" i="1" s="1"/>
  <c r="AA829" i="1"/>
  <c r="AB829" i="1" s="1"/>
  <c r="AA824" i="1"/>
  <c r="AB824" i="1" s="1"/>
  <c r="AA675" i="1"/>
  <c r="AB675" i="1" s="1"/>
  <c r="AA603" i="1"/>
  <c r="AB603" i="1" s="1"/>
  <c r="AA656" i="1"/>
  <c r="AB656" i="1" s="1"/>
  <c r="AA759" i="1"/>
  <c r="AB759" i="1" s="1"/>
  <c r="AA837" i="1"/>
  <c r="AB837" i="1" s="1"/>
  <c r="AA857" i="1"/>
  <c r="AB857" i="1" s="1"/>
  <c r="AA807" i="1"/>
  <c r="AB807" i="1" s="1"/>
  <c r="AA825" i="1"/>
  <c r="AB825" i="1" s="1"/>
  <c r="AA849" i="1"/>
  <c r="AB849" i="1" s="1"/>
  <c r="AA845" i="1"/>
  <c r="AB845" i="1" s="1"/>
  <c r="AA836" i="1"/>
  <c r="AB836" i="1" s="1"/>
  <c r="AA818" i="1"/>
  <c r="AB818" i="1" s="1"/>
  <c r="AA612" i="1"/>
  <c r="AB612" i="1" s="1"/>
  <c r="AA569" i="1"/>
  <c r="AB569" i="1" s="1"/>
  <c r="AA560" i="1"/>
  <c r="AB560" i="1" s="1"/>
  <c r="AA524" i="1"/>
  <c r="AA521" i="1"/>
  <c r="AA515" i="1"/>
  <c r="AA511" i="1"/>
  <c r="AA500" i="1"/>
  <c r="AA488" i="1"/>
  <c r="AA476" i="1"/>
  <c r="AA474" i="1"/>
  <c r="AA468" i="1"/>
  <c r="AA466" i="1"/>
  <c r="AA454" i="1"/>
  <c r="AB454" i="1" s="1"/>
  <c r="AA434" i="1"/>
  <c r="AA431" i="1"/>
  <c r="AB431" i="1" s="1"/>
  <c r="AA424" i="1"/>
  <c r="AA419" i="1"/>
  <c r="AA370" i="1"/>
  <c r="AA374" i="1"/>
  <c r="AA378" i="1"/>
  <c r="AA383" i="1"/>
  <c r="AB187" i="1"/>
  <c r="AA337" i="1"/>
  <c r="AA502" i="1"/>
  <c r="AA879" i="1"/>
  <c r="AB879" i="1" s="1"/>
  <c r="AA842" i="1"/>
  <c r="AB842" i="1" s="1"/>
  <c r="AA815" i="1"/>
  <c r="AB815" i="1" s="1"/>
  <c r="AA165" i="1"/>
  <c r="AA133" i="1"/>
  <c r="AA175" i="1"/>
  <c r="AB175" i="1" s="1"/>
  <c r="AA776" i="1"/>
  <c r="AB776" i="1" s="1"/>
  <c r="AA871" i="1"/>
  <c r="AB871" i="1" s="1"/>
  <c r="AA226" i="1"/>
  <c r="AA445" i="1"/>
  <c r="AA852" i="1"/>
  <c r="AB852" i="1" s="1"/>
  <c r="AA754" i="1"/>
  <c r="AB754" i="1" s="1"/>
  <c r="AA164" i="1"/>
  <c r="AB164" i="1" s="1"/>
  <c r="AA514" i="1"/>
  <c r="AA470" i="1"/>
  <c r="AB470" i="1" s="1"/>
  <c r="AA21" i="1"/>
  <c r="AA108" i="1"/>
  <c r="AA119" i="1"/>
  <c r="AB119" i="1" s="1"/>
  <c r="AA233" i="1"/>
  <c r="AB233" i="1" s="1"/>
  <c r="AA228" i="1"/>
  <c r="AA240" i="1"/>
  <c r="AA284" i="1"/>
  <c r="AA590" i="1"/>
  <c r="AB590" i="1" s="1"/>
  <c r="AA578" i="1"/>
  <c r="AB578" i="1" s="1"/>
  <c r="AA575" i="1"/>
  <c r="AB575" i="1" s="1"/>
  <c r="AA573" i="1"/>
  <c r="AB573" i="1" s="1"/>
  <c r="AA571" i="1"/>
  <c r="AB571" i="1" s="1"/>
  <c r="AA551" i="1"/>
  <c r="AA543" i="1"/>
  <c r="AA508" i="1"/>
  <c r="AA499" i="1"/>
  <c r="AA432" i="1"/>
  <c r="AA360" i="1"/>
  <c r="AB360" i="1" s="1"/>
  <c r="AA364" i="1"/>
  <c r="AB364" i="1" s="1"/>
  <c r="AA439" i="1"/>
  <c r="AA506" i="1"/>
  <c r="AB506" i="1" s="1"/>
  <c r="AA585" i="1"/>
  <c r="AB585" i="1" s="1"/>
  <c r="AA646" i="1"/>
  <c r="AB646" i="1" s="1"/>
  <c r="AA749" i="1"/>
  <c r="AB749" i="1" s="1"/>
  <c r="AA183" i="1"/>
  <c r="AA168" i="1"/>
  <c r="AA162" i="1"/>
  <c r="AA671" i="1"/>
  <c r="AB671" i="1" s="1"/>
  <c r="AA153" i="1"/>
  <c r="AA173" i="1"/>
  <c r="AA743" i="1"/>
  <c r="AB743" i="1" s="1"/>
  <c r="AA773" i="1"/>
  <c r="AB773" i="1" s="1"/>
  <c r="AA811" i="1"/>
  <c r="AB811" i="1" s="1"/>
  <c r="AA729" i="1"/>
  <c r="AB729" i="1" s="1"/>
  <c r="AA195" i="1"/>
  <c r="AB195" i="1" s="1"/>
  <c r="AA177" i="1"/>
  <c r="AA159" i="1"/>
  <c r="AA652" i="1"/>
  <c r="AB652" i="1" s="1"/>
  <c r="AA131" i="1"/>
  <c r="AA135" i="1"/>
  <c r="AA191" i="1"/>
  <c r="AA733" i="1"/>
  <c r="AB733" i="1" s="1"/>
  <c r="AA835" i="1"/>
  <c r="AB835" i="1" s="1"/>
  <c r="AA806" i="1"/>
  <c r="AB806" i="1" s="1"/>
  <c r="AA847" i="1"/>
  <c r="AB847" i="1" s="1"/>
  <c r="AA875" i="1"/>
  <c r="AB875" i="1" s="1"/>
  <c r="AA866" i="1"/>
  <c r="AB866" i="1" s="1"/>
  <c r="AA581" i="1"/>
  <c r="AB581" i="1" s="1"/>
  <c r="AA486" i="1"/>
  <c r="AB486" i="1" s="1"/>
  <c r="AA452" i="1"/>
  <c r="AA260" i="1"/>
  <c r="AB260" i="1" s="1"/>
  <c r="AA238" i="1"/>
  <c r="AB238" i="1" s="1"/>
  <c r="AA198" i="1"/>
  <c r="AB198" i="1" s="1"/>
  <c r="AA223" i="1"/>
  <c r="AB223" i="1" s="1"/>
  <c r="AA380" i="1"/>
  <c r="AB380" i="1" s="1"/>
  <c r="AA368" i="1"/>
  <c r="AB368" i="1" s="1"/>
  <c r="AA221" i="1"/>
  <c r="AB221" i="1" s="1"/>
  <c r="AA203" i="1"/>
  <c r="AB203" i="1" s="1"/>
  <c r="AA196" i="1"/>
  <c r="AB196" i="1" s="1"/>
  <c r="AA114" i="1"/>
  <c r="AB114" i="1" s="1"/>
  <c r="AA389" i="1"/>
  <c r="AB389" i="1" s="1"/>
  <c r="AB371" i="1"/>
  <c r="AA243" i="1"/>
  <c r="AB243" i="1" s="1"/>
  <c r="AA102" i="1"/>
  <c r="AB102" i="1" s="1"/>
  <c r="AA205" i="1"/>
  <c r="AB205" i="1" s="1"/>
  <c r="AA207" i="1"/>
  <c r="AB207" i="1" s="1"/>
  <c r="AA230" i="1"/>
  <c r="AB230" i="1" s="1"/>
  <c r="AA241" i="1"/>
  <c r="AB241" i="1" s="1"/>
  <c r="AA279" i="1"/>
  <c r="AB279" i="1" s="1"/>
  <c r="AB305" i="1"/>
  <c r="AB377" i="1"/>
  <c r="AA313" i="1"/>
  <c r="AB313" i="1" s="1"/>
  <c r="AA219" i="1"/>
  <c r="AB219" i="1" s="1"/>
  <c r="AA41" i="1"/>
  <c r="AB41" i="1" s="1"/>
  <c r="AA290" i="1"/>
  <c r="AB290" i="1" s="1"/>
  <c r="AA698" i="1"/>
  <c r="AB698" i="1" s="1"/>
  <c r="AA179" i="1"/>
  <c r="AB179" i="1" s="1"/>
  <c r="AA751" i="1"/>
  <c r="AB751" i="1" s="1"/>
  <c r="AA737" i="1"/>
  <c r="AB737" i="1" s="1"/>
  <c r="AA718" i="1"/>
  <c r="AB718" i="1" s="1"/>
  <c r="AA186" i="1"/>
  <c r="AB186" i="1" s="1"/>
  <c r="AA161" i="1"/>
  <c r="AB161" i="1" s="1"/>
  <c r="AA528" i="1"/>
  <c r="AB528" i="1" s="1"/>
  <c r="AA449" i="1"/>
  <c r="AB449" i="1" s="1"/>
  <c r="AA150" i="1"/>
  <c r="AB150" i="1" s="1"/>
  <c r="AA188" i="1"/>
  <c r="AB188" i="1" s="1"/>
  <c r="AA739" i="1"/>
  <c r="AB739" i="1" s="1"/>
  <c r="AA192" i="1"/>
  <c r="AB192" i="1" s="1"/>
  <c r="AA182" i="1"/>
  <c r="AB182" i="1" s="1"/>
  <c r="AA820" i="1"/>
  <c r="AB820" i="1" s="1"/>
  <c r="AA805" i="1"/>
  <c r="AB805" i="1" s="1"/>
  <c r="AA767" i="1"/>
  <c r="AB767" i="1" s="1"/>
  <c r="AA792" i="1"/>
  <c r="AB792" i="1" s="1"/>
  <c r="AA808" i="1"/>
  <c r="AB808" i="1" s="1"/>
  <c r="AA813" i="1"/>
  <c r="AB813" i="1" s="1"/>
  <c r="AA817" i="1"/>
  <c r="AB817" i="1" s="1"/>
  <c r="AA828" i="1"/>
  <c r="AB828" i="1" s="1"/>
  <c r="AA823" i="1"/>
  <c r="AB823" i="1" s="1"/>
  <c r="AA810" i="1"/>
  <c r="AB810" i="1" s="1"/>
  <c r="AA768" i="1"/>
  <c r="AB768" i="1" s="1"/>
  <c r="AA821" i="1"/>
  <c r="AB821" i="1" s="1"/>
  <c r="AA841" i="1"/>
  <c r="AB841" i="1" s="1"/>
  <c r="AA850" i="1"/>
  <c r="AB850" i="1" s="1"/>
  <c r="AA853" i="1"/>
  <c r="AB853" i="1" s="1"/>
  <c r="AA863" i="1"/>
  <c r="AB863" i="1" s="1"/>
  <c r="AA860" i="1"/>
  <c r="AB860" i="1" s="1"/>
  <c r="AA834" i="1"/>
  <c r="AB834" i="1" s="1"/>
  <c r="AA859" i="1"/>
  <c r="AB859" i="1" s="1"/>
  <c r="AA862" i="1"/>
  <c r="AB862" i="1" s="1"/>
  <c r="AA848" i="1"/>
  <c r="AB848" i="1" s="1"/>
  <c r="AA844" i="1"/>
  <c r="AB844" i="1" s="1"/>
  <c r="AA839" i="1"/>
  <c r="AB839" i="1" s="1"/>
  <c r="AA872" i="1"/>
  <c r="AB872" i="1" s="1"/>
  <c r="AA877" i="1"/>
  <c r="AB877" i="1" s="1"/>
  <c r="AA885" i="1"/>
  <c r="AB885" i="1" s="1"/>
  <c r="AA855" i="1"/>
  <c r="AB855" i="1" s="1"/>
  <c r="AA865" i="1"/>
  <c r="AB865" i="1" s="1"/>
  <c r="AA878" i="1"/>
  <c r="AB878" i="1" s="1"/>
  <c r="AA874" i="1"/>
  <c r="AB874" i="1" s="1"/>
  <c r="AA881" i="1"/>
  <c r="AB881" i="1" s="1"/>
  <c r="AA444" i="1"/>
  <c r="AB444" i="1" s="1"/>
  <c r="P543" i="1" l="1"/>
  <c r="P57" i="1"/>
  <c r="P363" i="1"/>
  <c r="P341" i="1"/>
  <c r="P145" i="1"/>
  <c r="P149" i="1"/>
  <c r="P526" i="1"/>
  <c r="P440" i="1"/>
  <c r="P6" i="1"/>
  <c r="P403" i="1"/>
  <c r="P517" i="1"/>
  <c r="P512" i="1"/>
  <c r="P110" i="1"/>
  <c r="P133" i="1"/>
  <c r="P190" i="1"/>
  <c r="P157" i="1"/>
  <c r="P376" i="1"/>
  <c r="P495" i="1"/>
  <c r="P47" i="1"/>
  <c r="P56" i="1"/>
  <c r="P10" i="1"/>
  <c r="P380" i="1"/>
  <c r="P370" i="1"/>
  <c r="P450" i="1"/>
  <c r="P475" i="1"/>
  <c r="P438" i="1"/>
  <c r="P350" i="1"/>
  <c r="P230" i="1"/>
  <c r="P88" i="1"/>
  <c r="P69" i="1"/>
  <c r="P241" i="1"/>
  <c r="P355" i="1"/>
  <c r="P476" i="1"/>
  <c r="P442" i="1"/>
  <c r="P436" i="1"/>
  <c r="P387" i="1"/>
  <c r="P307" i="1"/>
  <c r="P116" i="1"/>
  <c r="P198" i="1"/>
  <c r="P25" i="1"/>
  <c r="P78" i="1"/>
  <c r="P51" i="1"/>
  <c r="P220" i="1"/>
  <c r="P4" i="1"/>
  <c r="P193" i="1"/>
  <c r="P179" i="1"/>
  <c r="P195" i="1"/>
  <c r="P192" i="1"/>
  <c r="P171" i="1"/>
  <c r="P167" i="1"/>
  <c r="P160" i="1"/>
  <c r="P159" i="1"/>
  <c r="P151" i="1"/>
  <c r="P150" i="1"/>
  <c r="P146" i="1"/>
  <c r="P143" i="1"/>
  <c r="P130" i="1"/>
  <c r="P448" i="1"/>
  <c r="P452" i="1"/>
  <c r="P443" i="1"/>
  <c r="P437" i="1"/>
  <c r="P386" i="1"/>
  <c r="P351" i="1"/>
  <c r="P290" i="1"/>
  <c r="P202" i="1"/>
  <c r="P102" i="1"/>
  <c r="P99" i="1"/>
  <c r="P96" i="1"/>
  <c r="P73" i="1"/>
  <c r="P18" i="1"/>
  <c r="P191" i="1"/>
  <c r="P181" i="1"/>
  <c r="P173" i="1"/>
  <c r="P168" i="1"/>
  <c r="P163" i="1"/>
  <c r="P153" i="1"/>
  <c r="P142" i="1"/>
  <c r="P164" i="1"/>
  <c r="P135" i="1"/>
  <c r="P530" i="1"/>
  <c r="P520" i="1"/>
  <c r="P519" i="1"/>
  <c r="P513" i="1"/>
  <c r="P505" i="1"/>
  <c r="P491" i="1"/>
  <c r="P112" i="1"/>
  <c r="P107" i="1"/>
  <c r="P34" i="1"/>
  <c r="P8" i="1"/>
  <c r="P17" i="1"/>
  <c r="P226" i="1"/>
  <c r="P256" i="1"/>
  <c r="P434" i="1"/>
  <c r="P459" i="1"/>
  <c r="P480" i="1"/>
  <c r="P484" i="1"/>
  <c r="P457" i="1"/>
  <c r="P381" i="1"/>
  <c r="P120" i="1"/>
  <c r="P104" i="1"/>
  <c r="P48" i="1"/>
  <c r="P509" i="1"/>
  <c r="P516" i="1"/>
  <c r="P524" i="1"/>
  <c r="P542" i="1"/>
  <c r="P473" i="1"/>
  <c r="P359" i="1"/>
  <c r="P362" i="1"/>
  <c r="P383" i="1"/>
  <c r="P391" i="1"/>
  <c r="P420" i="1"/>
  <c r="P90" i="1"/>
  <c r="P89" i="1"/>
  <c r="P80" i="1"/>
  <c r="P97" i="1"/>
  <c r="P63" i="1"/>
  <c r="P61" i="1"/>
  <c r="P42" i="1"/>
  <c r="P37" i="1"/>
  <c r="P31" i="1"/>
  <c r="P27" i="1"/>
  <c r="P21" i="1"/>
  <c r="P9" i="1"/>
  <c r="P346" i="1"/>
  <c r="P340" i="1"/>
  <c r="P276" i="1"/>
  <c r="P55" i="1"/>
  <c r="P52" i="1"/>
  <c r="P49" i="1"/>
  <c r="P30" i="1"/>
  <c r="P22" i="1"/>
  <c r="P20" i="1"/>
  <c r="P219" i="1"/>
  <c r="P232" i="1"/>
  <c r="P266" i="1"/>
  <c r="P108" i="1"/>
  <c r="P70" i="1"/>
  <c r="P53" i="1"/>
  <c r="P45" i="1"/>
  <c r="P16" i="1"/>
  <c r="P2" i="1"/>
  <c r="S724" i="1"/>
  <c r="S725" i="1"/>
  <c r="S726" i="1"/>
  <c r="S736" i="1"/>
  <c r="S748" i="1"/>
  <c r="S752" i="1"/>
  <c r="S754" i="1"/>
  <c r="S760" i="1"/>
  <c r="S765" i="1"/>
  <c r="S766" i="1"/>
  <c r="S775" i="1"/>
  <c r="S787" i="1"/>
  <c r="S794" i="1"/>
  <c r="S795" i="1"/>
  <c r="S796" i="1"/>
  <c r="S816" i="1"/>
  <c r="S821" i="1"/>
  <c r="S822" i="1"/>
  <c r="S833" i="1"/>
  <c r="S869" i="1"/>
  <c r="S870" i="1"/>
  <c r="S872" i="1"/>
  <c r="S874" i="1"/>
  <c r="M354" i="1"/>
  <c r="N354" i="1" s="1"/>
  <c r="M257" i="1"/>
  <c r="N257" i="1" s="1"/>
  <c r="M118" i="1"/>
  <c r="N118" i="1" s="1"/>
  <c r="M114" i="1"/>
  <c r="N114" i="1" s="1"/>
  <c r="M109" i="1"/>
  <c r="N109" i="1" s="1"/>
  <c r="M88" i="1"/>
  <c r="N88" i="1" s="1"/>
  <c r="M85" i="1"/>
  <c r="N85" i="1" s="1"/>
  <c r="M77" i="1"/>
  <c r="N77" i="1" s="1"/>
  <c r="M69" i="1"/>
  <c r="N69" i="1" s="1"/>
  <c r="M68" i="1"/>
  <c r="N68" i="1" s="1"/>
  <c r="M62" i="1"/>
  <c r="N62" i="1" s="1"/>
  <c r="M58" i="1"/>
  <c r="N58" i="1" s="1"/>
  <c r="M52" i="1"/>
  <c r="N52" i="1" s="1"/>
  <c r="M44" i="1"/>
  <c r="N44" i="1" s="1"/>
  <c r="M33" i="1"/>
  <c r="N33" i="1" s="1"/>
  <c r="M31" i="1"/>
  <c r="N31" i="1" s="1"/>
  <c r="M28" i="1"/>
  <c r="N28" i="1" s="1"/>
  <c r="M22" i="1"/>
  <c r="N22" i="1" s="1"/>
  <c r="M21" i="1"/>
  <c r="N21" i="1" s="1"/>
  <c r="M5" i="1"/>
  <c r="N5" i="1" s="1"/>
  <c r="M9" i="1"/>
  <c r="N9" i="1" s="1"/>
  <c r="M11" i="1"/>
  <c r="N11" i="1" s="1"/>
  <c r="M12" i="1"/>
  <c r="N12" i="1" s="1"/>
  <c r="M17" i="1"/>
  <c r="N17" i="1" s="1"/>
  <c r="M6" i="1"/>
  <c r="N6" i="1" s="1"/>
  <c r="M756" i="1"/>
  <c r="N756" i="1" s="1"/>
  <c r="M800" i="1"/>
  <c r="N800" i="1" s="1"/>
  <c r="M853" i="1"/>
  <c r="N853" i="1" s="1"/>
  <c r="M55" i="1"/>
  <c r="N55" i="1" s="1"/>
  <c r="M99" i="1"/>
  <c r="N99" i="1" s="1"/>
  <c r="M38" i="1"/>
  <c r="N38" i="1" s="1"/>
  <c r="M874" i="1"/>
  <c r="N874" i="1" s="1"/>
  <c r="M861" i="1"/>
  <c r="N861" i="1" s="1"/>
  <c r="M759" i="1"/>
  <c r="N759" i="1" s="1"/>
  <c r="M651" i="1"/>
  <c r="N651" i="1" s="1"/>
  <c r="M639" i="1"/>
  <c r="N639" i="1" s="1"/>
  <c r="M35" i="1"/>
  <c r="N35" i="1" s="1"/>
  <c r="M65" i="1"/>
  <c r="N65" i="1" s="1"/>
  <c r="M79" i="1"/>
  <c r="N79" i="1" s="1"/>
  <c r="M87" i="1"/>
  <c r="N87" i="1" s="1"/>
  <c r="M112" i="1"/>
  <c r="N112" i="1" s="1"/>
  <c r="M296" i="1"/>
  <c r="N296" i="1" s="1"/>
  <c r="M310" i="1"/>
  <c r="N310" i="1" s="1"/>
  <c r="M7" i="1"/>
  <c r="N7" i="1" s="1"/>
  <c r="M27" i="1"/>
  <c r="N27" i="1" s="1"/>
  <c r="M30" i="1"/>
  <c r="N30" i="1" s="1"/>
  <c r="M50" i="1"/>
  <c r="N50" i="1" s="1"/>
  <c r="M208" i="1"/>
  <c r="N208" i="1" s="1"/>
  <c r="M211" i="1"/>
  <c r="N211" i="1" s="1"/>
  <c r="M231" i="1"/>
  <c r="N231" i="1" s="1"/>
  <c r="M286" i="1"/>
  <c r="N286" i="1" s="1"/>
  <c r="M398" i="1"/>
  <c r="N398" i="1" s="1"/>
  <c r="M831" i="1"/>
  <c r="N831" i="1" s="1"/>
  <c r="M741" i="1"/>
  <c r="N741" i="1" s="1"/>
  <c r="M480" i="1"/>
  <c r="N480" i="1" s="1"/>
  <c r="M413" i="1"/>
  <c r="N413" i="1" s="1"/>
  <c r="M327" i="1"/>
  <c r="N327" i="1" s="1"/>
  <c r="M383" i="1"/>
  <c r="N383" i="1" s="1"/>
  <c r="M539" i="1"/>
  <c r="N539" i="1" s="1"/>
  <c r="M668" i="1"/>
  <c r="N668" i="1" s="1"/>
  <c r="M859" i="1"/>
  <c r="N859" i="1" s="1"/>
  <c r="M858" i="1"/>
  <c r="N858" i="1" s="1"/>
  <c r="M826" i="1"/>
  <c r="N826" i="1" s="1"/>
  <c r="M772" i="1"/>
  <c r="N772" i="1" s="1"/>
  <c r="M721" i="1"/>
  <c r="N721" i="1" s="1"/>
  <c r="M182" i="1"/>
  <c r="N182" i="1" s="1"/>
  <c r="M682" i="1"/>
  <c r="N682" i="1" s="1"/>
  <c r="M825" i="1"/>
  <c r="N825" i="1" s="1"/>
  <c r="M850" i="1"/>
  <c r="N850" i="1" s="1"/>
  <c r="M712" i="1"/>
  <c r="N712" i="1" s="1"/>
  <c r="M41" i="1"/>
  <c r="N41" i="1" s="1"/>
  <c r="M60" i="1"/>
  <c r="N60" i="1" s="1"/>
  <c r="M61" i="1"/>
  <c r="N61" i="1" s="1"/>
  <c r="M101" i="1"/>
  <c r="N101" i="1" s="1"/>
  <c r="M235" i="1"/>
  <c r="N235" i="1" s="1"/>
  <c r="M57" i="1"/>
  <c r="N57" i="1" s="1"/>
  <c r="M78" i="1"/>
  <c r="N78" i="1" s="1"/>
  <c r="M106" i="1"/>
  <c r="N106" i="1" s="1"/>
  <c r="M827" i="1"/>
  <c r="N827" i="1" s="1"/>
  <c r="M815" i="1"/>
  <c r="N815" i="1" s="1"/>
  <c r="M841" i="1"/>
  <c r="N841" i="1" s="1"/>
  <c r="M864" i="1"/>
  <c r="N864" i="1" s="1"/>
  <c r="M873" i="1"/>
  <c r="N873" i="1" s="1"/>
  <c r="M871" i="1"/>
  <c r="N871" i="1" s="1"/>
  <c r="M167" i="1"/>
  <c r="N167" i="1" s="1"/>
  <c r="M659" i="1"/>
  <c r="N659" i="1" s="1"/>
  <c r="M845" i="1"/>
  <c r="N845" i="1" s="1"/>
  <c r="M868" i="1"/>
  <c r="N868" i="1" s="1"/>
  <c r="M798" i="1"/>
  <c r="N798" i="1" s="1"/>
  <c r="M714" i="1"/>
  <c r="N714" i="1" s="1"/>
  <c r="M875" i="1"/>
  <c r="N875" i="1" s="1"/>
  <c r="M862" i="1"/>
  <c r="N862" i="1" s="1"/>
  <c r="M848" i="1"/>
  <c r="N848" i="1" s="1"/>
  <c r="M817" i="1"/>
  <c r="N817" i="1" s="1"/>
  <c r="M169" i="1"/>
  <c r="N169" i="1" s="1"/>
  <c r="M149" i="1"/>
  <c r="N149" i="1" s="1"/>
  <c r="M63" i="1"/>
  <c r="N63" i="1" s="1"/>
  <c r="M64" i="1"/>
  <c r="N64" i="1" s="1"/>
  <c r="M199" i="1"/>
  <c r="N199" i="1" s="1"/>
  <c r="M82" i="1"/>
  <c r="N82" i="1" s="1"/>
  <c r="M8" i="1"/>
  <c r="N8" i="1" s="1"/>
  <c r="M23" i="1"/>
  <c r="N23" i="1" s="1"/>
  <c r="M803" i="1"/>
  <c r="N803" i="1" s="1"/>
  <c r="M885" i="1"/>
  <c r="N885" i="1" s="1"/>
  <c r="M786" i="1"/>
  <c r="N786" i="1" s="1"/>
  <c r="M768" i="1"/>
  <c r="N768" i="1" s="1"/>
  <c r="M162" i="1"/>
  <c r="N162" i="1" s="1"/>
  <c r="M883" i="1"/>
  <c r="N883" i="1" s="1"/>
  <c r="M860" i="1"/>
  <c r="N860" i="1" s="1"/>
  <c r="M760" i="1"/>
  <c r="N760" i="1" s="1"/>
  <c r="M775" i="1"/>
  <c r="N775" i="1" s="1"/>
  <c r="M752" i="1"/>
  <c r="N752" i="1" s="1"/>
  <c r="M191" i="1"/>
  <c r="N191" i="1" s="1"/>
  <c r="M131" i="1"/>
  <c r="N131" i="1" s="1"/>
  <c r="M882" i="1"/>
  <c r="N882" i="1" s="1"/>
  <c r="M809" i="1"/>
  <c r="N809" i="1" s="1"/>
  <c r="M779" i="1"/>
  <c r="N779" i="1" s="1"/>
  <c r="M47" i="1"/>
  <c r="N47" i="1" s="1"/>
  <c r="M76" i="1"/>
  <c r="N76" i="1" s="1"/>
  <c r="M698" i="1"/>
  <c r="N698" i="1" s="1"/>
  <c r="M813" i="1"/>
  <c r="N813" i="1" s="1"/>
  <c r="M729" i="1"/>
  <c r="N729" i="1" s="1"/>
  <c r="N852" i="1"/>
  <c r="M838" i="1"/>
  <c r="N838" i="1" s="1"/>
  <c r="M863" i="1"/>
  <c r="N863" i="1" s="1"/>
  <c r="M818" i="1"/>
  <c r="N818" i="1" s="1"/>
  <c r="M811" i="1"/>
  <c r="N811" i="1" s="1"/>
  <c r="M134" i="1"/>
  <c r="N134" i="1" s="1"/>
  <c r="M734" i="1"/>
  <c r="N734" i="1" s="1"/>
  <c r="M94" i="1"/>
  <c r="N94" i="1" s="1"/>
  <c r="M102" i="1"/>
  <c r="N102" i="1" s="1"/>
  <c r="M121" i="1"/>
  <c r="N121" i="1" s="1"/>
  <c r="M200" i="1"/>
  <c r="N200" i="1" s="1"/>
  <c r="N620" i="1"/>
  <c r="M747" i="1"/>
  <c r="N747" i="1" s="1"/>
  <c r="N867" i="1"/>
  <c r="M769" i="1"/>
  <c r="N769" i="1" s="1"/>
  <c r="M821" i="1"/>
  <c r="N821" i="1" s="1"/>
  <c r="M749" i="1"/>
  <c r="N749" i="1" s="1"/>
  <c r="M189" i="1"/>
  <c r="N189" i="1" s="1"/>
  <c r="M710" i="1"/>
  <c r="N710" i="1" s="1"/>
  <c r="M735" i="1"/>
  <c r="N735" i="1" s="1"/>
  <c r="M754" i="1"/>
  <c r="N754" i="1" s="1"/>
  <c r="M753" i="1"/>
  <c r="N753" i="1" s="1"/>
  <c r="M794" i="1"/>
  <c r="N794" i="1" s="1"/>
  <c r="M814" i="1"/>
  <c r="N814" i="1" s="1"/>
  <c r="M869" i="1"/>
  <c r="N869" i="1" s="1"/>
  <c r="M872" i="1"/>
  <c r="N872" i="1" s="1"/>
  <c r="M726" i="1"/>
  <c r="N726" i="1" s="1"/>
  <c r="M755" i="1"/>
  <c r="N755" i="1" s="1"/>
  <c r="M879" i="1"/>
  <c r="N879" i="1" s="1"/>
  <c r="M839" i="1"/>
  <c r="N839" i="1" s="1"/>
  <c r="M836" i="1"/>
  <c r="N836" i="1" s="1"/>
  <c r="M806" i="1"/>
  <c r="N806" i="1" s="1"/>
  <c r="M785" i="1"/>
  <c r="N785" i="1" s="1"/>
  <c r="M176" i="1"/>
  <c r="N176" i="1" s="1"/>
  <c r="M738" i="1"/>
  <c r="N738" i="1" s="1"/>
  <c r="M791" i="1"/>
  <c r="N791" i="1" s="1"/>
  <c r="M805" i="1"/>
  <c r="N805" i="1" s="1"/>
  <c r="M854" i="1"/>
  <c r="N854" i="1" s="1"/>
  <c r="M884" i="1"/>
  <c r="N884" i="1" s="1"/>
  <c r="M881" i="1"/>
  <c r="N881" i="1" s="1"/>
  <c r="M876" i="1"/>
  <c r="N876" i="1" s="1"/>
  <c r="M857" i="1"/>
  <c r="N857" i="1" s="1"/>
  <c r="M842" i="1"/>
  <c r="N842" i="1" s="1"/>
  <c r="M784" i="1"/>
  <c r="N784" i="1" s="1"/>
  <c r="M771" i="1"/>
  <c r="N771" i="1" s="1"/>
  <c r="M757" i="1"/>
  <c r="N757" i="1" s="1"/>
  <c r="M720" i="1"/>
  <c r="N720" i="1" s="1"/>
  <c r="M807" i="1"/>
  <c r="N807" i="1" s="1"/>
  <c r="M834" i="1"/>
  <c r="N834" i="1" s="1"/>
  <c r="M789" i="1"/>
  <c r="N789" i="1" s="1"/>
  <c r="M764" i="1"/>
  <c r="N764" i="1" s="1"/>
  <c r="M733" i="1"/>
  <c r="N733" i="1" s="1"/>
  <c r="M187" i="1"/>
  <c r="N187" i="1" s="1"/>
  <c r="M776" i="1"/>
  <c r="N776" i="1" s="1"/>
  <c r="AI710" i="1"/>
  <c r="AJ710" i="1" s="1"/>
  <c r="AI711" i="1"/>
  <c r="AI712" i="1"/>
  <c r="AI713" i="1"/>
  <c r="AJ713" i="1" s="1"/>
  <c r="AI714" i="1"/>
  <c r="AJ714" i="1" s="1"/>
  <c r="AI715" i="1"/>
  <c r="AJ715" i="1" s="1"/>
  <c r="AI716" i="1"/>
  <c r="AJ716" i="1" s="1"/>
  <c r="AI717" i="1"/>
  <c r="AJ717" i="1" s="1"/>
  <c r="AI718" i="1"/>
  <c r="AJ718" i="1" s="1"/>
  <c r="AI719" i="1"/>
  <c r="AJ719" i="1" s="1"/>
  <c r="AI720" i="1"/>
  <c r="AJ720" i="1" s="1"/>
  <c r="AI721" i="1"/>
  <c r="AJ721" i="1" s="1"/>
  <c r="AI722" i="1"/>
  <c r="AJ722" i="1" s="1"/>
  <c r="AI723" i="1"/>
  <c r="AI724" i="1"/>
  <c r="AJ724" i="1" s="1"/>
  <c r="AI725" i="1"/>
  <c r="AJ725" i="1" s="1"/>
  <c r="AI726" i="1"/>
  <c r="AJ726" i="1" s="1"/>
  <c r="AI727" i="1"/>
  <c r="AJ727" i="1" s="1"/>
  <c r="AI728" i="1"/>
  <c r="AJ728" i="1" s="1"/>
  <c r="AI729" i="1"/>
  <c r="AJ729" i="1" s="1"/>
  <c r="AI730" i="1"/>
  <c r="AJ730" i="1" s="1"/>
  <c r="AI731" i="1"/>
  <c r="AJ731" i="1" s="1"/>
  <c r="AI732" i="1"/>
  <c r="AJ732" i="1" s="1"/>
  <c r="AI733" i="1"/>
  <c r="AJ733" i="1" s="1"/>
  <c r="AI734" i="1"/>
  <c r="AJ734" i="1" s="1"/>
  <c r="AI735" i="1"/>
  <c r="AJ735" i="1" s="1"/>
  <c r="AI736" i="1"/>
  <c r="AJ736" i="1" s="1"/>
  <c r="AI737" i="1"/>
  <c r="AJ737" i="1" s="1"/>
  <c r="AI738" i="1"/>
  <c r="AJ738" i="1" s="1"/>
  <c r="AI739" i="1"/>
  <c r="AJ739" i="1" s="1"/>
  <c r="AI740" i="1"/>
  <c r="AJ740" i="1" s="1"/>
  <c r="AI741" i="1"/>
  <c r="AJ741" i="1" s="1"/>
  <c r="AI742" i="1"/>
  <c r="AJ742" i="1" s="1"/>
  <c r="AI743" i="1"/>
  <c r="AJ743" i="1" s="1"/>
  <c r="AI744" i="1"/>
  <c r="AJ744" i="1" s="1"/>
  <c r="AI745" i="1"/>
  <c r="AJ745" i="1" s="1"/>
  <c r="AI746" i="1"/>
  <c r="AJ746" i="1" s="1"/>
  <c r="AI747" i="1"/>
  <c r="AJ747" i="1" s="1"/>
  <c r="AI748" i="1"/>
  <c r="AJ748" i="1" s="1"/>
  <c r="AI749" i="1"/>
  <c r="AJ749" i="1" s="1"/>
  <c r="AI750" i="1"/>
  <c r="AJ750" i="1" s="1"/>
  <c r="AI751" i="1"/>
  <c r="AJ751" i="1" s="1"/>
  <c r="AI752" i="1"/>
  <c r="AJ752" i="1" s="1"/>
  <c r="AI753" i="1"/>
  <c r="AJ753" i="1" s="1"/>
  <c r="AI754" i="1"/>
  <c r="AJ754" i="1" s="1"/>
  <c r="AI755" i="1"/>
  <c r="AJ755" i="1" s="1"/>
  <c r="AI756" i="1"/>
  <c r="AJ756" i="1" s="1"/>
  <c r="AI757" i="1"/>
  <c r="AJ757" i="1" s="1"/>
  <c r="AI758" i="1"/>
  <c r="AJ758" i="1" s="1"/>
  <c r="AI759" i="1"/>
  <c r="AJ759" i="1" s="1"/>
  <c r="AI760" i="1"/>
  <c r="AJ760" i="1" s="1"/>
  <c r="AI761" i="1"/>
  <c r="AJ761" i="1" s="1"/>
  <c r="AI762" i="1"/>
  <c r="AJ762" i="1" s="1"/>
  <c r="AI763" i="1"/>
  <c r="AJ763" i="1" s="1"/>
  <c r="AI764" i="1"/>
  <c r="AJ764" i="1" s="1"/>
  <c r="AI765" i="1"/>
  <c r="AJ765" i="1" s="1"/>
  <c r="AI766" i="1"/>
  <c r="AJ766" i="1" s="1"/>
  <c r="AI767" i="1"/>
  <c r="AJ767" i="1" s="1"/>
  <c r="AI768" i="1"/>
  <c r="AJ768" i="1" s="1"/>
  <c r="AI769" i="1"/>
  <c r="AJ769" i="1" s="1"/>
  <c r="AI770" i="1"/>
  <c r="AJ770" i="1" s="1"/>
  <c r="AI771" i="1"/>
  <c r="AJ771" i="1" s="1"/>
  <c r="AI772" i="1"/>
  <c r="AJ772" i="1" s="1"/>
  <c r="AI773" i="1"/>
  <c r="AJ773" i="1" s="1"/>
  <c r="AI774" i="1"/>
  <c r="AJ774" i="1" s="1"/>
  <c r="AI775" i="1"/>
  <c r="AJ775" i="1" s="1"/>
  <c r="AI776" i="1"/>
  <c r="AJ776" i="1" s="1"/>
  <c r="AI777" i="1"/>
  <c r="AJ777" i="1" s="1"/>
  <c r="AI778" i="1"/>
  <c r="AJ778" i="1" s="1"/>
  <c r="AI779" i="1"/>
  <c r="AJ779" i="1" s="1"/>
  <c r="AI780" i="1"/>
  <c r="AJ780" i="1" s="1"/>
  <c r="AI781" i="1"/>
  <c r="AJ781" i="1" s="1"/>
  <c r="AI782" i="1"/>
  <c r="AJ782" i="1" s="1"/>
  <c r="AI783" i="1"/>
  <c r="AI784" i="1"/>
  <c r="AJ784" i="1" s="1"/>
  <c r="AI785" i="1"/>
  <c r="AJ785" i="1" s="1"/>
  <c r="AI786" i="1"/>
  <c r="AJ786" i="1" s="1"/>
  <c r="AI787" i="1"/>
  <c r="AJ787" i="1" s="1"/>
  <c r="AI788" i="1"/>
  <c r="AJ788" i="1" s="1"/>
  <c r="AI789" i="1"/>
  <c r="AJ789" i="1" s="1"/>
  <c r="AI790" i="1"/>
  <c r="AJ790" i="1" s="1"/>
  <c r="AI791" i="1"/>
  <c r="AJ791" i="1" s="1"/>
  <c r="AI792" i="1"/>
  <c r="AJ792" i="1" s="1"/>
  <c r="AI793" i="1"/>
  <c r="AJ793" i="1" s="1"/>
  <c r="AI794" i="1"/>
  <c r="AJ794" i="1" s="1"/>
  <c r="AI795" i="1"/>
  <c r="AJ795" i="1" s="1"/>
  <c r="AI796" i="1"/>
  <c r="AJ796" i="1" s="1"/>
  <c r="AI797" i="1"/>
  <c r="AJ797" i="1" s="1"/>
  <c r="AI798" i="1"/>
  <c r="AJ798" i="1" s="1"/>
  <c r="AI799" i="1"/>
  <c r="AJ799" i="1" s="1"/>
  <c r="AI800" i="1"/>
  <c r="AJ800" i="1" s="1"/>
  <c r="AI801" i="1"/>
  <c r="AJ801" i="1" s="1"/>
  <c r="AI802" i="1"/>
  <c r="AJ802" i="1" s="1"/>
  <c r="AI803" i="1"/>
  <c r="AJ803" i="1" s="1"/>
  <c r="AI804" i="1"/>
  <c r="AJ804" i="1" s="1"/>
  <c r="AI805" i="1"/>
  <c r="AJ805" i="1" s="1"/>
  <c r="AI806" i="1"/>
  <c r="AJ806" i="1" s="1"/>
  <c r="AI807" i="1"/>
  <c r="AJ807" i="1" s="1"/>
  <c r="AI808" i="1"/>
  <c r="AJ808" i="1" s="1"/>
  <c r="AI809" i="1"/>
  <c r="AJ809" i="1" s="1"/>
  <c r="AI810" i="1"/>
  <c r="AJ810" i="1" s="1"/>
  <c r="AI811" i="1"/>
  <c r="AJ811" i="1" s="1"/>
  <c r="AI812" i="1"/>
  <c r="AJ812" i="1" s="1"/>
  <c r="AI813" i="1"/>
  <c r="AJ813" i="1" s="1"/>
  <c r="AI814" i="1"/>
  <c r="AJ814" i="1" s="1"/>
  <c r="AI815" i="1"/>
  <c r="AJ815" i="1" s="1"/>
  <c r="AI816" i="1"/>
  <c r="AJ816" i="1" s="1"/>
  <c r="AI817" i="1"/>
  <c r="AJ817" i="1" s="1"/>
  <c r="AI818" i="1"/>
  <c r="AJ818" i="1" s="1"/>
  <c r="AI819" i="1"/>
  <c r="AJ819" i="1" s="1"/>
  <c r="AI820" i="1"/>
  <c r="AJ820" i="1" s="1"/>
  <c r="AI821" i="1"/>
  <c r="AJ821" i="1" s="1"/>
  <c r="AI822" i="1"/>
  <c r="AJ822" i="1" s="1"/>
  <c r="AI823" i="1"/>
  <c r="AJ823" i="1" s="1"/>
  <c r="AI824" i="1"/>
  <c r="AJ824" i="1" s="1"/>
  <c r="AI825" i="1"/>
  <c r="AJ825" i="1" s="1"/>
  <c r="AI826" i="1"/>
  <c r="AJ826" i="1" s="1"/>
  <c r="AI827" i="1"/>
  <c r="AJ827" i="1" s="1"/>
  <c r="AI828" i="1"/>
  <c r="AJ828" i="1" s="1"/>
  <c r="AI829" i="1"/>
  <c r="AJ829" i="1" s="1"/>
  <c r="AI830" i="1"/>
  <c r="AJ830" i="1" s="1"/>
  <c r="AI831" i="1"/>
  <c r="AJ831" i="1" s="1"/>
  <c r="AI832" i="1"/>
  <c r="AJ832" i="1" s="1"/>
  <c r="AI833" i="1"/>
  <c r="AJ833" i="1" s="1"/>
  <c r="AI834" i="1"/>
  <c r="AJ834" i="1" s="1"/>
  <c r="AI835" i="1"/>
  <c r="AJ835" i="1" s="1"/>
  <c r="AI836" i="1"/>
  <c r="AI837" i="1"/>
  <c r="AJ837" i="1" s="1"/>
  <c r="AI838" i="1"/>
  <c r="AJ838" i="1" s="1"/>
  <c r="AI839" i="1"/>
  <c r="AJ839" i="1" s="1"/>
  <c r="AI840" i="1"/>
  <c r="AJ840" i="1" s="1"/>
  <c r="AI841" i="1"/>
  <c r="AI842" i="1"/>
  <c r="AJ842" i="1" s="1"/>
  <c r="AI843" i="1"/>
  <c r="AJ843" i="1" s="1"/>
  <c r="AI844" i="1"/>
  <c r="AJ844" i="1" s="1"/>
  <c r="AI845" i="1"/>
  <c r="AJ845" i="1" s="1"/>
  <c r="AI846" i="1"/>
  <c r="AJ846" i="1" s="1"/>
  <c r="AI847" i="1"/>
  <c r="AJ847" i="1" s="1"/>
  <c r="AI848" i="1"/>
  <c r="AJ848" i="1" s="1"/>
  <c r="AI849" i="1"/>
  <c r="AJ849" i="1" s="1"/>
  <c r="AI850" i="1"/>
  <c r="AJ850" i="1" s="1"/>
  <c r="AI851" i="1"/>
  <c r="AI852" i="1"/>
  <c r="AJ852" i="1" s="1"/>
  <c r="AI853" i="1"/>
  <c r="AJ853" i="1" s="1"/>
  <c r="AI854" i="1"/>
  <c r="AJ854" i="1" s="1"/>
  <c r="AI855" i="1"/>
  <c r="AJ855" i="1" s="1"/>
  <c r="AI856" i="1"/>
  <c r="AJ856" i="1" s="1"/>
  <c r="AI857" i="1"/>
  <c r="AJ857" i="1" s="1"/>
  <c r="AI858" i="1"/>
  <c r="AJ858" i="1" s="1"/>
  <c r="AI859" i="1"/>
  <c r="AJ859" i="1" s="1"/>
  <c r="AI860" i="1"/>
  <c r="AJ860" i="1" s="1"/>
  <c r="AI861" i="1"/>
  <c r="AJ861" i="1" s="1"/>
  <c r="AI862" i="1"/>
  <c r="AJ862" i="1" s="1"/>
  <c r="AI863" i="1"/>
  <c r="AJ863" i="1" s="1"/>
  <c r="AI864" i="1"/>
  <c r="AJ864" i="1" s="1"/>
  <c r="AI865" i="1"/>
  <c r="AJ865" i="1" s="1"/>
  <c r="AI866" i="1"/>
  <c r="AJ866" i="1" s="1"/>
  <c r="AI867" i="1"/>
  <c r="AJ867" i="1" s="1"/>
  <c r="AI868" i="1"/>
  <c r="AJ868" i="1" s="1"/>
  <c r="AI869" i="1"/>
  <c r="AJ869" i="1" s="1"/>
  <c r="AI870" i="1"/>
  <c r="AJ870" i="1" s="1"/>
  <c r="AI871" i="1"/>
  <c r="AJ871" i="1" s="1"/>
  <c r="AI872" i="1"/>
  <c r="AJ872" i="1" s="1"/>
  <c r="AI873" i="1"/>
  <c r="AJ873" i="1" s="1"/>
  <c r="AI874" i="1"/>
  <c r="AJ874" i="1" s="1"/>
  <c r="AI875" i="1"/>
  <c r="AJ875" i="1" s="1"/>
  <c r="AI876" i="1"/>
  <c r="AJ876" i="1" s="1"/>
  <c r="AI877" i="1"/>
  <c r="AJ877" i="1" s="1"/>
  <c r="AI878" i="1"/>
  <c r="AI879" i="1"/>
  <c r="AJ879" i="1" s="1"/>
  <c r="AI880" i="1"/>
  <c r="AI881" i="1"/>
  <c r="AJ881" i="1" s="1"/>
  <c r="AI882" i="1"/>
  <c r="AJ882" i="1" s="1"/>
  <c r="AI883" i="1"/>
  <c r="AI884" i="1"/>
  <c r="AJ884" i="1" s="1"/>
  <c r="AI885" i="1"/>
  <c r="AD710" i="1"/>
  <c r="AD711" i="1"/>
  <c r="AD712" i="1"/>
  <c r="AD713" i="1"/>
  <c r="AF713" i="1" s="1"/>
  <c r="AD714" i="1"/>
  <c r="AD715" i="1"/>
  <c r="AF715" i="1" s="1"/>
  <c r="AD716" i="1"/>
  <c r="AD717" i="1"/>
  <c r="AD718" i="1"/>
  <c r="AD719" i="1"/>
  <c r="AD720" i="1"/>
  <c r="AD721" i="1"/>
  <c r="AG721" i="1" s="1"/>
  <c r="AD722" i="1"/>
  <c r="AD723" i="1"/>
  <c r="AG723" i="1" s="1"/>
  <c r="AD724" i="1"/>
  <c r="AG724" i="1" s="1"/>
  <c r="AD725" i="1"/>
  <c r="AD726" i="1"/>
  <c r="AF726" i="1" s="1"/>
  <c r="AD727" i="1"/>
  <c r="AD728" i="1"/>
  <c r="AD729" i="1"/>
  <c r="AF729" i="1" s="1"/>
  <c r="AD730" i="1"/>
  <c r="AD731" i="1"/>
  <c r="AF731" i="1" s="1"/>
  <c r="AD732" i="1"/>
  <c r="AG732" i="1" s="1"/>
  <c r="AD733" i="1"/>
  <c r="AD734" i="1"/>
  <c r="AF734" i="1" s="1"/>
  <c r="AD735" i="1"/>
  <c r="AD736" i="1"/>
  <c r="AF736" i="1" s="1"/>
  <c r="AD737" i="1"/>
  <c r="AD738" i="1"/>
  <c r="AF738" i="1" s="1"/>
  <c r="AD739" i="1"/>
  <c r="AD740" i="1"/>
  <c r="AG740" i="1" s="1"/>
  <c r="AD741" i="1"/>
  <c r="AG741" i="1" s="1"/>
  <c r="AD742" i="1"/>
  <c r="AD743" i="1"/>
  <c r="AF743" i="1" s="1"/>
  <c r="AD744" i="1"/>
  <c r="AD745" i="1"/>
  <c r="AF745" i="1" s="1"/>
  <c r="AD746" i="1"/>
  <c r="AG746" i="1" s="1"/>
  <c r="AD747" i="1"/>
  <c r="AG747" i="1" s="1"/>
  <c r="AD748" i="1"/>
  <c r="AG748" i="1" s="1"/>
  <c r="AD749" i="1"/>
  <c r="AD750" i="1"/>
  <c r="AG750" i="1" s="1"/>
  <c r="AD751" i="1"/>
  <c r="AF751" i="1" s="1"/>
  <c r="AD752" i="1"/>
  <c r="AF752" i="1" s="1"/>
  <c r="AD753" i="1"/>
  <c r="AG753" i="1" s="1"/>
  <c r="AD754" i="1"/>
  <c r="AD755" i="1"/>
  <c r="AG755" i="1" s="1"/>
  <c r="AD756" i="1"/>
  <c r="AD757" i="1"/>
  <c r="AG757" i="1" s="1"/>
  <c r="AD758" i="1"/>
  <c r="AF758" i="1" s="1"/>
  <c r="AD759" i="1"/>
  <c r="AF759" i="1" s="1"/>
  <c r="AD760" i="1"/>
  <c r="AF760" i="1" s="1"/>
  <c r="AD761" i="1"/>
  <c r="AG761" i="1" s="1"/>
  <c r="AD762" i="1"/>
  <c r="AG762" i="1" s="1"/>
  <c r="AD763" i="1"/>
  <c r="AD764" i="1"/>
  <c r="AF764" i="1" s="1"/>
  <c r="AD765" i="1"/>
  <c r="AG765" i="1" s="1"/>
  <c r="AD766" i="1"/>
  <c r="AF766" i="1" s="1"/>
  <c r="AD767" i="1"/>
  <c r="AG767" i="1" s="1"/>
  <c r="AD768" i="1"/>
  <c r="AG768" i="1" s="1"/>
  <c r="AD769" i="1"/>
  <c r="AG769" i="1" s="1"/>
  <c r="AD770" i="1"/>
  <c r="AD771" i="1"/>
  <c r="AD772" i="1"/>
  <c r="AF772" i="1" s="1"/>
  <c r="AD773" i="1"/>
  <c r="AG773" i="1" s="1"/>
  <c r="AD774" i="1"/>
  <c r="AD775" i="1"/>
  <c r="AF775" i="1" s="1"/>
  <c r="AD776" i="1"/>
  <c r="AG776" i="1" s="1"/>
  <c r="AD777" i="1"/>
  <c r="AG777" i="1" s="1"/>
  <c r="AD778" i="1"/>
  <c r="AG778" i="1" s="1"/>
  <c r="AD779" i="1"/>
  <c r="AG779" i="1" s="1"/>
  <c r="AD780" i="1"/>
  <c r="AF780" i="1" s="1"/>
  <c r="AD781" i="1"/>
  <c r="AF781" i="1" s="1"/>
  <c r="AD782" i="1"/>
  <c r="AF782" i="1" s="1"/>
  <c r="AD783" i="1"/>
  <c r="AG783" i="1" s="1"/>
  <c r="AD784" i="1"/>
  <c r="AG784" i="1" s="1"/>
  <c r="AD785" i="1"/>
  <c r="AG785" i="1" s="1"/>
  <c r="AD786" i="1"/>
  <c r="AF786" i="1" s="1"/>
  <c r="AD787" i="1"/>
  <c r="AF787" i="1" s="1"/>
  <c r="AD788" i="1"/>
  <c r="AF788" i="1" s="1"/>
  <c r="AD789" i="1"/>
  <c r="AG789" i="1" s="1"/>
  <c r="AD790" i="1"/>
  <c r="AD791" i="1"/>
  <c r="AG791" i="1" s="1"/>
  <c r="AD792" i="1"/>
  <c r="AG792" i="1" s="1"/>
  <c r="AD793" i="1"/>
  <c r="AF794" i="1"/>
  <c r="AF795" i="1"/>
  <c r="AF796" i="1"/>
  <c r="AD797" i="1"/>
  <c r="AG797" i="1" s="1"/>
  <c r="AD798" i="1"/>
  <c r="AF798" i="1" s="1"/>
  <c r="AD799" i="1"/>
  <c r="AG799" i="1" s="1"/>
  <c r="AD800" i="1"/>
  <c r="AF800" i="1" s="1"/>
  <c r="AD801" i="1"/>
  <c r="AD802" i="1"/>
  <c r="AG802" i="1" s="1"/>
  <c r="AD803" i="1"/>
  <c r="AG803" i="1" s="1"/>
  <c r="AD804" i="1"/>
  <c r="AF804" i="1" s="1"/>
  <c r="AD805" i="1"/>
  <c r="AF805" i="1" s="1"/>
  <c r="AD806" i="1"/>
  <c r="AG806" i="1" s="1"/>
  <c r="AD807" i="1"/>
  <c r="AF807" i="1" s="1"/>
  <c r="AD808" i="1"/>
  <c r="AF808" i="1" s="1"/>
  <c r="AD809" i="1"/>
  <c r="AF809" i="1" s="1"/>
  <c r="AD810" i="1"/>
  <c r="AF810" i="1" s="1"/>
  <c r="AD811" i="1"/>
  <c r="AF811" i="1" s="1"/>
  <c r="AD812" i="1"/>
  <c r="AG812" i="1" s="1"/>
  <c r="AD813" i="1"/>
  <c r="AG813" i="1" s="1"/>
  <c r="AD814" i="1"/>
  <c r="AF814" i="1" s="1"/>
  <c r="AD815" i="1"/>
  <c r="AG815" i="1" s="1"/>
  <c r="AD816" i="1"/>
  <c r="AG816" i="1" s="1"/>
  <c r="AD817" i="1"/>
  <c r="AD818" i="1"/>
  <c r="AF818" i="1" s="1"/>
  <c r="AD819" i="1"/>
  <c r="AF819" i="1" s="1"/>
  <c r="AD820" i="1"/>
  <c r="AF820" i="1" s="1"/>
  <c r="AD821" i="1"/>
  <c r="AF821" i="1" s="1"/>
  <c r="AD822" i="1"/>
  <c r="AF822" i="1" s="1"/>
  <c r="AD823" i="1"/>
  <c r="AF823" i="1" s="1"/>
  <c r="AD824" i="1"/>
  <c r="AG824" i="1" s="1"/>
  <c r="AD825" i="1"/>
  <c r="AF825" i="1" s="1"/>
  <c r="AD826" i="1"/>
  <c r="AG826" i="1" s="1"/>
  <c r="AD827" i="1"/>
  <c r="AF827" i="1" s="1"/>
  <c r="AD828" i="1"/>
  <c r="AG828" i="1" s="1"/>
  <c r="AD829" i="1"/>
  <c r="AF829" i="1" s="1"/>
  <c r="AD830" i="1"/>
  <c r="AD831" i="1"/>
  <c r="AF831" i="1" s="1"/>
  <c r="AD832" i="1"/>
  <c r="AF832" i="1" s="1"/>
  <c r="AD833" i="1"/>
  <c r="AG833" i="1" s="1"/>
  <c r="AD834" i="1"/>
  <c r="AF834" i="1" s="1"/>
  <c r="AD835" i="1"/>
  <c r="AF835" i="1" s="1"/>
  <c r="AD836" i="1"/>
  <c r="AF836" i="1" s="1"/>
  <c r="AD837" i="1"/>
  <c r="AF837" i="1" s="1"/>
  <c r="AD838" i="1"/>
  <c r="AF838" i="1" s="1"/>
  <c r="AD839" i="1"/>
  <c r="AG839" i="1" s="1"/>
  <c r="AD840" i="1"/>
  <c r="AF840" i="1" s="1"/>
  <c r="AD841" i="1"/>
  <c r="AF841" i="1" s="1"/>
  <c r="AD842" i="1"/>
  <c r="AF842" i="1" s="1"/>
  <c r="AD843" i="1"/>
  <c r="AF843" i="1" s="1"/>
  <c r="AD844" i="1"/>
  <c r="AF844" i="1" s="1"/>
  <c r="AD845" i="1"/>
  <c r="AG845" i="1" s="1"/>
  <c r="AD846" i="1"/>
  <c r="AF846" i="1" s="1"/>
  <c r="AD847" i="1"/>
  <c r="AG847" i="1" s="1"/>
  <c r="AD848" i="1"/>
  <c r="AF848" i="1" s="1"/>
  <c r="AD849" i="1"/>
  <c r="AG849" i="1" s="1"/>
  <c r="AD850" i="1"/>
  <c r="AG850" i="1" s="1"/>
  <c r="AD851" i="1"/>
  <c r="AF851" i="1" s="1"/>
  <c r="AD852" i="1"/>
  <c r="AF852" i="1" s="1"/>
  <c r="AD853" i="1"/>
  <c r="AG853" i="1" s="1"/>
  <c r="AD854" i="1"/>
  <c r="AF854" i="1" s="1"/>
  <c r="AD855" i="1"/>
  <c r="AG855" i="1" s="1"/>
  <c r="AD856" i="1"/>
  <c r="AG856" i="1" s="1"/>
  <c r="AD857" i="1"/>
  <c r="AG857" i="1" s="1"/>
  <c r="AD858" i="1"/>
  <c r="AF858" i="1" s="1"/>
  <c r="AD859" i="1"/>
  <c r="AG859" i="1" s="1"/>
  <c r="AD860" i="1"/>
  <c r="AF860" i="1" s="1"/>
  <c r="AD861" i="1"/>
  <c r="AF861" i="1" s="1"/>
  <c r="AD862" i="1"/>
  <c r="AF862" i="1" s="1"/>
  <c r="AD863" i="1"/>
  <c r="AF863" i="1" s="1"/>
  <c r="AD864" i="1"/>
  <c r="AF864" i="1" s="1"/>
  <c r="AD865" i="1"/>
  <c r="AG865" i="1" s="1"/>
  <c r="AD866" i="1"/>
  <c r="AF866" i="1" s="1"/>
  <c r="AD867" i="1"/>
  <c r="AG867" i="1" s="1"/>
  <c r="AD868" i="1"/>
  <c r="AF868" i="1" s="1"/>
  <c r="AD869" i="1"/>
  <c r="AF869" i="1" s="1"/>
  <c r="AD870" i="1"/>
  <c r="AF870" i="1" s="1"/>
  <c r="AD871" i="1"/>
  <c r="AF871" i="1" s="1"/>
  <c r="AD872" i="1"/>
  <c r="AF872" i="1" s="1"/>
  <c r="AD873" i="1"/>
  <c r="AG873" i="1" s="1"/>
  <c r="AD874" i="1"/>
  <c r="AF874" i="1" s="1"/>
  <c r="AD875" i="1"/>
  <c r="AG875" i="1" s="1"/>
  <c r="AD876" i="1"/>
  <c r="AF876" i="1" s="1"/>
  <c r="AD877" i="1"/>
  <c r="AF877" i="1" s="1"/>
  <c r="AD878" i="1"/>
  <c r="AG878" i="1" s="1"/>
  <c r="AD879" i="1"/>
  <c r="AG879" i="1" s="1"/>
  <c r="AD880" i="1"/>
  <c r="AF880" i="1" s="1"/>
  <c r="AD881" i="1"/>
  <c r="AG881" i="1" s="1"/>
  <c r="AD882" i="1"/>
  <c r="AF882" i="1" s="1"/>
  <c r="AD883" i="1"/>
  <c r="AF883" i="1" s="1"/>
  <c r="AD884" i="1"/>
  <c r="AD885" i="1"/>
  <c r="AF885" i="1" s="1"/>
  <c r="M195" i="1"/>
  <c r="N195" i="1" s="1"/>
  <c r="M711" i="1"/>
  <c r="N711" i="1" s="1"/>
  <c r="M713" i="1"/>
  <c r="N713" i="1" s="1"/>
  <c r="M715" i="1"/>
  <c r="N715" i="1" s="1"/>
  <c r="M716" i="1"/>
  <c r="N716" i="1" s="1"/>
  <c r="M717" i="1"/>
  <c r="N717" i="1" s="1"/>
  <c r="M718" i="1"/>
  <c r="N718" i="1" s="1"/>
  <c r="M719" i="1"/>
  <c r="N719" i="1" s="1"/>
  <c r="M722" i="1"/>
  <c r="N722" i="1" s="1"/>
  <c r="M723" i="1"/>
  <c r="N723" i="1" s="1"/>
  <c r="M724" i="1"/>
  <c r="N724" i="1" s="1"/>
  <c r="M725" i="1"/>
  <c r="N725" i="1" s="1"/>
  <c r="M727" i="1"/>
  <c r="N727" i="1" s="1"/>
  <c r="M728" i="1"/>
  <c r="N728" i="1" s="1"/>
  <c r="M730" i="1"/>
  <c r="N730" i="1" s="1"/>
  <c r="M731" i="1"/>
  <c r="N731" i="1" s="1"/>
  <c r="M732" i="1"/>
  <c r="N732" i="1" s="1"/>
  <c r="M736" i="1"/>
  <c r="N736" i="1" s="1"/>
  <c r="M737" i="1"/>
  <c r="N737" i="1" s="1"/>
  <c r="M739" i="1"/>
  <c r="N739" i="1" s="1"/>
  <c r="M740" i="1"/>
  <c r="N740" i="1" s="1"/>
  <c r="M742" i="1"/>
  <c r="N742" i="1" s="1"/>
  <c r="M743" i="1"/>
  <c r="N743" i="1" s="1"/>
  <c r="M744" i="1"/>
  <c r="N744" i="1" s="1"/>
  <c r="M745" i="1"/>
  <c r="N745" i="1" s="1"/>
  <c r="M746" i="1"/>
  <c r="N746" i="1" s="1"/>
  <c r="M748" i="1"/>
  <c r="N748" i="1" s="1"/>
  <c r="M750" i="1"/>
  <c r="N750" i="1" s="1"/>
  <c r="M751" i="1"/>
  <c r="N751" i="1" s="1"/>
  <c r="M758" i="1"/>
  <c r="N758" i="1" s="1"/>
  <c r="M761" i="1"/>
  <c r="N761" i="1" s="1"/>
  <c r="M762" i="1"/>
  <c r="N762" i="1" s="1"/>
  <c r="M763" i="1"/>
  <c r="N763" i="1" s="1"/>
  <c r="M765" i="1"/>
  <c r="N765" i="1" s="1"/>
  <c r="M766" i="1"/>
  <c r="N766" i="1" s="1"/>
  <c r="M767" i="1"/>
  <c r="N767" i="1" s="1"/>
  <c r="M770" i="1"/>
  <c r="N770" i="1" s="1"/>
  <c r="M773" i="1"/>
  <c r="N773" i="1" s="1"/>
  <c r="M774" i="1"/>
  <c r="N774" i="1" s="1"/>
  <c r="M777" i="1"/>
  <c r="N777" i="1" s="1"/>
  <c r="M778" i="1"/>
  <c r="N778" i="1" s="1"/>
  <c r="M780" i="1"/>
  <c r="N780" i="1" s="1"/>
  <c r="M781" i="1"/>
  <c r="N781" i="1" s="1"/>
  <c r="M782" i="1"/>
  <c r="N782" i="1" s="1"/>
  <c r="M783" i="1"/>
  <c r="N783" i="1" s="1"/>
  <c r="M787" i="1"/>
  <c r="N787" i="1" s="1"/>
  <c r="M788" i="1"/>
  <c r="N788" i="1" s="1"/>
  <c r="M790" i="1"/>
  <c r="N790" i="1" s="1"/>
  <c r="M792" i="1"/>
  <c r="N792" i="1" s="1"/>
  <c r="M793" i="1"/>
  <c r="N793" i="1" s="1"/>
  <c r="M795" i="1"/>
  <c r="N795" i="1" s="1"/>
  <c r="M796" i="1"/>
  <c r="N796" i="1" s="1"/>
  <c r="M797" i="1"/>
  <c r="N797" i="1" s="1"/>
  <c r="M799" i="1"/>
  <c r="N799" i="1" s="1"/>
  <c r="M801" i="1"/>
  <c r="N801" i="1" s="1"/>
  <c r="M802" i="1"/>
  <c r="N802" i="1" s="1"/>
  <c r="M804" i="1"/>
  <c r="N804" i="1" s="1"/>
  <c r="M808" i="1"/>
  <c r="N808" i="1" s="1"/>
  <c r="M810" i="1"/>
  <c r="N810" i="1" s="1"/>
  <c r="M812" i="1"/>
  <c r="N812" i="1" s="1"/>
  <c r="M816" i="1"/>
  <c r="N816" i="1" s="1"/>
  <c r="M819" i="1"/>
  <c r="N819" i="1" s="1"/>
  <c r="M820" i="1"/>
  <c r="N820" i="1" s="1"/>
  <c r="M822" i="1"/>
  <c r="N822" i="1" s="1"/>
  <c r="M823" i="1"/>
  <c r="N823" i="1" s="1"/>
  <c r="M824" i="1"/>
  <c r="N824" i="1" s="1"/>
  <c r="M828" i="1"/>
  <c r="N828" i="1" s="1"/>
  <c r="M829" i="1"/>
  <c r="N829" i="1" s="1"/>
  <c r="M830" i="1"/>
  <c r="N830" i="1" s="1"/>
  <c r="M832" i="1"/>
  <c r="N832" i="1" s="1"/>
  <c r="M833" i="1"/>
  <c r="N833" i="1" s="1"/>
  <c r="M835" i="1"/>
  <c r="N835" i="1" s="1"/>
  <c r="M837" i="1"/>
  <c r="N837" i="1" s="1"/>
  <c r="N840" i="1"/>
  <c r="M843" i="1"/>
  <c r="N843" i="1" s="1"/>
  <c r="M844" i="1"/>
  <c r="N844" i="1" s="1"/>
  <c r="M846" i="1"/>
  <c r="N846" i="1" s="1"/>
  <c r="M847" i="1"/>
  <c r="N847" i="1" s="1"/>
  <c r="M849" i="1"/>
  <c r="N849" i="1" s="1"/>
  <c r="M851" i="1"/>
  <c r="N851" i="1" s="1"/>
  <c r="M855" i="1"/>
  <c r="N855" i="1" s="1"/>
  <c r="M856" i="1"/>
  <c r="N856" i="1" s="1"/>
  <c r="M865" i="1"/>
  <c r="N865" i="1" s="1"/>
  <c r="M866" i="1"/>
  <c r="N866" i="1" s="1"/>
  <c r="M870" i="1"/>
  <c r="N870" i="1" s="1"/>
  <c r="M877" i="1"/>
  <c r="N877" i="1" s="1"/>
  <c r="M878" i="1"/>
  <c r="N878" i="1" s="1"/>
  <c r="M880" i="1"/>
  <c r="N880" i="1" s="1"/>
  <c r="B878" i="1"/>
  <c r="B879" i="1"/>
  <c r="B880" i="1"/>
  <c r="B881" i="1"/>
  <c r="B882" i="1"/>
  <c r="B883" i="1"/>
  <c r="B884" i="1"/>
  <c r="B885" i="1"/>
  <c r="AF884" i="1" l="1"/>
  <c r="AG884" i="1"/>
  <c r="AH884" i="1" s="1"/>
  <c r="AH792" i="1"/>
  <c r="AH777" i="1"/>
  <c r="AH776" i="1"/>
  <c r="AH816" i="1"/>
  <c r="AH784" i="1"/>
  <c r="AH845" i="1"/>
  <c r="AH873" i="1"/>
  <c r="AH779" i="1"/>
  <c r="AH813" i="1"/>
  <c r="AH755" i="1"/>
  <c r="AH802" i="1"/>
  <c r="AH757" i="1"/>
  <c r="AH768" i="1"/>
  <c r="AH724" i="1"/>
  <c r="AH762" i="1"/>
  <c r="AH865" i="1"/>
  <c r="AH857" i="1"/>
  <c r="AH765" i="1"/>
  <c r="AH833" i="1"/>
  <c r="AG764" i="1"/>
  <c r="AH764" i="1" s="1"/>
  <c r="AG819" i="1"/>
  <c r="AH819" i="1" s="1"/>
  <c r="AF806" i="1"/>
  <c r="AH881" i="1"/>
  <c r="AH850" i="1"/>
  <c r="AH815" i="1"/>
  <c r="AH799" i="1"/>
  <c r="AH791" i="1"/>
  <c r="AH746" i="1"/>
  <c r="AF857" i="1"/>
  <c r="AF812" i="1"/>
  <c r="AH855" i="1"/>
  <c r="AH875" i="1"/>
  <c r="AH761" i="1"/>
  <c r="AG869" i="1"/>
  <c r="AH869" i="1" s="1"/>
  <c r="AF824" i="1"/>
  <c r="AF797" i="1"/>
  <c r="AH867" i="1"/>
  <c r="AH859" i="1"/>
  <c r="AH767" i="1"/>
  <c r="AH732" i="1"/>
  <c r="AG880" i="1"/>
  <c r="AH880" i="1" s="1"/>
  <c r="AG759" i="1"/>
  <c r="AH759" i="1" s="1"/>
  <c r="AH847" i="1"/>
  <c r="AH750" i="1"/>
  <c r="AG882" i="1"/>
  <c r="AH882" i="1" s="1"/>
  <c r="AF875" i="1"/>
  <c r="AG870" i="1"/>
  <c r="AH870" i="1" s="1"/>
  <c r="AG851" i="1"/>
  <c r="AH851" i="1" s="1"/>
  <c r="AF849" i="1"/>
  <c r="AG848" i="1"/>
  <c r="AH848" i="1" s="1"/>
  <c r="AF828" i="1"/>
  <c r="AG821" i="1"/>
  <c r="AH821" i="1" s="1"/>
  <c r="AF815" i="1"/>
  <c r="AF777" i="1"/>
  <c r="AF748" i="1"/>
  <c r="AG861" i="1"/>
  <c r="AH861" i="1" s="1"/>
  <c r="AG844" i="1"/>
  <c r="AH844" i="1" s="1"/>
  <c r="AG835" i="1"/>
  <c r="AH835" i="1" s="1"/>
  <c r="AG814" i="1"/>
  <c r="AH814" i="1" s="1"/>
  <c r="AG808" i="1"/>
  <c r="AH808" i="1" s="1"/>
  <c r="AF803" i="1"/>
  <c r="AG800" i="1"/>
  <c r="AH800" i="1" s="1"/>
  <c r="AG752" i="1"/>
  <c r="AH752" i="1" s="1"/>
  <c r="AG745" i="1"/>
  <c r="AH745" i="1" s="1"/>
  <c r="AG787" i="1"/>
  <c r="AH787" i="1" s="1"/>
  <c r="AF881" i="1"/>
  <c r="AF873" i="1"/>
  <c r="AF856" i="1"/>
  <c r="AG831" i="1"/>
  <c r="AH831" i="1" s="1"/>
  <c r="AG829" i="1"/>
  <c r="AH829" i="1" s="1"/>
  <c r="AG794" i="1"/>
  <c r="AH794" i="1" s="1"/>
  <c r="AF791" i="1"/>
  <c r="AF755" i="1"/>
  <c r="AG715" i="1"/>
  <c r="AH715" i="1" s="1"/>
  <c r="AH789" i="1"/>
  <c r="AH785" i="1"/>
  <c r="AH769" i="1"/>
  <c r="AG885" i="1"/>
  <c r="AH885" i="1" s="1"/>
  <c r="AH878" i="1"/>
  <c r="AG876" i="1"/>
  <c r="AH876" i="1" s="1"/>
  <c r="AF865" i="1"/>
  <c r="AG863" i="1"/>
  <c r="AH863" i="1" s="1"/>
  <c r="AG840" i="1"/>
  <c r="AH840" i="1" s="1"/>
  <c r="AG834" i="1"/>
  <c r="AH834" i="1" s="1"/>
  <c r="AG818" i="1"/>
  <c r="AH818" i="1" s="1"/>
  <c r="AG810" i="1"/>
  <c r="AH810" i="1" s="1"/>
  <c r="AG804" i="1"/>
  <c r="AH804" i="1" s="1"/>
  <c r="AF767" i="1"/>
  <c r="AF765" i="1"/>
  <c r="AF757" i="1"/>
  <c r="AG736" i="1"/>
  <c r="AH736" i="1" s="1"/>
  <c r="AF721" i="1"/>
  <c r="AH826" i="1"/>
  <c r="AG846" i="1"/>
  <c r="AH846" i="1" s="1"/>
  <c r="AG807" i="1"/>
  <c r="AH807" i="1" s="1"/>
  <c r="AG795" i="1"/>
  <c r="AH795" i="1" s="1"/>
  <c r="AG817" i="1"/>
  <c r="AH817" i="1" s="1"/>
  <c r="AF817" i="1"/>
  <c r="AF714" i="1"/>
  <c r="AG714" i="1"/>
  <c r="AH714" i="1" s="1"/>
  <c r="AG827" i="1"/>
  <c r="AH827" i="1" s="1"/>
  <c r="AG842" i="1"/>
  <c r="AH842" i="1" s="1"/>
  <c r="AG781" i="1"/>
  <c r="AH781" i="1" s="1"/>
  <c r="AH828" i="1"/>
  <c r="AG793" i="1"/>
  <c r="AH793" i="1" s="1"/>
  <c r="AF793" i="1"/>
  <c r="AF770" i="1"/>
  <c r="AG770" i="1"/>
  <c r="AH770" i="1" s="1"/>
  <c r="AF744" i="1"/>
  <c r="AG744" i="1"/>
  <c r="AH744" i="1" s="1"/>
  <c r="AF735" i="1"/>
  <c r="AG735" i="1"/>
  <c r="AH735" i="1" s="1"/>
  <c r="AG730" i="1"/>
  <c r="AH730" i="1" s="1"/>
  <c r="AF730" i="1"/>
  <c r="AF725" i="1"/>
  <c r="AG725" i="1"/>
  <c r="AH725" i="1" s="1"/>
  <c r="AF720" i="1"/>
  <c r="AG720" i="1"/>
  <c r="AH720" i="1" s="1"/>
  <c r="AF718" i="1"/>
  <c r="AG718" i="1"/>
  <c r="AH718" i="1" s="1"/>
  <c r="AJ885" i="1"/>
  <c r="AJ880" i="1"/>
  <c r="AF879" i="1"/>
  <c r="AG877" i="1"/>
  <c r="AH877" i="1" s="1"/>
  <c r="AF867" i="1"/>
  <c r="AF859" i="1"/>
  <c r="AF853" i="1"/>
  <c r="AG852" i="1"/>
  <c r="AH852" i="1" s="1"/>
  <c r="AF850" i="1"/>
  <c r="AF845" i="1"/>
  <c r="AG843" i="1"/>
  <c r="AH843" i="1" s="1"/>
  <c r="AG823" i="1"/>
  <c r="AH823" i="1" s="1"/>
  <c r="AF813" i="1"/>
  <c r="AG798" i="1"/>
  <c r="AH798" i="1" s="1"/>
  <c r="AF792" i="1"/>
  <c r="AG786" i="1"/>
  <c r="AH786" i="1" s="1"/>
  <c r="AF779" i="1"/>
  <c r="AF762" i="1"/>
  <c r="AF753" i="1"/>
  <c r="AF746" i="1"/>
  <c r="AF740" i="1"/>
  <c r="AF732" i="1"/>
  <c r="AG729" i="1"/>
  <c r="AH729" i="1" s="1"/>
  <c r="AF789" i="1"/>
  <c r="AG775" i="1"/>
  <c r="AH775" i="1" s="1"/>
  <c r="AG772" i="1"/>
  <c r="AH772" i="1" s="1"/>
  <c r="AG734" i="1"/>
  <c r="AH734" i="1" s="1"/>
  <c r="AF878" i="1"/>
  <c r="AG872" i="1"/>
  <c r="AH872" i="1" s="1"/>
  <c r="AG763" i="1"/>
  <c r="AH763" i="1" s="1"/>
  <c r="AF763" i="1"/>
  <c r="AH747" i="1"/>
  <c r="AG737" i="1"/>
  <c r="AH737" i="1" s="1"/>
  <c r="AF737" i="1"/>
  <c r="AF712" i="1"/>
  <c r="AG712" i="1"/>
  <c r="AH712" i="1" s="1"/>
  <c r="AG883" i="1"/>
  <c r="AH883" i="1" s="1"/>
  <c r="AG874" i="1"/>
  <c r="AH874" i="1" s="1"/>
  <c r="AG871" i="1"/>
  <c r="AH871" i="1" s="1"/>
  <c r="AG868" i="1"/>
  <c r="AH868" i="1" s="1"/>
  <c r="AG866" i="1"/>
  <c r="AH866" i="1" s="1"/>
  <c r="AG860" i="1"/>
  <c r="AH860" i="1" s="1"/>
  <c r="AG858" i="1"/>
  <c r="AH858" i="1" s="1"/>
  <c r="AH856" i="1"/>
  <c r="AH849" i="1"/>
  <c r="AF833" i="1"/>
  <c r="AF826" i="1"/>
  <c r="AG820" i="1"/>
  <c r="AH820" i="1" s="1"/>
  <c r="AG788" i="1"/>
  <c r="AH788" i="1" s="1"/>
  <c r="AF783" i="1"/>
  <c r="AF778" i="1"/>
  <c r="AF769" i="1"/>
  <c r="AF750" i="1"/>
  <c r="AF747" i="1"/>
  <c r="AF741" i="1"/>
  <c r="AG738" i="1"/>
  <c r="AH738" i="1" s="1"/>
  <c r="AF724" i="1"/>
  <c r="AG739" i="1"/>
  <c r="AH739" i="1" s="1"/>
  <c r="AF739" i="1"/>
  <c r="AG733" i="1"/>
  <c r="AH733" i="1" s="1"/>
  <c r="AF733" i="1"/>
  <c r="AF855" i="1"/>
  <c r="AF830" i="1"/>
  <c r="AG830" i="1"/>
  <c r="AH830" i="1" s="1"/>
  <c r="AG754" i="1"/>
  <c r="AH754" i="1" s="1"/>
  <c r="AF754" i="1"/>
  <c r="AF722" i="1"/>
  <c r="AG722" i="1"/>
  <c r="AH722" i="1" s="1"/>
  <c r="AF716" i="1"/>
  <c r="AG716" i="1"/>
  <c r="AH716" i="1" s="1"/>
  <c r="AF711" i="1"/>
  <c r="AG711" i="1"/>
  <c r="AH711" i="1" s="1"/>
  <c r="AH879" i="1"/>
  <c r="AG864" i="1"/>
  <c r="AH864" i="1" s="1"/>
  <c r="AG862" i="1"/>
  <c r="AH862" i="1" s="1"/>
  <c r="AG854" i="1"/>
  <c r="AH854" i="1" s="1"/>
  <c r="AF847" i="1"/>
  <c r="AG838" i="1"/>
  <c r="AH838" i="1" s="1"/>
  <c r="AG836" i="1"/>
  <c r="AH836" i="1" s="1"/>
  <c r="AG822" i="1"/>
  <c r="AH822" i="1" s="1"/>
  <c r="AF816" i="1"/>
  <c r="AG809" i="1"/>
  <c r="AH809" i="1" s="1"/>
  <c r="AG805" i="1"/>
  <c r="AH805" i="1" s="1"/>
  <c r="AF799" i="1"/>
  <c r="AG796" i="1"/>
  <c r="AH796" i="1" s="1"/>
  <c r="AF784" i="1"/>
  <c r="AG780" i="1"/>
  <c r="AH780" i="1" s="1"/>
  <c r="AG766" i="1"/>
  <c r="AH766" i="1" s="1"/>
  <c r="AG760" i="1"/>
  <c r="AH760" i="1" s="1"/>
  <c r="AG751" i="1"/>
  <c r="AH751" i="1" s="1"/>
  <c r="AG731" i="1"/>
  <c r="AH731" i="1" s="1"/>
  <c r="AH723" i="1"/>
  <c r="AJ711" i="1"/>
  <c r="AF727" i="1"/>
  <c r="AG727" i="1"/>
  <c r="AH727" i="1" s="1"/>
  <c r="AG743" i="1"/>
  <c r="AH743" i="1" s="1"/>
  <c r="AG771" i="1"/>
  <c r="AH771" i="1" s="1"/>
  <c r="AF771" i="1"/>
  <c r="AF756" i="1"/>
  <c r="AG756" i="1"/>
  <c r="AH756" i="1" s="1"/>
  <c r="AG742" i="1"/>
  <c r="AH742" i="1" s="1"/>
  <c r="AF742" i="1"/>
  <c r="AF717" i="1"/>
  <c r="AG717" i="1"/>
  <c r="AH717" i="1" s="1"/>
  <c r="AG837" i="1"/>
  <c r="AH837" i="1" s="1"/>
  <c r="AF761" i="1"/>
  <c r="AG713" i="1"/>
  <c r="AH713" i="1" s="1"/>
  <c r="AH803" i="1"/>
  <c r="AG801" i="1"/>
  <c r="AH801" i="1" s="1"/>
  <c r="AF801" i="1"/>
  <c r="AG790" i="1"/>
  <c r="AH790" i="1" s="1"/>
  <c r="AF790" i="1"/>
  <c r="AF774" i="1"/>
  <c r="AG774" i="1"/>
  <c r="AH774" i="1" s="1"/>
  <c r="AF749" i="1"/>
  <c r="AG749" i="1"/>
  <c r="AH749" i="1" s="1"/>
  <c r="AF728" i="1"/>
  <c r="AG728" i="1"/>
  <c r="AH728" i="1" s="1"/>
  <c r="AF719" i="1"/>
  <c r="AG719" i="1"/>
  <c r="AH719" i="1" s="1"/>
  <c r="AF710" i="1"/>
  <c r="AG710" i="1"/>
  <c r="AH710" i="1" s="1"/>
  <c r="AG841" i="1"/>
  <c r="AH841" i="1" s="1"/>
  <c r="AF839" i="1"/>
  <c r="AG832" i="1"/>
  <c r="AH832" i="1" s="1"/>
  <c r="AG825" i="1"/>
  <c r="AH825" i="1" s="1"/>
  <c r="AG811" i="1"/>
  <c r="AH811" i="1" s="1"/>
  <c r="AF802" i="1"/>
  <c r="AF785" i="1"/>
  <c r="AG782" i="1"/>
  <c r="AH782" i="1" s="1"/>
  <c r="AF776" i="1"/>
  <c r="AF773" i="1"/>
  <c r="AF768" i="1"/>
  <c r="AG758" i="1"/>
  <c r="AH758" i="1" s="1"/>
  <c r="AG726" i="1"/>
  <c r="AH726" i="1" s="1"/>
  <c r="AF723" i="1"/>
  <c r="AH783" i="1"/>
  <c r="AJ883" i="1"/>
  <c r="AJ878" i="1"/>
  <c r="AH806" i="1"/>
  <c r="AJ783" i="1"/>
  <c r="AH778" i="1"/>
  <c r="AH753" i="1"/>
  <c r="AH824" i="1"/>
  <c r="AH812" i="1"/>
  <c r="AH748" i="1"/>
  <c r="AH741" i="1"/>
  <c r="AH721" i="1"/>
  <c r="AH853" i="1"/>
  <c r="AH839" i="1"/>
  <c r="AH797" i="1"/>
  <c r="AH773" i="1"/>
  <c r="AH740" i="1"/>
  <c r="AJ851" i="1"/>
  <c r="AJ841" i="1"/>
  <c r="AJ836" i="1"/>
  <c r="AJ723" i="1"/>
  <c r="AJ712" i="1"/>
  <c r="S195" i="1" l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AA244" i="1" l="1"/>
  <c r="AA478" i="1"/>
  <c r="AA390" i="1"/>
  <c r="AA342" i="1"/>
  <c r="AA307" i="1"/>
  <c r="AA278" i="1"/>
  <c r="AA236" i="1"/>
  <c r="AA222" i="1"/>
  <c r="AA206" i="1"/>
  <c r="AA298" i="1"/>
  <c r="AA339" i="1"/>
  <c r="AA348" i="1"/>
  <c r="AA382" i="1"/>
  <c r="AA392" i="1"/>
  <c r="AA498" i="1"/>
  <c r="AA492" i="1"/>
  <c r="AA472" i="1"/>
  <c r="AA450" i="1"/>
  <c r="AA435" i="1"/>
  <c r="AA430" i="1"/>
  <c r="AA406" i="1"/>
  <c r="AA453" i="1"/>
  <c r="AA386" i="1"/>
  <c r="AA346" i="1"/>
  <c r="AA355" i="1"/>
  <c r="AA302" i="1"/>
  <c r="AA310" i="1"/>
  <c r="AA311" i="1"/>
  <c r="AA285" i="1"/>
  <c r="AA268" i="1"/>
  <c r="AA247" i="1"/>
  <c r="AA242" i="1"/>
  <c r="AA231" i="1"/>
  <c r="AA248" i="1"/>
  <c r="AA254" i="1"/>
  <c r="AA262" i="1"/>
  <c r="AA271" i="1"/>
  <c r="AA272" i="1"/>
  <c r="AA410" i="1"/>
  <c r="AA341" i="1"/>
  <c r="AA322" i="1"/>
  <c r="AA227" i="1"/>
  <c r="AA201" i="1"/>
  <c r="AA197" i="1"/>
  <c r="AA211" i="1"/>
  <c r="AA217" i="1"/>
  <c r="AA458" i="1"/>
  <c r="AA475" i="1"/>
  <c r="AA545" i="1"/>
  <c r="AA626" i="1"/>
  <c r="AB626" i="1" s="1"/>
  <c r="AA644" i="1"/>
  <c r="AB644" i="1" s="1"/>
  <c r="AA700" i="1"/>
  <c r="AB700" i="1" s="1"/>
  <c r="AA673" i="1"/>
  <c r="AB673" i="1" s="1"/>
  <c r="AA705" i="1"/>
  <c r="AB705" i="1" s="1"/>
  <c r="AA660" i="1"/>
  <c r="AB660" i="1" s="1"/>
  <c r="AA648" i="1"/>
  <c r="AB648" i="1" s="1"/>
  <c r="AA513" i="1"/>
  <c r="AA501" i="1"/>
  <c r="AA496" i="1"/>
  <c r="AA482" i="1"/>
  <c r="AA565" i="1"/>
  <c r="AB565" i="1" s="1"/>
  <c r="AA618" i="1"/>
  <c r="AB618" i="1" s="1"/>
  <c r="AA659" i="1"/>
  <c r="AB659" i="1" s="1"/>
  <c r="AA696" i="1"/>
  <c r="AB696" i="1" s="1"/>
  <c r="AA579" i="1"/>
  <c r="AB579" i="1" s="1"/>
  <c r="AA606" i="1"/>
  <c r="AB606" i="1" s="1"/>
  <c r="AA641" i="1"/>
  <c r="AB641" i="1" s="1"/>
  <c r="AA617" i="1"/>
  <c r="AB617" i="1" s="1"/>
  <c r="AA613" i="1"/>
  <c r="AB613" i="1" s="1"/>
  <c r="AA564" i="1"/>
  <c r="AB564" i="1" s="1"/>
  <c r="AA546" i="1"/>
  <c r="AA539" i="1"/>
  <c r="AA526" i="1"/>
  <c r="AA520" i="1"/>
  <c r="AA497" i="1"/>
  <c r="AA505" i="1"/>
  <c r="AA493" i="1"/>
  <c r="AA473" i="1"/>
  <c r="AA464" i="1"/>
  <c r="AA451" i="1"/>
  <c r="AA422" i="1"/>
  <c r="AA411" i="1"/>
  <c r="AA345" i="1"/>
  <c r="AA344" i="1"/>
  <c r="AA350" i="1"/>
  <c r="AA361" i="1"/>
  <c r="AA365" i="1"/>
  <c r="AA362" i="1"/>
  <c r="AA352" i="1"/>
  <c r="AA331" i="1"/>
  <c r="AA326" i="1"/>
  <c r="AA325" i="1"/>
  <c r="AA303" i="1"/>
  <c r="AA300" i="1"/>
  <c r="AA288" i="1"/>
  <c r="AA276" i="1"/>
  <c r="AA273" i="1"/>
  <c r="AA215" i="1"/>
  <c r="AA209" i="1"/>
  <c r="AA708" i="1"/>
  <c r="AB708" i="1" s="1"/>
  <c r="AA692" i="1"/>
  <c r="AB692" i="1" s="1"/>
  <c r="AA691" i="1"/>
  <c r="AB691" i="1" s="1"/>
  <c r="AA688" i="1"/>
  <c r="AB688" i="1" s="1"/>
  <c r="AA685" i="1"/>
  <c r="AB685" i="1" s="1"/>
  <c r="AA679" i="1"/>
  <c r="AB679" i="1" s="1"/>
  <c r="AA678" i="1"/>
  <c r="AB678" i="1" s="1"/>
  <c r="AA674" i="1"/>
  <c r="AB674" i="1" s="1"/>
  <c r="AA684" i="1"/>
  <c r="AB684" i="1" s="1"/>
  <c r="AA624" i="1"/>
  <c r="AB624" i="1" s="1"/>
  <c r="AA639" i="1"/>
  <c r="AB639" i="1" s="1"/>
  <c r="AA642" i="1"/>
  <c r="AB642" i="1" s="1"/>
  <c r="AA651" i="1"/>
  <c r="AB651" i="1" s="1"/>
  <c r="AA655" i="1"/>
  <c r="AB655" i="1" s="1"/>
  <c r="AA536" i="1"/>
  <c r="AA548" i="1"/>
  <c r="AA491" i="1"/>
  <c r="AA471" i="1"/>
  <c r="AA469" i="1"/>
  <c r="AA462" i="1"/>
  <c r="AA461" i="1"/>
  <c r="AA455" i="1"/>
  <c r="AA442" i="1"/>
  <c r="AA441" i="1"/>
  <c r="AA437" i="1"/>
  <c r="AA426" i="1"/>
  <c r="AA413" i="1"/>
  <c r="AA405" i="1"/>
  <c r="AA398" i="1"/>
  <c r="AA394" i="1"/>
  <c r="AA391" i="1"/>
  <c r="AA369" i="1"/>
  <c r="AA384" i="1"/>
  <c r="AA381" i="1"/>
  <c r="AA375" i="1"/>
  <c r="AA372" i="1"/>
  <c r="AA367" i="1"/>
  <c r="AA359" i="1"/>
  <c r="AA357" i="1"/>
  <c r="AA351" i="1"/>
  <c r="AA347" i="1"/>
  <c r="AA314" i="1"/>
  <c r="AA320" i="1"/>
  <c r="AA327" i="1"/>
  <c r="AA336" i="1"/>
  <c r="AA340" i="1"/>
  <c r="AA343" i="1"/>
  <c r="AA328" i="1"/>
  <c r="AA304" i="1"/>
  <c r="AA333" i="1"/>
  <c r="AA330" i="1"/>
  <c r="AA321" i="1"/>
  <c r="AA317" i="1"/>
  <c r="AA315" i="1"/>
  <c r="AA309" i="1"/>
  <c r="AA404" i="1"/>
  <c r="AA407" i="1"/>
  <c r="AA376" i="1"/>
  <c r="AA373" i="1"/>
  <c r="AA363" i="1"/>
  <c r="AA423" i="1"/>
  <c r="AA429" i="1"/>
  <c r="AA425" i="1"/>
  <c r="AA421" i="1"/>
  <c r="AA417" i="1"/>
  <c r="AA416" i="1"/>
  <c r="AA480" i="1"/>
  <c r="AA479" i="1"/>
  <c r="AA460" i="1"/>
  <c r="AA457" i="1"/>
  <c r="AA438" i="1"/>
  <c r="AA535" i="1"/>
  <c r="AA527" i="1"/>
  <c r="AA525" i="1"/>
  <c r="AA523" i="1"/>
  <c r="AA522" i="1"/>
  <c r="AA516" i="1"/>
  <c r="AA510" i="1"/>
  <c r="AA666" i="1"/>
  <c r="AB666" i="1" s="1"/>
  <c r="AA636" i="1"/>
  <c r="AB636" i="1" s="1"/>
  <c r="AA621" i="1"/>
  <c r="AB621" i="1" s="1"/>
  <c r="AA588" i="1"/>
  <c r="AB588" i="1" s="1"/>
  <c r="AA542" i="1"/>
  <c r="AA529" i="1"/>
  <c r="AA190" i="1"/>
  <c r="AA185" i="1"/>
  <c r="AA166" i="1"/>
  <c r="AA160" i="1"/>
  <c r="AA154" i="1"/>
  <c r="AA147" i="1"/>
  <c r="AA143" i="1"/>
  <c r="AA124" i="1"/>
  <c r="AA109" i="1"/>
  <c r="AA93" i="1"/>
  <c r="AA82" i="1"/>
  <c r="AA71" i="1"/>
  <c r="AA64" i="1"/>
  <c r="AA59" i="1"/>
  <c r="AA57" i="1"/>
  <c r="AA52" i="1"/>
  <c r="AA48" i="1"/>
  <c r="AA15" i="1"/>
  <c r="AA16" i="1"/>
  <c r="AA24" i="1"/>
  <c r="AA32" i="1"/>
  <c r="AA36" i="1"/>
  <c r="AA19" i="1"/>
  <c r="AA34" i="1"/>
  <c r="AA42" i="1"/>
  <c r="AA47" i="1"/>
  <c r="AA55" i="1"/>
  <c r="AA66" i="1"/>
  <c r="AA72" i="1"/>
  <c r="AA107" i="1"/>
  <c r="AA111" i="1"/>
  <c r="AA120" i="1"/>
  <c r="AA137" i="1"/>
  <c r="AA148" i="1"/>
  <c r="AA156" i="1"/>
  <c r="AA167" i="1"/>
  <c r="AA178" i="1"/>
  <c r="AA194" i="1"/>
  <c r="AA130" i="1"/>
  <c r="AA110" i="1"/>
  <c r="AA51" i="1"/>
  <c r="AA46" i="1"/>
  <c r="AA35" i="1"/>
  <c r="AA28" i="1"/>
  <c r="AA6" i="1"/>
  <c r="AA151" i="1"/>
  <c r="AA171" i="1"/>
  <c r="AA145" i="1"/>
  <c r="AA169" i="1"/>
  <c r="AA174" i="1"/>
  <c r="AA155" i="1"/>
  <c r="AA113" i="1"/>
  <c r="AA123" i="1"/>
  <c r="AA132" i="1"/>
  <c r="AA141" i="1"/>
  <c r="AA149" i="1"/>
  <c r="AA88" i="1"/>
  <c r="AA78" i="1"/>
  <c r="AA60" i="1"/>
  <c r="AA53" i="1"/>
  <c r="AA45" i="1"/>
  <c r="AA30" i="1"/>
  <c r="AA25" i="1"/>
  <c r="AA17" i="1"/>
  <c r="AA11" i="1"/>
  <c r="AA5" i="1"/>
  <c r="AA152" i="1"/>
  <c r="AA180" i="1"/>
  <c r="AA189" i="1"/>
  <c r="AA193" i="1"/>
  <c r="AA172" i="1"/>
  <c r="AA146" i="1"/>
  <c r="AA142" i="1"/>
  <c r="AA138" i="1"/>
  <c r="AA128" i="1"/>
  <c r="AA127" i="1"/>
  <c r="AA134" i="1"/>
  <c r="AA140" i="1"/>
  <c r="AA144" i="1"/>
  <c r="AA77" i="1"/>
  <c r="AA76" i="1"/>
  <c r="AA89" i="1"/>
  <c r="AA97" i="1"/>
  <c r="AA105" i="1"/>
  <c r="AA99" i="1"/>
  <c r="AA92" i="1"/>
  <c r="AA56" i="1"/>
  <c r="AA63" i="1"/>
  <c r="AA70" i="1"/>
  <c r="AA95" i="1"/>
  <c r="AA106" i="1"/>
  <c r="AA104" i="1"/>
  <c r="AA116" i="1"/>
  <c r="AA115" i="1"/>
  <c r="AA122" i="1"/>
  <c r="AA125" i="1"/>
  <c r="AA129" i="1"/>
  <c r="AA126" i="1"/>
  <c r="AA121" i="1"/>
  <c r="AA117" i="1"/>
  <c r="AA103" i="1"/>
  <c r="AA98" i="1"/>
  <c r="AA81" i="1"/>
  <c r="AA39" i="1"/>
  <c r="AA31" i="1"/>
  <c r="AA20" i="1"/>
  <c r="AA13" i="1"/>
  <c r="AA8" i="1"/>
  <c r="AA2" i="1"/>
  <c r="M136" i="1" l="1"/>
  <c r="N136" i="1" s="1"/>
  <c r="M133" i="1"/>
  <c r="N133" i="1" s="1"/>
  <c r="M129" i="1"/>
  <c r="N129" i="1" s="1"/>
  <c r="M708" i="1"/>
  <c r="N708" i="1" s="1"/>
  <c r="M155" i="1"/>
  <c r="N155" i="1" s="1"/>
  <c r="M151" i="1"/>
  <c r="N151" i="1" s="1"/>
  <c r="M150" i="1"/>
  <c r="N150" i="1" s="1"/>
  <c r="M147" i="1"/>
  <c r="N147" i="1" s="1"/>
  <c r="M142" i="1"/>
  <c r="N142" i="1" s="1"/>
  <c r="M138" i="1"/>
  <c r="N138" i="1" s="1"/>
  <c r="M135" i="1"/>
  <c r="N135" i="1" s="1"/>
  <c r="M170" i="1"/>
  <c r="N170" i="1" s="1"/>
  <c r="M173" i="1"/>
  <c r="N173" i="1" s="1"/>
  <c r="M180" i="1"/>
  <c r="N180" i="1" s="1"/>
  <c r="M186" i="1"/>
  <c r="N186" i="1" s="1"/>
  <c r="M190" i="1"/>
  <c r="N190" i="1" s="1"/>
  <c r="M128" i="1"/>
  <c r="N128" i="1" s="1"/>
  <c r="M130" i="1"/>
  <c r="N130" i="1" s="1"/>
  <c r="M141" i="1"/>
  <c r="N141" i="1" s="1"/>
  <c r="M139" i="1"/>
  <c r="N139" i="1" s="1"/>
  <c r="M137" i="1"/>
  <c r="N137" i="1" s="1"/>
  <c r="M132" i="1"/>
  <c r="N132" i="1" s="1"/>
  <c r="M709" i="1"/>
  <c r="N709" i="1" s="1"/>
  <c r="M707" i="1"/>
  <c r="N707" i="1" s="1"/>
  <c r="M703" i="1"/>
  <c r="N703" i="1" s="1"/>
  <c r="M701" i="1"/>
  <c r="N701" i="1" s="1"/>
  <c r="M699" i="1"/>
  <c r="N699" i="1" s="1"/>
  <c r="M696" i="1"/>
  <c r="N696" i="1" s="1"/>
  <c r="M123" i="1"/>
  <c r="N123" i="1" s="1"/>
  <c r="M126" i="1"/>
  <c r="N126" i="1" s="1"/>
  <c r="M705" i="1"/>
  <c r="N705" i="1" s="1"/>
  <c r="M702" i="1"/>
  <c r="N702" i="1" s="1"/>
  <c r="M166" i="1"/>
  <c r="N166" i="1" s="1"/>
  <c r="M161" i="1"/>
  <c r="N161" i="1" s="1"/>
  <c r="M157" i="1"/>
  <c r="N157" i="1" s="1"/>
  <c r="M153" i="1"/>
  <c r="N153" i="1" s="1"/>
  <c r="M148" i="1"/>
  <c r="N148" i="1" s="1"/>
  <c r="M184" i="1"/>
  <c r="N184" i="1" s="1"/>
  <c r="M188" i="1"/>
  <c r="N188" i="1" s="1"/>
  <c r="M193" i="1"/>
  <c r="N193" i="1" s="1"/>
  <c r="M192" i="1"/>
  <c r="N192" i="1" s="1"/>
  <c r="M181" i="1"/>
  <c r="N181" i="1" s="1"/>
  <c r="M179" i="1"/>
  <c r="N179" i="1" s="1"/>
  <c r="M165" i="1"/>
  <c r="N165" i="1" s="1"/>
  <c r="M160" i="1"/>
  <c r="N160" i="1" s="1"/>
  <c r="M146" i="1"/>
  <c r="N146" i="1" s="1"/>
  <c r="M122" i="1"/>
  <c r="N122" i="1" s="1"/>
  <c r="M706" i="1"/>
  <c r="N706" i="1" s="1"/>
  <c r="M124" i="1"/>
  <c r="N124" i="1" s="1"/>
  <c r="M125" i="1"/>
  <c r="N125" i="1" s="1"/>
  <c r="M127" i="1"/>
  <c r="N127" i="1" s="1"/>
  <c r="M140" i="1"/>
  <c r="N140" i="1" s="1"/>
  <c r="M143" i="1"/>
  <c r="N143" i="1" s="1"/>
  <c r="M144" i="1"/>
  <c r="N144" i="1" s="1"/>
  <c r="M145" i="1"/>
  <c r="N145" i="1" s="1"/>
  <c r="M152" i="1"/>
  <c r="N152" i="1" s="1"/>
  <c r="M154" i="1"/>
  <c r="N154" i="1" s="1"/>
  <c r="M156" i="1"/>
  <c r="N156" i="1" s="1"/>
  <c r="M158" i="1"/>
  <c r="N158" i="1" s="1"/>
  <c r="M159" i="1"/>
  <c r="N159" i="1" s="1"/>
  <c r="M163" i="1"/>
  <c r="N163" i="1" s="1"/>
  <c r="M164" i="1"/>
  <c r="N164" i="1" s="1"/>
  <c r="M168" i="1"/>
  <c r="N168" i="1" s="1"/>
  <c r="M171" i="1"/>
  <c r="N171" i="1" s="1"/>
  <c r="M172" i="1"/>
  <c r="N172" i="1" s="1"/>
  <c r="M174" i="1"/>
  <c r="N174" i="1" s="1"/>
  <c r="M175" i="1"/>
  <c r="N175" i="1" s="1"/>
  <c r="M177" i="1"/>
  <c r="N177" i="1" s="1"/>
  <c r="M178" i="1"/>
  <c r="N178" i="1" s="1"/>
  <c r="M183" i="1"/>
  <c r="N183" i="1" s="1"/>
  <c r="M185" i="1"/>
  <c r="N185" i="1" s="1"/>
  <c r="M194" i="1"/>
  <c r="N194" i="1" s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AB21" i="1"/>
  <c r="AB65" i="1"/>
  <c r="AB189" i="1"/>
  <c r="AB163" i="1"/>
  <c r="AB136" i="1"/>
  <c r="AB100" i="1"/>
  <c r="AB79" i="1"/>
  <c r="W106" i="1"/>
  <c r="X106" i="1" s="1"/>
  <c r="W105" i="1"/>
  <c r="X105" i="1" s="1"/>
  <c r="W104" i="1"/>
  <c r="X104" i="1" s="1"/>
  <c r="W103" i="1"/>
  <c r="X103" i="1" s="1"/>
  <c r="W102" i="1"/>
  <c r="X102" i="1" s="1"/>
  <c r="W101" i="1"/>
  <c r="X101" i="1" s="1"/>
  <c r="W100" i="1"/>
  <c r="X100" i="1" s="1"/>
  <c r="W99" i="1"/>
  <c r="X99" i="1" s="1"/>
  <c r="W98" i="1"/>
  <c r="X98" i="1" s="1"/>
  <c r="W97" i="1"/>
  <c r="X97" i="1" s="1"/>
  <c r="W96" i="1"/>
  <c r="X96" i="1" s="1"/>
  <c r="W95" i="1"/>
  <c r="X95" i="1" s="1"/>
  <c r="W94" i="1"/>
  <c r="X94" i="1" s="1"/>
  <c r="W93" i="1"/>
  <c r="X93" i="1" s="1"/>
  <c r="W92" i="1"/>
  <c r="X92" i="1" s="1"/>
  <c r="W91" i="1"/>
  <c r="X91" i="1" s="1"/>
  <c r="W90" i="1"/>
  <c r="X90" i="1" s="1"/>
  <c r="W89" i="1"/>
  <c r="X89" i="1" s="1"/>
  <c r="W88" i="1"/>
  <c r="X88" i="1" s="1"/>
  <c r="W87" i="1"/>
  <c r="X87" i="1" s="1"/>
  <c r="W86" i="1"/>
  <c r="X86" i="1" s="1"/>
  <c r="W85" i="1"/>
  <c r="X85" i="1" s="1"/>
  <c r="W84" i="1"/>
  <c r="X84" i="1" s="1"/>
  <c r="W83" i="1"/>
  <c r="X83" i="1" s="1"/>
  <c r="W82" i="1"/>
  <c r="X82" i="1" s="1"/>
  <c r="W81" i="1"/>
  <c r="X81" i="1" s="1"/>
  <c r="W80" i="1"/>
  <c r="X80" i="1" s="1"/>
  <c r="W79" i="1"/>
  <c r="X79" i="1" s="1"/>
  <c r="W78" i="1"/>
  <c r="X78" i="1" s="1"/>
  <c r="W77" i="1"/>
  <c r="X77" i="1" s="1"/>
  <c r="W76" i="1"/>
  <c r="X76" i="1" s="1"/>
  <c r="W75" i="1"/>
  <c r="X75" i="1" s="1"/>
  <c r="W74" i="1"/>
  <c r="X74" i="1" s="1"/>
  <c r="W73" i="1"/>
  <c r="X73" i="1" s="1"/>
  <c r="W72" i="1"/>
  <c r="X72" i="1" s="1"/>
  <c r="W71" i="1"/>
  <c r="X71" i="1" s="1"/>
  <c r="W70" i="1"/>
  <c r="X70" i="1" s="1"/>
  <c r="W69" i="1"/>
  <c r="X69" i="1" s="1"/>
  <c r="W68" i="1"/>
  <c r="X68" i="1" s="1"/>
  <c r="W67" i="1"/>
  <c r="X67" i="1" s="1"/>
  <c r="W66" i="1"/>
  <c r="X66" i="1" s="1"/>
  <c r="W65" i="1"/>
  <c r="X65" i="1" s="1"/>
  <c r="W64" i="1"/>
  <c r="X64" i="1" s="1"/>
  <c r="W63" i="1"/>
  <c r="X63" i="1" s="1"/>
  <c r="W62" i="1"/>
  <c r="X62" i="1" s="1"/>
  <c r="W61" i="1"/>
  <c r="X61" i="1" s="1"/>
  <c r="W60" i="1"/>
  <c r="X60" i="1" s="1"/>
  <c r="W59" i="1"/>
  <c r="X59" i="1" s="1"/>
  <c r="W58" i="1"/>
  <c r="X58" i="1" s="1"/>
  <c r="W57" i="1"/>
  <c r="X57" i="1" s="1"/>
  <c r="W56" i="1"/>
  <c r="X56" i="1" s="1"/>
  <c r="W55" i="1"/>
  <c r="X55" i="1" s="1"/>
  <c r="W54" i="1"/>
  <c r="X54" i="1" s="1"/>
  <c r="W53" i="1"/>
  <c r="X53" i="1" s="1"/>
  <c r="W52" i="1"/>
  <c r="X52" i="1" s="1"/>
  <c r="W51" i="1"/>
  <c r="X51" i="1" s="1"/>
  <c r="W50" i="1"/>
  <c r="X50" i="1" s="1"/>
  <c r="W49" i="1"/>
  <c r="X49" i="1" s="1"/>
  <c r="W48" i="1"/>
  <c r="X48" i="1" s="1"/>
  <c r="W47" i="1"/>
  <c r="X47" i="1" s="1"/>
  <c r="W46" i="1"/>
  <c r="X46" i="1" s="1"/>
  <c r="W45" i="1"/>
  <c r="X45" i="1" s="1"/>
  <c r="W44" i="1"/>
  <c r="X44" i="1" s="1"/>
  <c r="W43" i="1"/>
  <c r="X43" i="1" s="1"/>
  <c r="W42" i="1"/>
  <c r="X42" i="1" s="1"/>
  <c r="W41" i="1"/>
  <c r="X41" i="1" s="1"/>
  <c r="W40" i="1"/>
  <c r="X40" i="1" s="1"/>
  <c r="W39" i="1"/>
  <c r="X39" i="1" s="1"/>
  <c r="W38" i="1"/>
  <c r="X38" i="1" s="1"/>
  <c r="W37" i="1"/>
  <c r="X37" i="1" s="1"/>
  <c r="W36" i="1"/>
  <c r="X36" i="1" s="1"/>
  <c r="W35" i="1"/>
  <c r="X35" i="1" s="1"/>
  <c r="W34" i="1"/>
  <c r="X34" i="1" s="1"/>
  <c r="W33" i="1"/>
  <c r="X33" i="1" s="1"/>
  <c r="W32" i="1"/>
  <c r="X32" i="1" s="1"/>
  <c r="W31" i="1"/>
  <c r="X31" i="1" s="1"/>
  <c r="W30" i="1"/>
  <c r="X30" i="1" s="1"/>
  <c r="W29" i="1"/>
  <c r="X29" i="1" s="1"/>
  <c r="W28" i="1"/>
  <c r="X28" i="1" s="1"/>
  <c r="W27" i="1"/>
  <c r="X27" i="1" s="1"/>
  <c r="W26" i="1"/>
  <c r="X26" i="1" s="1"/>
  <c r="W25" i="1"/>
  <c r="X25" i="1" s="1"/>
  <c r="W24" i="1"/>
  <c r="X24" i="1" s="1"/>
  <c r="W23" i="1"/>
  <c r="X23" i="1" s="1"/>
  <c r="W22" i="1"/>
  <c r="X22" i="1" s="1"/>
  <c r="W21" i="1"/>
  <c r="X21" i="1" s="1"/>
  <c r="W20" i="1"/>
  <c r="X20" i="1" s="1"/>
  <c r="W19" i="1"/>
  <c r="X19" i="1" s="1"/>
  <c r="W18" i="1"/>
  <c r="X18" i="1" s="1"/>
  <c r="W17" i="1"/>
  <c r="X17" i="1" s="1"/>
  <c r="W16" i="1"/>
  <c r="X16" i="1" s="1"/>
  <c r="W195" i="1"/>
  <c r="X195" i="1" s="1"/>
  <c r="W194" i="1"/>
  <c r="X194" i="1" s="1"/>
  <c r="W193" i="1"/>
  <c r="X193" i="1" s="1"/>
  <c r="W192" i="1"/>
  <c r="X192" i="1" s="1"/>
  <c r="W191" i="1"/>
  <c r="X191" i="1" s="1"/>
  <c r="W190" i="1"/>
  <c r="X190" i="1" s="1"/>
  <c r="W189" i="1"/>
  <c r="X189" i="1" s="1"/>
  <c r="W188" i="1"/>
  <c r="X188" i="1" s="1"/>
  <c r="W187" i="1"/>
  <c r="X187" i="1" s="1"/>
  <c r="W186" i="1"/>
  <c r="X186" i="1" s="1"/>
  <c r="W185" i="1"/>
  <c r="X185" i="1" s="1"/>
  <c r="W184" i="1"/>
  <c r="X184" i="1" s="1"/>
  <c r="W183" i="1"/>
  <c r="X183" i="1" s="1"/>
  <c r="W182" i="1"/>
  <c r="X182" i="1" s="1"/>
  <c r="W181" i="1"/>
  <c r="X181" i="1" s="1"/>
  <c r="W180" i="1"/>
  <c r="X180" i="1" s="1"/>
  <c r="W179" i="1"/>
  <c r="X179" i="1" s="1"/>
  <c r="W178" i="1"/>
  <c r="X178" i="1" s="1"/>
  <c r="W177" i="1"/>
  <c r="X177" i="1" s="1"/>
  <c r="W176" i="1"/>
  <c r="X176" i="1" s="1"/>
  <c r="W175" i="1"/>
  <c r="X175" i="1" s="1"/>
  <c r="W174" i="1"/>
  <c r="X174" i="1" s="1"/>
  <c r="W173" i="1"/>
  <c r="X173" i="1" s="1"/>
  <c r="W172" i="1"/>
  <c r="X172" i="1" s="1"/>
  <c r="W171" i="1"/>
  <c r="X171" i="1" s="1"/>
  <c r="W170" i="1"/>
  <c r="X170" i="1" s="1"/>
  <c r="W169" i="1"/>
  <c r="X169" i="1" s="1"/>
  <c r="W168" i="1"/>
  <c r="X168" i="1" s="1"/>
  <c r="W167" i="1"/>
  <c r="X167" i="1" s="1"/>
  <c r="W166" i="1"/>
  <c r="X166" i="1" s="1"/>
  <c r="W165" i="1"/>
  <c r="X165" i="1" s="1"/>
  <c r="W164" i="1"/>
  <c r="X164" i="1" s="1"/>
  <c r="W163" i="1"/>
  <c r="X163" i="1" s="1"/>
  <c r="W162" i="1"/>
  <c r="X162" i="1" s="1"/>
  <c r="W161" i="1"/>
  <c r="X161" i="1" s="1"/>
  <c r="W160" i="1"/>
  <c r="X160" i="1" s="1"/>
  <c r="W159" i="1"/>
  <c r="X159" i="1" s="1"/>
  <c r="W158" i="1"/>
  <c r="X158" i="1" s="1"/>
  <c r="W157" i="1"/>
  <c r="X157" i="1" s="1"/>
  <c r="W156" i="1"/>
  <c r="X156" i="1" s="1"/>
  <c r="W155" i="1"/>
  <c r="X155" i="1" s="1"/>
  <c r="W154" i="1"/>
  <c r="X154" i="1" s="1"/>
  <c r="W153" i="1"/>
  <c r="X153" i="1" s="1"/>
  <c r="W152" i="1"/>
  <c r="X152" i="1" s="1"/>
  <c r="W151" i="1"/>
  <c r="X151" i="1" s="1"/>
  <c r="W150" i="1"/>
  <c r="X150" i="1" s="1"/>
  <c r="W149" i="1"/>
  <c r="X149" i="1" s="1"/>
  <c r="W148" i="1"/>
  <c r="X148" i="1" s="1"/>
  <c r="W147" i="1"/>
  <c r="X147" i="1" s="1"/>
  <c r="W146" i="1"/>
  <c r="X146" i="1" s="1"/>
  <c r="W145" i="1"/>
  <c r="X145" i="1" s="1"/>
  <c r="W144" i="1"/>
  <c r="X144" i="1" s="1"/>
  <c r="W143" i="1"/>
  <c r="X143" i="1" s="1"/>
  <c r="W142" i="1"/>
  <c r="X142" i="1" s="1"/>
  <c r="W141" i="1"/>
  <c r="X141" i="1" s="1"/>
  <c r="W140" i="1"/>
  <c r="X140" i="1" s="1"/>
  <c r="W139" i="1"/>
  <c r="X139" i="1" s="1"/>
  <c r="W138" i="1"/>
  <c r="X138" i="1" s="1"/>
  <c r="W137" i="1"/>
  <c r="X137" i="1" s="1"/>
  <c r="W136" i="1"/>
  <c r="X136" i="1" s="1"/>
  <c r="W135" i="1"/>
  <c r="X135" i="1" s="1"/>
  <c r="W134" i="1"/>
  <c r="X134" i="1" s="1"/>
  <c r="W133" i="1"/>
  <c r="X133" i="1" s="1"/>
  <c r="W132" i="1"/>
  <c r="X132" i="1" s="1"/>
  <c r="W131" i="1"/>
  <c r="X131" i="1" s="1"/>
  <c r="W130" i="1"/>
  <c r="X130" i="1" s="1"/>
  <c r="W129" i="1"/>
  <c r="X129" i="1" s="1"/>
  <c r="W128" i="1"/>
  <c r="X128" i="1" s="1"/>
  <c r="W127" i="1"/>
  <c r="X127" i="1" s="1"/>
  <c r="W126" i="1"/>
  <c r="X126" i="1" s="1"/>
  <c r="W125" i="1"/>
  <c r="X125" i="1" s="1"/>
  <c r="W124" i="1"/>
  <c r="X124" i="1" s="1"/>
  <c r="W123" i="1"/>
  <c r="X123" i="1" s="1"/>
  <c r="W122" i="1"/>
  <c r="X122" i="1" s="1"/>
  <c r="X2" i="1"/>
  <c r="AB42" i="1"/>
  <c r="AB48" i="1"/>
  <c r="AB46" i="1"/>
  <c r="AB45" i="1"/>
  <c r="AB38" i="1"/>
  <c r="AB35" i="1"/>
  <c r="AB32" i="1"/>
  <c r="AB24" i="1"/>
  <c r="AB20" i="1"/>
  <c r="AB16" i="1"/>
  <c r="AB14" i="1"/>
  <c r="AB11" i="1"/>
  <c r="AB70" i="1"/>
  <c r="AB66" i="1"/>
  <c r="AB56" i="1"/>
  <c r="AB52" i="1"/>
  <c r="AB49" i="1"/>
  <c r="AB123" i="1"/>
  <c r="AB124" i="1"/>
  <c r="AB126" i="1"/>
  <c r="AB128" i="1"/>
  <c r="AB107" i="1"/>
  <c r="AB109" i="1"/>
  <c r="AB111" i="1"/>
  <c r="AB118" i="1"/>
  <c r="AB120" i="1"/>
  <c r="AB117" i="1"/>
  <c r="AB156" i="1"/>
  <c r="AB148" i="1"/>
  <c r="AB144" i="1"/>
  <c r="AB134" i="1"/>
  <c r="AB130" i="1"/>
  <c r="AB174" i="1"/>
  <c r="AB176" i="1"/>
  <c r="AB178" i="1"/>
  <c r="AB194" i="1"/>
  <c r="AB190" i="1"/>
  <c r="AB180" i="1"/>
  <c r="AB147" i="1"/>
  <c r="AB145" i="1"/>
  <c r="AB140" i="1"/>
  <c r="AB137" i="1"/>
  <c r="AB129" i="1"/>
  <c r="AB127" i="1"/>
  <c r="AB141" i="1"/>
  <c r="AB149" i="1"/>
  <c r="AB151" i="1"/>
  <c r="AB146" i="1"/>
  <c r="AB138" i="1"/>
  <c r="AB115" i="1"/>
  <c r="AB99" i="1"/>
  <c r="AB105" i="1"/>
  <c r="AB116" i="1"/>
  <c r="AB75" i="1"/>
  <c r="AB73" i="1"/>
  <c r="AB61" i="1"/>
  <c r="AB67" i="1"/>
  <c r="AB62" i="1"/>
  <c r="AB58" i="1"/>
  <c r="AB54" i="1"/>
  <c r="AB50" i="1"/>
  <c r="AB57" i="1"/>
  <c r="AB76" i="1"/>
  <c r="AB78" i="1"/>
  <c r="AB81" i="1"/>
  <c r="AB84" i="1"/>
  <c r="AB71" i="1"/>
  <c r="AB39" i="1"/>
  <c r="AB36" i="1"/>
  <c r="AB34" i="1"/>
  <c r="AB31" i="1"/>
  <c r="AB28" i="1"/>
  <c r="AB25" i="1"/>
  <c r="AB37" i="1"/>
  <c r="AB29" i="1"/>
  <c r="AB19" i="1"/>
  <c r="AB22" i="1"/>
  <c r="AB13" i="1"/>
  <c r="AB8" i="1"/>
  <c r="AB5" i="1"/>
  <c r="AB4" i="1"/>
  <c r="AB23" i="1"/>
  <c r="AB26" i="1"/>
  <c r="AB27" i="1"/>
  <c r="AB18" i="1"/>
  <c r="AB10" i="1"/>
  <c r="AB7" i="1"/>
  <c r="AB3" i="1"/>
  <c r="AB12" i="1"/>
  <c r="AB2" i="1"/>
  <c r="AB63" i="1"/>
  <c r="AB72" i="1"/>
  <c r="AB89" i="1"/>
  <c r="AB93" i="1"/>
  <c r="AB97" i="1"/>
  <c r="AB112" i="1"/>
  <c r="AB91" i="1"/>
  <c r="AB94" i="1"/>
  <c r="AB96" i="1"/>
  <c r="AB80" i="1"/>
  <c r="AB83" i="1"/>
  <c r="AB86" i="1"/>
  <c r="AB85" i="1"/>
  <c r="AB90" i="1"/>
  <c r="AB87" i="1"/>
  <c r="AB69" i="1"/>
  <c r="AB121" i="1"/>
  <c r="AB122" i="1"/>
  <c r="AB108" i="1"/>
  <c r="AB131" i="1"/>
  <c r="AB133" i="1"/>
  <c r="AB135" i="1"/>
  <c r="AB153" i="1"/>
  <c r="AB159" i="1"/>
  <c r="AB158" i="1"/>
  <c r="AB162" i="1"/>
  <c r="AB165" i="1"/>
  <c r="AB168" i="1"/>
  <c r="AB173" i="1"/>
  <c r="AB177" i="1"/>
  <c r="AB183" i="1"/>
  <c r="AB191" i="1"/>
  <c r="AB170" i="1"/>
  <c r="AB181" i="1"/>
  <c r="AB184" i="1"/>
  <c r="AB6" i="1"/>
  <c r="AB9" i="1"/>
  <c r="AB15" i="1"/>
  <c r="AB17" i="1"/>
  <c r="AB30" i="1"/>
  <c r="AB33" i="1"/>
  <c r="AB40" i="1"/>
  <c r="AB43" i="1"/>
  <c r="AB44" i="1"/>
  <c r="AB47" i="1"/>
  <c r="AB51" i="1"/>
  <c r="AB53" i="1"/>
  <c r="AB55" i="1"/>
  <c r="AB59" i="1"/>
  <c r="AB60" i="1"/>
  <c r="AB64" i="1"/>
  <c r="AB68" i="1"/>
  <c r="AB74" i="1"/>
  <c r="AB77" i="1"/>
  <c r="AB82" i="1"/>
  <c r="AB88" i="1"/>
  <c r="AB92" i="1"/>
  <c r="AB95" i="1"/>
  <c r="AB98" i="1"/>
  <c r="AB101" i="1"/>
  <c r="AB103" i="1"/>
  <c r="AB104" i="1"/>
  <c r="AB106" i="1"/>
  <c r="AB110" i="1"/>
  <c r="AB113" i="1"/>
  <c r="AB125" i="1"/>
  <c r="AB132" i="1"/>
  <c r="AB139" i="1"/>
  <c r="AB142" i="1"/>
  <c r="AB143" i="1"/>
  <c r="AB152" i="1"/>
  <c r="AB154" i="1"/>
  <c r="AB155" i="1"/>
  <c r="AB157" i="1"/>
  <c r="AB160" i="1"/>
  <c r="AB166" i="1"/>
  <c r="AB167" i="1"/>
  <c r="AB169" i="1"/>
  <c r="AB171" i="1"/>
  <c r="AB172" i="1"/>
  <c r="AB185" i="1"/>
  <c r="AB193" i="1"/>
  <c r="AG2" i="1"/>
  <c r="AI2" i="1"/>
  <c r="AD3" i="1"/>
  <c r="AF3" i="1" s="1"/>
  <c r="AI3" i="1"/>
  <c r="AD4" i="1"/>
  <c r="AI4" i="1"/>
  <c r="AJ4" i="1" s="1"/>
  <c r="AD5" i="1"/>
  <c r="AF5" i="1" s="1"/>
  <c r="AI5" i="1"/>
  <c r="AJ5" i="1" s="1"/>
  <c r="AD6" i="1"/>
  <c r="AF6" i="1" s="1"/>
  <c r="AI6" i="1"/>
  <c r="AD7" i="1"/>
  <c r="AF7" i="1" s="1"/>
  <c r="AI7" i="1"/>
  <c r="AJ7" i="1" s="1"/>
  <c r="AD8" i="1"/>
  <c r="AI8" i="1"/>
  <c r="AJ8" i="1" s="1"/>
  <c r="AD9" i="1"/>
  <c r="AG9" i="1" s="1"/>
  <c r="AI9" i="1"/>
  <c r="AD10" i="1"/>
  <c r="AF10" i="1" s="1"/>
  <c r="AI10" i="1"/>
  <c r="AJ10" i="1" s="1"/>
  <c r="AD11" i="1"/>
  <c r="AF11" i="1" s="1"/>
  <c r="AI11" i="1"/>
  <c r="AJ11" i="1" s="1"/>
  <c r="AD12" i="1"/>
  <c r="AI12" i="1"/>
  <c r="AD13" i="1"/>
  <c r="AF13" i="1" s="1"/>
  <c r="AI13" i="1"/>
  <c r="AJ13" i="1" s="1"/>
  <c r="AD14" i="1"/>
  <c r="AF14" i="1" s="1"/>
  <c r="AI14" i="1"/>
  <c r="AJ14" i="1" s="1"/>
  <c r="AD15" i="1"/>
  <c r="AF15" i="1" s="1"/>
  <c r="AI15" i="1"/>
  <c r="AD16" i="1"/>
  <c r="AI16" i="1"/>
  <c r="AJ16" i="1" s="1"/>
  <c r="AD17" i="1"/>
  <c r="AF17" i="1" s="1"/>
  <c r="AI17" i="1"/>
  <c r="AJ17" i="1" s="1"/>
  <c r="AD18" i="1"/>
  <c r="AF18" i="1" s="1"/>
  <c r="AI18" i="1"/>
  <c r="AD19" i="1"/>
  <c r="AF19" i="1" s="1"/>
  <c r="AI19" i="1"/>
  <c r="AJ19" i="1" s="1"/>
  <c r="AD20" i="1"/>
  <c r="AI20" i="1"/>
  <c r="AJ20" i="1" s="1"/>
  <c r="AD21" i="1"/>
  <c r="AG21" i="1" s="1"/>
  <c r="AI21" i="1"/>
  <c r="AD22" i="1"/>
  <c r="AF22" i="1" s="1"/>
  <c r="AI22" i="1"/>
  <c r="AJ22" i="1" s="1"/>
  <c r="AD23" i="1"/>
  <c r="AF23" i="1" s="1"/>
  <c r="AI23" i="1"/>
  <c r="AJ23" i="1" s="1"/>
  <c r="AD24" i="1"/>
  <c r="AI24" i="1"/>
  <c r="AD25" i="1"/>
  <c r="AF25" i="1" s="1"/>
  <c r="AI25" i="1"/>
  <c r="AJ25" i="1" s="1"/>
  <c r="AD26" i="1"/>
  <c r="AF26" i="1" s="1"/>
  <c r="AI26" i="1"/>
  <c r="AJ26" i="1" s="1"/>
  <c r="AD27" i="1"/>
  <c r="AF27" i="1" s="1"/>
  <c r="AI27" i="1"/>
  <c r="AD28" i="1"/>
  <c r="AI28" i="1"/>
  <c r="AJ28" i="1" s="1"/>
  <c r="AD29" i="1"/>
  <c r="AF29" i="1" s="1"/>
  <c r="AI29" i="1"/>
  <c r="AJ29" i="1" s="1"/>
  <c r="AD30" i="1"/>
  <c r="AF30" i="1" s="1"/>
  <c r="AI30" i="1"/>
  <c r="AD31" i="1"/>
  <c r="AF31" i="1" s="1"/>
  <c r="AI31" i="1"/>
  <c r="AJ31" i="1" s="1"/>
  <c r="AD32" i="1"/>
  <c r="AI32" i="1"/>
  <c r="AJ32" i="1" s="1"/>
  <c r="AD33" i="1"/>
  <c r="AG33" i="1" s="1"/>
  <c r="AI33" i="1"/>
  <c r="AD34" i="1"/>
  <c r="AF34" i="1" s="1"/>
  <c r="AI34" i="1"/>
  <c r="AJ34" i="1" s="1"/>
  <c r="AD35" i="1"/>
  <c r="AF35" i="1" s="1"/>
  <c r="AI35" i="1"/>
  <c r="AJ35" i="1" s="1"/>
  <c r="AD36" i="1"/>
  <c r="AI36" i="1"/>
  <c r="AD37" i="1"/>
  <c r="AF37" i="1" s="1"/>
  <c r="AI37" i="1"/>
  <c r="AJ37" i="1" s="1"/>
  <c r="AD38" i="1"/>
  <c r="AF38" i="1" s="1"/>
  <c r="AI38" i="1"/>
  <c r="AJ38" i="1" s="1"/>
  <c r="AD39" i="1"/>
  <c r="AF39" i="1" s="1"/>
  <c r="AI39" i="1"/>
  <c r="AD40" i="1"/>
  <c r="AI40" i="1"/>
  <c r="AJ40" i="1" s="1"/>
  <c r="AD41" i="1"/>
  <c r="AF41" i="1" s="1"/>
  <c r="AI41" i="1"/>
  <c r="AJ41" i="1" s="1"/>
  <c r="AD42" i="1"/>
  <c r="AF42" i="1" s="1"/>
  <c r="AI42" i="1"/>
  <c r="AD43" i="1"/>
  <c r="AF43" i="1" s="1"/>
  <c r="AI43" i="1"/>
  <c r="AJ43" i="1" s="1"/>
  <c r="AD44" i="1"/>
  <c r="AI44" i="1"/>
  <c r="AJ44" i="1" s="1"/>
  <c r="AD45" i="1"/>
  <c r="AG45" i="1" s="1"/>
  <c r="AI45" i="1"/>
  <c r="AD46" i="1"/>
  <c r="AF46" i="1" s="1"/>
  <c r="AI46" i="1"/>
  <c r="AJ46" i="1" s="1"/>
  <c r="AD47" i="1"/>
  <c r="AF47" i="1" s="1"/>
  <c r="AI47" i="1"/>
  <c r="AJ47" i="1" s="1"/>
  <c r="AD48" i="1"/>
  <c r="AI48" i="1"/>
  <c r="AD49" i="1"/>
  <c r="AF49" i="1" s="1"/>
  <c r="AI49" i="1"/>
  <c r="AJ49" i="1" s="1"/>
  <c r="AD50" i="1"/>
  <c r="AF50" i="1" s="1"/>
  <c r="AI50" i="1"/>
  <c r="AJ50" i="1" s="1"/>
  <c r="AD51" i="1"/>
  <c r="AF51" i="1" s="1"/>
  <c r="AI51" i="1"/>
  <c r="AD52" i="1"/>
  <c r="AG52" i="1" s="1"/>
  <c r="AI52" i="1"/>
  <c r="AJ52" i="1" s="1"/>
  <c r="AD53" i="1"/>
  <c r="AF53" i="1" s="1"/>
  <c r="AI53" i="1"/>
  <c r="AJ53" i="1" s="1"/>
  <c r="AD54" i="1"/>
  <c r="AF54" i="1" s="1"/>
  <c r="AI54" i="1"/>
  <c r="AD55" i="1"/>
  <c r="AI55" i="1"/>
  <c r="AJ55" i="1" s="1"/>
  <c r="AD56" i="1"/>
  <c r="AG56" i="1" s="1"/>
  <c r="AI56" i="1"/>
  <c r="AJ56" i="1" s="1"/>
  <c r="AD57" i="1"/>
  <c r="AF57" i="1" s="1"/>
  <c r="AI57" i="1"/>
  <c r="AD58" i="1"/>
  <c r="AG58" i="1" s="1"/>
  <c r="AI58" i="1"/>
  <c r="AJ58" i="1" s="1"/>
  <c r="AD59" i="1"/>
  <c r="AI59" i="1"/>
  <c r="AJ59" i="1" s="1"/>
  <c r="AD60" i="1"/>
  <c r="AG60" i="1" s="1"/>
  <c r="AI60" i="1"/>
  <c r="AJ60" i="1" s="1"/>
  <c r="AD61" i="1"/>
  <c r="AF61" i="1" s="1"/>
  <c r="AI61" i="1"/>
  <c r="AD62" i="1"/>
  <c r="AF62" i="1" s="1"/>
  <c r="AI62" i="1"/>
  <c r="AD63" i="1"/>
  <c r="AG63" i="1" s="1"/>
  <c r="AI63" i="1"/>
  <c r="AJ63" i="1" s="1"/>
  <c r="AD64" i="1"/>
  <c r="AF64" i="1" s="1"/>
  <c r="AI64" i="1"/>
  <c r="AJ64" i="1" s="1"/>
  <c r="AD65" i="1"/>
  <c r="AG65" i="1" s="1"/>
  <c r="AI65" i="1"/>
  <c r="AD66" i="1"/>
  <c r="AI66" i="1"/>
  <c r="AJ66" i="1" s="1"/>
  <c r="AD67" i="1"/>
  <c r="AG67" i="1" s="1"/>
  <c r="AI67" i="1"/>
  <c r="AJ67" i="1" s="1"/>
  <c r="AD68" i="1"/>
  <c r="AG68" i="1" s="1"/>
  <c r="AI68" i="1"/>
  <c r="AJ68" i="1" s="1"/>
  <c r="AD69" i="1"/>
  <c r="AG69" i="1" s="1"/>
  <c r="AI69" i="1"/>
  <c r="AJ69" i="1" s="1"/>
  <c r="AD70" i="1"/>
  <c r="AG70" i="1" s="1"/>
  <c r="AI70" i="1"/>
  <c r="AD71" i="1"/>
  <c r="AI71" i="1"/>
  <c r="AJ71" i="1" s="1"/>
  <c r="AD72" i="1"/>
  <c r="AG72" i="1" s="1"/>
  <c r="AI72" i="1"/>
  <c r="AJ72" i="1" s="1"/>
  <c r="AD73" i="1"/>
  <c r="AG73" i="1" s="1"/>
  <c r="AI73" i="1"/>
  <c r="AJ73" i="1" s="1"/>
  <c r="AD74" i="1"/>
  <c r="AG74" i="1" s="1"/>
  <c r="AI74" i="1"/>
  <c r="AJ74" i="1" s="1"/>
  <c r="AD75" i="1"/>
  <c r="AG75" i="1" s="1"/>
  <c r="AI75" i="1"/>
  <c r="AJ75" i="1" s="1"/>
  <c r="AD76" i="1"/>
  <c r="AG76" i="1" s="1"/>
  <c r="AI76" i="1"/>
  <c r="AJ76" i="1" s="1"/>
  <c r="AD77" i="1"/>
  <c r="AG77" i="1" s="1"/>
  <c r="AI77" i="1"/>
  <c r="AD78" i="1"/>
  <c r="AI78" i="1"/>
  <c r="AJ78" i="1" s="1"/>
  <c r="AD79" i="1"/>
  <c r="AG79" i="1" s="1"/>
  <c r="AI79" i="1"/>
  <c r="AJ79" i="1" s="1"/>
  <c r="AD80" i="1"/>
  <c r="AI80" i="1"/>
  <c r="AJ80" i="1" s="1"/>
  <c r="AD81" i="1"/>
  <c r="AG81" i="1" s="1"/>
  <c r="AI81" i="1"/>
  <c r="AJ81" i="1" s="1"/>
  <c r="AD82" i="1"/>
  <c r="AG82" i="1" s="1"/>
  <c r="AI82" i="1"/>
  <c r="AJ82" i="1" s="1"/>
  <c r="AD83" i="1"/>
  <c r="AG83" i="1" s="1"/>
  <c r="AI83" i="1"/>
  <c r="AJ83" i="1" s="1"/>
  <c r="AD84" i="1"/>
  <c r="AG84" i="1" s="1"/>
  <c r="AI84" i="1"/>
  <c r="AJ84" i="1" s="1"/>
  <c r="AD85" i="1"/>
  <c r="AI85" i="1"/>
  <c r="AJ85" i="1" s="1"/>
  <c r="AD86" i="1"/>
  <c r="AG86" i="1" s="1"/>
  <c r="AI86" i="1"/>
  <c r="AJ86" i="1" s="1"/>
  <c r="AD87" i="1"/>
  <c r="AI87" i="1"/>
  <c r="AJ87" i="1" s="1"/>
  <c r="AD88" i="1"/>
  <c r="AI88" i="1"/>
  <c r="AJ88" i="1" s="1"/>
  <c r="AD89" i="1"/>
  <c r="AI89" i="1"/>
  <c r="AJ89" i="1" s="1"/>
  <c r="AD90" i="1"/>
  <c r="AI90" i="1"/>
  <c r="AJ90" i="1" s="1"/>
  <c r="AD91" i="1"/>
  <c r="AI91" i="1"/>
  <c r="AJ91" i="1" s="1"/>
  <c r="AD92" i="1"/>
  <c r="AI92" i="1"/>
  <c r="AJ92" i="1" s="1"/>
  <c r="AD93" i="1"/>
  <c r="AI93" i="1"/>
  <c r="AJ93" i="1" s="1"/>
  <c r="AD94" i="1"/>
  <c r="AI94" i="1"/>
  <c r="AJ94" i="1" s="1"/>
  <c r="AD95" i="1"/>
  <c r="AI95" i="1"/>
  <c r="AJ95" i="1" s="1"/>
  <c r="AD96" i="1"/>
  <c r="AI96" i="1"/>
  <c r="AJ96" i="1" s="1"/>
  <c r="AD97" i="1"/>
  <c r="AI97" i="1"/>
  <c r="AJ97" i="1" s="1"/>
  <c r="AD98" i="1"/>
  <c r="AI98" i="1"/>
  <c r="AJ98" i="1" s="1"/>
  <c r="AD99" i="1"/>
  <c r="AI99" i="1"/>
  <c r="AJ99" i="1" s="1"/>
  <c r="AD100" i="1"/>
  <c r="AI100" i="1"/>
  <c r="AJ100" i="1" s="1"/>
  <c r="AD101" i="1"/>
  <c r="AI101" i="1"/>
  <c r="AJ101" i="1" s="1"/>
  <c r="AD102" i="1"/>
  <c r="AI102" i="1"/>
  <c r="AJ102" i="1" s="1"/>
  <c r="AD103" i="1"/>
  <c r="AI103" i="1"/>
  <c r="AJ103" i="1" s="1"/>
  <c r="AD104" i="1"/>
  <c r="AI104" i="1"/>
  <c r="AJ104" i="1" s="1"/>
  <c r="AD105" i="1"/>
  <c r="AI105" i="1"/>
  <c r="AJ105" i="1" s="1"/>
  <c r="AD106" i="1"/>
  <c r="AI106" i="1"/>
  <c r="AJ106" i="1" s="1"/>
  <c r="AD107" i="1"/>
  <c r="AI107" i="1"/>
  <c r="AJ107" i="1" s="1"/>
  <c r="AD108" i="1"/>
  <c r="AI108" i="1"/>
  <c r="AJ108" i="1" s="1"/>
  <c r="AD109" i="1"/>
  <c r="AI109" i="1"/>
  <c r="AJ109" i="1" s="1"/>
  <c r="AD110" i="1"/>
  <c r="AI110" i="1"/>
  <c r="AJ110" i="1" s="1"/>
  <c r="AD111" i="1"/>
  <c r="AI111" i="1"/>
  <c r="AJ111" i="1" s="1"/>
  <c r="AD112" i="1"/>
  <c r="AI112" i="1"/>
  <c r="AJ112" i="1" s="1"/>
  <c r="AD113" i="1"/>
  <c r="AI113" i="1"/>
  <c r="AJ113" i="1" s="1"/>
  <c r="AD114" i="1"/>
  <c r="AI114" i="1"/>
  <c r="AJ114" i="1" s="1"/>
  <c r="AD115" i="1"/>
  <c r="AI115" i="1"/>
  <c r="AJ115" i="1" s="1"/>
  <c r="AD116" i="1"/>
  <c r="AI116" i="1"/>
  <c r="AJ116" i="1" s="1"/>
  <c r="AD117" i="1"/>
  <c r="AI117" i="1"/>
  <c r="AJ117" i="1" s="1"/>
  <c r="AD118" i="1"/>
  <c r="AI118" i="1"/>
  <c r="AJ118" i="1" s="1"/>
  <c r="AD119" i="1"/>
  <c r="AI119" i="1"/>
  <c r="AJ119" i="1" s="1"/>
  <c r="AD120" i="1"/>
  <c r="AI120" i="1"/>
  <c r="AJ120" i="1" s="1"/>
  <c r="AD121" i="1"/>
  <c r="AI121" i="1"/>
  <c r="AJ121" i="1" s="1"/>
  <c r="AD122" i="1"/>
  <c r="AI122" i="1"/>
  <c r="AJ122" i="1" s="1"/>
  <c r="AD123" i="1"/>
  <c r="AI123" i="1"/>
  <c r="AJ123" i="1" s="1"/>
  <c r="AD124" i="1"/>
  <c r="AI124" i="1"/>
  <c r="AJ124" i="1" s="1"/>
  <c r="AD125" i="1"/>
  <c r="AI125" i="1"/>
  <c r="AJ125" i="1" s="1"/>
  <c r="AD126" i="1"/>
  <c r="AI126" i="1"/>
  <c r="AJ126" i="1" s="1"/>
  <c r="AD127" i="1"/>
  <c r="AI127" i="1"/>
  <c r="AJ127" i="1" s="1"/>
  <c r="AD128" i="1"/>
  <c r="AI128" i="1"/>
  <c r="AJ128" i="1" s="1"/>
  <c r="AD129" i="1"/>
  <c r="AI129" i="1"/>
  <c r="AJ129" i="1" s="1"/>
  <c r="AD130" i="1"/>
  <c r="AI130" i="1"/>
  <c r="AJ130" i="1" s="1"/>
  <c r="AD131" i="1"/>
  <c r="AI131" i="1"/>
  <c r="AJ131" i="1" s="1"/>
  <c r="AD132" i="1"/>
  <c r="AI132" i="1"/>
  <c r="AJ132" i="1" s="1"/>
  <c r="AD133" i="1"/>
  <c r="AI133" i="1"/>
  <c r="AJ133" i="1" s="1"/>
  <c r="AD134" i="1"/>
  <c r="AI134" i="1"/>
  <c r="AJ134" i="1" s="1"/>
  <c r="AD135" i="1"/>
  <c r="AI135" i="1"/>
  <c r="AJ135" i="1" s="1"/>
  <c r="AD136" i="1"/>
  <c r="AI136" i="1"/>
  <c r="AJ136" i="1" s="1"/>
  <c r="AD137" i="1"/>
  <c r="AI137" i="1"/>
  <c r="AJ137" i="1" s="1"/>
  <c r="AD138" i="1"/>
  <c r="AI138" i="1"/>
  <c r="AJ138" i="1" s="1"/>
  <c r="AD139" i="1"/>
  <c r="AI139" i="1"/>
  <c r="AJ139" i="1" s="1"/>
  <c r="AD140" i="1"/>
  <c r="AI140" i="1"/>
  <c r="AJ140" i="1" s="1"/>
  <c r="AD141" i="1"/>
  <c r="AI141" i="1"/>
  <c r="AJ141" i="1" s="1"/>
  <c r="AD142" i="1"/>
  <c r="AI142" i="1"/>
  <c r="AJ142" i="1" s="1"/>
  <c r="AD143" i="1"/>
  <c r="AI143" i="1"/>
  <c r="AD144" i="1"/>
  <c r="AF144" i="1" s="1"/>
  <c r="AI144" i="1"/>
  <c r="AJ144" i="1" s="1"/>
  <c r="AD145" i="1"/>
  <c r="AI145" i="1"/>
  <c r="AJ145" i="1" s="1"/>
  <c r="AD146" i="1"/>
  <c r="AI146" i="1"/>
  <c r="AJ146" i="1" s="1"/>
  <c r="AD147" i="1"/>
  <c r="AF147" i="1" s="1"/>
  <c r="AI147" i="1"/>
  <c r="AJ147" i="1" s="1"/>
  <c r="AD148" i="1"/>
  <c r="AF148" i="1" s="1"/>
  <c r="AI148" i="1"/>
  <c r="AJ148" i="1" s="1"/>
  <c r="AD149" i="1"/>
  <c r="AI149" i="1"/>
  <c r="AJ149" i="1" s="1"/>
  <c r="AD150" i="1"/>
  <c r="AF150" i="1" s="1"/>
  <c r="AI150" i="1"/>
  <c r="AJ150" i="1" s="1"/>
  <c r="AD151" i="1"/>
  <c r="AI151" i="1"/>
  <c r="AJ151" i="1" s="1"/>
  <c r="AD152" i="1"/>
  <c r="AF152" i="1" s="1"/>
  <c r="AI152" i="1"/>
  <c r="AJ152" i="1" s="1"/>
  <c r="AD153" i="1"/>
  <c r="AF153" i="1" s="1"/>
  <c r="AI153" i="1"/>
  <c r="AJ153" i="1" s="1"/>
  <c r="AD154" i="1"/>
  <c r="AF154" i="1" s="1"/>
  <c r="AI154" i="1"/>
  <c r="AJ154" i="1" s="1"/>
  <c r="AD155" i="1"/>
  <c r="AF155" i="1" s="1"/>
  <c r="AI155" i="1"/>
  <c r="AD156" i="1"/>
  <c r="AF156" i="1" s="1"/>
  <c r="AI156" i="1"/>
  <c r="AJ156" i="1" s="1"/>
  <c r="AD157" i="1"/>
  <c r="AI157" i="1"/>
  <c r="AJ157" i="1" s="1"/>
  <c r="AD158" i="1"/>
  <c r="AI158" i="1"/>
  <c r="AJ158" i="1" s="1"/>
  <c r="AD159" i="1"/>
  <c r="AF159" i="1" s="1"/>
  <c r="AI159" i="1"/>
  <c r="AJ159" i="1" s="1"/>
  <c r="AD160" i="1"/>
  <c r="AF160" i="1" s="1"/>
  <c r="AI160" i="1"/>
  <c r="AJ160" i="1" s="1"/>
  <c r="AD161" i="1"/>
  <c r="AF161" i="1" s="1"/>
  <c r="AI161" i="1"/>
  <c r="AD162" i="1"/>
  <c r="AF162" i="1" s="1"/>
  <c r="AI162" i="1"/>
  <c r="AJ162" i="1" s="1"/>
  <c r="AD163" i="1"/>
  <c r="AI163" i="1"/>
  <c r="AJ163" i="1" s="1"/>
  <c r="AD164" i="1"/>
  <c r="AF164" i="1" s="1"/>
  <c r="AI164" i="1"/>
  <c r="AJ164" i="1" s="1"/>
  <c r="AD165" i="1"/>
  <c r="AF165" i="1" s="1"/>
  <c r="AI165" i="1"/>
  <c r="AJ165" i="1" s="1"/>
  <c r="AD166" i="1"/>
  <c r="AI166" i="1"/>
  <c r="AJ166" i="1" s="1"/>
  <c r="AD167" i="1"/>
  <c r="AF167" i="1" s="1"/>
  <c r="AI167" i="1"/>
  <c r="AD168" i="1"/>
  <c r="AF168" i="1" s="1"/>
  <c r="AI168" i="1"/>
  <c r="AJ168" i="1" s="1"/>
  <c r="AD169" i="1"/>
  <c r="AF169" i="1" s="1"/>
  <c r="AI169" i="1"/>
  <c r="AJ169" i="1" s="1"/>
  <c r="AD170" i="1"/>
  <c r="AF170" i="1" s="1"/>
  <c r="AI170" i="1"/>
  <c r="AJ170" i="1" s="1"/>
  <c r="AD171" i="1"/>
  <c r="AF171" i="1" s="1"/>
  <c r="AI171" i="1"/>
  <c r="AJ171" i="1" s="1"/>
  <c r="AD172" i="1"/>
  <c r="AF172" i="1" s="1"/>
  <c r="AI172" i="1"/>
  <c r="AJ172" i="1" s="1"/>
  <c r="AD173" i="1"/>
  <c r="AF173" i="1" s="1"/>
  <c r="AI173" i="1"/>
  <c r="AJ173" i="1" s="1"/>
  <c r="AD174" i="1"/>
  <c r="AF174" i="1" s="1"/>
  <c r="AI174" i="1"/>
  <c r="AJ174" i="1" s="1"/>
  <c r="AD175" i="1"/>
  <c r="AF175" i="1" s="1"/>
  <c r="AI175" i="1"/>
  <c r="AJ175" i="1" s="1"/>
  <c r="AD176" i="1"/>
  <c r="AF176" i="1" s="1"/>
  <c r="AI176" i="1"/>
  <c r="AJ176" i="1" s="1"/>
  <c r="AD177" i="1"/>
  <c r="AF177" i="1" s="1"/>
  <c r="AI177" i="1"/>
  <c r="AJ177" i="1" s="1"/>
  <c r="AD178" i="1"/>
  <c r="AF178" i="1" s="1"/>
  <c r="AI178" i="1"/>
  <c r="AJ178" i="1" s="1"/>
  <c r="AD179" i="1"/>
  <c r="AF179" i="1" s="1"/>
  <c r="AI179" i="1"/>
  <c r="AJ179" i="1" s="1"/>
  <c r="AD180" i="1"/>
  <c r="AF180" i="1" s="1"/>
  <c r="AI180" i="1"/>
  <c r="AJ180" i="1" s="1"/>
  <c r="AD181" i="1"/>
  <c r="AF181" i="1" s="1"/>
  <c r="AI181" i="1"/>
  <c r="AJ181" i="1" s="1"/>
  <c r="AD182" i="1"/>
  <c r="AF182" i="1" s="1"/>
  <c r="AI182" i="1"/>
  <c r="AJ182" i="1" s="1"/>
  <c r="AD183" i="1"/>
  <c r="AF183" i="1" s="1"/>
  <c r="AI183" i="1"/>
  <c r="AJ183" i="1" s="1"/>
  <c r="AD184" i="1"/>
  <c r="AF184" i="1" s="1"/>
  <c r="AI184" i="1"/>
  <c r="AJ184" i="1" s="1"/>
  <c r="AD185" i="1"/>
  <c r="AF185" i="1" s="1"/>
  <c r="AI185" i="1"/>
  <c r="AJ185" i="1" s="1"/>
  <c r="AD186" i="1"/>
  <c r="AF186" i="1" s="1"/>
  <c r="AI186" i="1"/>
  <c r="AJ186" i="1" s="1"/>
  <c r="AD187" i="1"/>
  <c r="AF187" i="1" s="1"/>
  <c r="AI187" i="1"/>
  <c r="AJ187" i="1" s="1"/>
  <c r="AD188" i="1"/>
  <c r="AF188" i="1" s="1"/>
  <c r="AI188" i="1"/>
  <c r="AJ188" i="1" s="1"/>
  <c r="AD189" i="1"/>
  <c r="AF189" i="1" s="1"/>
  <c r="AI189" i="1"/>
  <c r="AJ189" i="1" s="1"/>
  <c r="AD190" i="1"/>
  <c r="AF190" i="1" s="1"/>
  <c r="AI190" i="1"/>
  <c r="AJ190" i="1" s="1"/>
  <c r="AD191" i="1"/>
  <c r="AF191" i="1" s="1"/>
  <c r="AI191" i="1"/>
  <c r="AJ191" i="1" s="1"/>
  <c r="AD192" i="1"/>
  <c r="AF192" i="1" s="1"/>
  <c r="AI192" i="1"/>
  <c r="AJ192" i="1" s="1"/>
  <c r="AD193" i="1"/>
  <c r="AF193" i="1" s="1"/>
  <c r="AI193" i="1"/>
  <c r="AJ193" i="1" s="1"/>
  <c r="AD194" i="1"/>
  <c r="AF194" i="1" s="1"/>
  <c r="AI194" i="1"/>
  <c r="AJ194" i="1" s="1"/>
  <c r="AD195" i="1"/>
  <c r="AF195" i="1" s="1"/>
  <c r="AI195" i="1"/>
  <c r="AJ195" i="1" s="1"/>
  <c r="S2" i="1"/>
  <c r="T2" i="1"/>
  <c r="S3" i="1"/>
  <c r="T3" i="1"/>
  <c r="S4" i="1"/>
  <c r="T4" i="1"/>
  <c r="S5" i="1"/>
  <c r="T5" i="1"/>
  <c r="S6" i="1"/>
  <c r="T6" i="1"/>
  <c r="S7" i="1"/>
  <c r="T7" i="1"/>
  <c r="S8" i="1"/>
  <c r="T8" i="1"/>
  <c r="S9" i="1"/>
  <c r="T9" i="1"/>
  <c r="S10" i="1"/>
  <c r="T10" i="1"/>
  <c r="S11" i="1"/>
  <c r="T11" i="1"/>
  <c r="S12" i="1"/>
  <c r="T12" i="1"/>
  <c r="S13" i="1"/>
  <c r="T13" i="1"/>
  <c r="S14" i="1"/>
  <c r="T14" i="1"/>
  <c r="S15" i="1"/>
  <c r="T15" i="1"/>
  <c r="S16" i="1"/>
  <c r="T16" i="1"/>
  <c r="S17" i="1"/>
  <c r="T17" i="1"/>
  <c r="S18" i="1"/>
  <c r="T18" i="1"/>
  <c r="S19" i="1"/>
  <c r="T19" i="1"/>
  <c r="S20" i="1"/>
  <c r="T20" i="1"/>
  <c r="S21" i="1"/>
  <c r="T21" i="1"/>
  <c r="S22" i="1"/>
  <c r="T22" i="1"/>
  <c r="S23" i="1"/>
  <c r="T23" i="1"/>
  <c r="S24" i="1"/>
  <c r="T24" i="1"/>
  <c r="S25" i="1"/>
  <c r="T25" i="1"/>
  <c r="S26" i="1"/>
  <c r="T26" i="1"/>
  <c r="S27" i="1"/>
  <c r="T27" i="1"/>
  <c r="S28" i="1"/>
  <c r="T28" i="1"/>
  <c r="S29" i="1"/>
  <c r="T29" i="1"/>
  <c r="S30" i="1"/>
  <c r="T30" i="1"/>
  <c r="S31" i="1"/>
  <c r="T31" i="1"/>
  <c r="S32" i="1"/>
  <c r="T32" i="1"/>
  <c r="S33" i="1"/>
  <c r="T33" i="1"/>
  <c r="S34" i="1"/>
  <c r="T34" i="1"/>
  <c r="S35" i="1"/>
  <c r="T35" i="1"/>
  <c r="S36" i="1"/>
  <c r="T36" i="1"/>
  <c r="S37" i="1"/>
  <c r="T37" i="1"/>
  <c r="S38" i="1"/>
  <c r="T38" i="1"/>
  <c r="S39" i="1"/>
  <c r="T39" i="1"/>
  <c r="S40" i="1"/>
  <c r="T40" i="1"/>
  <c r="S41" i="1"/>
  <c r="T41" i="1"/>
  <c r="S42" i="1"/>
  <c r="T42" i="1"/>
  <c r="S43" i="1"/>
  <c r="T43" i="1"/>
  <c r="S44" i="1"/>
  <c r="T44" i="1"/>
  <c r="S45" i="1"/>
  <c r="T45" i="1"/>
  <c r="S46" i="1"/>
  <c r="T46" i="1"/>
  <c r="S47" i="1"/>
  <c r="T47" i="1"/>
  <c r="S48" i="1"/>
  <c r="T48" i="1"/>
  <c r="S49" i="1"/>
  <c r="T49" i="1"/>
  <c r="S50" i="1"/>
  <c r="T50" i="1"/>
  <c r="S51" i="1"/>
  <c r="T51" i="1"/>
  <c r="S52" i="1"/>
  <c r="T52" i="1"/>
  <c r="S53" i="1"/>
  <c r="T53" i="1"/>
  <c r="S54" i="1"/>
  <c r="T54" i="1"/>
  <c r="S55" i="1"/>
  <c r="T55" i="1"/>
  <c r="S56" i="1"/>
  <c r="T56" i="1"/>
  <c r="S57" i="1"/>
  <c r="T57" i="1"/>
  <c r="S58" i="1"/>
  <c r="T58" i="1"/>
  <c r="S59" i="1"/>
  <c r="T59" i="1"/>
  <c r="S60" i="1"/>
  <c r="T60" i="1"/>
  <c r="S61" i="1"/>
  <c r="T61" i="1"/>
  <c r="S62" i="1"/>
  <c r="T62" i="1"/>
  <c r="S63" i="1"/>
  <c r="T63" i="1"/>
  <c r="S64" i="1"/>
  <c r="T64" i="1"/>
  <c r="S65" i="1"/>
  <c r="T65" i="1"/>
  <c r="S66" i="1"/>
  <c r="T66" i="1"/>
  <c r="S67" i="1"/>
  <c r="T67" i="1"/>
  <c r="S68" i="1"/>
  <c r="T68" i="1"/>
  <c r="S69" i="1"/>
  <c r="T69" i="1"/>
  <c r="S70" i="1"/>
  <c r="T70" i="1"/>
  <c r="S71" i="1"/>
  <c r="T71" i="1"/>
  <c r="S72" i="1"/>
  <c r="T72" i="1"/>
  <c r="S73" i="1"/>
  <c r="T73" i="1"/>
  <c r="S74" i="1"/>
  <c r="T74" i="1"/>
  <c r="S75" i="1"/>
  <c r="T75" i="1"/>
  <c r="S76" i="1"/>
  <c r="T76" i="1"/>
  <c r="S77" i="1"/>
  <c r="T77" i="1"/>
  <c r="S78" i="1"/>
  <c r="T78" i="1"/>
  <c r="S79" i="1"/>
  <c r="T79" i="1"/>
  <c r="S80" i="1"/>
  <c r="T80" i="1"/>
  <c r="S81" i="1"/>
  <c r="T81" i="1"/>
  <c r="S82" i="1"/>
  <c r="T82" i="1"/>
  <c r="S83" i="1"/>
  <c r="T83" i="1"/>
  <c r="S84" i="1"/>
  <c r="T84" i="1"/>
  <c r="S85" i="1"/>
  <c r="T85" i="1"/>
  <c r="S86" i="1"/>
  <c r="T86" i="1"/>
  <c r="S87" i="1"/>
  <c r="T87" i="1"/>
  <c r="S88" i="1"/>
  <c r="T88" i="1"/>
  <c r="S89" i="1"/>
  <c r="T89" i="1"/>
  <c r="S90" i="1"/>
  <c r="T90" i="1"/>
  <c r="S91" i="1"/>
  <c r="T91" i="1"/>
  <c r="S92" i="1"/>
  <c r="T92" i="1"/>
  <c r="S93" i="1"/>
  <c r="T93" i="1"/>
  <c r="S94" i="1"/>
  <c r="T94" i="1"/>
  <c r="S95" i="1"/>
  <c r="T95" i="1"/>
  <c r="S96" i="1"/>
  <c r="T96" i="1"/>
  <c r="S97" i="1"/>
  <c r="T97" i="1"/>
  <c r="S98" i="1"/>
  <c r="T98" i="1"/>
  <c r="S99" i="1"/>
  <c r="T99" i="1"/>
  <c r="S100" i="1"/>
  <c r="T100" i="1"/>
  <c r="S101" i="1"/>
  <c r="T101" i="1"/>
  <c r="S102" i="1"/>
  <c r="T102" i="1"/>
  <c r="S103" i="1"/>
  <c r="T103" i="1"/>
  <c r="S104" i="1"/>
  <c r="T104" i="1"/>
  <c r="S105" i="1"/>
  <c r="T105" i="1"/>
  <c r="S106" i="1"/>
  <c r="T106" i="1"/>
  <c r="S107" i="1"/>
  <c r="T107" i="1"/>
  <c r="S108" i="1"/>
  <c r="T108" i="1"/>
  <c r="S109" i="1"/>
  <c r="T109" i="1"/>
  <c r="S110" i="1"/>
  <c r="T110" i="1"/>
  <c r="S111" i="1"/>
  <c r="T111" i="1"/>
  <c r="S112" i="1"/>
  <c r="T112" i="1"/>
  <c r="S113" i="1"/>
  <c r="T113" i="1"/>
  <c r="S114" i="1"/>
  <c r="T114" i="1"/>
  <c r="S115" i="1"/>
  <c r="T115" i="1"/>
  <c r="S116" i="1"/>
  <c r="T116" i="1"/>
  <c r="S117" i="1"/>
  <c r="T117" i="1"/>
  <c r="S118" i="1"/>
  <c r="T118" i="1"/>
  <c r="S119" i="1"/>
  <c r="T119" i="1"/>
  <c r="S120" i="1"/>
  <c r="T120" i="1"/>
  <c r="S121" i="1"/>
  <c r="T121" i="1"/>
  <c r="S122" i="1"/>
  <c r="T122" i="1"/>
  <c r="S123" i="1"/>
  <c r="T123" i="1"/>
  <c r="S124" i="1"/>
  <c r="T124" i="1"/>
  <c r="S125" i="1"/>
  <c r="T125" i="1"/>
  <c r="S126" i="1"/>
  <c r="T126" i="1"/>
  <c r="S127" i="1"/>
  <c r="T127" i="1"/>
  <c r="S128" i="1"/>
  <c r="T128" i="1"/>
  <c r="S129" i="1"/>
  <c r="T129" i="1"/>
  <c r="S130" i="1"/>
  <c r="T130" i="1"/>
  <c r="S131" i="1"/>
  <c r="T131" i="1"/>
  <c r="S132" i="1"/>
  <c r="T132" i="1"/>
  <c r="S133" i="1"/>
  <c r="T133" i="1"/>
  <c r="S134" i="1"/>
  <c r="T134" i="1"/>
  <c r="S135" i="1"/>
  <c r="T135" i="1"/>
  <c r="S136" i="1"/>
  <c r="T136" i="1"/>
  <c r="S137" i="1"/>
  <c r="T137" i="1"/>
  <c r="S138" i="1"/>
  <c r="T138" i="1"/>
  <c r="S139" i="1"/>
  <c r="T139" i="1"/>
  <c r="S140" i="1"/>
  <c r="T140" i="1"/>
  <c r="S141" i="1"/>
  <c r="T141" i="1"/>
  <c r="S142" i="1"/>
  <c r="T142" i="1"/>
  <c r="S143" i="1"/>
  <c r="T143" i="1"/>
  <c r="S144" i="1"/>
  <c r="T144" i="1"/>
  <c r="S145" i="1"/>
  <c r="T145" i="1"/>
  <c r="S146" i="1"/>
  <c r="T146" i="1"/>
  <c r="S147" i="1"/>
  <c r="T147" i="1"/>
  <c r="S148" i="1"/>
  <c r="T148" i="1"/>
  <c r="S149" i="1"/>
  <c r="T149" i="1"/>
  <c r="S150" i="1"/>
  <c r="T150" i="1"/>
  <c r="S151" i="1"/>
  <c r="T151" i="1"/>
  <c r="S152" i="1"/>
  <c r="T152" i="1"/>
  <c r="S153" i="1"/>
  <c r="T153" i="1"/>
  <c r="S154" i="1"/>
  <c r="T154" i="1"/>
  <c r="S155" i="1"/>
  <c r="T155" i="1"/>
  <c r="S156" i="1"/>
  <c r="T156" i="1"/>
  <c r="S157" i="1"/>
  <c r="T157" i="1"/>
  <c r="S158" i="1"/>
  <c r="T158" i="1"/>
  <c r="S159" i="1"/>
  <c r="T159" i="1"/>
  <c r="S160" i="1"/>
  <c r="T160" i="1"/>
  <c r="S161" i="1"/>
  <c r="T161" i="1"/>
  <c r="S162" i="1"/>
  <c r="T162" i="1"/>
  <c r="S163" i="1"/>
  <c r="T163" i="1"/>
  <c r="S164" i="1"/>
  <c r="T164" i="1"/>
  <c r="S165" i="1"/>
  <c r="T165" i="1"/>
  <c r="S166" i="1"/>
  <c r="T166" i="1"/>
  <c r="S167" i="1"/>
  <c r="T167" i="1"/>
  <c r="S168" i="1"/>
  <c r="T168" i="1"/>
  <c r="S169" i="1"/>
  <c r="T169" i="1"/>
  <c r="S170" i="1"/>
  <c r="T170" i="1"/>
  <c r="S171" i="1"/>
  <c r="T171" i="1"/>
  <c r="S172" i="1"/>
  <c r="T172" i="1"/>
  <c r="S173" i="1"/>
  <c r="T173" i="1"/>
  <c r="S174" i="1"/>
  <c r="T174" i="1"/>
  <c r="S175" i="1"/>
  <c r="T175" i="1"/>
  <c r="S176" i="1"/>
  <c r="T176" i="1"/>
  <c r="S177" i="1"/>
  <c r="T177" i="1"/>
  <c r="S178" i="1"/>
  <c r="T178" i="1"/>
  <c r="S179" i="1"/>
  <c r="T179" i="1"/>
  <c r="S180" i="1"/>
  <c r="T180" i="1"/>
  <c r="S181" i="1"/>
  <c r="T181" i="1"/>
  <c r="S182" i="1"/>
  <c r="T182" i="1"/>
  <c r="S183" i="1"/>
  <c r="T183" i="1"/>
  <c r="S184" i="1"/>
  <c r="T184" i="1"/>
  <c r="S185" i="1"/>
  <c r="T185" i="1"/>
  <c r="S186" i="1"/>
  <c r="T186" i="1"/>
  <c r="S187" i="1"/>
  <c r="T187" i="1"/>
  <c r="S188" i="1"/>
  <c r="T188" i="1"/>
  <c r="S189" i="1"/>
  <c r="T189" i="1"/>
  <c r="S190" i="1"/>
  <c r="T190" i="1"/>
  <c r="S191" i="1"/>
  <c r="T191" i="1"/>
  <c r="S192" i="1"/>
  <c r="T192" i="1"/>
  <c r="S193" i="1"/>
  <c r="T193" i="1"/>
  <c r="S194" i="1"/>
  <c r="T194" i="1"/>
  <c r="T195" i="1"/>
  <c r="AF77" i="1" l="1"/>
  <c r="AF72" i="1"/>
  <c r="AG11" i="1"/>
  <c r="AH11" i="1" s="1"/>
  <c r="AH74" i="1"/>
  <c r="AF86" i="1"/>
  <c r="AF75" i="1"/>
  <c r="AH68" i="1"/>
  <c r="AG29" i="1"/>
  <c r="AH29" i="1" s="1"/>
  <c r="AG27" i="1"/>
  <c r="AH27" i="1" s="1"/>
  <c r="AG25" i="1"/>
  <c r="AH25" i="1" s="1"/>
  <c r="AG19" i="1"/>
  <c r="AH19" i="1" s="1"/>
  <c r="AF81" i="1"/>
  <c r="AF76" i="1"/>
  <c r="AG153" i="1"/>
  <c r="AH153" i="1" s="1"/>
  <c r="AF2" i="1"/>
  <c r="AF83" i="1"/>
  <c r="AF74" i="1"/>
  <c r="AF21" i="1"/>
  <c r="AG167" i="1"/>
  <c r="AH167" i="1" s="1"/>
  <c r="AG54" i="1"/>
  <c r="AH54" i="1" s="1"/>
  <c r="AG10" i="1"/>
  <c r="AH10" i="1" s="1"/>
  <c r="AF58" i="1"/>
  <c r="AF56" i="1"/>
  <c r="AG46" i="1"/>
  <c r="AH46" i="1" s="1"/>
  <c r="AG38" i="1"/>
  <c r="AH38" i="1" s="1"/>
  <c r="AG30" i="1"/>
  <c r="AH30" i="1" s="1"/>
  <c r="AG14" i="1"/>
  <c r="AH14" i="1" s="1"/>
  <c r="AG7" i="1"/>
  <c r="AH7" i="1" s="1"/>
  <c r="AH86" i="1"/>
  <c r="AH76" i="1"/>
  <c r="AH69" i="1"/>
  <c r="AG148" i="1"/>
  <c r="AH148" i="1" s="1"/>
  <c r="AG57" i="1"/>
  <c r="AH57" i="1" s="1"/>
  <c r="AG50" i="1"/>
  <c r="AH50" i="1" s="1"/>
  <c r="AF45" i="1"/>
  <c r="AG37" i="1"/>
  <c r="AH37" i="1" s="1"/>
  <c r="AG13" i="1"/>
  <c r="AH13" i="1" s="1"/>
  <c r="AG6" i="1"/>
  <c r="AH6" i="1" s="1"/>
  <c r="AH82" i="1"/>
  <c r="AH73" i="1"/>
  <c r="AG61" i="1"/>
  <c r="AH61" i="1" s="1"/>
  <c r="AG49" i="1"/>
  <c r="AH49" i="1" s="1"/>
  <c r="AG42" i="1"/>
  <c r="AH42" i="1" s="1"/>
  <c r="AG22" i="1"/>
  <c r="AH22" i="1" s="1"/>
  <c r="AG18" i="1"/>
  <c r="AH18" i="1" s="1"/>
  <c r="AF9" i="1"/>
  <c r="AG5" i="1"/>
  <c r="AH5" i="1" s="1"/>
  <c r="AG3" i="1"/>
  <c r="AH3" i="1" s="1"/>
  <c r="AG165" i="1"/>
  <c r="AH165" i="1" s="1"/>
  <c r="AG154" i="1"/>
  <c r="AH154" i="1" s="1"/>
  <c r="AF70" i="1"/>
  <c r="AF65" i="1"/>
  <c r="AF63" i="1"/>
  <c r="AG53" i="1"/>
  <c r="AH53" i="1" s="1"/>
  <c r="AG34" i="1"/>
  <c r="AH34" i="1" s="1"/>
  <c r="AG26" i="1"/>
  <c r="AH26" i="1" s="1"/>
  <c r="AG160" i="1"/>
  <c r="AH160" i="1" s="1"/>
  <c r="AH60" i="1"/>
  <c r="AG41" i="1"/>
  <c r="AH41" i="1" s="1"/>
  <c r="AG39" i="1"/>
  <c r="AH39" i="1" s="1"/>
  <c r="AG17" i="1"/>
  <c r="AH17" i="1" s="1"/>
  <c r="AG15" i="1"/>
  <c r="AH15" i="1" s="1"/>
  <c r="AG164" i="1"/>
  <c r="AH164" i="1" s="1"/>
  <c r="AG155" i="1"/>
  <c r="AH155" i="1" s="1"/>
  <c r="AH83" i="1"/>
  <c r="AF69" i="1"/>
  <c r="AG64" i="1"/>
  <c r="AH64" i="1" s="1"/>
  <c r="AH56" i="1"/>
  <c r="AF52" i="1"/>
  <c r="AF33" i="1"/>
  <c r="AG8" i="1"/>
  <c r="AH8" i="1" s="1"/>
  <c r="AF8" i="1"/>
  <c r="AF149" i="1"/>
  <c r="AG149" i="1"/>
  <c r="AH149" i="1" s="1"/>
  <c r="AF142" i="1"/>
  <c r="AG142" i="1"/>
  <c r="AH142" i="1" s="1"/>
  <c r="AG85" i="1"/>
  <c r="AH85" i="1" s="1"/>
  <c r="AF85" i="1"/>
  <c r="AG80" i="1"/>
  <c r="AH80" i="1" s="1"/>
  <c r="AF80" i="1"/>
  <c r="AG71" i="1"/>
  <c r="AH71" i="1" s="1"/>
  <c r="AF71" i="1"/>
  <c r="AF60" i="1"/>
  <c r="AG44" i="1"/>
  <c r="AH44" i="1" s="1"/>
  <c r="AF44" i="1"/>
  <c r="AG24" i="1"/>
  <c r="AH24" i="1" s="1"/>
  <c r="AF24" i="1"/>
  <c r="AG36" i="1"/>
  <c r="AH36" i="1" s="1"/>
  <c r="AF36" i="1"/>
  <c r="AF141" i="1"/>
  <c r="AG141" i="1"/>
  <c r="AH141" i="1" s="1"/>
  <c r="AJ65" i="1"/>
  <c r="AH65" i="1"/>
  <c r="AG48" i="1"/>
  <c r="AH48" i="1" s="1"/>
  <c r="AF48" i="1"/>
  <c r="AG4" i="1"/>
  <c r="AH4" i="1" s="1"/>
  <c r="AF4" i="1"/>
  <c r="AJ70" i="1"/>
  <c r="AH70" i="1"/>
  <c r="AG66" i="1"/>
  <c r="AH66" i="1" s="1"/>
  <c r="AF66" i="1"/>
  <c r="AG12" i="1"/>
  <c r="AH12" i="1" s="1"/>
  <c r="AF12" i="1"/>
  <c r="AF158" i="1"/>
  <c r="AG158" i="1"/>
  <c r="AH158" i="1" s="1"/>
  <c r="AF146" i="1"/>
  <c r="AG146" i="1"/>
  <c r="AH146" i="1" s="1"/>
  <c r="AG59" i="1"/>
  <c r="AH59" i="1" s="1"/>
  <c r="AF59" i="1"/>
  <c r="AF143" i="1"/>
  <c r="AG143" i="1"/>
  <c r="AH143" i="1" s="1"/>
  <c r="AG78" i="1"/>
  <c r="AH78" i="1" s="1"/>
  <c r="AF78" i="1"/>
  <c r="AH67" i="1"/>
  <c r="AG55" i="1"/>
  <c r="AH55" i="1" s="1"/>
  <c r="AF55" i="1"/>
  <c r="AG28" i="1"/>
  <c r="AH28" i="1" s="1"/>
  <c r="AF28" i="1"/>
  <c r="AG20" i="1"/>
  <c r="AH20" i="1" s="1"/>
  <c r="AF20" i="1"/>
  <c r="AJ167" i="1"/>
  <c r="AF166" i="1"/>
  <c r="AG166" i="1"/>
  <c r="AH166" i="1" s="1"/>
  <c r="AJ77" i="1"/>
  <c r="AH77" i="1"/>
  <c r="AG40" i="1"/>
  <c r="AH40" i="1" s="1"/>
  <c r="AF40" i="1"/>
  <c r="AG32" i="1"/>
  <c r="AH32" i="1" s="1"/>
  <c r="AF32" i="1"/>
  <c r="AG16" i="1"/>
  <c r="AH16" i="1" s="1"/>
  <c r="AF16" i="1"/>
  <c r="AF84" i="1"/>
  <c r="AH81" i="1"/>
  <c r="AF79" i="1"/>
  <c r="AF67" i="1"/>
  <c r="AH84" i="1"/>
  <c r="AH79" i="1"/>
  <c r="AG62" i="1"/>
  <c r="AH62" i="1" s="1"/>
  <c r="AG51" i="1"/>
  <c r="AH51" i="1" s="1"/>
  <c r="AG47" i="1"/>
  <c r="AH47" i="1" s="1"/>
  <c r="AG43" i="1"/>
  <c r="AH43" i="1" s="1"/>
  <c r="AG35" i="1"/>
  <c r="AH35" i="1" s="1"/>
  <c r="AG31" i="1"/>
  <c r="AH31" i="1" s="1"/>
  <c r="AG23" i="1"/>
  <c r="AH23" i="1" s="1"/>
  <c r="AG161" i="1"/>
  <c r="AH161" i="1" s="1"/>
  <c r="AG159" i="1"/>
  <c r="AH159" i="1" s="1"/>
  <c r="AJ155" i="1"/>
  <c r="AG147" i="1"/>
  <c r="AH147" i="1" s="1"/>
  <c r="AF82" i="1"/>
  <c r="AF73" i="1"/>
  <c r="AF68" i="1"/>
  <c r="AF151" i="1"/>
  <c r="AG151" i="1"/>
  <c r="AH151" i="1" s="1"/>
  <c r="AJ21" i="1"/>
  <c r="AH21" i="1"/>
  <c r="AG124" i="1"/>
  <c r="AH124" i="1" s="1"/>
  <c r="AF124" i="1"/>
  <c r="AG115" i="1"/>
  <c r="AH115" i="1" s="1"/>
  <c r="AF115" i="1"/>
  <c r="AG106" i="1"/>
  <c r="AH106" i="1" s="1"/>
  <c r="AF106" i="1"/>
  <c r="AJ9" i="1"/>
  <c r="AH9" i="1"/>
  <c r="AG137" i="1"/>
  <c r="AH137" i="1" s="1"/>
  <c r="AF137" i="1"/>
  <c r="AG131" i="1"/>
  <c r="AH131" i="1" s="1"/>
  <c r="AF131" i="1"/>
  <c r="AG121" i="1"/>
  <c r="AH121" i="1" s="1"/>
  <c r="AF121" i="1"/>
  <c r="AG112" i="1"/>
  <c r="AH112" i="1" s="1"/>
  <c r="AF112" i="1"/>
  <c r="AG103" i="1"/>
  <c r="AH103" i="1" s="1"/>
  <c r="AF103" i="1"/>
  <c r="AJ57" i="1"/>
  <c r="AJ161" i="1"/>
  <c r="AF157" i="1"/>
  <c r="AG157" i="1"/>
  <c r="AH157" i="1" s="1"/>
  <c r="AG152" i="1"/>
  <c r="AH152" i="1" s="1"/>
  <c r="AJ143" i="1"/>
  <c r="AJ61" i="1"/>
  <c r="AJ45" i="1"/>
  <c r="AH45" i="1"/>
  <c r="AG118" i="1"/>
  <c r="AH118" i="1" s="1"/>
  <c r="AF118" i="1"/>
  <c r="AJ33" i="1"/>
  <c r="AH33" i="1"/>
  <c r="AG109" i="1"/>
  <c r="AH109" i="1" s="1"/>
  <c r="AF109" i="1"/>
  <c r="AF163" i="1"/>
  <c r="AG163" i="1"/>
  <c r="AH163" i="1" s="1"/>
  <c r="AF145" i="1"/>
  <c r="AG145" i="1"/>
  <c r="AH145" i="1" s="1"/>
  <c r="AG140" i="1"/>
  <c r="AH140" i="1" s="1"/>
  <c r="AF140" i="1"/>
  <c r="AG134" i="1"/>
  <c r="AH134" i="1" s="1"/>
  <c r="AF134" i="1"/>
  <c r="AG128" i="1"/>
  <c r="AH128" i="1" s="1"/>
  <c r="AF128" i="1"/>
  <c r="AG89" i="1"/>
  <c r="AH89" i="1" s="1"/>
  <c r="AF89" i="1"/>
  <c r="AJ48" i="1"/>
  <c r="AJ36" i="1"/>
  <c r="AJ24" i="1"/>
  <c r="AJ12" i="1"/>
  <c r="AG97" i="1"/>
  <c r="AH97" i="1" s="1"/>
  <c r="AF97" i="1"/>
  <c r="AG132" i="1"/>
  <c r="AH132" i="1" s="1"/>
  <c r="AF132" i="1"/>
  <c r="AG129" i="1"/>
  <c r="AH129" i="1" s="1"/>
  <c r="AF129" i="1"/>
  <c r="AG104" i="1"/>
  <c r="AH104" i="1" s="1"/>
  <c r="AF104" i="1"/>
  <c r="AH72" i="1"/>
  <c r="AJ62" i="1"/>
  <c r="AJ54" i="1"/>
  <c r="AJ42" i="1"/>
  <c r="AJ30" i="1"/>
  <c r="AJ18" i="1"/>
  <c r="AJ6" i="1"/>
  <c r="AG101" i="1"/>
  <c r="AH101" i="1" s="1"/>
  <c r="AF101" i="1"/>
  <c r="AG95" i="1"/>
  <c r="AH95" i="1" s="1"/>
  <c r="AF95" i="1"/>
  <c r="AG91" i="1"/>
  <c r="AH91" i="1" s="1"/>
  <c r="AF91" i="1"/>
  <c r="AG127" i="1"/>
  <c r="AH127" i="1" s="1"/>
  <c r="AF127" i="1"/>
  <c r="AG119" i="1"/>
  <c r="AH119" i="1" s="1"/>
  <c r="AF119" i="1"/>
  <c r="AG116" i="1"/>
  <c r="AH116" i="1" s="1"/>
  <c r="AF116" i="1"/>
  <c r="AG113" i="1"/>
  <c r="AH113" i="1" s="1"/>
  <c r="AF113" i="1"/>
  <c r="AG110" i="1"/>
  <c r="AH110" i="1" s="1"/>
  <c r="AF110" i="1"/>
  <c r="AG195" i="1"/>
  <c r="AH195" i="1" s="1"/>
  <c r="AG194" i="1"/>
  <c r="AH194" i="1" s="1"/>
  <c r="AG193" i="1"/>
  <c r="AH193" i="1" s="1"/>
  <c r="AG192" i="1"/>
  <c r="AH192" i="1" s="1"/>
  <c r="AG191" i="1"/>
  <c r="AH191" i="1" s="1"/>
  <c r="AG190" i="1"/>
  <c r="AH190" i="1" s="1"/>
  <c r="AG189" i="1"/>
  <c r="AH189" i="1" s="1"/>
  <c r="AG188" i="1"/>
  <c r="AH188" i="1" s="1"/>
  <c r="AG187" i="1"/>
  <c r="AH187" i="1" s="1"/>
  <c r="AG186" i="1"/>
  <c r="AH186" i="1" s="1"/>
  <c r="AG185" i="1"/>
  <c r="AH185" i="1" s="1"/>
  <c r="AG184" i="1"/>
  <c r="AH184" i="1" s="1"/>
  <c r="AG183" i="1"/>
  <c r="AH183" i="1" s="1"/>
  <c r="AG182" i="1"/>
  <c r="AH182" i="1" s="1"/>
  <c r="AG181" i="1"/>
  <c r="AH181" i="1" s="1"/>
  <c r="AG180" i="1"/>
  <c r="AH180" i="1" s="1"/>
  <c r="AG179" i="1"/>
  <c r="AH179" i="1" s="1"/>
  <c r="AG178" i="1"/>
  <c r="AH178" i="1" s="1"/>
  <c r="AG177" i="1"/>
  <c r="AH177" i="1" s="1"/>
  <c r="AG176" i="1"/>
  <c r="AH176" i="1" s="1"/>
  <c r="AG175" i="1"/>
  <c r="AH175" i="1" s="1"/>
  <c r="AG174" i="1"/>
  <c r="AH174" i="1" s="1"/>
  <c r="AG173" i="1"/>
  <c r="AH173" i="1" s="1"/>
  <c r="AG172" i="1"/>
  <c r="AH172" i="1" s="1"/>
  <c r="AG171" i="1"/>
  <c r="AH171" i="1" s="1"/>
  <c r="AG170" i="1"/>
  <c r="AH170" i="1" s="1"/>
  <c r="AG169" i="1"/>
  <c r="AH169" i="1" s="1"/>
  <c r="AG168" i="1"/>
  <c r="AH168" i="1" s="1"/>
  <c r="AH75" i="1"/>
  <c r="AJ51" i="1"/>
  <c r="AJ39" i="1"/>
  <c r="AJ27" i="1"/>
  <c r="AJ15" i="1"/>
  <c r="AJ3" i="1"/>
  <c r="AG99" i="1"/>
  <c r="AH99" i="1" s="1"/>
  <c r="AF99" i="1"/>
  <c r="AG93" i="1"/>
  <c r="AH93" i="1" s="1"/>
  <c r="AF93" i="1"/>
  <c r="AG87" i="1"/>
  <c r="AH87" i="1" s="1"/>
  <c r="AF87" i="1"/>
  <c r="AG138" i="1"/>
  <c r="AH138" i="1" s="1"/>
  <c r="AF138" i="1"/>
  <c r="AG135" i="1"/>
  <c r="AH135" i="1" s="1"/>
  <c r="AF135" i="1"/>
  <c r="AG125" i="1"/>
  <c r="AH125" i="1" s="1"/>
  <c r="AF125" i="1"/>
  <c r="AG122" i="1"/>
  <c r="AH122" i="1" s="1"/>
  <c r="AF122" i="1"/>
  <c r="AG107" i="1"/>
  <c r="AH107" i="1" s="1"/>
  <c r="AF107" i="1"/>
  <c r="AG162" i="1"/>
  <c r="AH162" i="1" s="1"/>
  <c r="AG156" i="1"/>
  <c r="AH156" i="1" s="1"/>
  <c r="AG150" i="1"/>
  <c r="AH150" i="1" s="1"/>
  <c r="AG144" i="1"/>
  <c r="AH144" i="1" s="1"/>
  <c r="AG139" i="1"/>
  <c r="AH139" i="1" s="1"/>
  <c r="AF139" i="1"/>
  <c r="AG136" i="1"/>
  <c r="AH136" i="1" s="1"/>
  <c r="AF136" i="1"/>
  <c r="AG133" i="1"/>
  <c r="AH133" i="1" s="1"/>
  <c r="AF133" i="1"/>
  <c r="AG130" i="1"/>
  <c r="AH130" i="1" s="1"/>
  <c r="AF130" i="1"/>
  <c r="AG126" i="1"/>
  <c r="AH126" i="1" s="1"/>
  <c r="AF126" i="1"/>
  <c r="AG123" i="1"/>
  <c r="AH123" i="1" s="1"/>
  <c r="AF123" i="1"/>
  <c r="AG120" i="1"/>
  <c r="AH120" i="1" s="1"/>
  <c r="AF120" i="1"/>
  <c r="AG117" i="1"/>
  <c r="AH117" i="1" s="1"/>
  <c r="AF117" i="1"/>
  <c r="AG114" i="1"/>
  <c r="AH114" i="1" s="1"/>
  <c r="AF114" i="1"/>
  <c r="AG111" i="1"/>
  <c r="AH111" i="1" s="1"/>
  <c r="AF111" i="1"/>
  <c r="AG108" i="1"/>
  <c r="AH108" i="1" s="1"/>
  <c r="AF108" i="1"/>
  <c r="AG105" i="1"/>
  <c r="AH105" i="1" s="1"/>
  <c r="AF105" i="1"/>
  <c r="AG102" i="1"/>
  <c r="AH102" i="1" s="1"/>
  <c r="AF102" i="1"/>
  <c r="AG100" i="1"/>
  <c r="AH100" i="1" s="1"/>
  <c r="AF100" i="1"/>
  <c r="AG98" i="1"/>
  <c r="AH98" i="1" s="1"/>
  <c r="AF98" i="1"/>
  <c r="AG96" i="1"/>
  <c r="AH96" i="1" s="1"/>
  <c r="AF96" i="1"/>
  <c r="AG94" i="1"/>
  <c r="AH94" i="1" s="1"/>
  <c r="AF94" i="1"/>
  <c r="AG92" i="1"/>
  <c r="AH92" i="1" s="1"/>
  <c r="AF92" i="1"/>
  <c r="AG90" i="1"/>
  <c r="AH90" i="1" s="1"/>
  <c r="AF90" i="1"/>
  <c r="AG88" i="1"/>
  <c r="AH88" i="1" s="1"/>
  <c r="AF88" i="1"/>
  <c r="AH63" i="1"/>
  <c r="AH58" i="1"/>
  <c r="AH52" i="1"/>
  <c r="AH2" i="1"/>
  <c r="AJ2" i="1"/>
  <c r="I8" i="5"/>
  <c r="F35" i="5"/>
  <c r="G35" i="5"/>
  <c r="H35" i="5"/>
  <c r="I35" i="5"/>
  <c r="AD616" i="1" l="1"/>
  <c r="AF616" i="1" s="1"/>
  <c r="AD617" i="1"/>
  <c r="AF617" i="1" s="1"/>
  <c r="AD618" i="1"/>
  <c r="AF618" i="1" s="1"/>
  <c r="AD619" i="1"/>
  <c r="AD620" i="1"/>
  <c r="AG620" i="1" s="1"/>
  <c r="AD621" i="1"/>
  <c r="AF621" i="1" s="1"/>
  <c r="AD622" i="1"/>
  <c r="AF622" i="1" s="1"/>
  <c r="AD623" i="1"/>
  <c r="AF623" i="1" s="1"/>
  <c r="AD624" i="1"/>
  <c r="AF624" i="1" s="1"/>
  <c r="AD625" i="1"/>
  <c r="AG625" i="1" s="1"/>
  <c r="AD626" i="1"/>
  <c r="AF626" i="1" s="1"/>
  <c r="AD627" i="1"/>
  <c r="AF627" i="1" s="1"/>
  <c r="AD628" i="1"/>
  <c r="AF628" i="1" s="1"/>
  <c r="AD629" i="1"/>
  <c r="AF629" i="1" s="1"/>
  <c r="AI210" i="1"/>
  <c r="AJ210" i="1" s="1"/>
  <c r="AI211" i="1"/>
  <c r="AI212" i="1"/>
  <c r="AI213" i="1"/>
  <c r="AJ213" i="1" s="1"/>
  <c r="AI214" i="1"/>
  <c r="AJ214" i="1" s="1"/>
  <c r="AI215" i="1"/>
  <c r="AJ215" i="1" s="1"/>
  <c r="AI216" i="1"/>
  <c r="AI217" i="1"/>
  <c r="AI218" i="1"/>
  <c r="AJ218" i="1" s="1"/>
  <c r="AI219" i="1"/>
  <c r="AJ219" i="1" s="1"/>
  <c r="AI220" i="1"/>
  <c r="AJ220" i="1" s="1"/>
  <c r="AI221" i="1"/>
  <c r="AI222" i="1"/>
  <c r="AI223" i="1"/>
  <c r="AJ223" i="1" s="1"/>
  <c r="AI224" i="1"/>
  <c r="AJ224" i="1" s="1"/>
  <c r="AI225" i="1"/>
  <c r="AJ225" i="1" s="1"/>
  <c r="AI226" i="1"/>
  <c r="AJ226" i="1" s="1"/>
  <c r="AI227" i="1"/>
  <c r="AI228" i="1"/>
  <c r="AI229" i="1"/>
  <c r="AI230" i="1"/>
  <c r="AJ230" i="1" s="1"/>
  <c r="AI231" i="1"/>
  <c r="AJ231" i="1" s="1"/>
  <c r="AI232" i="1"/>
  <c r="AI233" i="1"/>
  <c r="AJ233" i="1" s="1"/>
  <c r="AI234" i="1"/>
  <c r="AJ234" i="1" s="1"/>
  <c r="AI235" i="1"/>
  <c r="AJ235" i="1" s="1"/>
  <c r="AI236" i="1"/>
  <c r="AI237" i="1"/>
  <c r="AI238" i="1"/>
  <c r="AI239" i="1"/>
  <c r="AJ239" i="1" s="1"/>
  <c r="AI240" i="1"/>
  <c r="AJ240" i="1" s="1"/>
  <c r="AI241" i="1"/>
  <c r="AJ241" i="1" s="1"/>
  <c r="AI242" i="1"/>
  <c r="AI243" i="1"/>
  <c r="AI244" i="1"/>
  <c r="AJ244" i="1" s="1"/>
  <c r="AI245" i="1"/>
  <c r="AJ245" i="1" s="1"/>
  <c r="AI246" i="1"/>
  <c r="AI247" i="1"/>
  <c r="AI248" i="1"/>
  <c r="AI249" i="1"/>
  <c r="AJ249" i="1" s="1"/>
  <c r="AI250" i="1"/>
  <c r="AJ250" i="1" s="1"/>
  <c r="AI251" i="1"/>
  <c r="AJ251" i="1" s="1"/>
  <c r="AI252" i="1"/>
  <c r="AJ252" i="1" s="1"/>
  <c r="AI253" i="1"/>
  <c r="AI254" i="1"/>
  <c r="AI255" i="1"/>
  <c r="AJ255" i="1" s="1"/>
  <c r="AI256" i="1"/>
  <c r="AJ256" i="1" s="1"/>
  <c r="AI257" i="1"/>
  <c r="AI258" i="1"/>
  <c r="AI259" i="1"/>
  <c r="AJ259" i="1" s="1"/>
  <c r="AI260" i="1"/>
  <c r="AJ260" i="1" s="1"/>
  <c r="AI261" i="1"/>
  <c r="AI262" i="1"/>
  <c r="AJ262" i="1" s="1"/>
  <c r="AI263" i="1"/>
  <c r="AJ263" i="1" s="1"/>
  <c r="AI264" i="1"/>
  <c r="AI265" i="1"/>
  <c r="AJ265" i="1" s="1"/>
  <c r="AI266" i="1"/>
  <c r="AJ266" i="1" s="1"/>
  <c r="AI267" i="1"/>
  <c r="AJ267" i="1" s="1"/>
  <c r="AI268" i="1"/>
  <c r="AJ268" i="1" s="1"/>
  <c r="AI269" i="1"/>
  <c r="AI270" i="1"/>
  <c r="AI271" i="1"/>
  <c r="AJ271" i="1" s="1"/>
  <c r="AI272" i="1"/>
  <c r="AJ272" i="1" s="1"/>
  <c r="AI273" i="1"/>
  <c r="AJ273" i="1" s="1"/>
  <c r="AI274" i="1"/>
  <c r="AJ274" i="1" s="1"/>
  <c r="AI275" i="1"/>
  <c r="AJ275" i="1" s="1"/>
  <c r="AI276" i="1"/>
  <c r="AJ276" i="1" s="1"/>
  <c r="AI277" i="1"/>
  <c r="AI278" i="1"/>
  <c r="AI279" i="1"/>
  <c r="AJ279" i="1" s="1"/>
  <c r="AI280" i="1"/>
  <c r="AI281" i="1"/>
  <c r="AI282" i="1"/>
  <c r="AJ282" i="1" s="1"/>
  <c r="AI283" i="1"/>
  <c r="AJ283" i="1" s="1"/>
  <c r="AI284" i="1"/>
  <c r="AJ284" i="1" s="1"/>
  <c r="AI285" i="1"/>
  <c r="AJ285" i="1" s="1"/>
  <c r="AI286" i="1"/>
  <c r="AI287" i="1"/>
  <c r="AJ287" i="1" s="1"/>
  <c r="AI288" i="1"/>
  <c r="AJ288" i="1" s="1"/>
  <c r="AI289" i="1"/>
  <c r="AI290" i="1"/>
  <c r="AJ290" i="1" s="1"/>
  <c r="AI291" i="1"/>
  <c r="AJ291" i="1" s="1"/>
  <c r="AI292" i="1"/>
  <c r="AJ292" i="1" s="1"/>
  <c r="AI293" i="1"/>
  <c r="AJ293" i="1" s="1"/>
  <c r="AI294" i="1"/>
  <c r="AJ294" i="1" s="1"/>
  <c r="AI295" i="1"/>
  <c r="AJ295" i="1" s="1"/>
  <c r="AI296" i="1"/>
  <c r="AJ296" i="1" s="1"/>
  <c r="AI297" i="1"/>
  <c r="AJ297" i="1" s="1"/>
  <c r="AI298" i="1"/>
  <c r="AI299" i="1"/>
  <c r="AI300" i="1"/>
  <c r="AJ300" i="1" s="1"/>
  <c r="AI301" i="1"/>
  <c r="AJ301" i="1" s="1"/>
  <c r="AI302" i="1"/>
  <c r="AJ302" i="1" s="1"/>
  <c r="AI303" i="1"/>
  <c r="AJ303" i="1" s="1"/>
  <c r="AI304" i="1"/>
  <c r="AJ304" i="1" s="1"/>
  <c r="AI305" i="1"/>
  <c r="AI306" i="1"/>
  <c r="AJ306" i="1" s="1"/>
  <c r="AI307" i="1"/>
  <c r="AJ307" i="1" s="1"/>
  <c r="AI308" i="1"/>
  <c r="AJ308" i="1" s="1"/>
  <c r="AI309" i="1"/>
  <c r="AJ309" i="1" s="1"/>
  <c r="AI310" i="1"/>
  <c r="AJ310" i="1" s="1"/>
  <c r="AI311" i="1"/>
  <c r="AJ311" i="1" s="1"/>
  <c r="AI312" i="1"/>
  <c r="AJ312" i="1" s="1"/>
  <c r="AI313" i="1"/>
  <c r="AJ313" i="1" s="1"/>
  <c r="AI314" i="1"/>
  <c r="AJ314" i="1" s="1"/>
  <c r="AI315" i="1"/>
  <c r="AI316" i="1"/>
  <c r="AJ316" i="1" s="1"/>
  <c r="AI317" i="1"/>
  <c r="AJ317" i="1" s="1"/>
  <c r="AI318" i="1"/>
  <c r="AJ318" i="1" s="1"/>
  <c r="AI319" i="1"/>
  <c r="AI320" i="1"/>
  <c r="AI321" i="1"/>
  <c r="AJ321" i="1" s="1"/>
  <c r="AI322" i="1"/>
  <c r="AJ322" i="1" s="1"/>
  <c r="AI323" i="1"/>
  <c r="AJ323" i="1" s="1"/>
  <c r="AI324" i="1"/>
  <c r="AJ324" i="1" s="1"/>
  <c r="AI325" i="1"/>
  <c r="AJ325" i="1" s="1"/>
  <c r="AI326" i="1"/>
  <c r="AJ326" i="1" s="1"/>
  <c r="AI327" i="1"/>
  <c r="AJ327" i="1" s="1"/>
  <c r="AI328" i="1"/>
  <c r="AI329" i="1"/>
  <c r="AI330" i="1"/>
  <c r="AJ330" i="1" s="1"/>
  <c r="AI331" i="1"/>
  <c r="AJ331" i="1" s="1"/>
  <c r="AI332" i="1"/>
  <c r="AJ332" i="1" s="1"/>
  <c r="AI333" i="1"/>
  <c r="AJ333" i="1" s="1"/>
  <c r="AI334" i="1"/>
  <c r="AI335" i="1"/>
  <c r="AJ335" i="1" s="1"/>
  <c r="AI336" i="1"/>
  <c r="AJ336" i="1" s="1"/>
  <c r="AI337" i="1"/>
  <c r="AJ337" i="1" s="1"/>
  <c r="AI338" i="1"/>
  <c r="AJ338" i="1" s="1"/>
  <c r="AI339" i="1"/>
  <c r="AI340" i="1"/>
  <c r="AJ340" i="1" s="1"/>
  <c r="AI341" i="1"/>
  <c r="AJ341" i="1" s="1"/>
  <c r="AI342" i="1"/>
  <c r="AJ342" i="1" s="1"/>
  <c r="AI343" i="1"/>
  <c r="AJ343" i="1" s="1"/>
  <c r="AI344" i="1"/>
  <c r="AJ344" i="1" s="1"/>
  <c r="AI345" i="1"/>
  <c r="AJ345" i="1" s="1"/>
  <c r="AI346" i="1"/>
  <c r="AJ346" i="1" s="1"/>
  <c r="AI347" i="1"/>
  <c r="AJ347" i="1" s="1"/>
  <c r="AI348" i="1"/>
  <c r="AI349" i="1"/>
  <c r="AJ349" i="1" s="1"/>
  <c r="AI350" i="1"/>
  <c r="AJ350" i="1" s="1"/>
  <c r="AI351" i="1"/>
  <c r="AJ351" i="1" s="1"/>
  <c r="AI352" i="1"/>
  <c r="AJ352" i="1" s="1"/>
  <c r="AI353" i="1"/>
  <c r="AJ353" i="1" s="1"/>
  <c r="AI354" i="1"/>
  <c r="AJ354" i="1" s="1"/>
  <c r="AI355" i="1"/>
  <c r="AJ355" i="1" s="1"/>
  <c r="AI356" i="1"/>
  <c r="AI357" i="1"/>
  <c r="AJ357" i="1" s="1"/>
  <c r="AI358" i="1"/>
  <c r="AJ358" i="1" s="1"/>
  <c r="AI359" i="1"/>
  <c r="AJ359" i="1" s="1"/>
  <c r="AI360" i="1"/>
  <c r="AJ360" i="1" s="1"/>
  <c r="AI361" i="1"/>
  <c r="AJ361" i="1" s="1"/>
  <c r="AI362" i="1"/>
  <c r="AJ362" i="1" s="1"/>
  <c r="AI363" i="1"/>
  <c r="AJ363" i="1" s="1"/>
  <c r="AI364" i="1"/>
  <c r="AJ364" i="1" s="1"/>
  <c r="AI365" i="1"/>
  <c r="AJ365" i="1" s="1"/>
  <c r="AI366" i="1"/>
  <c r="AJ366" i="1" s="1"/>
  <c r="AI367" i="1"/>
  <c r="AJ367" i="1" s="1"/>
  <c r="AI368" i="1"/>
  <c r="AJ368" i="1" s="1"/>
  <c r="AI369" i="1"/>
  <c r="AJ369" i="1" s="1"/>
  <c r="AI370" i="1"/>
  <c r="AJ370" i="1" s="1"/>
  <c r="AI371" i="1"/>
  <c r="AI372" i="1"/>
  <c r="AJ372" i="1" s="1"/>
  <c r="AI373" i="1"/>
  <c r="AJ373" i="1" s="1"/>
  <c r="AI374" i="1"/>
  <c r="AJ374" i="1" s="1"/>
  <c r="AI375" i="1"/>
  <c r="AJ375" i="1" s="1"/>
  <c r="AI376" i="1"/>
  <c r="AI377" i="1"/>
  <c r="AJ377" i="1" s="1"/>
  <c r="AI378" i="1"/>
  <c r="AJ378" i="1" s="1"/>
  <c r="AI379" i="1"/>
  <c r="AJ379" i="1" s="1"/>
  <c r="AI380" i="1"/>
  <c r="AJ380" i="1" s="1"/>
  <c r="AI381" i="1"/>
  <c r="AJ381" i="1" s="1"/>
  <c r="AI382" i="1"/>
  <c r="AJ382" i="1" s="1"/>
  <c r="AI383" i="1"/>
  <c r="AJ383" i="1" s="1"/>
  <c r="AI384" i="1"/>
  <c r="AJ384" i="1" s="1"/>
  <c r="AI385" i="1"/>
  <c r="AJ385" i="1" s="1"/>
  <c r="AI386" i="1"/>
  <c r="AJ386" i="1" s="1"/>
  <c r="AI387" i="1"/>
  <c r="AJ387" i="1" s="1"/>
  <c r="AI388" i="1"/>
  <c r="AJ388" i="1" s="1"/>
  <c r="AI389" i="1"/>
  <c r="AJ389" i="1" s="1"/>
  <c r="AI390" i="1"/>
  <c r="AJ390" i="1" s="1"/>
  <c r="AI391" i="1"/>
  <c r="AJ391" i="1" s="1"/>
  <c r="AI392" i="1"/>
  <c r="AJ392" i="1" s="1"/>
  <c r="AI393" i="1"/>
  <c r="AJ393" i="1" s="1"/>
  <c r="AI394" i="1"/>
  <c r="AJ394" i="1" s="1"/>
  <c r="AI395" i="1"/>
  <c r="AJ395" i="1" s="1"/>
  <c r="AI396" i="1"/>
  <c r="AJ396" i="1" s="1"/>
  <c r="AI397" i="1"/>
  <c r="AJ397" i="1" s="1"/>
  <c r="AI398" i="1"/>
  <c r="AJ398" i="1" s="1"/>
  <c r="AI399" i="1"/>
  <c r="AJ399" i="1" s="1"/>
  <c r="AI400" i="1"/>
  <c r="AJ400" i="1" s="1"/>
  <c r="AI401" i="1"/>
  <c r="AJ401" i="1" s="1"/>
  <c r="AI402" i="1"/>
  <c r="AJ402" i="1" s="1"/>
  <c r="AI403" i="1"/>
  <c r="AJ403" i="1" s="1"/>
  <c r="AI404" i="1"/>
  <c r="AJ404" i="1" s="1"/>
  <c r="AI405" i="1"/>
  <c r="AJ405" i="1" s="1"/>
  <c r="AI406" i="1"/>
  <c r="AJ406" i="1" s="1"/>
  <c r="AI407" i="1"/>
  <c r="AJ407" i="1" s="1"/>
  <c r="AI408" i="1"/>
  <c r="AJ408" i="1" s="1"/>
  <c r="AI409" i="1"/>
  <c r="AJ409" i="1" s="1"/>
  <c r="AI410" i="1"/>
  <c r="AJ410" i="1" s="1"/>
  <c r="AI411" i="1"/>
  <c r="AJ411" i="1" s="1"/>
  <c r="AI412" i="1"/>
  <c r="AJ412" i="1" s="1"/>
  <c r="AI413" i="1"/>
  <c r="AJ413" i="1" s="1"/>
  <c r="AI414" i="1"/>
  <c r="AJ414" i="1" s="1"/>
  <c r="AI415" i="1"/>
  <c r="AJ415" i="1" s="1"/>
  <c r="AI416" i="1"/>
  <c r="AJ416" i="1" s="1"/>
  <c r="AI417" i="1"/>
  <c r="AJ417" i="1" s="1"/>
  <c r="AI418" i="1"/>
  <c r="AJ418" i="1" s="1"/>
  <c r="AI419" i="1"/>
  <c r="AJ419" i="1" s="1"/>
  <c r="AI420" i="1"/>
  <c r="AJ420" i="1" s="1"/>
  <c r="AI421" i="1"/>
  <c r="AJ421" i="1" s="1"/>
  <c r="AI422" i="1"/>
  <c r="AJ422" i="1" s="1"/>
  <c r="AI423" i="1"/>
  <c r="AJ423" i="1" s="1"/>
  <c r="AI424" i="1"/>
  <c r="AJ424" i="1" s="1"/>
  <c r="AI425" i="1"/>
  <c r="AJ425" i="1" s="1"/>
  <c r="AI426" i="1"/>
  <c r="AJ426" i="1" s="1"/>
  <c r="AI427" i="1"/>
  <c r="AJ427" i="1" s="1"/>
  <c r="AI428" i="1"/>
  <c r="AJ428" i="1" s="1"/>
  <c r="AI429" i="1"/>
  <c r="AJ429" i="1" s="1"/>
  <c r="AI430" i="1"/>
  <c r="AJ430" i="1" s="1"/>
  <c r="AI431" i="1"/>
  <c r="AJ431" i="1" s="1"/>
  <c r="AI432" i="1"/>
  <c r="AJ432" i="1" s="1"/>
  <c r="AI433" i="1"/>
  <c r="AJ433" i="1" s="1"/>
  <c r="AI434" i="1"/>
  <c r="AJ434" i="1" s="1"/>
  <c r="AI435" i="1"/>
  <c r="AJ435" i="1" s="1"/>
  <c r="AI436" i="1"/>
  <c r="AJ436" i="1" s="1"/>
  <c r="AI437" i="1"/>
  <c r="AJ437" i="1" s="1"/>
  <c r="AI438" i="1"/>
  <c r="AJ438" i="1" s="1"/>
  <c r="AI439" i="1"/>
  <c r="AJ439" i="1" s="1"/>
  <c r="AI440" i="1"/>
  <c r="AJ440" i="1" s="1"/>
  <c r="AI441" i="1"/>
  <c r="AJ441" i="1" s="1"/>
  <c r="AI442" i="1"/>
  <c r="AJ442" i="1" s="1"/>
  <c r="AI443" i="1"/>
  <c r="AJ443" i="1" s="1"/>
  <c r="AI444" i="1"/>
  <c r="AJ444" i="1" s="1"/>
  <c r="AI445" i="1"/>
  <c r="AJ445" i="1" s="1"/>
  <c r="AI446" i="1"/>
  <c r="AJ446" i="1" s="1"/>
  <c r="AI447" i="1"/>
  <c r="AJ447" i="1" s="1"/>
  <c r="AI448" i="1"/>
  <c r="AJ448" i="1" s="1"/>
  <c r="AI449" i="1"/>
  <c r="AJ449" i="1" s="1"/>
  <c r="AI450" i="1"/>
  <c r="AJ450" i="1" s="1"/>
  <c r="AI451" i="1"/>
  <c r="AJ451" i="1" s="1"/>
  <c r="AI452" i="1"/>
  <c r="AJ452" i="1" s="1"/>
  <c r="AI453" i="1"/>
  <c r="AJ453" i="1" s="1"/>
  <c r="AI454" i="1"/>
  <c r="AJ454" i="1" s="1"/>
  <c r="AI455" i="1"/>
  <c r="AJ455" i="1" s="1"/>
  <c r="AI456" i="1"/>
  <c r="AJ456" i="1" s="1"/>
  <c r="AI457" i="1"/>
  <c r="AJ457" i="1" s="1"/>
  <c r="AI458" i="1"/>
  <c r="AJ458" i="1" s="1"/>
  <c r="AI459" i="1"/>
  <c r="AJ459" i="1" s="1"/>
  <c r="AI460" i="1"/>
  <c r="AJ460" i="1" s="1"/>
  <c r="AI461" i="1"/>
  <c r="AJ461" i="1" s="1"/>
  <c r="AI462" i="1"/>
  <c r="AJ462" i="1" s="1"/>
  <c r="AI463" i="1"/>
  <c r="AJ463" i="1" s="1"/>
  <c r="AI464" i="1"/>
  <c r="AJ464" i="1" s="1"/>
  <c r="AI465" i="1"/>
  <c r="AJ465" i="1" s="1"/>
  <c r="AI466" i="1"/>
  <c r="AJ466" i="1" s="1"/>
  <c r="AI467" i="1"/>
  <c r="AJ467" i="1" s="1"/>
  <c r="AI468" i="1"/>
  <c r="AJ468" i="1" s="1"/>
  <c r="AI469" i="1"/>
  <c r="AJ469" i="1" s="1"/>
  <c r="AI470" i="1"/>
  <c r="AJ470" i="1" s="1"/>
  <c r="AI471" i="1"/>
  <c r="AJ471" i="1" s="1"/>
  <c r="AI472" i="1"/>
  <c r="AJ472" i="1" s="1"/>
  <c r="AI473" i="1"/>
  <c r="AJ473" i="1" s="1"/>
  <c r="AI474" i="1"/>
  <c r="AJ474" i="1" s="1"/>
  <c r="AI475" i="1"/>
  <c r="AJ475" i="1" s="1"/>
  <c r="AI476" i="1"/>
  <c r="AJ476" i="1" s="1"/>
  <c r="AI477" i="1"/>
  <c r="AJ477" i="1" s="1"/>
  <c r="AI478" i="1"/>
  <c r="AJ478" i="1" s="1"/>
  <c r="AI479" i="1"/>
  <c r="AJ479" i="1" s="1"/>
  <c r="AI480" i="1"/>
  <c r="AI481" i="1"/>
  <c r="AJ481" i="1" s="1"/>
  <c r="AI482" i="1"/>
  <c r="AJ482" i="1" s="1"/>
  <c r="AI483" i="1"/>
  <c r="AJ483" i="1" s="1"/>
  <c r="AI484" i="1"/>
  <c r="AI485" i="1"/>
  <c r="AJ485" i="1" s="1"/>
  <c r="AI486" i="1"/>
  <c r="AJ486" i="1" s="1"/>
  <c r="AI487" i="1"/>
  <c r="AJ487" i="1" s="1"/>
  <c r="AI488" i="1"/>
  <c r="AJ488" i="1" s="1"/>
  <c r="AI489" i="1"/>
  <c r="AJ489" i="1" s="1"/>
  <c r="AI490" i="1"/>
  <c r="AJ490" i="1" s="1"/>
  <c r="AI491" i="1"/>
  <c r="AJ491" i="1" s="1"/>
  <c r="AI492" i="1"/>
  <c r="AJ492" i="1" s="1"/>
  <c r="AI493" i="1"/>
  <c r="AJ493" i="1" s="1"/>
  <c r="AI494" i="1"/>
  <c r="AJ494" i="1" s="1"/>
  <c r="AI495" i="1"/>
  <c r="AI496" i="1"/>
  <c r="AJ496" i="1" s="1"/>
  <c r="AI497" i="1"/>
  <c r="AJ497" i="1" s="1"/>
  <c r="AI498" i="1"/>
  <c r="AJ498" i="1" s="1"/>
  <c r="AI499" i="1"/>
  <c r="AI500" i="1"/>
  <c r="AJ500" i="1" s="1"/>
  <c r="AI501" i="1"/>
  <c r="AJ501" i="1" s="1"/>
  <c r="AI502" i="1"/>
  <c r="AJ502" i="1" s="1"/>
  <c r="AI503" i="1"/>
  <c r="AJ503" i="1" s="1"/>
  <c r="AI504" i="1"/>
  <c r="AJ504" i="1" s="1"/>
  <c r="AI505" i="1"/>
  <c r="AJ505" i="1" s="1"/>
  <c r="AI506" i="1"/>
  <c r="AJ506" i="1" s="1"/>
  <c r="AI507" i="1"/>
  <c r="AJ507" i="1" s="1"/>
  <c r="AI508" i="1"/>
  <c r="AJ508" i="1" s="1"/>
  <c r="AI509" i="1"/>
  <c r="AJ509" i="1" s="1"/>
  <c r="AI510" i="1"/>
  <c r="AI511" i="1"/>
  <c r="AJ511" i="1" s="1"/>
  <c r="AI512" i="1"/>
  <c r="AJ512" i="1" s="1"/>
  <c r="AI513" i="1"/>
  <c r="AJ513" i="1" s="1"/>
  <c r="AI514" i="1"/>
  <c r="AI515" i="1"/>
  <c r="AJ515" i="1" s="1"/>
  <c r="AI516" i="1"/>
  <c r="AJ516" i="1" s="1"/>
  <c r="AI517" i="1"/>
  <c r="AJ517" i="1" s="1"/>
  <c r="AI518" i="1"/>
  <c r="AJ518" i="1" s="1"/>
  <c r="AI519" i="1"/>
  <c r="AJ519" i="1" s="1"/>
  <c r="AI520" i="1"/>
  <c r="AJ520" i="1" s="1"/>
  <c r="AI521" i="1"/>
  <c r="AJ521" i="1" s="1"/>
  <c r="AI522" i="1"/>
  <c r="AI523" i="1"/>
  <c r="AJ523" i="1" s="1"/>
  <c r="AI524" i="1"/>
  <c r="AJ524" i="1" s="1"/>
  <c r="AI525" i="1"/>
  <c r="AI526" i="1"/>
  <c r="AJ526" i="1" s="1"/>
  <c r="AI527" i="1"/>
  <c r="AJ527" i="1" s="1"/>
  <c r="AI528" i="1"/>
  <c r="AJ528" i="1" s="1"/>
  <c r="AI529" i="1"/>
  <c r="AJ529" i="1" s="1"/>
  <c r="AI530" i="1"/>
  <c r="AJ530" i="1" s="1"/>
  <c r="AI531" i="1"/>
  <c r="AJ531" i="1" s="1"/>
  <c r="AI532" i="1"/>
  <c r="AJ532" i="1" s="1"/>
  <c r="AI533" i="1"/>
  <c r="AJ533" i="1" s="1"/>
  <c r="AI534" i="1"/>
  <c r="AJ534" i="1" s="1"/>
  <c r="AI535" i="1"/>
  <c r="AJ535" i="1" s="1"/>
  <c r="AI536" i="1"/>
  <c r="AI537" i="1"/>
  <c r="AJ537" i="1" s="1"/>
  <c r="AI538" i="1"/>
  <c r="AJ538" i="1" s="1"/>
  <c r="AI539" i="1"/>
  <c r="AI540" i="1"/>
  <c r="AJ540" i="1" s="1"/>
  <c r="AI541" i="1"/>
  <c r="AJ541" i="1" s="1"/>
  <c r="AI542" i="1"/>
  <c r="AJ542" i="1" s="1"/>
  <c r="AI543" i="1"/>
  <c r="AI544" i="1"/>
  <c r="AJ544" i="1" s="1"/>
  <c r="AI545" i="1"/>
  <c r="AJ545" i="1" s="1"/>
  <c r="AI546" i="1"/>
  <c r="AJ546" i="1" s="1"/>
  <c r="AI547" i="1"/>
  <c r="AJ547" i="1" s="1"/>
  <c r="AI548" i="1"/>
  <c r="AI549" i="1"/>
  <c r="AJ549" i="1" s="1"/>
  <c r="AI550" i="1"/>
  <c r="AJ550" i="1" s="1"/>
  <c r="AI551" i="1"/>
  <c r="AJ551" i="1" s="1"/>
  <c r="AI552" i="1"/>
  <c r="AJ552" i="1" s="1"/>
  <c r="AI553" i="1"/>
  <c r="AJ553" i="1" s="1"/>
  <c r="AI554" i="1"/>
  <c r="AJ554" i="1" s="1"/>
  <c r="AI555" i="1"/>
  <c r="AJ555" i="1" s="1"/>
  <c r="AI556" i="1"/>
  <c r="AJ556" i="1" s="1"/>
  <c r="AI557" i="1"/>
  <c r="AJ557" i="1" s="1"/>
  <c r="AI558" i="1"/>
  <c r="AJ558" i="1" s="1"/>
  <c r="AI559" i="1"/>
  <c r="AJ559" i="1" s="1"/>
  <c r="AI560" i="1"/>
  <c r="AJ560" i="1" s="1"/>
  <c r="AI561" i="1"/>
  <c r="AI562" i="1"/>
  <c r="AJ562" i="1" s="1"/>
  <c r="AI563" i="1"/>
  <c r="AJ563" i="1" s="1"/>
  <c r="AI564" i="1"/>
  <c r="AJ564" i="1" s="1"/>
  <c r="AI565" i="1"/>
  <c r="AJ565" i="1" s="1"/>
  <c r="AI566" i="1"/>
  <c r="AI567" i="1"/>
  <c r="AJ567" i="1" s="1"/>
  <c r="AI568" i="1"/>
  <c r="AJ568" i="1" s="1"/>
  <c r="AI569" i="1"/>
  <c r="AJ569" i="1" s="1"/>
  <c r="AI570" i="1"/>
  <c r="AJ570" i="1" s="1"/>
  <c r="AI571" i="1"/>
  <c r="AI572" i="1"/>
  <c r="AJ572" i="1" s="1"/>
  <c r="AI573" i="1"/>
  <c r="AJ573" i="1" s="1"/>
  <c r="AI574" i="1"/>
  <c r="AI575" i="1"/>
  <c r="AJ575" i="1" s="1"/>
  <c r="AI576" i="1"/>
  <c r="AJ576" i="1" s="1"/>
  <c r="AI577" i="1"/>
  <c r="AJ577" i="1" s="1"/>
  <c r="AI578" i="1"/>
  <c r="AJ578" i="1" s="1"/>
  <c r="AI579" i="1"/>
  <c r="AJ579" i="1" s="1"/>
  <c r="AI580" i="1"/>
  <c r="AI581" i="1"/>
  <c r="AJ581" i="1" s="1"/>
  <c r="AI582" i="1"/>
  <c r="AJ582" i="1" s="1"/>
  <c r="AI583" i="1"/>
  <c r="AI584" i="1"/>
  <c r="AJ584" i="1" s="1"/>
  <c r="AI585" i="1"/>
  <c r="AJ585" i="1" s="1"/>
  <c r="AI586" i="1"/>
  <c r="AJ586" i="1" s="1"/>
  <c r="AI587" i="1"/>
  <c r="AJ587" i="1" s="1"/>
  <c r="AI588" i="1"/>
  <c r="AJ588" i="1" s="1"/>
  <c r="AI589" i="1"/>
  <c r="AJ589" i="1" s="1"/>
  <c r="AI590" i="1"/>
  <c r="AJ590" i="1" s="1"/>
  <c r="AI591" i="1"/>
  <c r="AI592" i="1"/>
  <c r="AJ592" i="1" s="1"/>
  <c r="AI593" i="1"/>
  <c r="AJ593" i="1" s="1"/>
  <c r="AI594" i="1"/>
  <c r="AJ594" i="1" s="1"/>
  <c r="AI595" i="1"/>
  <c r="AJ595" i="1" s="1"/>
  <c r="AI596" i="1"/>
  <c r="AI597" i="1"/>
  <c r="AJ597" i="1" s="1"/>
  <c r="AI598" i="1"/>
  <c r="AJ598" i="1" s="1"/>
  <c r="AI599" i="1"/>
  <c r="AJ599" i="1" s="1"/>
  <c r="AI600" i="1"/>
  <c r="AJ600" i="1" s="1"/>
  <c r="AI601" i="1"/>
  <c r="AI602" i="1"/>
  <c r="AJ602" i="1" s="1"/>
  <c r="AI603" i="1"/>
  <c r="AJ603" i="1" s="1"/>
  <c r="AI604" i="1"/>
  <c r="AJ604" i="1" s="1"/>
  <c r="AI605" i="1"/>
  <c r="AI606" i="1"/>
  <c r="AJ606" i="1" s="1"/>
  <c r="AI607" i="1"/>
  <c r="AJ607" i="1" s="1"/>
  <c r="AI608" i="1"/>
  <c r="AJ608" i="1" s="1"/>
  <c r="AI609" i="1"/>
  <c r="AI610" i="1"/>
  <c r="AJ610" i="1" s="1"/>
  <c r="AI611" i="1"/>
  <c r="AJ611" i="1" s="1"/>
  <c r="AI612" i="1"/>
  <c r="AJ612" i="1" s="1"/>
  <c r="AI613" i="1"/>
  <c r="AJ613" i="1" s="1"/>
  <c r="AI614" i="1"/>
  <c r="AJ614" i="1" s="1"/>
  <c r="AI615" i="1"/>
  <c r="AJ615" i="1" s="1"/>
  <c r="AI616" i="1"/>
  <c r="AJ616" i="1" s="1"/>
  <c r="AI617" i="1"/>
  <c r="AJ617" i="1" s="1"/>
  <c r="AI618" i="1"/>
  <c r="AI619" i="1"/>
  <c r="AJ619" i="1" s="1"/>
  <c r="AI620" i="1"/>
  <c r="AJ620" i="1" s="1"/>
  <c r="AI621" i="1"/>
  <c r="AJ621" i="1" s="1"/>
  <c r="AI622" i="1"/>
  <c r="AJ622" i="1" s="1"/>
  <c r="AI623" i="1"/>
  <c r="AJ623" i="1" s="1"/>
  <c r="AI624" i="1"/>
  <c r="AJ624" i="1" s="1"/>
  <c r="AI625" i="1"/>
  <c r="AJ625" i="1" s="1"/>
  <c r="AI626" i="1"/>
  <c r="AJ626" i="1" s="1"/>
  <c r="AI627" i="1"/>
  <c r="AJ627" i="1" s="1"/>
  <c r="AI628" i="1"/>
  <c r="AI629" i="1"/>
  <c r="AJ629" i="1" s="1"/>
  <c r="AF630" i="1"/>
  <c r="AG630" i="1"/>
  <c r="AI630" i="1"/>
  <c r="AJ630" i="1" s="1"/>
  <c r="AF631" i="1"/>
  <c r="AG631" i="1"/>
  <c r="AI631" i="1"/>
  <c r="AJ631" i="1" s="1"/>
  <c r="AF632" i="1"/>
  <c r="AG632" i="1"/>
  <c r="AI632" i="1"/>
  <c r="AJ632" i="1" s="1"/>
  <c r="AF633" i="1"/>
  <c r="AG633" i="1"/>
  <c r="AI633" i="1"/>
  <c r="AJ633" i="1" s="1"/>
  <c r="AF634" i="1"/>
  <c r="AG634" i="1"/>
  <c r="AI634" i="1"/>
  <c r="AI635" i="1"/>
  <c r="AJ635" i="1" s="1"/>
  <c r="AI636" i="1"/>
  <c r="AJ636" i="1" s="1"/>
  <c r="AI637" i="1"/>
  <c r="AJ637" i="1" s="1"/>
  <c r="AI638" i="1"/>
  <c r="AJ638" i="1" s="1"/>
  <c r="AI639" i="1"/>
  <c r="AJ639" i="1" s="1"/>
  <c r="AI640" i="1"/>
  <c r="AJ640" i="1" s="1"/>
  <c r="AI641" i="1"/>
  <c r="AJ641" i="1" s="1"/>
  <c r="AI642" i="1"/>
  <c r="AJ642" i="1" s="1"/>
  <c r="AI643" i="1"/>
  <c r="AJ643" i="1" s="1"/>
  <c r="AI644" i="1"/>
  <c r="AJ644" i="1" s="1"/>
  <c r="AI645" i="1"/>
  <c r="AJ645" i="1" s="1"/>
  <c r="AI646" i="1"/>
  <c r="AJ646" i="1" s="1"/>
  <c r="AI647" i="1"/>
  <c r="AJ647" i="1" s="1"/>
  <c r="AI648" i="1"/>
  <c r="AJ648" i="1" s="1"/>
  <c r="AI649" i="1"/>
  <c r="AJ649" i="1" s="1"/>
  <c r="AI650" i="1"/>
  <c r="AJ650" i="1" s="1"/>
  <c r="AI651" i="1"/>
  <c r="AJ651" i="1" s="1"/>
  <c r="AI652" i="1"/>
  <c r="AJ652" i="1" s="1"/>
  <c r="AI653" i="1"/>
  <c r="AJ653" i="1" s="1"/>
  <c r="AI654" i="1"/>
  <c r="AJ654" i="1" s="1"/>
  <c r="AI655" i="1"/>
  <c r="AJ655" i="1" s="1"/>
  <c r="AI656" i="1"/>
  <c r="AJ656" i="1" s="1"/>
  <c r="AI657" i="1"/>
  <c r="AJ657" i="1" s="1"/>
  <c r="AI658" i="1"/>
  <c r="AJ658" i="1" s="1"/>
  <c r="AI659" i="1"/>
  <c r="AJ659" i="1" s="1"/>
  <c r="AI660" i="1"/>
  <c r="AJ660" i="1" s="1"/>
  <c r="AI661" i="1"/>
  <c r="AJ661" i="1" s="1"/>
  <c r="AI662" i="1"/>
  <c r="AJ662" i="1" s="1"/>
  <c r="AI663" i="1"/>
  <c r="AJ663" i="1" s="1"/>
  <c r="AI664" i="1"/>
  <c r="AJ664" i="1" s="1"/>
  <c r="AI665" i="1"/>
  <c r="AI666" i="1"/>
  <c r="AI667" i="1"/>
  <c r="AJ667" i="1" s="1"/>
  <c r="AI668" i="1"/>
  <c r="AJ668" i="1" s="1"/>
  <c r="AI669" i="1"/>
  <c r="AJ669" i="1" s="1"/>
  <c r="AI670" i="1"/>
  <c r="AJ670" i="1" s="1"/>
  <c r="AI671" i="1"/>
  <c r="AJ671" i="1" s="1"/>
  <c r="AI672" i="1"/>
  <c r="AJ672" i="1" s="1"/>
  <c r="AI673" i="1"/>
  <c r="AJ673" i="1" s="1"/>
  <c r="AI674" i="1"/>
  <c r="AJ674" i="1" s="1"/>
  <c r="AI675" i="1"/>
  <c r="AJ675" i="1" s="1"/>
  <c r="AI676" i="1"/>
  <c r="AJ676" i="1" s="1"/>
  <c r="AI677" i="1"/>
  <c r="AI678" i="1"/>
  <c r="AJ678" i="1" s="1"/>
  <c r="AI679" i="1"/>
  <c r="AJ679" i="1" s="1"/>
  <c r="AF680" i="1"/>
  <c r="AG680" i="1"/>
  <c r="AI680" i="1"/>
  <c r="AJ680" i="1" s="1"/>
  <c r="AF681" i="1"/>
  <c r="AG681" i="1"/>
  <c r="AI681" i="1"/>
  <c r="AJ681" i="1" s="1"/>
  <c r="AI682" i="1"/>
  <c r="AJ682" i="1" s="1"/>
  <c r="AI683" i="1"/>
  <c r="AJ683" i="1" s="1"/>
  <c r="AI684" i="1"/>
  <c r="AJ684" i="1" s="1"/>
  <c r="AI685" i="1"/>
  <c r="AJ685" i="1" s="1"/>
  <c r="AI686" i="1"/>
  <c r="AJ686" i="1" s="1"/>
  <c r="AI687" i="1"/>
  <c r="AJ687" i="1" s="1"/>
  <c r="AI688" i="1"/>
  <c r="AJ688" i="1" s="1"/>
  <c r="AI689" i="1"/>
  <c r="AJ689" i="1" s="1"/>
  <c r="AI690" i="1"/>
  <c r="AI691" i="1"/>
  <c r="AJ691" i="1" s="1"/>
  <c r="AI692" i="1"/>
  <c r="AJ692" i="1" s="1"/>
  <c r="AI693" i="1"/>
  <c r="AJ693" i="1" s="1"/>
  <c r="AI694" i="1"/>
  <c r="AJ694" i="1" s="1"/>
  <c r="AI695" i="1"/>
  <c r="AJ695" i="1" s="1"/>
  <c r="AI696" i="1"/>
  <c r="AI697" i="1"/>
  <c r="AJ697" i="1" s="1"/>
  <c r="AI698" i="1"/>
  <c r="AJ698" i="1" s="1"/>
  <c r="AI699" i="1"/>
  <c r="AJ699" i="1" s="1"/>
  <c r="AI700" i="1"/>
  <c r="AJ700" i="1" s="1"/>
  <c r="AI701" i="1"/>
  <c r="AI702" i="1"/>
  <c r="AJ702" i="1" s="1"/>
  <c r="AI703" i="1"/>
  <c r="AJ703" i="1" s="1"/>
  <c r="AI704" i="1"/>
  <c r="AI705" i="1"/>
  <c r="AJ705" i="1" s="1"/>
  <c r="AI706" i="1"/>
  <c r="AJ706" i="1" s="1"/>
  <c r="AI707" i="1"/>
  <c r="AJ707" i="1" s="1"/>
  <c r="AI708" i="1"/>
  <c r="AI709" i="1"/>
  <c r="AJ709" i="1" s="1"/>
  <c r="T551" i="1"/>
  <c r="AG618" i="1" l="1"/>
  <c r="AH618" i="1" s="1"/>
  <c r="AF620" i="1"/>
  <c r="AG626" i="1"/>
  <c r="AH626" i="1" s="1"/>
  <c r="AF625" i="1"/>
  <c r="AG624" i="1"/>
  <c r="AH624" i="1" s="1"/>
  <c r="AG628" i="1"/>
  <c r="AH628" i="1" s="1"/>
  <c r="AG617" i="1"/>
  <c r="AH617" i="1" s="1"/>
  <c r="AG623" i="1"/>
  <c r="AH623" i="1" s="1"/>
  <c r="AG622" i="1"/>
  <c r="AH622" i="1" s="1"/>
  <c r="AG616" i="1"/>
  <c r="AH616" i="1" s="1"/>
  <c r="AG627" i="1"/>
  <c r="AH627" i="1" s="1"/>
  <c r="AH620" i="1"/>
  <c r="AH681" i="1"/>
  <c r="AH631" i="1"/>
  <c r="AH632" i="1"/>
  <c r="AH633" i="1"/>
  <c r="AG621" i="1"/>
  <c r="AH621" i="1" s="1"/>
  <c r="AH680" i="1"/>
  <c r="AH625" i="1"/>
  <c r="AF619" i="1"/>
  <c r="AG619" i="1"/>
  <c r="AH619" i="1" s="1"/>
  <c r="AJ634" i="1"/>
  <c r="AH634" i="1"/>
  <c r="AH630" i="1"/>
  <c r="AJ232" i="1"/>
  <c r="AJ356" i="1"/>
  <c r="AJ339" i="1"/>
  <c r="AJ299" i="1"/>
  <c r="AJ329" i="1"/>
  <c r="AJ248" i="1"/>
  <c r="AJ212" i="1"/>
  <c r="AJ320" i="1"/>
  <c r="AJ238" i="1"/>
  <c r="AJ217" i="1"/>
  <c r="AJ211" i="1"/>
  <c r="AG629" i="1"/>
  <c r="AH629" i="1" s="1"/>
  <c r="AJ708" i="1"/>
  <c r="AJ704" i="1"/>
  <c r="AJ701" i="1"/>
  <c r="AJ696" i="1"/>
  <c r="AJ690" i="1"/>
  <c r="AJ677" i="1"/>
  <c r="AJ666" i="1"/>
  <c r="AJ665" i="1"/>
  <c r="AJ480" i="1"/>
  <c r="AJ334" i="1"/>
  <c r="AJ628" i="1"/>
  <c r="AJ618" i="1"/>
  <c r="AJ609" i="1"/>
  <c r="AJ605" i="1"/>
  <c r="AJ601" i="1"/>
  <c r="AJ596" i="1"/>
  <c r="AJ591" i="1"/>
  <c r="AJ583" i="1"/>
  <c r="AJ580" i="1"/>
  <c r="AJ574" i="1"/>
  <c r="AJ571" i="1"/>
  <c r="AJ566" i="1"/>
  <c r="AJ561" i="1"/>
  <c r="AJ548" i="1"/>
  <c r="AJ543" i="1"/>
  <c r="AJ539" i="1"/>
  <c r="AJ536" i="1"/>
  <c r="AJ525" i="1"/>
  <c r="AJ522" i="1"/>
  <c r="AJ514" i="1"/>
  <c r="AJ510" i="1"/>
  <c r="AJ499" i="1"/>
  <c r="AJ495" i="1"/>
  <c r="AJ484" i="1"/>
  <c r="AJ348" i="1"/>
  <c r="AJ376" i="1"/>
  <c r="AJ371" i="1"/>
  <c r="AJ253" i="1"/>
  <c r="AJ246" i="1"/>
  <c r="AJ242" i="1"/>
  <c r="AJ236" i="1"/>
  <c r="AJ227" i="1"/>
  <c r="AJ221" i="1"/>
  <c r="AJ216" i="1"/>
  <c r="AJ328" i="1"/>
  <c r="AJ319" i="1"/>
  <c r="AJ315" i="1"/>
  <c r="AJ305" i="1"/>
  <c r="AJ298" i="1"/>
  <c r="AJ289" i="1"/>
  <c r="AJ286" i="1"/>
  <c r="AJ280" i="1"/>
  <c r="AJ277" i="1"/>
  <c r="AJ269" i="1"/>
  <c r="AJ261" i="1"/>
  <c r="AJ257" i="1"/>
  <c r="AJ254" i="1"/>
  <c r="AJ247" i="1"/>
  <c r="AJ243" i="1"/>
  <c r="AJ237" i="1"/>
  <c r="AJ229" i="1"/>
  <c r="AJ228" i="1"/>
  <c r="AJ222" i="1"/>
  <c r="AJ281" i="1"/>
  <c r="AJ278" i="1"/>
  <c r="AJ270" i="1"/>
  <c r="AJ264" i="1"/>
  <c r="AJ258" i="1"/>
  <c r="M409" i="1" l="1"/>
  <c r="N409" i="1" s="1"/>
  <c r="M307" i="1"/>
  <c r="N307" i="1" s="1"/>
  <c r="M216" i="1"/>
  <c r="N216" i="1" s="1"/>
  <c r="M390" i="1"/>
  <c r="N390" i="1" s="1"/>
  <c r="M504" i="1"/>
  <c r="N504" i="1" s="1"/>
  <c r="M632" i="1"/>
  <c r="N632" i="1" s="1"/>
  <c r="M667" i="1"/>
  <c r="N667" i="1" s="1"/>
  <c r="M641" i="1"/>
  <c r="N641" i="1" s="1"/>
  <c r="M566" i="1"/>
  <c r="N566" i="1" s="1"/>
  <c r="M301" i="1"/>
  <c r="N301" i="1" s="1"/>
  <c r="M267" i="1"/>
  <c r="N267" i="1" s="1"/>
  <c r="M484" i="1"/>
  <c r="N484" i="1" s="1"/>
  <c r="M334" i="1"/>
  <c r="N334" i="1" s="1"/>
  <c r="M232" i="1"/>
  <c r="N232" i="1" s="1"/>
  <c r="M591" i="1"/>
  <c r="N591" i="1" s="1"/>
  <c r="M367" i="1"/>
  <c r="N367" i="1" s="1"/>
  <c r="M341" i="1"/>
  <c r="N341" i="1" s="1"/>
  <c r="M342" i="1"/>
  <c r="N342" i="1" s="1"/>
  <c r="M588" i="1"/>
  <c r="N588" i="1" s="1"/>
  <c r="M549" i="1"/>
  <c r="N549" i="1" s="1"/>
  <c r="N618" i="1"/>
  <c r="M633" i="1"/>
  <c r="N633" i="1" s="1"/>
  <c r="M616" i="1"/>
  <c r="N616" i="1" s="1"/>
  <c r="M681" i="1"/>
  <c r="N681" i="1" s="1"/>
  <c r="M634" i="1"/>
  <c r="N634" i="1" s="1"/>
  <c r="M319" i="1"/>
  <c r="N319" i="1" s="1"/>
  <c r="M378" i="1"/>
  <c r="N378" i="1" s="1"/>
  <c r="M472" i="1"/>
  <c r="N472" i="1" s="1"/>
  <c r="M664" i="1"/>
  <c r="N664" i="1" s="1"/>
  <c r="M505" i="1"/>
  <c r="N505" i="1" s="1"/>
  <c r="M379" i="1"/>
  <c r="N379" i="1" s="1"/>
  <c r="M303" i="1"/>
  <c r="N303" i="1" s="1"/>
  <c r="M643" i="1"/>
  <c r="N643" i="1" s="1"/>
  <c r="M536" i="1"/>
  <c r="N536" i="1" s="1"/>
  <c r="M282" i="1"/>
  <c r="N282" i="1" s="1"/>
  <c r="M370" i="1"/>
  <c r="N370" i="1" s="1"/>
  <c r="M427" i="1"/>
  <c r="N427" i="1" s="1"/>
  <c r="M384" i="1"/>
  <c r="N384" i="1" s="1"/>
  <c r="M574" i="1"/>
  <c r="N574" i="1" s="1"/>
  <c r="M595" i="1"/>
  <c r="N595" i="1" s="1"/>
  <c r="M569" i="1"/>
  <c r="N569" i="1" s="1"/>
  <c r="M421" i="1"/>
  <c r="N421" i="1" s="1"/>
  <c r="M306" i="1"/>
  <c r="N306" i="1" s="1"/>
  <c r="M294" i="1"/>
  <c r="N294" i="1" s="1"/>
  <c r="M265" i="1"/>
  <c r="N265" i="1" s="1"/>
  <c r="M198" i="1"/>
  <c r="N198" i="1" s="1"/>
  <c r="M278" i="1"/>
  <c r="N278" i="1" s="1"/>
  <c r="M293" i="1"/>
  <c r="N293" i="1" s="1"/>
  <c r="M318" i="1"/>
  <c r="N318" i="1" s="1"/>
  <c r="M376" i="1"/>
  <c r="N376" i="1" s="1"/>
  <c r="M389" i="1"/>
  <c r="N389" i="1" s="1"/>
  <c r="M531" i="1"/>
  <c r="N531" i="1" s="1"/>
  <c r="M525" i="1"/>
  <c r="N525" i="1" s="1"/>
  <c r="M489" i="1"/>
  <c r="N489" i="1" s="1"/>
  <c r="M467" i="1"/>
  <c r="N467" i="1" s="1"/>
  <c r="M247" i="1"/>
  <c r="N247" i="1" s="1"/>
  <c r="M202" i="1"/>
  <c r="N202" i="1" s="1"/>
  <c r="M271" i="1"/>
  <c r="N271" i="1" s="1"/>
  <c r="M258" i="1"/>
  <c r="N258" i="1" s="1"/>
  <c r="M203" i="1"/>
  <c r="N203" i="1" s="1"/>
  <c r="M534" i="1"/>
  <c r="N534" i="1" s="1"/>
  <c r="M410" i="1"/>
  <c r="N410" i="1" s="1"/>
  <c r="M351" i="1"/>
  <c r="N351" i="1" s="1"/>
  <c r="M443" i="1"/>
  <c r="N443" i="1" s="1"/>
  <c r="M366" i="1"/>
  <c r="N366" i="1" s="1"/>
  <c r="M274" i="1"/>
  <c r="N274" i="1" s="1"/>
  <c r="M523" i="1"/>
  <c r="N523" i="1" s="1"/>
  <c r="M440" i="1"/>
  <c r="N440" i="1" s="1"/>
  <c r="M499" i="1"/>
  <c r="N499" i="1" s="1"/>
  <c r="M396" i="1"/>
  <c r="N396" i="1" s="1"/>
  <c r="M347" i="1"/>
  <c r="N347" i="1" s="1"/>
  <c r="M205" i="1"/>
  <c r="N205" i="1" s="1"/>
  <c r="M527" i="1"/>
  <c r="N527" i="1" s="1"/>
  <c r="M466" i="1"/>
  <c r="N466" i="1" s="1"/>
  <c r="M623" i="1"/>
  <c r="N623" i="1" s="1"/>
  <c r="N560" i="1"/>
  <c r="M405" i="1"/>
  <c r="N405" i="1" s="1"/>
  <c r="M642" i="1"/>
  <c r="N642" i="1" s="1"/>
  <c r="M462" i="1"/>
  <c r="N462" i="1" s="1"/>
  <c r="M387" i="1"/>
  <c r="N387" i="1" s="1"/>
  <c r="M297" i="1"/>
  <c r="N297" i="1" s="1"/>
  <c r="M435" i="1"/>
  <c r="N435" i="1" s="1"/>
  <c r="M670" i="1"/>
  <c r="N670" i="1" s="1"/>
  <c r="M694" i="1"/>
  <c r="N694" i="1" s="1"/>
  <c r="M582" i="1"/>
  <c r="N582" i="1" s="1"/>
  <c r="M521" i="1"/>
  <c r="N521" i="1" s="1"/>
  <c r="M401" i="1"/>
  <c r="N401" i="1" s="1"/>
  <c r="M331" i="1"/>
  <c r="N331" i="1" s="1"/>
  <c r="M197" i="1"/>
  <c r="N197" i="1" s="1"/>
  <c r="M640" i="1"/>
  <c r="N640" i="1" s="1"/>
  <c r="M652" i="1"/>
  <c r="N652" i="1" s="1"/>
  <c r="M692" i="1"/>
  <c r="N692" i="1" s="1"/>
  <c r="M680" i="1"/>
  <c r="N680" i="1" s="1"/>
  <c r="M644" i="1"/>
  <c r="N644" i="1" s="1"/>
  <c r="M635" i="1"/>
  <c r="N635" i="1" s="1"/>
  <c r="M575" i="1"/>
  <c r="N575" i="1" s="1"/>
  <c r="N562" i="1"/>
  <c r="M230" i="1"/>
  <c r="N230" i="1" s="1"/>
  <c r="M285" i="1"/>
  <c r="N285" i="1" s="1"/>
  <c r="M481" i="1"/>
  <c r="N481" i="1" s="1"/>
  <c r="M514" i="1"/>
  <c r="N514" i="1" s="1"/>
  <c r="M386" i="1"/>
  <c r="N386" i="1" s="1"/>
  <c r="M475" i="1"/>
  <c r="N475" i="1" s="1"/>
  <c r="M280" i="1"/>
  <c r="N280" i="1" s="1"/>
  <c r="M248" i="1"/>
  <c r="N248" i="1" s="1"/>
  <c r="M209" i="1"/>
  <c r="N209" i="1" s="1"/>
  <c r="M513" i="1"/>
  <c r="N513" i="1" s="1"/>
  <c r="M345" i="1"/>
  <c r="N345" i="1" s="1"/>
  <c r="M444" i="1"/>
  <c r="N444" i="1" s="1"/>
  <c r="M464" i="1"/>
  <c r="N464" i="1" s="1"/>
  <c r="M283" i="1"/>
  <c r="N283" i="1" s="1"/>
  <c r="M519" i="1"/>
  <c r="N519" i="1" s="1"/>
  <c r="M490" i="1"/>
  <c r="N490" i="1" s="1"/>
  <c r="M436" i="1"/>
  <c r="N436" i="1" s="1"/>
  <c r="M385" i="1"/>
  <c r="N385" i="1" s="1"/>
  <c r="M360" i="1"/>
  <c r="N360" i="1" s="1"/>
  <c r="M311" i="1"/>
  <c r="N311" i="1" s="1"/>
  <c r="M269" i="1"/>
  <c r="N269" i="1" s="1"/>
  <c r="M450" i="1"/>
  <c r="N450" i="1" s="1"/>
  <c r="M364" i="1"/>
  <c r="N364" i="1" s="1"/>
  <c r="M276" i="1"/>
  <c r="N276" i="1" s="1"/>
  <c r="M237" i="1"/>
  <c r="N237" i="1" s="1"/>
  <c r="M217" i="1"/>
  <c r="N217" i="1" s="1"/>
  <c r="M260" i="1"/>
  <c r="N260" i="1" s="1"/>
  <c r="M298" i="1"/>
  <c r="N298" i="1" s="1"/>
  <c r="M362" i="1"/>
  <c r="N362" i="1" s="1"/>
  <c r="M437" i="1"/>
  <c r="N437" i="1" s="1"/>
  <c r="M541" i="1"/>
  <c r="N541" i="1" s="1"/>
  <c r="M529" i="1"/>
  <c r="N529" i="1" s="1"/>
  <c r="M468" i="1"/>
  <c r="N468" i="1" s="1"/>
  <c r="M314" i="1"/>
  <c r="N314" i="1" s="1"/>
  <c r="M224" i="1"/>
  <c r="N224" i="1" s="1"/>
  <c r="M262" i="1"/>
  <c r="N262" i="1" s="1"/>
  <c r="M363" i="1"/>
  <c r="N363" i="1" s="1"/>
  <c r="M439" i="1"/>
  <c r="N439" i="1" s="1"/>
  <c r="M500" i="1"/>
  <c r="N500" i="1" s="1"/>
  <c r="M419" i="1"/>
  <c r="N419" i="1" s="1"/>
  <c r="M204" i="1"/>
  <c r="N204" i="1" s="1"/>
  <c r="M473" i="1"/>
  <c r="N473" i="1" s="1"/>
  <c r="M392" i="1"/>
  <c r="N392" i="1" s="1"/>
  <c r="M339" i="1"/>
  <c r="N339" i="1" s="1"/>
  <c r="M533" i="1"/>
  <c r="N533" i="1" s="1"/>
  <c r="M304" i="1"/>
  <c r="N304" i="1" s="1"/>
  <c r="M242" i="1"/>
  <c r="N242" i="1" s="1"/>
  <c r="M249" i="1"/>
  <c r="N249" i="1" s="1"/>
  <c r="M550" i="1"/>
  <c r="N550" i="1" s="1"/>
  <c r="M507" i="1"/>
  <c r="N507" i="1" s="1"/>
  <c r="M426" i="1"/>
  <c r="N426" i="1" s="1"/>
  <c r="M506" i="1"/>
  <c r="N506" i="1" s="1"/>
  <c r="M463" i="1"/>
  <c r="N463" i="1" s="1"/>
  <c r="M382" i="1"/>
  <c r="N382" i="1" s="1"/>
  <c r="M250" i="1"/>
  <c r="N250" i="1" s="1"/>
  <c r="M210" i="1"/>
  <c r="N210" i="1" s="1"/>
  <c r="M485" i="1"/>
  <c r="N485" i="1" s="1"/>
  <c r="M461" i="1"/>
  <c r="N461" i="1" s="1"/>
  <c r="M359" i="1"/>
  <c r="N359" i="1" s="1"/>
  <c r="M316" i="1"/>
  <c r="N316" i="1" s="1"/>
  <c r="M236" i="1"/>
  <c r="N236" i="1" s="1"/>
  <c r="M196" i="1"/>
  <c r="N196" i="1" s="1"/>
  <c r="M502" i="1"/>
  <c r="N502" i="1" s="1"/>
  <c r="M495" i="1"/>
  <c r="N495" i="1" s="1"/>
  <c r="M483" i="1"/>
  <c r="N483" i="1" s="1"/>
  <c r="M460" i="1"/>
  <c r="N460" i="1" s="1"/>
  <c r="M406" i="1"/>
  <c r="N406" i="1" s="1"/>
  <c r="M496" i="1"/>
  <c r="N496" i="1" s="1"/>
  <c r="M219" i="1"/>
  <c r="N219" i="1" s="1"/>
  <c r="M259" i="1"/>
  <c r="N259" i="1" s="1"/>
  <c r="M338" i="1"/>
  <c r="N338" i="1" s="1"/>
  <c r="M225" i="1"/>
  <c r="N225" i="1" s="1"/>
  <c r="M477" i="1"/>
  <c r="N477" i="1" s="1"/>
  <c r="M498" i="1"/>
  <c r="N498" i="1" s="1"/>
  <c r="M520" i="1"/>
  <c r="N520" i="1" s="1"/>
  <c r="M540" i="1"/>
  <c r="N540" i="1" s="1"/>
  <c r="AB210" i="1" l="1"/>
  <c r="S201" i="1" l="1"/>
  <c r="AD196" i="1" l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AD273" i="1"/>
  <c r="AD274" i="1"/>
  <c r="AD275" i="1"/>
  <c r="AD276" i="1"/>
  <c r="AD277" i="1"/>
  <c r="AD278" i="1"/>
  <c r="AD279" i="1"/>
  <c r="AD280" i="1"/>
  <c r="AD281" i="1"/>
  <c r="AD282" i="1"/>
  <c r="AD283" i="1"/>
  <c r="AD284" i="1"/>
  <c r="AD285" i="1"/>
  <c r="AD286" i="1"/>
  <c r="AD287" i="1"/>
  <c r="AD288" i="1"/>
  <c r="AD289" i="1"/>
  <c r="AD290" i="1"/>
  <c r="AD291" i="1"/>
  <c r="AD292" i="1"/>
  <c r="AD293" i="1"/>
  <c r="AD294" i="1"/>
  <c r="AD295" i="1"/>
  <c r="AD296" i="1"/>
  <c r="AD297" i="1"/>
  <c r="AD298" i="1"/>
  <c r="AD299" i="1"/>
  <c r="AD300" i="1"/>
  <c r="AD301" i="1"/>
  <c r="AD302" i="1"/>
  <c r="AD303" i="1"/>
  <c r="AD304" i="1"/>
  <c r="AD305" i="1"/>
  <c r="AD306" i="1"/>
  <c r="AD307" i="1"/>
  <c r="AD308" i="1"/>
  <c r="AD309" i="1"/>
  <c r="AD310" i="1"/>
  <c r="AD311" i="1"/>
  <c r="AD312" i="1"/>
  <c r="AD313" i="1"/>
  <c r="AD314" i="1"/>
  <c r="AD315" i="1"/>
  <c r="AD316" i="1"/>
  <c r="AD317" i="1"/>
  <c r="AD318" i="1"/>
  <c r="AD319" i="1"/>
  <c r="AD320" i="1"/>
  <c r="AD321" i="1"/>
  <c r="AD322" i="1"/>
  <c r="AD323" i="1"/>
  <c r="AD324" i="1"/>
  <c r="AD325" i="1"/>
  <c r="AD326" i="1"/>
  <c r="AD327" i="1"/>
  <c r="AD328" i="1"/>
  <c r="AD329" i="1"/>
  <c r="AD330" i="1"/>
  <c r="AD331" i="1"/>
  <c r="AD332" i="1"/>
  <c r="AD333" i="1"/>
  <c r="AD334" i="1"/>
  <c r="AD335" i="1"/>
  <c r="AD336" i="1"/>
  <c r="AD337" i="1"/>
  <c r="AD338" i="1"/>
  <c r="AD339" i="1"/>
  <c r="AD340" i="1"/>
  <c r="AD341" i="1"/>
  <c r="AD342" i="1"/>
  <c r="AD343" i="1"/>
  <c r="AD344" i="1"/>
  <c r="AD345" i="1"/>
  <c r="AD346" i="1"/>
  <c r="AD347" i="1"/>
  <c r="AD348" i="1"/>
  <c r="AD349" i="1"/>
  <c r="AD350" i="1"/>
  <c r="AD351" i="1"/>
  <c r="AD352" i="1"/>
  <c r="AD353" i="1"/>
  <c r="AD354" i="1"/>
  <c r="AD355" i="1"/>
  <c r="AD356" i="1"/>
  <c r="AD357" i="1"/>
  <c r="AD358" i="1"/>
  <c r="AD359" i="1"/>
  <c r="AD360" i="1"/>
  <c r="AD361" i="1"/>
  <c r="AD362" i="1"/>
  <c r="AD363" i="1"/>
  <c r="AD364" i="1"/>
  <c r="AD365" i="1"/>
  <c r="AD366" i="1"/>
  <c r="AD367" i="1"/>
  <c r="AD368" i="1"/>
  <c r="AD369" i="1"/>
  <c r="AD370" i="1"/>
  <c r="AD371" i="1"/>
  <c r="AD372" i="1"/>
  <c r="AD373" i="1"/>
  <c r="AD374" i="1"/>
  <c r="AD375" i="1"/>
  <c r="AD376" i="1"/>
  <c r="AD377" i="1"/>
  <c r="AD378" i="1"/>
  <c r="AD379" i="1"/>
  <c r="AD380" i="1"/>
  <c r="AD381" i="1"/>
  <c r="AD382" i="1"/>
  <c r="AD383" i="1"/>
  <c r="AD384" i="1"/>
  <c r="AD385" i="1"/>
  <c r="AD386" i="1"/>
  <c r="AD387" i="1"/>
  <c r="AD388" i="1"/>
  <c r="AD389" i="1"/>
  <c r="AD390" i="1"/>
  <c r="AD391" i="1"/>
  <c r="AD392" i="1"/>
  <c r="AD393" i="1"/>
  <c r="AD394" i="1"/>
  <c r="AD395" i="1"/>
  <c r="AD396" i="1"/>
  <c r="AD397" i="1"/>
  <c r="AD398" i="1"/>
  <c r="AD399" i="1"/>
  <c r="AD400" i="1"/>
  <c r="AD401" i="1"/>
  <c r="AD402" i="1"/>
  <c r="AD403" i="1"/>
  <c r="AD404" i="1"/>
  <c r="AD405" i="1"/>
  <c r="AD406" i="1"/>
  <c r="AD407" i="1"/>
  <c r="AD408" i="1"/>
  <c r="AD409" i="1"/>
  <c r="AD410" i="1"/>
  <c r="AD411" i="1"/>
  <c r="AD412" i="1"/>
  <c r="AD413" i="1"/>
  <c r="AD414" i="1"/>
  <c r="AD415" i="1"/>
  <c r="AD416" i="1"/>
  <c r="AD417" i="1"/>
  <c r="AD418" i="1"/>
  <c r="AD419" i="1"/>
  <c r="AD420" i="1"/>
  <c r="AD421" i="1"/>
  <c r="AD422" i="1"/>
  <c r="AD423" i="1"/>
  <c r="AD424" i="1"/>
  <c r="AD425" i="1"/>
  <c r="AD426" i="1"/>
  <c r="AD427" i="1"/>
  <c r="AD428" i="1"/>
  <c r="AD429" i="1"/>
  <c r="AD430" i="1"/>
  <c r="AD431" i="1"/>
  <c r="AD432" i="1"/>
  <c r="AD433" i="1"/>
  <c r="AD434" i="1"/>
  <c r="AD435" i="1"/>
  <c r="AD436" i="1"/>
  <c r="AD437" i="1"/>
  <c r="AD438" i="1"/>
  <c r="AD439" i="1"/>
  <c r="AD440" i="1"/>
  <c r="AD441" i="1"/>
  <c r="AD442" i="1"/>
  <c r="AD443" i="1"/>
  <c r="AD444" i="1"/>
  <c r="AD445" i="1"/>
  <c r="AD446" i="1"/>
  <c r="AD447" i="1"/>
  <c r="AD448" i="1"/>
  <c r="AD449" i="1"/>
  <c r="AD450" i="1"/>
  <c r="AD451" i="1"/>
  <c r="AD452" i="1"/>
  <c r="AD453" i="1"/>
  <c r="AD454" i="1"/>
  <c r="AD455" i="1"/>
  <c r="AD456" i="1"/>
  <c r="AD457" i="1"/>
  <c r="AD458" i="1"/>
  <c r="AD459" i="1"/>
  <c r="AD460" i="1"/>
  <c r="AD461" i="1"/>
  <c r="AD462" i="1"/>
  <c r="AD463" i="1"/>
  <c r="AD464" i="1"/>
  <c r="AD465" i="1"/>
  <c r="AD466" i="1"/>
  <c r="AD467" i="1"/>
  <c r="AD468" i="1"/>
  <c r="AD469" i="1"/>
  <c r="AD470" i="1"/>
  <c r="AD471" i="1"/>
  <c r="AD472" i="1"/>
  <c r="AD473" i="1"/>
  <c r="AD474" i="1"/>
  <c r="AD475" i="1"/>
  <c r="AD476" i="1"/>
  <c r="AD477" i="1"/>
  <c r="AD478" i="1"/>
  <c r="AD479" i="1"/>
  <c r="AD480" i="1"/>
  <c r="AD481" i="1"/>
  <c r="AD482" i="1"/>
  <c r="AD483" i="1"/>
  <c r="AD484" i="1"/>
  <c r="AD485" i="1"/>
  <c r="AD486" i="1"/>
  <c r="AD487" i="1"/>
  <c r="AD488" i="1"/>
  <c r="AD489" i="1"/>
  <c r="AD490" i="1"/>
  <c r="AD491" i="1"/>
  <c r="AD492" i="1"/>
  <c r="AD493" i="1"/>
  <c r="AD494" i="1"/>
  <c r="AD495" i="1"/>
  <c r="AD496" i="1"/>
  <c r="AD497" i="1"/>
  <c r="AD498" i="1"/>
  <c r="AD499" i="1"/>
  <c r="AD500" i="1"/>
  <c r="AD501" i="1"/>
  <c r="AD502" i="1"/>
  <c r="AD503" i="1"/>
  <c r="AD504" i="1"/>
  <c r="AD505" i="1"/>
  <c r="AD506" i="1"/>
  <c r="AD507" i="1"/>
  <c r="AD508" i="1"/>
  <c r="AD509" i="1"/>
  <c r="AD510" i="1"/>
  <c r="AD511" i="1"/>
  <c r="AD512" i="1"/>
  <c r="AD513" i="1"/>
  <c r="AD514" i="1"/>
  <c r="AD515" i="1"/>
  <c r="AD516" i="1"/>
  <c r="AD517" i="1"/>
  <c r="AD518" i="1"/>
  <c r="AD519" i="1"/>
  <c r="AD520" i="1"/>
  <c r="AD521" i="1"/>
  <c r="AD522" i="1"/>
  <c r="AD523" i="1"/>
  <c r="AD524" i="1"/>
  <c r="AD525" i="1"/>
  <c r="AD526" i="1"/>
  <c r="AD527" i="1"/>
  <c r="AD528" i="1"/>
  <c r="AD529" i="1"/>
  <c r="AD530" i="1"/>
  <c r="AD531" i="1"/>
  <c r="AD532" i="1"/>
  <c r="AD533" i="1"/>
  <c r="AD534" i="1"/>
  <c r="AD535" i="1"/>
  <c r="AD536" i="1"/>
  <c r="AD537" i="1"/>
  <c r="AD538" i="1"/>
  <c r="AD539" i="1"/>
  <c r="AD540" i="1"/>
  <c r="AD541" i="1"/>
  <c r="AD543" i="1"/>
  <c r="AD544" i="1"/>
  <c r="AD545" i="1"/>
  <c r="AD546" i="1"/>
  <c r="AD547" i="1"/>
  <c r="AD548" i="1"/>
  <c r="AD549" i="1"/>
  <c r="AD550" i="1"/>
  <c r="AD551" i="1"/>
  <c r="AB546" i="1"/>
  <c r="AB545" i="1"/>
  <c r="AB544" i="1"/>
  <c r="AB543" i="1"/>
  <c r="AB542" i="1"/>
  <c r="AB511" i="1"/>
  <c r="AB510" i="1"/>
  <c r="AB493" i="1"/>
  <c r="AB453" i="1"/>
  <c r="AB452" i="1"/>
  <c r="AB451" i="1"/>
  <c r="AB434" i="1"/>
  <c r="AB433" i="1"/>
  <c r="AB420" i="1"/>
  <c r="AB403" i="1"/>
  <c r="AB402" i="1"/>
  <c r="AB264" i="1"/>
  <c r="AB263" i="1"/>
  <c r="AB251" i="1"/>
  <c r="AB246" i="1"/>
  <c r="AB245" i="1"/>
  <c r="AB228" i="1"/>
  <c r="AB227" i="1"/>
  <c r="AG544" i="1" l="1"/>
  <c r="AH544" i="1" s="1"/>
  <c r="AF544" i="1"/>
  <c r="AF518" i="1"/>
  <c r="AG518" i="1"/>
  <c r="AH518" i="1" s="1"/>
  <c r="AF497" i="1"/>
  <c r="AG497" i="1"/>
  <c r="AH497" i="1" s="1"/>
  <c r="AG481" i="1"/>
  <c r="AH481" i="1" s="1"/>
  <c r="AF481" i="1"/>
  <c r="AF468" i="1"/>
  <c r="AG468" i="1"/>
  <c r="AH468" i="1" s="1"/>
  <c r="AG445" i="1"/>
  <c r="AH445" i="1" s="1"/>
  <c r="AF445" i="1"/>
  <c r="AF424" i="1"/>
  <c r="AG424" i="1"/>
  <c r="AH424" i="1" s="1"/>
  <c r="AG408" i="1"/>
  <c r="AH408" i="1" s="1"/>
  <c r="AF408" i="1"/>
  <c r="AG372" i="1"/>
  <c r="AH372" i="1" s="1"/>
  <c r="AF372" i="1"/>
  <c r="AF357" i="1"/>
  <c r="AG357" i="1"/>
  <c r="AH357" i="1" s="1"/>
  <c r="AF335" i="1"/>
  <c r="AG335" i="1"/>
  <c r="AH335" i="1" s="1"/>
  <c r="AF212" i="1"/>
  <c r="AG212" i="1"/>
  <c r="AH212" i="1" s="1"/>
  <c r="AG550" i="1"/>
  <c r="AH550" i="1" s="1"/>
  <c r="AF550" i="1"/>
  <c r="AF545" i="1"/>
  <c r="AG545" i="1"/>
  <c r="AH545" i="1" s="1"/>
  <c r="AG533" i="1"/>
  <c r="AH533" i="1" s="1"/>
  <c r="AF533" i="1"/>
  <c r="AF528" i="1"/>
  <c r="AG528" i="1"/>
  <c r="AH528" i="1" s="1"/>
  <c r="AF519" i="1"/>
  <c r="AG519" i="1"/>
  <c r="AH519" i="1" s="1"/>
  <c r="AF513" i="1"/>
  <c r="AG513" i="1"/>
  <c r="AH513" i="1" s="1"/>
  <c r="AG504" i="1"/>
  <c r="AH504" i="1" s="1"/>
  <c r="AF504" i="1"/>
  <c r="AG498" i="1"/>
  <c r="AH498" i="1" s="1"/>
  <c r="AF498" i="1"/>
  <c r="AG488" i="1"/>
  <c r="AH488" i="1" s="1"/>
  <c r="AF488" i="1"/>
  <c r="AF482" i="1"/>
  <c r="AG482" i="1"/>
  <c r="AH482" i="1" s="1"/>
  <c r="AF475" i="1"/>
  <c r="AG475" i="1"/>
  <c r="AH475" i="1" s="1"/>
  <c r="AF469" i="1"/>
  <c r="AG469" i="1"/>
  <c r="AH469" i="1" s="1"/>
  <c r="AG463" i="1"/>
  <c r="AH463" i="1" s="1"/>
  <c r="AF463" i="1"/>
  <c r="AF460" i="1"/>
  <c r="AG460" i="1"/>
  <c r="AH460" i="1" s="1"/>
  <c r="AF454" i="1"/>
  <c r="AG454" i="1"/>
  <c r="AH454" i="1" s="1"/>
  <c r="AF446" i="1"/>
  <c r="AG446" i="1"/>
  <c r="AH446" i="1" s="1"/>
  <c r="AF435" i="1"/>
  <c r="AG435" i="1"/>
  <c r="AH435" i="1" s="1"/>
  <c r="AF430" i="1"/>
  <c r="AG430" i="1"/>
  <c r="AH430" i="1" s="1"/>
  <c r="AF425" i="1"/>
  <c r="AG425" i="1"/>
  <c r="AH425" i="1" s="1"/>
  <c r="AF420" i="1"/>
  <c r="AG420" i="1"/>
  <c r="AH420" i="1" s="1"/>
  <c r="AG414" i="1"/>
  <c r="AH414" i="1" s="1"/>
  <c r="AF414" i="1"/>
  <c r="AF411" i="1"/>
  <c r="AG411" i="1"/>
  <c r="AH411" i="1" s="1"/>
  <c r="AF409" i="1"/>
  <c r="AG409" i="1"/>
  <c r="AH409" i="1" s="1"/>
  <c r="AG400" i="1"/>
  <c r="AH400" i="1" s="1"/>
  <c r="AF400" i="1"/>
  <c r="AF395" i="1"/>
  <c r="AG395" i="1"/>
  <c r="AH395" i="1" s="1"/>
  <c r="AF391" i="1"/>
  <c r="AG391" i="1"/>
  <c r="AH391" i="1" s="1"/>
  <c r="AG387" i="1"/>
  <c r="AH387" i="1" s="1"/>
  <c r="AF387" i="1"/>
  <c r="AF385" i="1"/>
  <c r="AG385" i="1"/>
  <c r="AH385" i="1" s="1"/>
  <c r="AF373" i="1"/>
  <c r="AG373" i="1"/>
  <c r="AH373" i="1" s="1"/>
  <c r="AF363" i="1"/>
  <c r="AG363" i="1"/>
  <c r="AH363" i="1" s="1"/>
  <c r="AF349" i="1"/>
  <c r="AG349" i="1"/>
  <c r="AH349" i="1" s="1"/>
  <c r="AF343" i="1"/>
  <c r="AG343" i="1"/>
  <c r="AH343" i="1" s="1"/>
  <c r="AG336" i="1"/>
  <c r="AH336" i="1" s="1"/>
  <c r="AF336" i="1"/>
  <c r="AF330" i="1"/>
  <c r="AG330" i="1"/>
  <c r="AH330" i="1" s="1"/>
  <c r="AF321" i="1"/>
  <c r="AG321" i="1"/>
  <c r="AH321" i="1" s="1"/>
  <c r="AF318" i="1"/>
  <c r="AG318" i="1"/>
  <c r="AH318" i="1" s="1"/>
  <c r="AF311" i="1"/>
  <c r="AG311" i="1"/>
  <c r="AH311" i="1" s="1"/>
  <c r="AG307" i="1"/>
  <c r="AH307" i="1" s="1"/>
  <c r="AF307" i="1"/>
  <c r="AG300" i="1"/>
  <c r="AH300" i="1" s="1"/>
  <c r="AF300" i="1"/>
  <c r="AG291" i="1"/>
  <c r="AH291" i="1" s="1"/>
  <c r="AF291" i="1"/>
  <c r="AG282" i="1"/>
  <c r="AH282" i="1" s="1"/>
  <c r="AF282" i="1"/>
  <c r="AF279" i="1"/>
  <c r="AG279" i="1"/>
  <c r="AH279" i="1" s="1"/>
  <c r="AG274" i="1"/>
  <c r="AH274" i="1" s="1"/>
  <c r="AF274" i="1"/>
  <c r="AG271" i="1"/>
  <c r="AH271" i="1" s="1"/>
  <c r="AF271" i="1"/>
  <c r="AF265" i="1"/>
  <c r="AG265" i="1"/>
  <c r="AH265" i="1" s="1"/>
  <c r="AF255" i="1"/>
  <c r="AG255" i="1"/>
  <c r="AH255" i="1" s="1"/>
  <c r="AG251" i="1"/>
  <c r="AH251" i="1" s="1"/>
  <c r="AF251" i="1"/>
  <c r="AF249" i="1"/>
  <c r="AG249" i="1"/>
  <c r="AH249" i="1" s="1"/>
  <c r="AF239" i="1"/>
  <c r="AG239" i="1"/>
  <c r="AH239" i="1" s="1"/>
  <c r="AG233" i="1"/>
  <c r="AH233" i="1" s="1"/>
  <c r="AF233" i="1"/>
  <c r="AF231" i="1"/>
  <c r="AG231" i="1"/>
  <c r="AH231" i="1" s="1"/>
  <c r="AF224" i="1"/>
  <c r="AG224" i="1"/>
  <c r="AH224" i="1" s="1"/>
  <c r="AG218" i="1"/>
  <c r="AH218" i="1" s="1"/>
  <c r="AF218" i="1"/>
  <c r="AG213" i="1"/>
  <c r="AH213" i="1" s="1"/>
  <c r="AF213" i="1"/>
  <c r="AF537" i="1"/>
  <c r="AG537" i="1"/>
  <c r="AH537" i="1" s="1"/>
  <c r="AG509" i="1"/>
  <c r="AH509" i="1" s="1"/>
  <c r="AF509" i="1"/>
  <c r="AG390" i="1"/>
  <c r="AH390" i="1" s="1"/>
  <c r="AF390" i="1"/>
  <c r="AF367" i="1"/>
  <c r="AG367" i="1"/>
  <c r="AH367" i="1" s="1"/>
  <c r="AG320" i="1"/>
  <c r="AH320" i="1" s="1"/>
  <c r="AF320" i="1"/>
  <c r="AF299" i="1"/>
  <c r="AG299" i="1"/>
  <c r="AH299" i="1" s="1"/>
  <c r="AG278" i="1"/>
  <c r="AH278" i="1" s="1"/>
  <c r="AF278" i="1"/>
  <c r="AG223" i="1"/>
  <c r="AH223" i="1" s="1"/>
  <c r="AF223" i="1"/>
  <c r="AF548" i="1"/>
  <c r="AG548" i="1"/>
  <c r="AH548" i="1" s="1"/>
  <c r="AG543" i="1"/>
  <c r="AH543" i="1" s="1"/>
  <c r="AF543" i="1"/>
  <c r="AF539" i="1"/>
  <c r="AG539" i="1"/>
  <c r="AH539" i="1" s="1"/>
  <c r="AF536" i="1"/>
  <c r="AG536" i="1"/>
  <c r="AH536" i="1" s="1"/>
  <c r="AF531" i="1"/>
  <c r="AG531" i="1"/>
  <c r="AH531" i="1" s="1"/>
  <c r="AG527" i="1"/>
  <c r="AH527" i="1" s="1"/>
  <c r="AF527" i="1"/>
  <c r="AG523" i="1"/>
  <c r="AH523" i="1" s="1"/>
  <c r="AF523" i="1"/>
  <c r="AF517" i="1"/>
  <c r="AG517" i="1"/>
  <c r="AH517" i="1" s="1"/>
  <c r="AF511" i="1"/>
  <c r="AG511" i="1"/>
  <c r="AH511" i="1" s="1"/>
  <c r="AF508" i="1"/>
  <c r="AG508" i="1"/>
  <c r="AH508" i="1" s="1"/>
  <c r="AF502" i="1"/>
  <c r="AG502" i="1"/>
  <c r="AH502" i="1" s="1"/>
  <c r="AF496" i="1"/>
  <c r="AG496" i="1"/>
  <c r="AH496" i="1" s="1"/>
  <c r="AG492" i="1"/>
  <c r="AH492" i="1" s="1"/>
  <c r="AF492" i="1"/>
  <c r="AG486" i="1"/>
  <c r="AH486" i="1" s="1"/>
  <c r="AF486" i="1"/>
  <c r="AF479" i="1"/>
  <c r="AG479" i="1"/>
  <c r="AH479" i="1" s="1"/>
  <c r="AG473" i="1"/>
  <c r="AH473" i="1" s="1"/>
  <c r="AF473" i="1"/>
  <c r="AG467" i="1"/>
  <c r="AH467" i="1" s="1"/>
  <c r="AF467" i="1"/>
  <c r="AG458" i="1"/>
  <c r="AH458" i="1" s="1"/>
  <c r="AF458" i="1"/>
  <c r="AF453" i="1"/>
  <c r="AG453" i="1"/>
  <c r="AH453" i="1" s="1"/>
  <c r="AF449" i="1"/>
  <c r="AG449" i="1"/>
  <c r="AH449" i="1" s="1"/>
  <c r="AG444" i="1"/>
  <c r="AH444" i="1" s="1"/>
  <c r="AF444" i="1"/>
  <c r="AF439" i="1"/>
  <c r="AG439" i="1"/>
  <c r="AH439" i="1" s="1"/>
  <c r="AG434" i="1"/>
  <c r="AH434" i="1" s="1"/>
  <c r="AF434" i="1"/>
  <c r="AF428" i="1"/>
  <c r="AG428" i="1"/>
  <c r="AH428" i="1" s="1"/>
  <c r="AF423" i="1"/>
  <c r="AG423" i="1"/>
  <c r="AH423" i="1" s="1"/>
  <c r="AG418" i="1"/>
  <c r="AH418" i="1" s="1"/>
  <c r="AF418" i="1"/>
  <c r="AF407" i="1"/>
  <c r="AG407" i="1"/>
  <c r="AH407" i="1" s="1"/>
  <c r="AF403" i="1"/>
  <c r="AG403" i="1"/>
  <c r="AH403" i="1" s="1"/>
  <c r="AF393" i="1"/>
  <c r="AG393" i="1"/>
  <c r="AH393" i="1" s="1"/>
  <c r="AF389" i="1"/>
  <c r="AG389" i="1"/>
  <c r="AH389" i="1" s="1"/>
  <c r="AF383" i="1"/>
  <c r="AG383" i="1"/>
  <c r="AH383" i="1" s="1"/>
  <c r="AF376" i="1"/>
  <c r="AG376" i="1"/>
  <c r="AH376" i="1" s="1"/>
  <c r="AF371" i="1"/>
  <c r="AG371" i="1"/>
  <c r="AH371" i="1" s="1"/>
  <c r="AG361" i="1"/>
  <c r="AH361" i="1" s="1"/>
  <c r="AF361" i="1"/>
  <c r="AF356" i="1"/>
  <c r="AG356" i="1"/>
  <c r="AH356" i="1" s="1"/>
  <c r="AF353" i="1"/>
  <c r="AG353" i="1"/>
  <c r="AH353" i="1" s="1"/>
  <c r="AF347" i="1"/>
  <c r="AG347" i="1"/>
  <c r="AH347" i="1" s="1"/>
  <c r="AF342" i="1"/>
  <c r="AG342" i="1"/>
  <c r="AH342" i="1" s="1"/>
  <c r="AG338" i="1"/>
  <c r="AH338" i="1" s="1"/>
  <c r="AF338" i="1"/>
  <c r="AG334" i="1"/>
  <c r="AH334" i="1" s="1"/>
  <c r="AF334" i="1"/>
  <c r="AF328" i="1"/>
  <c r="AG328" i="1"/>
  <c r="AH328" i="1" s="1"/>
  <c r="AF319" i="1"/>
  <c r="AG319" i="1"/>
  <c r="AH319" i="1" s="1"/>
  <c r="AF315" i="1"/>
  <c r="AG315" i="1"/>
  <c r="AH315" i="1" s="1"/>
  <c r="AF305" i="1"/>
  <c r="AG305" i="1"/>
  <c r="AH305" i="1" s="1"/>
  <c r="AF298" i="1"/>
  <c r="AG298" i="1"/>
  <c r="AH298" i="1" s="1"/>
  <c r="AG289" i="1"/>
  <c r="AH289" i="1" s="1"/>
  <c r="AF289" i="1"/>
  <c r="AF286" i="1"/>
  <c r="AG286" i="1"/>
  <c r="AH286" i="1" s="1"/>
  <c r="AG280" i="1"/>
  <c r="AH280" i="1" s="1"/>
  <c r="AF280" i="1"/>
  <c r="AF277" i="1"/>
  <c r="AG277" i="1"/>
  <c r="AH277" i="1" s="1"/>
  <c r="AG269" i="1"/>
  <c r="AH269" i="1" s="1"/>
  <c r="AF269" i="1"/>
  <c r="AG261" i="1"/>
  <c r="AH261" i="1" s="1"/>
  <c r="AF261" i="1"/>
  <c r="AG257" i="1"/>
  <c r="AH257" i="1" s="1"/>
  <c r="AF257" i="1"/>
  <c r="AF254" i="1"/>
  <c r="AG254" i="1"/>
  <c r="AH254" i="1" s="1"/>
  <c r="AF247" i="1"/>
  <c r="AG247" i="1"/>
  <c r="AH247" i="1" s="1"/>
  <c r="AG243" i="1"/>
  <c r="AH243" i="1" s="1"/>
  <c r="AF243" i="1"/>
  <c r="AF237" i="1"/>
  <c r="AG237" i="1"/>
  <c r="AH237" i="1" s="1"/>
  <c r="AF229" i="1"/>
  <c r="AG229" i="1"/>
  <c r="AH229" i="1" s="1"/>
  <c r="AG228" i="1"/>
  <c r="AH228" i="1" s="1"/>
  <c r="AF228" i="1"/>
  <c r="AF222" i="1"/>
  <c r="AG222" i="1"/>
  <c r="AH222" i="1" s="1"/>
  <c r="AF211" i="1"/>
  <c r="AG211" i="1"/>
  <c r="AH211" i="1" s="1"/>
  <c r="AF551" i="1"/>
  <c r="AG551" i="1"/>
  <c r="AH551" i="1" s="1"/>
  <c r="AG532" i="1"/>
  <c r="AH532" i="1" s="1"/>
  <c r="AF532" i="1"/>
  <c r="AG512" i="1"/>
  <c r="AH512" i="1" s="1"/>
  <c r="AF512" i="1"/>
  <c r="AF493" i="1"/>
  <c r="AG493" i="1"/>
  <c r="AH493" i="1" s="1"/>
  <c r="AF440" i="1"/>
  <c r="AG440" i="1"/>
  <c r="AH440" i="1" s="1"/>
  <c r="AG419" i="1"/>
  <c r="AH419" i="1" s="1"/>
  <c r="AF419" i="1"/>
  <c r="AF399" i="1"/>
  <c r="AG399" i="1"/>
  <c r="AH399" i="1" s="1"/>
  <c r="AF377" i="1"/>
  <c r="AG377" i="1"/>
  <c r="AH377" i="1" s="1"/>
  <c r="AF348" i="1"/>
  <c r="AG348" i="1"/>
  <c r="AH348" i="1" s="1"/>
  <c r="AG324" i="1"/>
  <c r="AH324" i="1" s="1"/>
  <c r="AF324" i="1"/>
  <c r="AF306" i="1"/>
  <c r="AG306" i="1"/>
  <c r="AH306" i="1" s="1"/>
  <c r="AF217" i="1"/>
  <c r="AG217" i="1"/>
  <c r="AH217" i="1" s="1"/>
  <c r="AF547" i="1"/>
  <c r="AG547" i="1"/>
  <c r="AH547" i="1" s="1"/>
  <c r="AG542" i="1"/>
  <c r="AH542" i="1" s="1"/>
  <c r="AF542" i="1"/>
  <c r="AG538" i="1"/>
  <c r="AH538" i="1" s="1"/>
  <c r="AF538" i="1"/>
  <c r="AG535" i="1"/>
  <c r="AH535" i="1" s="1"/>
  <c r="AF535" i="1"/>
  <c r="AG530" i="1"/>
  <c r="AH530" i="1" s="1"/>
  <c r="AF530" i="1"/>
  <c r="AF526" i="1"/>
  <c r="AG526" i="1"/>
  <c r="AH526" i="1" s="1"/>
  <c r="AF522" i="1"/>
  <c r="AG522" i="1"/>
  <c r="AH522" i="1" s="1"/>
  <c r="AF516" i="1"/>
  <c r="AG516" i="1"/>
  <c r="AH516" i="1" s="1"/>
  <c r="AF510" i="1"/>
  <c r="AG510" i="1"/>
  <c r="AH510" i="1" s="1"/>
  <c r="AF507" i="1"/>
  <c r="AG507" i="1"/>
  <c r="AH507" i="1" s="1"/>
  <c r="AF501" i="1"/>
  <c r="AG501" i="1"/>
  <c r="AH501" i="1" s="1"/>
  <c r="AG495" i="1"/>
  <c r="AH495" i="1" s="1"/>
  <c r="AF495" i="1"/>
  <c r="AG491" i="1"/>
  <c r="AH491" i="1" s="1"/>
  <c r="AF491" i="1"/>
  <c r="AF485" i="1"/>
  <c r="AG485" i="1"/>
  <c r="AH485" i="1" s="1"/>
  <c r="AG480" i="1"/>
  <c r="AH480" i="1" s="1"/>
  <c r="AF480" i="1"/>
  <c r="AF478" i="1"/>
  <c r="AG478" i="1"/>
  <c r="AH478" i="1" s="1"/>
  <c r="AF472" i="1"/>
  <c r="AG472" i="1"/>
  <c r="AH472" i="1" s="1"/>
  <c r="AF466" i="1"/>
  <c r="AG466" i="1"/>
  <c r="AH466" i="1" s="1"/>
  <c r="AG457" i="1"/>
  <c r="AH457" i="1" s="1"/>
  <c r="AF457" i="1"/>
  <c r="AF452" i="1"/>
  <c r="AG452" i="1"/>
  <c r="AH452" i="1" s="1"/>
  <c r="AG448" i="1"/>
  <c r="AH448" i="1" s="1"/>
  <c r="AF448" i="1"/>
  <c r="AF443" i="1"/>
  <c r="AG443" i="1"/>
  <c r="AH443" i="1" s="1"/>
  <c r="AF438" i="1"/>
  <c r="AG438" i="1"/>
  <c r="AH438" i="1" s="1"/>
  <c r="AG433" i="1"/>
  <c r="AH433" i="1" s="1"/>
  <c r="AF433" i="1"/>
  <c r="AF427" i="1"/>
  <c r="AG427" i="1"/>
  <c r="AH427" i="1" s="1"/>
  <c r="AG422" i="1"/>
  <c r="AH422" i="1" s="1"/>
  <c r="AF422" i="1"/>
  <c r="AF417" i="1"/>
  <c r="AG417" i="1"/>
  <c r="AH417" i="1" s="1"/>
  <c r="AF406" i="1"/>
  <c r="AG406" i="1"/>
  <c r="AH406" i="1" s="1"/>
  <c r="AF398" i="1"/>
  <c r="AG398" i="1"/>
  <c r="AH398" i="1" s="1"/>
  <c r="AF388" i="1"/>
  <c r="AG388" i="1"/>
  <c r="AH388" i="1" s="1"/>
  <c r="AF382" i="1"/>
  <c r="AG382" i="1"/>
  <c r="AH382" i="1" s="1"/>
  <c r="AF380" i="1"/>
  <c r="AG380" i="1"/>
  <c r="AH380" i="1" s="1"/>
  <c r="AG370" i="1"/>
  <c r="AH370" i="1" s="1"/>
  <c r="AF370" i="1"/>
  <c r="AF366" i="1"/>
  <c r="AG366" i="1"/>
  <c r="AH366" i="1" s="1"/>
  <c r="AF360" i="1"/>
  <c r="AG360" i="1"/>
  <c r="AH360" i="1" s="1"/>
  <c r="AG355" i="1"/>
  <c r="AH355" i="1" s="1"/>
  <c r="AF355" i="1"/>
  <c r="AF352" i="1"/>
  <c r="AG352" i="1"/>
  <c r="AH352" i="1" s="1"/>
  <c r="AG346" i="1"/>
  <c r="AH346" i="1" s="1"/>
  <c r="AF346" i="1"/>
  <c r="AF337" i="1"/>
  <c r="AG337" i="1"/>
  <c r="AH337" i="1" s="1"/>
  <c r="AF333" i="1"/>
  <c r="AG333" i="1"/>
  <c r="AH333" i="1" s="1"/>
  <c r="AF327" i="1"/>
  <c r="AG327" i="1"/>
  <c r="AH327" i="1" s="1"/>
  <c r="AG314" i="1"/>
  <c r="AH314" i="1" s="1"/>
  <c r="AF314" i="1"/>
  <c r="AF310" i="1"/>
  <c r="AG310" i="1"/>
  <c r="AH310" i="1" s="1"/>
  <c r="AF304" i="1"/>
  <c r="AG304" i="1"/>
  <c r="AH304" i="1" s="1"/>
  <c r="AF297" i="1"/>
  <c r="AG297" i="1"/>
  <c r="AH297" i="1" s="1"/>
  <c r="AG294" i="1"/>
  <c r="AH294" i="1" s="1"/>
  <c r="AF294" i="1"/>
  <c r="AF288" i="1"/>
  <c r="AG288" i="1"/>
  <c r="AH288" i="1" s="1"/>
  <c r="AG285" i="1"/>
  <c r="AH285" i="1" s="1"/>
  <c r="AF285" i="1"/>
  <c r="AG276" i="1"/>
  <c r="AH276" i="1" s="1"/>
  <c r="AF276" i="1"/>
  <c r="AG273" i="1"/>
  <c r="AH273" i="1" s="1"/>
  <c r="AF273" i="1"/>
  <c r="AF268" i="1"/>
  <c r="AG268" i="1"/>
  <c r="AH268" i="1" s="1"/>
  <c r="AG263" i="1"/>
  <c r="AH263" i="1" s="1"/>
  <c r="AF263" i="1"/>
  <c r="AG260" i="1"/>
  <c r="AH260" i="1" s="1"/>
  <c r="AF260" i="1"/>
  <c r="AF256" i="1"/>
  <c r="AG256" i="1"/>
  <c r="AH256" i="1" s="1"/>
  <c r="AF253" i="1"/>
  <c r="AG253" i="1"/>
  <c r="AH253" i="1" s="1"/>
  <c r="AG246" i="1"/>
  <c r="AH246" i="1" s="1"/>
  <c r="AF246" i="1"/>
  <c r="AF242" i="1"/>
  <c r="AG242" i="1"/>
  <c r="AH242" i="1" s="1"/>
  <c r="AF236" i="1"/>
  <c r="AG236" i="1"/>
  <c r="AH236" i="1" s="1"/>
  <c r="AF227" i="1"/>
  <c r="AG227" i="1"/>
  <c r="AH227" i="1" s="1"/>
  <c r="AG221" i="1"/>
  <c r="AH221" i="1" s="1"/>
  <c r="AF221" i="1"/>
  <c r="AF216" i="1"/>
  <c r="AG216" i="1"/>
  <c r="AH216" i="1" s="1"/>
  <c r="AF210" i="1"/>
  <c r="AG210" i="1"/>
  <c r="AH210" i="1" s="1"/>
  <c r="AF487" i="1"/>
  <c r="AG487" i="1"/>
  <c r="AH487" i="1" s="1"/>
  <c r="AG459" i="1"/>
  <c r="AH459" i="1" s="1"/>
  <c r="AF459" i="1"/>
  <c r="AF394" i="1"/>
  <c r="AG394" i="1"/>
  <c r="AH394" i="1" s="1"/>
  <c r="AG381" i="1"/>
  <c r="AH381" i="1" s="1"/>
  <c r="AF381" i="1"/>
  <c r="AF362" i="1"/>
  <c r="AG362" i="1"/>
  <c r="AH362" i="1" s="1"/>
  <c r="AF339" i="1"/>
  <c r="AG339" i="1"/>
  <c r="AH339" i="1" s="1"/>
  <c r="AG295" i="1"/>
  <c r="AH295" i="1" s="1"/>
  <c r="AF295" i="1"/>
  <c r="AF281" i="1"/>
  <c r="AG281" i="1"/>
  <c r="AH281" i="1" s="1"/>
  <c r="AF270" i="1"/>
  <c r="AG270" i="1"/>
  <c r="AH270" i="1" s="1"/>
  <c r="AF264" i="1"/>
  <c r="AG264" i="1"/>
  <c r="AH264" i="1" s="1"/>
  <c r="AF258" i="1"/>
  <c r="AG258" i="1"/>
  <c r="AH258" i="1" s="1"/>
  <c r="AG248" i="1"/>
  <c r="AH248" i="1" s="1"/>
  <c r="AF248" i="1"/>
  <c r="AG238" i="1"/>
  <c r="AH238" i="1" s="1"/>
  <c r="AF238" i="1"/>
  <c r="AF232" i="1"/>
  <c r="AG232" i="1"/>
  <c r="AH232" i="1" s="1"/>
  <c r="AG230" i="1"/>
  <c r="AH230" i="1" s="1"/>
  <c r="AF230" i="1"/>
  <c r="AF546" i="1"/>
  <c r="AG546" i="1"/>
  <c r="AH546" i="1" s="1"/>
  <c r="AF541" i="1"/>
  <c r="AG541" i="1"/>
  <c r="AH541" i="1" s="1"/>
  <c r="AG534" i="1"/>
  <c r="AH534" i="1" s="1"/>
  <c r="AF534" i="1"/>
  <c r="AF521" i="1"/>
  <c r="AG521" i="1"/>
  <c r="AH521" i="1" s="1"/>
  <c r="AF515" i="1"/>
  <c r="AG515" i="1"/>
  <c r="AH515" i="1" s="1"/>
  <c r="AF506" i="1"/>
  <c r="AG506" i="1"/>
  <c r="AH506" i="1" s="1"/>
  <c r="AG500" i="1"/>
  <c r="AH500" i="1" s="1"/>
  <c r="AF500" i="1"/>
  <c r="AF494" i="1"/>
  <c r="AG494" i="1"/>
  <c r="AH494" i="1" s="1"/>
  <c r="AF490" i="1"/>
  <c r="AG490" i="1"/>
  <c r="AH490" i="1" s="1"/>
  <c r="AG484" i="1"/>
  <c r="AH484" i="1" s="1"/>
  <c r="AF484" i="1"/>
  <c r="AF477" i="1"/>
  <c r="AG477" i="1"/>
  <c r="AH477" i="1" s="1"/>
  <c r="AF471" i="1"/>
  <c r="AG471" i="1"/>
  <c r="AH471" i="1" s="1"/>
  <c r="AG465" i="1"/>
  <c r="AH465" i="1" s="1"/>
  <c r="AF465" i="1"/>
  <c r="AF462" i="1"/>
  <c r="AG462" i="1"/>
  <c r="AH462" i="1" s="1"/>
  <c r="AF456" i="1"/>
  <c r="AG456" i="1"/>
  <c r="AH456" i="1" s="1"/>
  <c r="AF442" i="1"/>
  <c r="AG442" i="1"/>
  <c r="AH442" i="1" s="1"/>
  <c r="AG437" i="1"/>
  <c r="AH437" i="1" s="1"/>
  <c r="AF437" i="1"/>
  <c r="AF432" i="1"/>
  <c r="AG432" i="1"/>
  <c r="AH432" i="1" s="1"/>
  <c r="AG426" i="1"/>
  <c r="AH426" i="1" s="1"/>
  <c r="AF426" i="1"/>
  <c r="AF421" i="1"/>
  <c r="AG421" i="1"/>
  <c r="AH421" i="1" s="1"/>
  <c r="AF416" i="1"/>
  <c r="AG416" i="1"/>
  <c r="AH416" i="1" s="1"/>
  <c r="AG413" i="1"/>
  <c r="AH413" i="1" s="1"/>
  <c r="AF413" i="1"/>
  <c r="AF405" i="1"/>
  <c r="AG405" i="1"/>
  <c r="AH405" i="1" s="1"/>
  <c r="AF402" i="1"/>
  <c r="AG402" i="1"/>
  <c r="AH402" i="1" s="1"/>
  <c r="AF397" i="1"/>
  <c r="AG397" i="1"/>
  <c r="AH397" i="1" s="1"/>
  <c r="AF392" i="1"/>
  <c r="AG392" i="1"/>
  <c r="AH392" i="1" s="1"/>
  <c r="AF379" i="1"/>
  <c r="AG379" i="1"/>
  <c r="AH379" i="1" s="1"/>
  <c r="AF375" i="1"/>
  <c r="AG375" i="1"/>
  <c r="AH375" i="1" s="1"/>
  <c r="AF369" i="1"/>
  <c r="AG369" i="1"/>
  <c r="AH369" i="1" s="1"/>
  <c r="AF359" i="1"/>
  <c r="AG359" i="1"/>
  <c r="AH359" i="1" s="1"/>
  <c r="AF354" i="1"/>
  <c r="AG354" i="1"/>
  <c r="AH354" i="1" s="1"/>
  <c r="AG351" i="1"/>
  <c r="AH351" i="1" s="1"/>
  <c r="AF351" i="1"/>
  <c r="AF345" i="1"/>
  <c r="AG345" i="1"/>
  <c r="AH345" i="1" s="1"/>
  <c r="AF341" i="1"/>
  <c r="AG341" i="1"/>
  <c r="AH341" i="1" s="1"/>
  <c r="AG332" i="1"/>
  <c r="AH332" i="1" s="1"/>
  <c r="AF332" i="1"/>
  <c r="AG326" i="1"/>
  <c r="AH326" i="1" s="1"/>
  <c r="AF326" i="1"/>
  <c r="AF325" i="1"/>
  <c r="AG325" i="1"/>
  <c r="AH325" i="1" s="1"/>
  <c r="AF323" i="1"/>
  <c r="AG323" i="1"/>
  <c r="AH323" i="1" s="1"/>
  <c r="AF317" i="1"/>
  <c r="AG317" i="1"/>
  <c r="AH317" i="1" s="1"/>
  <c r="AG313" i="1"/>
  <c r="AH313" i="1" s="1"/>
  <c r="AF313" i="1"/>
  <c r="AF309" i="1"/>
  <c r="AG309" i="1"/>
  <c r="AH309" i="1" s="1"/>
  <c r="AF303" i="1"/>
  <c r="AG303" i="1"/>
  <c r="AH303" i="1" s="1"/>
  <c r="AF293" i="1"/>
  <c r="AG293" i="1"/>
  <c r="AH293" i="1" s="1"/>
  <c r="AF287" i="1"/>
  <c r="AG287" i="1"/>
  <c r="AH287" i="1" s="1"/>
  <c r="AF284" i="1"/>
  <c r="AG284" i="1"/>
  <c r="AH284" i="1" s="1"/>
  <c r="AG272" i="1"/>
  <c r="AH272" i="1" s="1"/>
  <c r="AF272" i="1"/>
  <c r="AG267" i="1"/>
  <c r="AH267" i="1" s="1"/>
  <c r="AF267" i="1"/>
  <c r="AF262" i="1"/>
  <c r="AG262" i="1"/>
  <c r="AH262" i="1" s="1"/>
  <c r="AG259" i="1"/>
  <c r="AH259" i="1" s="1"/>
  <c r="AF259" i="1"/>
  <c r="AF245" i="1"/>
  <c r="AG245" i="1"/>
  <c r="AH245" i="1" s="1"/>
  <c r="AG241" i="1"/>
  <c r="AH241" i="1" s="1"/>
  <c r="AF241" i="1"/>
  <c r="AF235" i="1"/>
  <c r="AG235" i="1"/>
  <c r="AH235" i="1" s="1"/>
  <c r="AG226" i="1"/>
  <c r="AH226" i="1" s="1"/>
  <c r="AF226" i="1"/>
  <c r="AF220" i="1"/>
  <c r="AG220" i="1"/>
  <c r="AH220" i="1" s="1"/>
  <c r="AF215" i="1"/>
  <c r="AG215" i="1"/>
  <c r="AH215" i="1" s="1"/>
  <c r="AF549" i="1"/>
  <c r="AG549" i="1"/>
  <c r="AH549" i="1" s="1"/>
  <c r="AF524" i="1"/>
  <c r="AG524" i="1"/>
  <c r="AH524" i="1" s="1"/>
  <c r="AG503" i="1"/>
  <c r="AH503" i="1" s="1"/>
  <c r="AF503" i="1"/>
  <c r="AG474" i="1"/>
  <c r="AH474" i="1" s="1"/>
  <c r="AF474" i="1"/>
  <c r="AF450" i="1"/>
  <c r="AG450" i="1"/>
  <c r="AH450" i="1" s="1"/>
  <c r="AF429" i="1"/>
  <c r="AG429" i="1"/>
  <c r="AH429" i="1" s="1"/>
  <c r="AF384" i="1"/>
  <c r="AG384" i="1"/>
  <c r="AH384" i="1" s="1"/>
  <c r="AF329" i="1"/>
  <c r="AG329" i="1"/>
  <c r="AH329" i="1" s="1"/>
  <c r="AF316" i="1"/>
  <c r="AG316" i="1"/>
  <c r="AH316" i="1" s="1"/>
  <c r="AF290" i="1"/>
  <c r="AG290" i="1"/>
  <c r="AH290" i="1" s="1"/>
  <c r="AF540" i="1"/>
  <c r="AG540" i="1"/>
  <c r="AH540" i="1" s="1"/>
  <c r="AF529" i="1"/>
  <c r="AG529" i="1"/>
  <c r="AH529" i="1" s="1"/>
  <c r="AF525" i="1"/>
  <c r="AG525" i="1"/>
  <c r="AH525" i="1" s="1"/>
  <c r="AG520" i="1"/>
  <c r="AH520" i="1" s="1"/>
  <c r="AF520" i="1"/>
  <c r="AG514" i="1"/>
  <c r="AH514" i="1" s="1"/>
  <c r="AF514" i="1"/>
  <c r="AF505" i="1"/>
  <c r="AG505" i="1"/>
  <c r="AH505" i="1" s="1"/>
  <c r="AF499" i="1"/>
  <c r="AG499" i="1"/>
  <c r="AH499" i="1" s="1"/>
  <c r="AF489" i="1"/>
  <c r="AG489" i="1"/>
  <c r="AH489" i="1" s="1"/>
  <c r="AF483" i="1"/>
  <c r="AG483" i="1"/>
  <c r="AH483" i="1" s="1"/>
  <c r="AG476" i="1"/>
  <c r="AH476" i="1" s="1"/>
  <c r="AF476" i="1"/>
  <c r="AF470" i="1"/>
  <c r="AG470" i="1"/>
  <c r="AH470" i="1" s="1"/>
  <c r="AF464" i="1"/>
  <c r="AG464" i="1"/>
  <c r="AH464" i="1" s="1"/>
  <c r="AF461" i="1"/>
  <c r="AG461" i="1"/>
  <c r="AH461" i="1" s="1"/>
  <c r="AF455" i="1"/>
  <c r="AG455" i="1"/>
  <c r="AH455" i="1" s="1"/>
  <c r="AF451" i="1"/>
  <c r="AG451" i="1"/>
  <c r="AH451" i="1" s="1"/>
  <c r="AG447" i="1"/>
  <c r="AH447" i="1" s="1"/>
  <c r="AF447" i="1"/>
  <c r="AF441" i="1"/>
  <c r="AG441" i="1"/>
  <c r="AH441" i="1" s="1"/>
  <c r="AF436" i="1"/>
  <c r="AG436" i="1"/>
  <c r="AH436" i="1" s="1"/>
  <c r="AF431" i="1"/>
  <c r="AG431" i="1"/>
  <c r="AH431" i="1" s="1"/>
  <c r="AF415" i="1"/>
  <c r="AG415" i="1"/>
  <c r="AH415" i="1" s="1"/>
  <c r="AF412" i="1"/>
  <c r="AG412" i="1"/>
  <c r="AH412" i="1" s="1"/>
  <c r="AG410" i="1"/>
  <c r="AH410" i="1" s="1"/>
  <c r="AF410" i="1"/>
  <c r="AF404" i="1"/>
  <c r="AG404" i="1"/>
  <c r="AH404" i="1" s="1"/>
  <c r="AF401" i="1"/>
  <c r="AG401" i="1"/>
  <c r="AH401" i="1" s="1"/>
  <c r="AG396" i="1"/>
  <c r="AH396" i="1" s="1"/>
  <c r="AF396" i="1"/>
  <c r="AG386" i="1"/>
  <c r="AH386" i="1" s="1"/>
  <c r="AF386" i="1"/>
  <c r="AF378" i="1"/>
  <c r="AG378" i="1"/>
  <c r="AH378" i="1" s="1"/>
  <c r="AF374" i="1"/>
  <c r="AG374" i="1"/>
  <c r="AH374" i="1" s="1"/>
  <c r="AF368" i="1"/>
  <c r="AG368" i="1"/>
  <c r="AH368" i="1" s="1"/>
  <c r="AF365" i="1"/>
  <c r="AG365" i="1"/>
  <c r="AH365" i="1" s="1"/>
  <c r="AG364" i="1"/>
  <c r="AH364" i="1" s="1"/>
  <c r="AF364" i="1"/>
  <c r="AG358" i="1"/>
  <c r="AH358" i="1" s="1"/>
  <c r="AF358" i="1"/>
  <c r="AF350" i="1"/>
  <c r="AG350" i="1"/>
  <c r="AH350" i="1" s="1"/>
  <c r="AF344" i="1"/>
  <c r="AG344" i="1"/>
  <c r="AH344" i="1" s="1"/>
  <c r="AG340" i="1"/>
  <c r="AH340" i="1" s="1"/>
  <c r="AF340" i="1"/>
  <c r="AG331" i="1"/>
  <c r="AH331" i="1" s="1"/>
  <c r="AF331" i="1"/>
  <c r="AG322" i="1"/>
  <c r="AH322" i="1" s="1"/>
  <c r="AF322" i="1"/>
  <c r="AF312" i="1"/>
  <c r="AG312" i="1"/>
  <c r="AH312" i="1" s="1"/>
  <c r="AF308" i="1"/>
  <c r="AG308" i="1"/>
  <c r="AH308" i="1" s="1"/>
  <c r="AF302" i="1"/>
  <c r="AG302" i="1"/>
  <c r="AH302" i="1" s="1"/>
  <c r="AG301" i="1"/>
  <c r="AH301" i="1" s="1"/>
  <c r="AF301" i="1"/>
  <c r="AF296" i="1"/>
  <c r="AG296" i="1"/>
  <c r="AH296" i="1" s="1"/>
  <c r="AG292" i="1"/>
  <c r="AH292" i="1" s="1"/>
  <c r="AF292" i="1"/>
  <c r="AG283" i="1"/>
  <c r="AH283" i="1" s="1"/>
  <c r="AF283" i="1"/>
  <c r="AF275" i="1"/>
  <c r="AG275" i="1"/>
  <c r="AH275" i="1" s="1"/>
  <c r="AG266" i="1"/>
  <c r="AH266" i="1" s="1"/>
  <c r="AF266" i="1"/>
  <c r="AF252" i="1"/>
  <c r="AG252" i="1"/>
  <c r="AH252" i="1" s="1"/>
  <c r="AG250" i="1"/>
  <c r="AH250" i="1" s="1"/>
  <c r="AF250" i="1"/>
  <c r="AF244" i="1"/>
  <c r="AG244" i="1"/>
  <c r="AH244" i="1" s="1"/>
  <c r="AG240" i="1"/>
  <c r="AH240" i="1" s="1"/>
  <c r="AF240" i="1"/>
  <c r="AG234" i="1"/>
  <c r="AH234" i="1" s="1"/>
  <c r="AF234" i="1"/>
  <c r="AF225" i="1"/>
  <c r="AG225" i="1"/>
  <c r="AH225" i="1" s="1"/>
  <c r="AF219" i="1"/>
  <c r="AG219" i="1"/>
  <c r="AH219" i="1" s="1"/>
  <c r="AF214" i="1"/>
  <c r="AG214" i="1"/>
  <c r="AH214" i="1" s="1"/>
  <c r="T352" i="1"/>
  <c r="T335" i="1"/>
  <c r="T320" i="1"/>
  <c r="T198" i="1"/>
  <c r="T394" i="1"/>
  <c r="T410" i="1"/>
  <c r="T407" i="1"/>
  <c r="T389" i="1"/>
  <c r="T378" i="1"/>
  <c r="T521" i="1"/>
  <c r="T510" i="1"/>
  <c r="T503" i="1"/>
  <c r="T468" i="1"/>
  <c r="T478" i="1"/>
  <c r="T460" i="1"/>
  <c r="T445" i="1"/>
  <c r="T423" i="1"/>
  <c r="T404" i="1"/>
  <c r="T408" i="1"/>
  <c r="T393" i="1"/>
  <c r="T519" i="1"/>
  <c r="T342" i="1"/>
  <c r="T372" i="1"/>
  <c r="T224" i="1"/>
  <c r="T230" i="1"/>
  <c r="T544" i="1"/>
  <c r="T534" i="1"/>
  <c r="T491" i="1"/>
  <c r="T479" i="1"/>
  <c r="T226" i="1"/>
  <c r="T256" i="1"/>
  <c r="T361" i="1"/>
  <c r="T470" i="1"/>
  <c r="T464" i="1"/>
  <c r="T498" i="1"/>
  <c r="T346" i="1"/>
  <c r="T513" i="1"/>
  <c r="T447" i="1"/>
  <c r="T476" i="1"/>
  <c r="T487" i="1"/>
  <c r="T509" i="1"/>
  <c r="T505" i="1"/>
  <c r="T522" i="1"/>
  <c r="T494" i="1"/>
  <c r="T437" i="1"/>
  <c r="T434" i="1"/>
  <c r="T420" i="1"/>
  <c r="T380" i="1"/>
  <c r="T274" i="1"/>
  <c r="T219" i="1"/>
  <c r="T311" i="1"/>
  <c r="T234" i="1"/>
  <c r="T232" i="1"/>
  <c r="T339" i="1"/>
  <c r="T293" i="1"/>
  <c r="T244" i="1"/>
  <c r="T417" i="1"/>
  <c r="T442" i="1"/>
  <c r="T457" i="1"/>
  <c r="T485" i="1"/>
  <c r="T530" i="1"/>
  <c r="T517" i="1"/>
  <c r="T515" i="1"/>
  <c r="T541" i="1"/>
  <c r="T518" i="1"/>
  <c r="T489" i="1"/>
  <c r="T480" i="1"/>
  <c r="T413" i="1"/>
  <c r="T266" i="1"/>
  <c r="T429" i="1"/>
  <c r="T425" i="1"/>
  <c r="T421" i="1"/>
  <c r="T382" i="1"/>
  <c r="T377" i="1"/>
  <c r="T365" i="1"/>
  <c r="T344" i="1"/>
  <c r="T336" i="1"/>
  <c r="T285" i="1"/>
  <c r="T268" i="1"/>
  <c r="T263" i="1"/>
  <c r="T306" i="1"/>
  <c r="T295" i="1"/>
  <c r="T272" i="1"/>
  <c r="T282" i="1"/>
  <c r="T289" i="1"/>
  <c r="T309" i="1"/>
  <c r="T328" i="1"/>
  <c r="T343" i="1"/>
  <c r="T357" i="1"/>
  <c r="T397" i="1"/>
  <c r="T405" i="1"/>
  <c r="T416" i="1"/>
  <c r="T424" i="1"/>
  <c r="T455" i="1"/>
  <c r="T461" i="1"/>
  <c r="T466" i="1"/>
  <c r="T483" i="1"/>
  <c r="T486" i="1"/>
  <c r="T527" i="1"/>
  <c r="T539" i="1"/>
  <c r="T465" i="1"/>
  <c r="T432" i="1"/>
  <c r="T430" i="1"/>
  <c r="T427" i="1"/>
  <c r="T428" i="1"/>
  <c r="T406" i="1"/>
  <c r="T402" i="1"/>
  <c r="T390" i="1"/>
  <c r="T385" i="1"/>
  <c r="T384" i="1"/>
  <c r="T369" i="1"/>
  <c r="T327" i="1"/>
  <c r="T316" i="1"/>
  <c r="T314" i="1"/>
  <c r="T287" i="1"/>
  <c r="T218" i="1"/>
  <c r="T248" i="1"/>
  <c r="T242" i="1"/>
  <c r="T238" i="1"/>
  <c r="T278" i="1"/>
  <c r="T271" i="1"/>
  <c r="T264" i="1"/>
  <c r="T257" i="1"/>
  <c r="T254" i="1"/>
  <c r="T239" i="1"/>
  <c r="T280" i="1"/>
  <c r="T283" i="1"/>
  <c r="T288" i="1"/>
  <c r="T304" i="1"/>
  <c r="T312" i="1"/>
  <c r="T332" i="1"/>
  <c r="T337" i="1"/>
  <c r="T362" i="1"/>
  <c r="T351" i="1"/>
  <c r="T348" i="1"/>
  <c r="T340" i="1"/>
  <c r="T338" i="1"/>
  <c r="T330" i="1"/>
  <c r="T381" i="1"/>
  <c r="T373" i="1"/>
  <c r="T368" i="1"/>
  <c r="T359" i="1"/>
  <c r="T403" i="1"/>
  <c r="T400" i="1"/>
  <c r="T399" i="1"/>
  <c r="T398" i="1"/>
  <c r="T395" i="1"/>
  <c r="T391" i="1"/>
  <c r="T383" i="1"/>
  <c r="T444" i="1"/>
  <c r="T451" i="1"/>
  <c r="T453" i="1"/>
  <c r="T456" i="1"/>
  <c r="T459" i="1"/>
  <c r="T473" i="1"/>
  <c r="T477" i="1"/>
  <c r="T481" i="1"/>
  <c r="T484" i="1"/>
  <c r="T499" i="1"/>
  <c r="T506" i="1"/>
  <c r="T512" i="1"/>
  <c r="T516" i="1"/>
  <c r="T532" i="1"/>
  <c r="T538" i="1"/>
  <c r="T542" i="1"/>
  <c r="T548" i="1"/>
  <c r="T524" i="1"/>
  <c r="T520" i="1"/>
  <c r="T546" i="1"/>
  <c r="T537" i="1"/>
  <c r="T514" i="1"/>
  <c r="T507" i="1"/>
  <c r="T504" i="1"/>
  <c r="T495" i="1"/>
  <c r="T472" i="1"/>
  <c r="T452" i="1"/>
  <c r="T450" i="1"/>
  <c r="T438" i="1"/>
  <c r="T436" i="1"/>
  <c r="T414" i="1"/>
  <c r="T388" i="1"/>
  <c r="T387" i="1"/>
  <c r="T386" i="1"/>
  <c r="T370" i="1"/>
  <c r="T367" i="1"/>
  <c r="T354" i="1"/>
  <c r="T317" i="1"/>
  <c r="T324" i="1"/>
  <c r="T298" i="1"/>
  <c r="T269" i="1"/>
  <c r="T267" i="1"/>
  <c r="T265" i="1"/>
  <c r="T220" i="1"/>
  <c r="T228" i="1"/>
  <c r="T231" i="1"/>
  <c r="T249" i="1"/>
  <c r="T240" i="1"/>
  <c r="T217" i="1"/>
  <c r="T259" i="1"/>
  <c r="T253" i="1"/>
  <c r="T296" i="1"/>
  <c r="T292" i="1"/>
  <c r="T290" i="1"/>
  <c r="T333" i="1"/>
  <c r="T326" i="1"/>
  <c r="T325" i="1"/>
  <c r="T322" i="1"/>
  <c r="T315" i="1"/>
  <c r="T347" i="1"/>
  <c r="T350" i="1"/>
  <c r="T349" i="1"/>
  <c r="T353" i="1"/>
  <c r="T355" i="1"/>
  <c r="T360" i="1"/>
  <c r="T364" i="1"/>
  <c r="T376" i="1"/>
  <c r="T374" i="1"/>
  <c r="T426" i="1"/>
  <c r="T422" i="1"/>
  <c r="T419" i="1"/>
  <c r="T415" i="1"/>
  <c r="T411" i="1"/>
  <c r="T474" i="1"/>
  <c r="T469" i="1"/>
  <c r="T463" i="1"/>
  <c r="T458" i="1"/>
  <c r="T454" i="1"/>
  <c r="T449" i="1"/>
  <c r="T511" i="1"/>
  <c r="T508" i="1"/>
  <c r="T502" i="1"/>
  <c r="T500" i="1"/>
  <c r="T526" i="1"/>
  <c r="T531" i="1"/>
  <c r="T536" i="1"/>
  <c r="T550" i="1"/>
  <c r="T547" i="1"/>
  <c r="T543" i="1"/>
  <c r="T540" i="1"/>
  <c r="T529" i="1"/>
  <c r="T528" i="1"/>
  <c r="T525" i="1"/>
  <c r="T501" i="1"/>
  <c r="T497" i="1"/>
  <c r="T475" i="1"/>
  <c r="T448" i="1"/>
  <c r="T446" i="1"/>
  <c r="T443" i="1"/>
  <c r="T439" i="1"/>
  <c r="T379" i="1"/>
  <c r="T375" i="1"/>
  <c r="T371" i="1"/>
  <c r="T356" i="1"/>
  <c r="T345" i="1"/>
  <c r="T329" i="1"/>
  <c r="T307" i="1"/>
  <c r="T302" i="1"/>
  <c r="T299" i="1"/>
  <c r="T310" i="1"/>
  <c r="T305" i="1"/>
  <c r="T284" i="1"/>
  <c r="T270" i="1"/>
  <c r="T260" i="1"/>
  <c r="T246" i="1"/>
  <c r="T241" i="1"/>
  <c r="T247" i="1"/>
  <c r="T235" i="1"/>
  <c r="T229" i="1"/>
  <c r="T223" i="1"/>
  <c r="T549" i="1"/>
  <c r="T545" i="1"/>
  <c r="T535" i="1"/>
  <c r="T533" i="1"/>
  <c r="T523" i="1"/>
  <c r="T496" i="1"/>
  <c r="T493" i="1"/>
  <c r="T490" i="1"/>
  <c r="T488" i="1"/>
  <c r="T482" i="1"/>
  <c r="T471" i="1"/>
  <c r="T467" i="1"/>
  <c r="T462" i="1"/>
  <c r="T441" i="1"/>
  <c r="T440" i="1"/>
  <c r="T435" i="1"/>
  <c r="T433" i="1"/>
  <c r="T431" i="1"/>
  <c r="T418" i="1"/>
  <c r="T412" i="1"/>
  <c r="T409" i="1"/>
  <c r="T401" i="1"/>
  <c r="T396" i="1"/>
  <c r="T392" i="1"/>
  <c r="T366" i="1"/>
  <c r="T363" i="1"/>
  <c r="T358" i="1"/>
  <c r="T341" i="1"/>
  <c r="T334" i="1"/>
  <c r="T331" i="1"/>
  <c r="T321" i="1"/>
  <c r="T318" i="1"/>
  <c r="T313" i="1"/>
  <c r="T308" i="1"/>
  <c r="T303" i="1"/>
  <c r="T300" i="1"/>
  <c r="T291" i="1"/>
  <c r="T286" i="1"/>
  <c r="T277" i="1"/>
  <c r="T275" i="1"/>
  <c r="T262" i="1"/>
  <c r="T261" i="1"/>
  <c r="T251" i="1"/>
  <c r="T245" i="1"/>
  <c r="T243" i="1"/>
  <c r="T237" i="1"/>
  <c r="T236" i="1"/>
  <c r="T225" i="1"/>
  <c r="T221" i="1"/>
  <c r="T216" i="1"/>
  <c r="T323" i="1"/>
  <c r="T319" i="1"/>
  <c r="T301" i="1"/>
  <c r="T297" i="1"/>
  <c r="T294" i="1"/>
  <c r="T281" i="1"/>
  <c r="T279" i="1"/>
  <c r="T273" i="1"/>
  <c r="T258" i="1"/>
  <c r="T255" i="1"/>
  <c r="T252" i="1"/>
  <c r="T250" i="1"/>
  <c r="T233" i="1"/>
  <c r="T227" i="1"/>
  <c r="T222" i="1"/>
  <c r="T276" i="1"/>
  <c r="T492" i="1"/>
  <c r="S449" i="1"/>
  <c r="S450" i="1"/>
  <c r="S451" i="1"/>
  <c r="S452" i="1"/>
  <c r="S453" i="1"/>
  <c r="S454" i="1"/>
  <c r="S455" i="1"/>
  <c r="S456" i="1"/>
  <c r="S457" i="1"/>
  <c r="T209" i="1"/>
  <c r="T206" i="1"/>
  <c r="T203" i="1"/>
  <c r="T200" i="1"/>
  <c r="T197" i="1"/>
  <c r="T202" i="1"/>
  <c r="T204" i="1"/>
  <c r="T207" i="1"/>
  <c r="T210" i="1"/>
  <c r="T199" i="1"/>
  <c r="T201" i="1"/>
  <c r="T205" i="1"/>
  <c r="T208" i="1"/>
  <c r="T213" i="1"/>
  <c r="M299" i="1" l="1"/>
  <c r="N299" i="1" s="1"/>
  <c r="M344" i="1"/>
  <c r="N344" i="1" s="1"/>
  <c r="M402" i="1"/>
  <c r="N402" i="1" s="1"/>
  <c r="M512" i="1"/>
  <c r="N512" i="1" s="1"/>
  <c r="M551" i="1"/>
  <c r="N551" i="1" s="1"/>
  <c r="M281" i="1"/>
  <c r="N281" i="1" s="1"/>
  <c r="M213" i="1"/>
  <c r="N213" i="1" s="1"/>
  <c r="M418" i="1"/>
  <c r="N418" i="1" s="1"/>
  <c r="M442" i="1"/>
  <c r="N442" i="1" s="1"/>
  <c r="M509" i="1"/>
  <c r="N509" i="1" s="1"/>
  <c r="M333" i="1"/>
  <c r="N333" i="1" s="1"/>
  <c r="M431" i="1"/>
  <c r="N431" i="1" s="1"/>
  <c r="M372" i="1"/>
  <c r="N372" i="1" s="1"/>
  <c r="M300" i="1"/>
  <c r="N300" i="1" s="1"/>
  <c r="M277" i="1"/>
  <c r="N277" i="1" s="1"/>
  <c r="M251" i="1"/>
  <c r="N251" i="1" s="1"/>
  <c r="M218" i="1"/>
  <c r="N218" i="1" s="1"/>
  <c r="M497" i="1"/>
  <c r="N497" i="1" s="1"/>
  <c r="M400" i="1"/>
  <c r="N400" i="1" s="1"/>
  <c r="M287" i="1"/>
  <c r="N287" i="1" s="1"/>
  <c r="M212" i="1"/>
  <c r="N212" i="1" s="1"/>
  <c r="M268" i="1"/>
  <c r="N268" i="1" s="1"/>
  <c r="M221" i="1"/>
  <c r="N221" i="1" s="1"/>
  <c r="M313" i="1"/>
  <c r="N313" i="1" s="1"/>
  <c r="M545" i="1"/>
  <c r="N545" i="1" s="1"/>
  <c r="M542" i="1"/>
  <c r="N542" i="1" s="1"/>
  <c r="M528" i="1"/>
  <c r="N528" i="1" s="1"/>
  <c r="M441" i="1"/>
  <c r="N441" i="1" s="1"/>
  <c r="M434" i="1"/>
  <c r="N434" i="1" s="1"/>
  <c r="M403" i="1"/>
  <c r="N403" i="1" s="1"/>
  <c r="M447" i="1"/>
  <c r="N447" i="1" s="1"/>
  <c r="M510" i="1"/>
  <c r="N510" i="1" s="1"/>
  <c r="M445" i="1"/>
  <c r="N445" i="1" s="1"/>
  <c r="M324" i="1"/>
  <c r="N324" i="1" s="1"/>
  <c r="M222" i="1"/>
  <c r="N222" i="1" s="1"/>
  <c r="M424" i="1"/>
  <c r="N424" i="1" s="1"/>
  <c r="M302" i="1"/>
  <c r="N302" i="1" s="1"/>
  <c r="M256" i="1"/>
  <c r="N256" i="1" s="1"/>
  <c r="M279" i="1"/>
  <c r="N279" i="1" s="1"/>
  <c r="M391" i="1"/>
  <c r="N391" i="1" s="1"/>
  <c r="M537" i="1"/>
  <c r="N537" i="1" s="1"/>
  <c r="M522" i="1"/>
  <c r="N522" i="1" s="1"/>
  <c r="M492" i="1"/>
  <c r="N492" i="1" s="1"/>
  <c r="M454" i="1"/>
  <c r="N454" i="1" s="1"/>
  <c r="M417" i="1"/>
  <c r="N417" i="1" s="1"/>
  <c r="M246" i="1"/>
  <c r="N246" i="1" s="1"/>
  <c r="M245" i="1"/>
  <c r="N245" i="1" s="1"/>
  <c r="M503" i="1"/>
  <c r="N503" i="1" s="1"/>
  <c r="M535" i="1"/>
  <c r="N535" i="1" s="1"/>
  <c r="M239" i="1"/>
  <c r="N239" i="1" s="1"/>
  <c r="M320" i="1"/>
  <c r="N320" i="1" s="1"/>
  <c r="M393" i="1"/>
  <c r="N393" i="1" s="1"/>
  <c r="M377" i="1"/>
  <c r="N377" i="1" s="1"/>
  <c r="M201" i="1"/>
  <c r="N201" i="1" s="1"/>
  <c r="M244" i="1"/>
  <c r="N244" i="1" s="1"/>
  <c r="M325" i="1"/>
  <c r="N325" i="1" s="1"/>
  <c r="M487" i="1"/>
  <c r="N487" i="1" s="1"/>
  <c r="M532" i="1"/>
  <c r="N532" i="1" s="1"/>
  <c r="M544" i="1"/>
  <c r="N544" i="1" s="1"/>
  <c r="M530" i="1"/>
  <c r="N530" i="1" s="1"/>
  <c r="M206" i="1"/>
  <c r="N206" i="1" s="1"/>
  <c r="M207" i="1"/>
  <c r="N207" i="1" s="1"/>
  <c r="M214" i="1"/>
  <c r="N214" i="1" s="1"/>
  <c r="M215" i="1"/>
  <c r="N215" i="1" s="1"/>
  <c r="M220" i="1"/>
  <c r="N220" i="1" s="1"/>
  <c r="M223" i="1"/>
  <c r="N223" i="1" s="1"/>
  <c r="M226" i="1"/>
  <c r="N226" i="1" s="1"/>
  <c r="M227" i="1"/>
  <c r="N227" i="1" s="1"/>
  <c r="M228" i="1"/>
  <c r="N228" i="1" s="1"/>
  <c r="M229" i="1"/>
  <c r="N229" i="1" s="1"/>
  <c r="M233" i="1"/>
  <c r="N233" i="1" s="1"/>
  <c r="M234" i="1"/>
  <c r="N234" i="1" s="1"/>
  <c r="M238" i="1"/>
  <c r="N238" i="1" s="1"/>
  <c r="M240" i="1"/>
  <c r="N240" i="1" s="1"/>
  <c r="M241" i="1"/>
  <c r="N241" i="1" s="1"/>
  <c r="M243" i="1"/>
  <c r="N243" i="1" s="1"/>
  <c r="M252" i="1"/>
  <c r="N252" i="1" s="1"/>
  <c r="M253" i="1"/>
  <c r="N253" i="1" s="1"/>
  <c r="M254" i="1"/>
  <c r="N254" i="1" s="1"/>
  <c r="M255" i="1"/>
  <c r="N255" i="1" s="1"/>
  <c r="M261" i="1"/>
  <c r="N261" i="1" s="1"/>
  <c r="M263" i="1"/>
  <c r="N263" i="1" s="1"/>
  <c r="M264" i="1"/>
  <c r="N264" i="1" s="1"/>
  <c r="M266" i="1"/>
  <c r="N266" i="1" s="1"/>
  <c r="M270" i="1"/>
  <c r="N270" i="1" s="1"/>
  <c r="M272" i="1"/>
  <c r="N272" i="1" s="1"/>
  <c r="M273" i="1"/>
  <c r="N273" i="1" s="1"/>
  <c r="M275" i="1"/>
  <c r="N275" i="1" s="1"/>
  <c r="M284" i="1"/>
  <c r="N284" i="1" s="1"/>
  <c r="M288" i="1"/>
  <c r="N288" i="1" s="1"/>
  <c r="M289" i="1"/>
  <c r="N289" i="1" s="1"/>
  <c r="M290" i="1"/>
  <c r="N290" i="1" s="1"/>
  <c r="M291" i="1"/>
  <c r="N291" i="1" s="1"/>
  <c r="M292" i="1"/>
  <c r="N292" i="1" s="1"/>
  <c r="M295" i="1"/>
  <c r="N295" i="1" s="1"/>
  <c r="M305" i="1"/>
  <c r="N305" i="1" s="1"/>
  <c r="M308" i="1"/>
  <c r="N308" i="1" s="1"/>
  <c r="M309" i="1"/>
  <c r="N309" i="1" s="1"/>
  <c r="M312" i="1"/>
  <c r="N312" i="1" s="1"/>
  <c r="M315" i="1"/>
  <c r="N315" i="1" s="1"/>
  <c r="M317" i="1"/>
  <c r="N317" i="1" s="1"/>
  <c r="M321" i="1"/>
  <c r="N321" i="1" s="1"/>
  <c r="M322" i="1"/>
  <c r="N322" i="1" s="1"/>
  <c r="M323" i="1"/>
  <c r="N323" i="1" s="1"/>
  <c r="M326" i="1"/>
  <c r="N326" i="1" s="1"/>
  <c r="M328" i="1"/>
  <c r="N328" i="1" s="1"/>
  <c r="M329" i="1"/>
  <c r="N329" i="1" s="1"/>
  <c r="M330" i="1"/>
  <c r="N330" i="1" s="1"/>
  <c r="M332" i="1"/>
  <c r="N332" i="1" s="1"/>
  <c r="M335" i="1"/>
  <c r="N335" i="1" s="1"/>
  <c r="M336" i="1"/>
  <c r="N336" i="1" s="1"/>
  <c r="M337" i="1"/>
  <c r="N337" i="1" s="1"/>
  <c r="M340" i="1"/>
  <c r="N340" i="1" s="1"/>
  <c r="M343" i="1"/>
  <c r="N343" i="1" s="1"/>
  <c r="M346" i="1"/>
  <c r="N346" i="1" s="1"/>
  <c r="M348" i="1"/>
  <c r="N348" i="1" s="1"/>
  <c r="M349" i="1"/>
  <c r="N349" i="1" s="1"/>
  <c r="M350" i="1"/>
  <c r="N350" i="1" s="1"/>
  <c r="M352" i="1"/>
  <c r="N352" i="1" s="1"/>
  <c r="M353" i="1"/>
  <c r="N353" i="1" s="1"/>
  <c r="M355" i="1"/>
  <c r="N355" i="1" s="1"/>
  <c r="M356" i="1"/>
  <c r="N356" i="1" s="1"/>
  <c r="M357" i="1"/>
  <c r="N357" i="1" s="1"/>
  <c r="M358" i="1"/>
  <c r="N358" i="1" s="1"/>
  <c r="M361" i="1"/>
  <c r="N361" i="1" s="1"/>
  <c r="M365" i="1"/>
  <c r="N365" i="1" s="1"/>
  <c r="M368" i="1"/>
  <c r="N368" i="1" s="1"/>
  <c r="M369" i="1"/>
  <c r="N369" i="1" s="1"/>
  <c r="M371" i="1"/>
  <c r="N371" i="1" s="1"/>
  <c r="M373" i="1"/>
  <c r="N373" i="1" s="1"/>
  <c r="M374" i="1"/>
  <c r="N374" i="1" s="1"/>
  <c r="M375" i="1"/>
  <c r="N375" i="1" s="1"/>
  <c r="M380" i="1"/>
  <c r="N380" i="1" s="1"/>
  <c r="M381" i="1"/>
  <c r="N381" i="1" s="1"/>
  <c r="M388" i="1"/>
  <c r="N388" i="1" s="1"/>
  <c r="M394" i="1"/>
  <c r="N394" i="1" s="1"/>
  <c r="M395" i="1"/>
  <c r="N395" i="1" s="1"/>
  <c r="M397" i="1"/>
  <c r="N397" i="1" s="1"/>
  <c r="M399" i="1"/>
  <c r="N399" i="1" s="1"/>
  <c r="M404" i="1"/>
  <c r="N404" i="1" s="1"/>
  <c r="M407" i="1"/>
  <c r="N407" i="1" s="1"/>
  <c r="M408" i="1"/>
  <c r="N408" i="1" s="1"/>
  <c r="M411" i="1"/>
  <c r="N411" i="1" s="1"/>
  <c r="M412" i="1"/>
  <c r="N412" i="1" s="1"/>
  <c r="M414" i="1"/>
  <c r="N414" i="1" s="1"/>
  <c r="M415" i="1"/>
  <c r="N415" i="1" s="1"/>
  <c r="M416" i="1"/>
  <c r="N416" i="1" s="1"/>
  <c r="M420" i="1"/>
  <c r="N420" i="1" s="1"/>
  <c r="M422" i="1"/>
  <c r="N422" i="1" s="1"/>
  <c r="M423" i="1"/>
  <c r="N423" i="1" s="1"/>
  <c r="M425" i="1"/>
  <c r="N425" i="1" s="1"/>
  <c r="M428" i="1"/>
  <c r="N428" i="1" s="1"/>
  <c r="M429" i="1"/>
  <c r="N429" i="1" s="1"/>
  <c r="M430" i="1"/>
  <c r="N430" i="1" s="1"/>
  <c r="M432" i="1"/>
  <c r="N432" i="1" s="1"/>
  <c r="M433" i="1"/>
  <c r="N433" i="1" s="1"/>
  <c r="M438" i="1"/>
  <c r="N438" i="1" s="1"/>
  <c r="M446" i="1"/>
  <c r="N446" i="1" s="1"/>
  <c r="M448" i="1"/>
  <c r="N448" i="1" s="1"/>
  <c r="M449" i="1"/>
  <c r="N449" i="1" s="1"/>
  <c r="M451" i="1"/>
  <c r="N451" i="1" s="1"/>
  <c r="M452" i="1"/>
  <c r="N452" i="1" s="1"/>
  <c r="M453" i="1"/>
  <c r="N453" i="1" s="1"/>
  <c r="M455" i="1"/>
  <c r="N455" i="1" s="1"/>
  <c r="M456" i="1"/>
  <c r="N456" i="1" s="1"/>
  <c r="M457" i="1"/>
  <c r="N457" i="1" s="1"/>
  <c r="M458" i="1"/>
  <c r="N458" i="1" s="1"/>
  <c r="M459" i="1"/>
  <c r="N459" i="1" s="1"/>
  <c r="M465" i="1"/>
  <c r="N465" i="1" s="1"/>
  <c r="M469" i="1"/>
  <c r="N469" i="1" s="1"/>
  <c r="M470" i="1"/>
  <c r="N470" i="1" s="1"/>
  <c r="M471" i="1"/>
  <c r="N471" i="1" s="1"/>
  <c r="M474" i="1"/>
  <c r="N474" i="1" s="1"/>
  <c r="M476" i="1"/>
  <c r="N476" i="1" s="1"/>
  <c r="M478" i="1"/>
  <c r="N478" i="1" s="1"/>
  <c r="M479" i="1"/>
  <c r="N479" i="1" s="1"/>
  <c r="M482" i="1"/>
  <c r="N482" i="1" s="1"/>
  <c r="M486" i="1"/>
  <c r="N486" i="1" s="1"/>
  <c r="M488" i="1"/>
  <c r="N488" i="1" s="1"/>
  <c r="M491" i="1"/>
  <c r="N491" i="1" s="1"/>
  <c r="M493" i="1"/>
  <c r="N493" i="1" s="1"/>
  <c r="M494" i="1"/>
  <c r="N494" i="1" s="1"/>
  <c r="M501" i="1"/>
  <c r="N501" i="1" s="1"/>
  <c r="M508" i="1"/>
  <c r="N508" i="1" s="1"/>
  <c r="M511" i="1"/>
  <c r="N511" i="1" s="1"/>
  <c r="M515" i="1"/>
  <c r="N515" i="1" s="1"/>
  <c r="M516" i="1"/>
  <c r="N516" i="1" s="1"/>
  <c r="M517" i="1"/>
  <c r="N517" i="1" s="1"/>
  <c r="M518" i="1"/>
  <c r="N518" i="1" s="1"/>
  <c r="M524" i="1"/>
  <c r="N524" i="1" s="1"/>
  <c r="M526" i="1"/>
  <c r="N526" i="1" s="1"/>
  <c r="M538" i="1"/>
  <c r="N538" i="1" s="1"/>
  <c r="M543" i="1"/>
  <c r="N543" i="1" s="1"/>
  <c r="M546" i="1"/>
  <c r="N546" i="1" s="1"/>
  <c r="M547" i="1"/>
  <c r="N547" i="1" s="1"/>
  <c r="M548" i="1"/>
  <c r="N548" i="1" s="1"/>
  <c r="AB287" i="1" l="1"/>
  <c r="S197" i="1"/>
  <c r="AB197" i="1"/>
  <c r="AG197" i="1"/>
  <c r="AI197" i="1"/>
  <c r="AJ197" i="1" s="1"/>
  <c r="S203" i="1"/>
  <c r="AG203" i="1"/>
  <c r="AI203" i="1"/>
  <c r="AJ203" i="1" s="1"/>
  <c r="S218" i="1"/>
  <c r="AB218" i="1"/>
  <c r="S223" i="1"/>
  <c r="S229" i="1"/>
  <c r="AB229" i="1"/>
  <c r="S230" i="1"/>
  <c r="S231" i="1"/>
  <c r="AB231" i="1"/>
  <c r="S232" i="1"/>
  <c r="AB232" i="1"/>
  <c r="S233" i="1"/>
  <c r="S234" i="1"/>
  <c r="AB234" i="1"/>
  <c r="S235" i="1"/>
  <c r="AB235" i="1"/>
  <c r="S242" i="1"/>
  <c r="AB242" i="1"/>
  <c r="S247" i="1"/>
  <c r="AB247" i="1"/>
  <c r="S248" i="1"/>
  <c r="AB248" i="1"/>
  <c r="S252" i="1"/>
  <c r="AB252" i="1"/>
  <c r="S253" i="1"/>
  <c r="AB253" i="1"/>
  <c r="S254" i="1"/>
  <c r="AB254" i="1"/>
  <c r="S257" i="1"/>
  <c r="AB257" i="1"/>
  <c r="S258" i="1"/>
  <c r="AB258" i="1"/>
  <c r="S259" i="1"/>
  <c r="AB259" i="1"/>
  <c r="S262" i="1"/>
  <c r="AB262" i="1"/>
  <c r="S265" i="1"/>
  <c r="AB265" i="1"/>
  <c r="S266" i="1"/>
  <c r="AB266" i="1"/>
  <c r="S267" i="1"/>
  <c r="AB267" i="1"/>
  <c r="S273" i="1"/>
  <c r="AB273" i="1"/>
  <c r="S276" i="1"/>
  <c r="AB276" i="1"/>
  <c r="S279" i="1"/>
  <c r="S281" i="1"/>
  <c r="AB281" i="1"/>
  <c r="S286" i="1"/>
  <c r="AB286" i="1"/>
  <c r="S287" i="1"/>
  <c r="S288" i="1"/>
  <c r="AB288" i="1"/>
  <c r="S289" i="1"/>
  <c r="AB289" i="1"/>
  <c r="S290" i="1"/>
  <c r="S291" i="1"/>
  <c r="AB291" i="1"/>
  <c r="S292" i="1"/>
  <c r="AB292" i="1"/>
  <c r="S293" i="1"/>
  <c r="AB293" i="1"/>
  <c r="S301" i="1"/>
  <c r="AB301" i="1"/>
  <c r="S302" i="1"/>
  <c r="AB302" i="1"/>
  <c r="S308" i="1"/>
  <c r="AB308" i="1"/>
  <c r="S309" i="1"/>
  <c r="AB309" i="1"/>
  <c r="S310" i="1"/>
  <c r="AB310" i="1"/>
  <c r="S311" i="1"/>
  <c r="AB311" i="1"/>
  <c r="S315" i="1"/>
  <c r="AB315" i="1"/>
  <c r="S318" i="1"/>
  <c r="AB318" i="1"/>
  <c r="S321" i="1"/>
  <c r="AB321" i="1"/>
  <c r="S323" i="1"/>
  <c r="AB323" i="1"/>
  <c r="S324" i="1"/>
  <c r="AB324" i="1"/>
  <c r="S328" i="1"/>
  <c r="AB328" i="1"/>
  <c r="S329" i="1"/>
  <c r="AB329" i="1"/>
  <c r="S330" i="1"/>
  <c r="AB330" i="1"/>
  <c r="S332" i="1"/>
  <c r="AB332" i="1"/>
  <c r="S333" i="1"/>
  <c r="AB333" i="1"/>
  <c r="S335" i="1"/>
  <c r="AB335" i="1"/>
  <c r="S336" i="1"/>
  <c r="AB336" i="1"/>
  <c r="S337" i="1"/>
  <c r="AB337" i="1"/>
  <c r="S342" i="1"/>
  <c r="AB342" i="1"/>
  <c r="S348" i="1"/>
  <c r="AB348" i="1"/>
  <c r="S349" i="1"/>
  <c r="AB349" i="1"/>
  <c r="S350" i="1"/>
  <c r="AB350" i="1"/>
  <c r="S354" i="1"/>
  <c r="AB354" i="1"/>
  <c r="S355" i="1"/>
  <c r="AB355" i="1"/>
  <c r="S356" i="1"/>
  <c r="AB356" i="1"/>
  <c r="S363" i="1"/>
  <c r="AB363" i="1"/>
  <c r="S365" i="1"/>
  <c r="AB365" i="1"/>
  <c r="S366" i="1"/>
  <c r="AB366" i="1"/>
  <c r="S376" i="1"/>
  <c r="AB376" i="1"/>
  <c r="S379" i="1"/>
  <c r="AB379" i="1"/>
  <c r="S380" i="1"/>
  <c r="S381" i="1"/>
  <c r="AB381" i="1"/>
  <c r="S384" i="1"/>
  <c r="AB384" i="1"/>
  <c r="S392" i="1"/>
  <c r="AB392" i="1"/>
  <c r="S394" i="1"/>
  <c r="AB394" i="1"/>
  <c r="S398" i="1"/>
  <c r="AB398" i="1"/>
  <c r="S399" i="1"/>
  <c r="AB399" i="1"/>
  <c r="S400" i="1"/>
  <c r="AB400" i="1"/>
  <c r="S401" i="1"/>
  <c r="AB401" i="1"/>
  <c r="S404" i="1"/>
  <c r="AB404" i="1"/>
  <c r="S405" i="1"/>
  <c r="AB405" i="1"/>
  <c r="S406" i="1"/>
  <c r="AB406" i="1"/>
  <c r="S407" i="1"/>
  <c r="AB407" i="1"/>
  <c r="S409" i="1"/>
  <c r="AB409" i="1"/>
  <c r="S411" i="1"/>
  <c r="AB411" i="1"/>
  <c r="S413" i="1"/>
  <c r="AB413" i="1"/>
  <c r="S414" i="1"/>
  <c r="AB414" i="1"/>
  <c r="S415" i="1"/>
  <c r="AB415" i="1"/>
  <c r="S416" i="1"/>
  <c r="AB416" i="1"/>
  <c r="S417" i="1"/>
  <c r="AB417" i="1"/>
  <c r="S419" i="1"/>
  <c r="AB419" i="1"/>
  <c r="S425" i="1"/>
  <c r="AB425" i="1"/>
  <c r="S426" i="1"/>
  <c r="AB426" i="1"/>
  <c r="S435" i="1"/>
  <c r="AB435" i="1"/>
  <c r="S436" i="1"/>
  <c r="AB436" i="1"/>
  <c r="S437" i="1"/>
  <c r="AB437" i="1"/>
  <c r="S444" i="1"/>
  <c r="S448" i="1"/>
  <c r="AB448" i="1"/>
  <c r="AB450" i="1"/>
  <c r="AB455" i="1"/>
  <c r="AB456" i="1"/>
  <c r="AB457" i="1"/>
  <c r="S458" i="1"/>
  <c r="AB458" i="1"/>
  <c r="S459" i="1"/>
  <c r="AB459" i="1"/>
  <c r="S460" i="1"/>
  <c r="AB460" i="1"/>
  <c r="S467" i="1"/>
  <c r="AB467" i="1"/>
  <c r="S468" i="1"/>
  <c r="AB468" i="1"/>
  <c r="S471" i="1"/>
  <c r="AB471" i="1"/>
  <c r="S477" i="1"/>
  <c r="AB477" i="1"/>
  <c r="S481" i="1"/>
  <c r="AB481" i="1"/>
  <c r="S482" i="1"/>
  <c r="AB482" i="1"/>
  <c r="S485" i="1"/>
  <c r="AB485" i="1"/>
  <c r="S488" i="1"/>
  <c r="AB488" i="1"/>
  <c r="S491" i="1"/>
  <c r="AB491" i="1"/>
  <c r="S494" i="1"/>
  <c r="AB494" i="1"/>
  <c r="S495" i="1"/>
  <c r="AB495" i="1"/>
  <c r="S496" i="1"/>
  <c r="AB496" i="1"/>
  <c r="S509" i="1"/>
  <c r="AB509" i="1"/>
  <c r="S512" i="1"/>
  <c r="AB512" i="1"/>
  <c r="S513" i="1"/>
  <c r="AB513" i="1"/>
  <c r="S514" i="1"/>
  <c r="AB514" i="1"/>
  <c r="S515" i="1"/>
  <c r="AB515" i="1"/>
  <c r="S523" i="1"/>
  <c r="AB523" i="1"/>
  <c r="S524" i="1"/>
  <c r="AB524" i="1"/>
  <c r="S527" i="1"/>
  <c r="AB527" i="1"/>
  <c r="S538" i="1"/>
  <c r="AB538" i="1"/>
  <c r="S539" i="1"/>
  <c r="AB539" i="1"/>
  <c r="S540" i="1"/>
  <c r="AB540" i="1"/>
  <c r="S542" i="1"/>
  <c r="S547" i="1"/>
  <c r="AB547" i="1"/>
  <c r="S548" i="1"/>
  <c r="AB548" i="1"/>
  <c r="S549" i="1"/>
  <c r="AB549" i="1"/>
  <c r="S550" i="1"/>
  <c r="AB550" i="1"/>
  <c r="S621" i="1"/>
  <c r="AH203" i="1" l="1"/>
  <c r="AH197" i="1"/>
  <c r="AF197" i="1"/>
  <c r="AF203" i="1"/>
  <c r="M592" i="1" l="1"/>
  <c r="N592" i="1" s="1"/>
  <c r="M590" i="1"/>
  <c r="N590" i="1" s="1"/>
  <c r="AD693" i="1" l="1"/>
  <c r="AD692" i="1"/>
  <c r="AD691" i="1"/>
  <c r="AD670" i="1"/>
  <c r="AD669" i="1"/>
  <c r="AD668" i="1"/>
  <c r="AD644" i="1"/>
  <c r="AD643" i="1"/>
  <c r="AD642" i="1"/>
  <c r="AD641" i="1"/>
  <c r="AD640" i="1"/>
  <c r="AD635" i="1"/>
  <c r="AD604" i="1"/>
  <c r="AD603" i="1"/>
  <c r="AD592" i="1"/>
  <c r="AD591" i="1"/>
  <c r="AD590" i="1"/>
  <c r="AD589" i="1"/>
  <c r="AD588" i="1"/>
  <c r="AD587" i="1"/>
  <c r="AD575" i="1"/>
  <c r="AD574" i="1"/>
  <c r="AD573" i="1"/>
  <c r="AD572" i="1"/>
  <c r="AD562" i="1"/>
  <c r="AD561" i="1"/>
  <c r="AD560" i="1"/>
  <c r="AD559" i="1"/>
  <c r="AB526" i="1"/>
  <c r="AB516" i="1"/>
  <c r="AB499" i="1"/>
  <c r="AB498" i="1"/>
  <c r="AB497" i="1"/>
  <c r="AB479" i="1"/>
  <c r="AB478" i="1"/>
  <c r="AB462" i="1"/>
  <c r="AB461" i="1"/>
  <c r="AB438" i="1"/>
  <c r="AB408" i="1"/>
  <c r="AB387" i="1"/>
  <c r="AB358" i="1"/>
  <c r="AB357" i="1"/>
  <c r="AB339" i="1"/>
  <c r="AB338" i="1"/>
  <c r="AB303" i="1"/>
  <c r="AB294" i="1"/>
  <c r="AB269" i="1"/>
  <c r="AB268" i="1"/>
  <c r="AB236" i="1"/>
  <c r="AB217" i="1"/>
  <c r="AB213" i="1"/>
  <c r="AB212" i="1"/>
  <c r="T211" i="1"/>
  <c r="AF587" i="1" l="1"/>
  <c r="AG587" i="1"/>
  <c r="AH587" i="1" s="1"/>
  <c r="AF642" i="1"/>
  <c r="AG642" i="1"/>
  <c r="AH642" i="1" s="1"/>
  <c r="AF670" i="1"/>
  <c r="AG670" i="1"/>
  <c r="AH670" i="1" s="1"/>
  <c r="AF562" i="1"/>
  <c r="AG562" i="1"/>
  <c r="AH562" i="1" s="1"/>
  <c r="AG588" i="1"/>
  <c r="AH588" i="1" s="1"/>
  <c r="AF588" i="1"/>
  <c r="AF643" i="1"/>
  <c r="AG643" i="1"/>
  <c r="AH643" i="1" s="1"/>
  <c r="AF572" i="1"/>
  <c r="AG572" i="1"/>
  <c r="AH572" i="1" s="1"/>
  <c r="AF589" i="1"/>
  <c r="AG589" i="1"/>
  <c r="AH589" i="1" s="1"/>
  <c r="AF644" i="1"/>
  <c r="AG644" i="1"/>
  <c r="AH644" i="1" s="1"/>
  <c r="AF691" i="1"/>
  <c r="AG691" i="1"/>
  <c r="AH691" i="1" s="1"/>
  <c r="AF573" i="1"/>
  <c r="AG573" i="1"/>
  <c r="AH573" i="1" s="1"/>
  <c r="AF590" i="1"/>
  <c r="AG590" i="1"/>
  <c r="AH590" i="1" s="1"/>
  <c r="AG635" i="1"/>
  <c r="AH635" i="1" s="1"/>
  <c r="AF635" i="1"/>
  <c r="AG659" i="1"/>
  <c r="AH659" i="1" s="1"/>
  <c r="AF659" i="1"/>
  <c r="AF692" i="1"/>
  <c r="AG692" i="1"/>
  <c r="AH692" i="1" s="1"/>
  <c r="AG561" i="1"/>
  <c r="AH561" i="1" s="1"/>
  <c r="AF561" i="1"/>
  <c r="AG559" i="1"/>
  <c r="AH559" i="1" s="1"/>
  <c r="AF559" i="1"/>
  <c r="AF574" i="1"/>
  <c r="AG574" i="1"/>
  <c r="AH574" i="1" s="1"/>
  <c r="AG591" i="1"/>
  <c r="AH591" i="1" s="1"/>
  <c r="AF591" i="1"/>
  <c r="AF640" i="1"/>
  <c r="AG640" i="1"/>
  <c r="AH640" i="1" s="1"/>
  <c r="AG668" i="1"/>
  <c r="AH668" i="1" s="1"/>
  <c r="AF668" i="1"/>
  <c r="AG693" i="1"/>
  <c r="AH693" i="1" s="1"/>
  <c r="AF693" i="1"/>
  <c r="AF560" i="1"/>
  <c r="AG560" i="1"/>
  <c r="AH560" i="1" s="1"/>
  <c r="AG575" i="1"/>
  <c r="AH575" i="1" s="1"/>
  <c r="AF575" i="1"/>
  <c r="AF592" i="1"/>
  <c r="AG592" i="1"/>
  <c r="AH592" i="1" s="1"/>
  <c r="AG641" i="1"/>
  <c r="AH641" i="1" s="1"/>
  <c r="AF641" i="1"/>
  <c r="AF669" i="1"/>
  <c r="AG669" i="1"/>
  <c r="AH669" i="1" s="1"/>
  <c r="AF603" i="1"/>
  <c r="AG603" i="1"/>
  <c r="AH603" i="1" s="1"/>
  <c r="AF604" i="1"/>
  <c r="AG604" i="1"/>
  <c r="AH604" i="1" s="1"/>
  <c r="AB211" i="1"/>
  <c r="AD690" i="1"/>
  <c r="AF690" i="1" l="1"/>
  <c r="AG690" i="1"/>
  <c r="AH690" i="1" s="1"/>
  <c r="S693" i="1"/>
  <c r="S692" i="1"/>
  <c r="S691" i="1"/>
  <c r="S681" i="1"/>
  <c r="S680" i="1"/>
  <c r="S670" i="1"/>
  <c r="S669" i="1"/>
  <c r="S668" i="1"/>
  <c r="S644" i="1"/>
  <c r="S643" i="1"/>
  <c r="S642" i="1"/>
  <c r="S641" i="1"/>
  <c r="S640" i="1"/>
  <c r="S635" i="1"/>
  <c r="S634" i="1"/>
  <c r="S633" i="1"/>
  <c r="S632" i="1"/>
  <c r="S631" i="1"/>
  <c r="S630" i="1"/>
  <c r="S620" i="1"/>
  <c r="S619" i="1"/>
  <c r="S618" i="1"/>
  <c r="S617" i="1"/>
  <c r="S616" i="1"/>
  <c r="S604" i="1"/>
  <c r="S603" i="1"/>
  <c r="S592" i="1"/>
  <c r="S591" i="1"/>
  <c r="S590" i="1"/>
  <c r="S589" i="1"/>
  <c r="S588" i="1"/>
  <c r="S587" i="1"/>
  <c r="S575" i="1"/>
  <c r="S574" i="1"/>
  <c r="S573" i="1"/>
  <c r="S572" i="1"/>
  <c r="S562" i="1"/>
  <c r="S561" i="1"/>
  <c r="S560" i="1"/>
  <c r="S559" i="1"/>
  <c r="S526" i="1"/>
  <c r="S516" i="1"/>
  <c r="S499" i="1"/>
  <c r="S498" i="1"/>
  <c r="S497" i="1"/>
  <c r="S479" i="1"/>
  <c r="S478" i="1"/>
  <c r="S462" i="1"/>
  <c r="S461" i="1"/>
  <c r="S438" i="1"/>
  <c r="S408" i="1"/>
  <c r="S387" i="1"/>
  <c r="S358" i="1"/>
  <c r="S357" i="1"/>
  <c r="S339" i="1"/>
  <c r="S338" i="1"/>
  <c r="S303" i="1"/>
  <c r="S294" i="1"/>
  <c r="S269" i="1"/>
  <c r="S268" i="1"/>
  <c r="S236" i="1"/>
  <c r="S217" i="1"/>
  <c r="S213" i="1"/>
  <c r="S212" i="1"/>
  <c r="S211" i="1"/>
  <c r="S210" i="1"/>
  <c r="T212" i="1"/>
  <c r="S227" i="1" l="1"/>
  <c r="S228" i="1"/>
  <c r="S245" i="1"/>
  <c r="S246" i="1"/>
  <c r="S251" i="1"/>
  <c r="S263" i="1"/>
  <c r="S264" i="1"/>
  <c r="S403" i="1"/>
  <c r="S420" i="1"/>
  <c r="S433" i="1"/>
  <c r="S434" i="1"/>
  <c r="S493" i="1"/>
  <c r="S510" i="1"/>
  <c r="S511" i="1"/>
  <c r="S543" i="1"/>
  <c r="S544" i="1"/>
  <c r="S545" i="1"/>
  <c r="S546" i="1"/>
  <c r="M666" i="1"/>
  <c r="N666" i="1" s="1"/>
  <c r="M612" i="1"/>
  <c r="N612" i="1" s="1"/>
  <c r="M679" i="1"/>
  <c r="N679" i="1" s="1"/>
  <c r="M580" i="1"/>
  <c r="N580" i="1" s="1"/>
  <c r="M663" i="1"/>
  <c r="N663" i="1" s="1"/>
  <c r="S402" i="1" l="1"/>
  <c r="M674" i="1" l="1"/>
  <c r="N674" i="1" s="1"/>
  <c r="M650" i="1"/>
  <c r="N650" i="1" s="1"/>
  <c r="M586" i="1"/>
  <c r="N586" i="1" s="1"/>
  <c r="M576" i="1"/>
  <c r="N576" i="1" s="1"/>
  <c r="M552" i="1"/>
  <c r="N552" i="1" s="1"/>
  <c r="M579" i="1"/>
  <c r="N579" i="1" s="1"/>
  <c r="M554" i="1"/>
  <c r="N554" i="1" s="1"/>
  <c r="M686" i="1"/>
  <c r="N686" i="1" s="1"/>
  <c r="M629" i="1"/>
  <c r="N629" i="1" s="1"/>
  <c r="M606" i="1"/>
  <c r="N606" i="1" s="1"/>
  <c r="M598" i="1"/>
  <c r="N598" i="1" s="1"/>
  <c r="M672" i="1"/>
  <c r="N672" i="1" s="1"/>
  <c r="M648" i="1"/>
  <c r="N648" i="1" s="1"/>
  <c r="M646" i="1"/>
  <c r="N646" i="1" s="1"/>
  <c r="M607" i="1"/>
  <c r="N607" i="1" s="1"/>
  <c r="M564" i="1"/>
  <c r="N564" i="1" s="1"/>
  <c r="M662" i="1"/>
  <c r="N662" i="1" s="1"/>
  <c r="M665" i="1"/>
  <c r="N665" i="1" s="1"/>
  <c r="M676" i="1"/>
  <c r="N676" i="1" s="1"/>
  <c r="M687" i="1"/>
  <c r="N687" i="1" s="1"/>
  <c r="M658" i="1"/>
  <c r="N658" i="1" s="1"/>
  <c r="M622" i="1"/>
  <c r="N622" i="1" s="1"/>
  <c r="M614" i="1"/>
  <c r="N614" i="1" s="1"/>
  <c r="M605" i="1"/>
  <c r="N605" i="1" s="1"/>
  <c r="M553" i="1"/>
  <c r="N553" i="1" s="1"/>
  <c r="M568" i="1"/>
  <c r="N568" i="1" s="1"/>
  <c r="M578" i="1"/>
  <c r="N578" i="1" s="1"/>
  <c r="M556" i="1"/>
  <c r="N556" i="1" s="1"/>
  <c r="M567" i="1"/>
  <c r="N567" i="1" s="1"/>
  <c r="M638" i="1"/>
  <c r="N638" i="1" s="1"/>
  <c r="M626" i="1"/>
  <c r="N626" i="1" s="1"/>
  <c r="M610" i="1"/>
  <c r="N610" i="1" s="1"/>
  <c r="M597" i="1"/>
  <c r="N597" i="1" s="1"/>
  <c r="M649" i="1"/>
  <c r="N649" i="1" s="1"/>
  <c r="M653" i="1"/>
  <c r="N653" i="1" s="1"/>
  <c r="M654" i="1"/>
  <c r="N654" i="1" s="1"/>
  <c r="M655" i="1"/>
  <c r="N655" i="1" s="1"/>
  <c r="M645" i="1"/>
  <c r="N645" i="1" s="1"/>
  <c r="M637" i="1"/>
  <c r="N637" i="1" s="1"/>
  <c r="M628" i="1"/>
  <c r="N628" i="1" s="1"/>
  <c r="M613" i="1"/>
  <c r="N613" i="1" s="1"/>
  <c r="M611" i="1"/>
  <c r="N611" i="1" s="1"/>
  <c r="M608" i="1"/>
  <c r="N608" i="1" s="1"/>
  <c r="M601" i="1"/>
  <c r="N601" i="1" s="1"/>
  <c r="M690" i="1"/>
  <c r="N690" i="1" s="1"/>
  <c r="M677" i="1"/>
  <c r="N677" i="1" s="1"/>
  <c r="M661" i="1"/>
  <c r="N661" i="1" s="1"/>
  <c r="M657" i="1"/>
  <c r="N657" i="1" s="1"/>
  <c r="M647" i="1"/>
  <c r="N647" i="1" s="1"/>
  <c r="M600" i="1"/>
  <c r="N600" i="1" s="1"/>
  <c r="M585" i="1"/>
  <c r="N585" i="1" s="1"/>
  <c r="M583" i="1"/>
  <c r="N583" i="1" s="1"/>
  <c r="M581" i="1"/>
  <c r="N581" i="1" s="1"/>
  <c r="M571" i="1"/>
  <c r="N571" i="1" s="1"/>
  <c r="N558" i="1"/>
  <c r="M636" i="1"/>
  <c r="N636" i="1" s="1"/>
  <c r="M627" i="1"/>
  <c r="N627" i="1" s="1"/>
  <c r="M625" i="1"/>
  <c r="N625" i="1" s="1"/>
  <c r="M624" i="1"/>
  <c r="N624" i="1" s="1"/>
  <c r="M609" i="1"/>
  <c r="N609" i="1" s="1"/>
  <c r="M700" i="1"/>
  <c r="N700" i="1" s="1"/>
  <c r="M697" i="1"/>
  <c r="N697" i="1" s="1"/>
  <c r="M689" i="1"/>
  <c r="N689" i="1" s="1"/>
  <c r="M688" i="1"/>
  <c r="N688" i="1" s="1"/>
  <c r="M684" i="1"/>
  <c r="N684" i="1" s="1"/>
  <c r="M675" i="1"/>
  <c r="N675" i="1" s="1"/>
  <c r="M656" i="1"/>
  <c r="N656" i="1" s="1"/>
  <c r="M602" i="1"/>
  <c r="N602" i="1" s="1"/>
  <c r="M599" i="1"/>
  <c r="N599" i="1" s="1"/>
  <c r="M596" i="1"/>
  <c r="N596" i="1" s="1"/>
  <c r="M594" i="1"/>
  <c r="N594" i="1" s="1"/>
  <c r="M593" i="1"/>
  <c r="N593" i="1" s="1"/>
  <c r="M584" i="1"/>
  <c r="N584" i="1" s="1"/>
  <c r="M557" i="1"/>
  <c r="N557" i="1" s="1"/>
  <c r="M555" i="1"/>
  <c r="N555" i="1" s="1"/>
  <c r="M683" i="1"/>
  <c r="N683" i="1" s="1"/>
  <c r="M678" i="1"/>
  <c r="N678" i="1" s="1"/>
  <c r="M660" i="1"/>
  <c r="N660" i="1" s="1"/>
  <c r="M695" i="1"/>
  <c r="N695" i="1" s="1"/>
  <c r="M704" i="1"/>
  <c r="N704" i="1" s="1"/>
  <c r="M685" i="1"/>
  <c r="N685" i="1" s="1"/>
  <c r="M673" i="1"/>
  <c r="N673" i="1" s="1"/>
  <c r="M671" i="1"/>
  <c r="N671" i="1" s="1"/>
  <c r="M615" i="1"/>
  <c r="N615" i="1" s="1"/>
  <c r="M565" i="1"/>
  <c r="N565" i="1" s="1"/>
  <c r="M577" i="1"/>
  <c r="N577" i="1" s="1"/>
  <c r="M570" i="1"/>
  <c r="N570" i="1" s="1"/>
  <c r="M563" i="1"/>
  <c r="N563" i="1" s="1"/>
  <c r="AI198" i="1"/>
  <c r="AJ198" i="1" s="1"/>
  <c r="AI199" i="1"/>
  <c r="AJ199" i="1" s="1"/>
  <c r="AI200" i="1"/>
  <c r="AJ200" i="1" s="1"/>
  <c r="AI201" i="1"/>
  <c r="AJ201" i="1" s="1"/>
  <c r="AI202" i="1"/>
  <c r="AJ202" i="1" s="1"/>
  <c r="AI204" i="1"/>
  <c r="AJ204" i="1" s="1"/>
  <c r="AI205" i="1"/>
  <c r="AJ205" i="1" s="1"/>
  <c r="AI206" i="1"/>
  <c r="AJ206" i="1" s="1"/>
  <c r="AI207" i="1"/>
  <c r="AJ207" i="1" s="1"/>
  <c r="AI208" i="1"/>
  <c r="AJ208" i="1" s="1"/>
  <c r="AI209" i="1"/>
  <c r="AJ209" i="1" s="1"/>
  <c r="AI196" i="1"/>
  <c r="AJ196" i="1" s="1"/>
  <c r="AB418" i="1"/>
  <c r="AB393" i="1"/>
  <c r="AB296" i="1"/>
  <c r="AB326" i="1"/>
  <c r="AB353" i="1"/>
  <c r="AB446" i="1"/>
  <c r="AB424" i="1"/>
  <c r="AB391" i="1"/>
  <c r="AB345" i="1"/>
  <c r="AB369" i="1"/>
  <c r="AB325" i="1"/>
  <c r="AB283" i="1"/>
  <c r="AB282" i="1"/>
  <c r="AB256" i="1"/>
  <c r="AB209" i="1"/>
  <c r="AB346" i="1"/>
  <c r="AB343" i="1"/>
  <c r="AB340" i="1"/>
  <c r="AB331" i="1"/>
  <c r="AB317" i="1"/>
  <c r="AB280" i="1"/>
  <c r="AB216" i="1"/>
  <c r="AB201" i="1"/>
  <c r="AB304" i="1"/>
  <c r="AB530" i="1"/>
  <c r="AB474" i="1"/>
  <c r="AB383" i="1"/>
  <c r="AB374" i="1"/>
  <c r="AB484" i="1"/>
  <c r="AB472" i="1"/>
  <c r="AB300" i="1"/>
  <c r="AB535" i="1"/>
  <c r="AB521" i="1"/>
  <c r="AB520" i="1"/>
  <c r="AB501" i="1"/>
  <c r="AB441" i="1"/>
  <c r="AB421" i="1"/>
  <c r="AB397" i="1"/>
  <c r="AB429" i="1"/>
  <c r="AB466" i="1"/>
  <c r="AB386" i="1"/>
  <c r="AB382" i="1"/>
  <c r="AB378" i="1"/>
  <c r="AB375" i="1"/>
  <c r="AB362" i="1"/>
  <c r="AB359" i="1"/>
  <c r="AB352" i="1"/>
  <c r="AB351" i="1"/>
  <c r="AB347" i="1"/>
  <c r="AB344" i="1"/>
  <c r="AB341" i="1"/>
  <c r="AB320" i="1"/>
  <c r="AB314" i="1"/>
  <c r="AB307" i="1"/>
  <c r="AB298" i="1"/>
  <c r="AB285" i="1"/>
  <c r="AB277" i="1"/>
  <c r="AB275" i="1"/>
  <c r="AB261" i="1"/>
  <c r="AB214" i="1"/>
  <c r="AB237" i="1"/>
  <c r="AB222" i="1"/>
  <c r="AB206" i="1"/>
  <c r="AB327" i="1"/>
  <c r="AB322" i="1"/>
  <c r="AB278" i="1"/>
  <c r="AB274" i="1"/>
  <c r="AB271" i="1"/>
  <c r="AB244" i="1"/>
  <c r="AB272" i="1"/>
  <c r="AB270" i="1"/>
  <c r="AB250" i="1"/>
  <c r="AB536" i="1"/>
  <c r="AB508" i="1"/>
  <c r="AB492" i="1"/>
  <c r="AB489" i="1"/>
  <c r="AB475" i="1"/>
  <c r="AB469" i="1"/>
  <c r="AB410" i="1"/>
  <c r="AB395" i="1"/>
  <c r="AB390" i="1"/>
  <c r="AB388" i="1"/>
  <c r="AB316" i="1"/>
  <c r="AB249" i="1"/>
  <c r="AB239" i="1"/>
  <c r="AB225" i="1"/>
  <c r="AB220" i="1"/>
  <c r="AB215" i="1"/>
  <c r="AB204" i="1"/>
  <c r="AB200" i="1"/>
  <c r="AB373" i="1"/>
  <c r="AB372" i="1"/>
  <c r="AB370" i="1"/>
  <c r="AB367" i="1"/>
  <c r="AB361" i="1"/>
  <c r="AB396" i="1"/>
  <c r="AB473" i="1"/>
  <c r="AB537" i="1"/>
  <c r="AB534" i="1"/>
  <c r="AB533" i="1"/>
  <c r="AB532" i="1"/>
  <c r="AB531" i="1"/>
  <c r="AB517" i="1"/>
  <c r="AB507" i="1"/>
  <c r="AB504" i="1"/>
  <c r="AB490" i="1"/>
  <c r="AB487" i="1"/>
  <c r="AB447" i="1"/>
  <c r="AB428" i="1"/>
  <c r="AB412" i="1"/>
  <c r="AB445" i="1"/>
  <c r="AB439" i="1"/>
  <c r="AB432" i="1"/>
  <c r="AB319" i="1"/>
  <c r="AB295" i="1"/>
  <c r="AB284" i="1"/>
  <c r="AB240" i="1"/>
  <c r="AB226" i="1"/>
  <c r="AB551" i="1"/>
  <c r="AB541" i="1"/>
  <c r="AB502" i="1"/>
  <c r="AB480" i="1"/>
  <c r="AB476" i="1"/>
  <c r="AB465" i="1"/>
  <c r="AB442" i="1"/>
  <c r="AB430" i="1"/>
  <c r="AB427" i="1"/>
  <c r="AB423" i="1"/>
  <c r="AB519" i="1"/>
  <c r="AB503" i="1"/>
  <c r="AB500" i="1"/>
  <c r="AB483" i="1"/>
  <c r="AB529" i="1"/>
  <c r="AB525" i="1"/>
  <c r="AB522" i="1"/>
  <c r="AB518" i="1"/>
  <c r="AB505" i="1"/>
  <c r="AB464" i="1"/>
  <c r="AB463" i="1"/>
  <c r="AB443" i="1"/>
  <c r="AB440" i="1"/>
  <c r="AB422" i="1"/>
  <c r="AB385" i="1"/>
  <c r="AB334" i="1"/>
  <c r="AB312" i="1"/>
  <c r="AB299" i="1"/>
  <c r="AB297" i="1"/>
  <c r="AB255" i="1"/>
  <c r="AB224" i="1"/>
  <c r="AB208" i="1"/>
  <c r="AB202" i="1"/>
  <c r="AB199" i="1"/>
  <c r="AB306" i="1"/>
  <c r="AG201" i="1"/>
  <c r="AG202" i="1"/>
  <c r="AF206" i="1"/>
  <c r="AG209" i="1"/>
  <c r="AD552" i="1"/>
  <c r="AD553" i="1"/>
  <c r="AD554" i="1"/>
  <c r="AD555" i="1"/>
  <c r="AD556" i="1"/>
  <c r="AD557" i="1"/>
  <c r="AD558" i="1"/>
  <c r="AD563" i="1"/>
  <c r="AD564" i="1"/>
  <c r="AD565" i="1"/>
  <c r="AD566" i="1"/>
  <c r="AD567" i="1"/>
  <c r="AD568" i="1"/>
  <c r="AD569" i="1"/>
  <c r="AD570" i="1"/>
  <c r="AD571" i="1"/>
  <c r="AD576" i="1"/>
  <c r="AD577" i="1"/>
  <c r="AD578" i="1"/>
  <c r="AD579" i="1"/>
  <c r="AD580" i="1"/>
  <c r="AD581" i="1"/>
  <c r="AD582" i="1"/>
  <c r="AD583" i="1"/>
  <c r="AD584" i="1"/>
  <c r="AD585" i="1"/>
  <c r="AD586" i="1"/>
  <c r="AD593" i="1"/>
  <c r="AD594" i="1"/>
  <c r="AD595" i="1"/>
  <c r="AD596" i="1"/>
  <c r="AD597" i="1"/>
  <c r="AD598" i="1"/>
  <c r="AD599" i="1"/>
  <c r="AD600" i="1"/>
  <c r="AD601" i="1"/>
  <c r="AD602" i="1"/>
  <c r="AD605" i="1"/>
  <c r="AD606" i="1"/>
  <c r="AD607" i="1"/>
  <c r="AD608" i="1"/>
  <c r="AD609" i="1"/>
  <c r="AD610" i="1"/>
  <c r="AD611" i="1"/>
  <c r="AD612" i="1"/>
  <c r="AD613" i="1"/>
  <c r="AD614" i="1"/>
  <c r="AD615" i="1"/>
  <c r="AD636" i="1"/>
  <c r="AD637" i="1"/>
  <c r="AD638" i="1"/>
  <c r="AD639" i="1"/>
  <c r="AD645" i="1"/>
  <c r="AD646" i="1"/>
  <c r="AD647" i="1"/>
  <c r="AD648" i="1"/>
  <c r="AD649" i="1"/>
  <c r="AD650" i="1"/>
  <c r="AD651" i="1"/>
  <c r="AD652" i="1"/>
  <c r="AD653" i="1"/>
  <c r="AD654" i="1"/>
  <c r="AD655" i="1"/>
  <c r="AD656" i="1"/>
  <c r="AD657" i="1"/>
  <c r="AD658" i="1"/>
  <c r="AD660" i="1"/>
  <c r="AD661" i="1"/>
  <c r="AD662" i="1"/>
  <c r="AD663" i="1"/>
  <c r="AD664" i="1"/>
  <c r="AD665" i="1"/>
  <c r="AD666" i="1"/>
  <c r="AD667" i="1"/>
  <c r="AD671" i="1"/>
  <c r="AD672" i="1"/>
  <c r="AD673" i="1"/>
  <c r="AD674" i="1"/>
  <c r="AD675" i="1"/>
  <c r="AD676" i="1"/>
  <c r="AD677" i="1"/>
  <c r="AD678" i="1"/>
  <c r="AD679" i="1"/>
  <c r="AD682" i="1"/>
  <c r="AD683" i="1"/>
  <c r="AD684" i="1"/>
  <c r="AD685" i="1"/>
  <c r="AD686" i="1"/>
  <c r="AD687" i="1"/>
  <c r="AD688" i="1"/>
  <c r="AD689" i="1"/>
  <c r="AD694" i="1"/>
  <c r="AD695" i="1"/>
  <c r="AD696" i="1"/>
  <c r="AD697" i="1"/>
  <c r="AD698" i="1"/>
  <c r="AD699" i="1"/>
  <c r="AD700" i="1"/>
  <c r="AD701" i="1"/>
  <c r="AD702" i="1"/>
  <c r="AD703" i="1"/>
  <c r="AD704" i="1"/>
  <c r="AD705" i="1"/>
  <c r="AD706" i="1"/>
  <c r="AD707" i="1"/>
  <c r="AD708" i="1"/>
  <c r="AD709" i="1"/>
  <c r="AF701" i="1" l="1"/>
  <c r="AG701" i="1"/>
  <c r="AH701" i="1" s="1"/>
  <c r="AF662" i="1"/>
  <c r="AG662" i="1"/>
  <c r="AH662" i="1" s="1"/>
  <c r="AF606" i="1"/>
  <c r="AG606" i="1"/>
  <c r="AH606" i="1" s="1"/>
  <c r="AG554" i="1"/>
  <c r="AH554" i="1" s="1"/>
  <c r="AF554" i="1"/>
  <c r="AG708" i="1"/>
  <c r="AH708" i="1" s="1"/>
  <c r="AF708" i="1"/>
  <c r="AG702" i="1"/>
  <c r="AH702" i="1" s="1"/>
  <c r="AF702" i="1"/>
  <c r="AG696" i="1"/>
  <c r="AH696" i="1" s="1"/>
  <c r="AF696" i="1"/>
  <c r="AF686" i="1"/>
  <c r="AG686" i="1"/>
  <c r="AH686" i="1" s="1"/>
  <c r="AG678" i="1"/>
  <c r="AH678" i="1" s="1"/>
  <c r="AF678" i="1"/>
  <c r="AF672" i="1"/>
  <c r="AG672" i="1"/>
  <c r="AH672" i="1" s="1"/>
  <c r="AF663" i="1"/>
  <c r="AG663" i="1"/>
  <c r="AH663" i="1" s="1"/>
  <c r="AF656" i="1"/>
  <c r="AG656" i="1"/>
  <c r="AH656" i="1" s="1"/>
  <c r="AG650" i="1"/>
  <c r="AH650" i="1" s="1"/>
  <c r="AF650" i="1"/>
  <c r="AG639" i="1"/>
  <c r="AH639" i="1" s="1"/>
  <c r="AF639" i="1"/>
  <c r="AF613" i="1"/>
  <c r="AG613" i="1"/>
  <c r="AH613" i="1" s="1"/>
  <c r="AG607" i="1"/>
  <c r="AH607" i="1" s="1"/>
  <c r="AF607" i="1"/>
  <c r="AF599" i="1"/>
  <c r="AG599" i="1"/>
  <c r="AH599" i="1" s="1"/>
  <c r="AG593" i="1"/>
  <c r="AH593" i="1" s="1"/>
  <c r="AF593" i="1"/>
  <c r="AG581" i="1"/>
  <c r="AH581" i="1" s="1"/>
  <c r="AF581" i="1"/>
  <c r="AG571" i="1"/>
  <c r="AH571" i="1" s="1"/>
  <c r="AF571" i="1"/>
  <c r="AF565" i="1"/>
  <c r="AG565" i="1"/>
  <c r="AH565" i="1" s="1"/>
  <c r="AF555" i="1"/>
  <c r="AG555" i="1"/>
  <c r="AH555" i="1" s="1"/>
  <c r="AF707" i="1"/>
  <c r="AG707" i="1"/>
  <c r="AH707" i="1" s="1"/>
  <c r="AG671" i="1"/>
  <c r="AH671" i="1" s="1"/>
  <c r="AF671" i="1"/>
  <c r="AG612" i="1"/>
  <c r="AH612" i="1" s="1"/>
  <c r="AF612" i="1"/>
  <c r="AG570" i="1"/>
  <c r="AH570" i="1" s="1"/>
  <c r="AF570" i="1"/>
  <c r="AF605" i="1"/>
  <c r="AG605" i="1"/>
  <c r="AH605" i="1" s="1"/>
  <c r="AF685" i="1"/>
  <c r="AG685" i="1"/>
  <c r="AH685" i="1" s="1"/>
  <c r="AG649" i="1"/>
  <c r="AH649" i="1" s="1"/>
  <c r="AF649" i="1"/>
  <c r="AF586" i="1"/>
  <c r="AG586" i="1"/>
  <c r="AH586" i="1" s="1"/>
  <c r="AG706" i="1"/>
  <c r="AH706" i="1" s="1"/>
  <c r="AF706" i="1"/>
  <c r="AF676" i="1"/>
  <c r="AG676" i="1"/>
  <c r="AH676" i="1" s="1"/>
  <c r="AF654" i="1"/>
  <c r="AG654" i="1"/>
  <c r="AH654" i="1" s="1"/>
  <c r="AF611" i="1"/>
  <c r="AG611" i="1"/>
  <c r="AH611" i="1" s="1"/>
  <c r="AG579" i="1"/>
  <c r="AH579" i="1" s="1"/>
  <c r="AF579" i="1"/>
  <c r="AF699" i="1"/>
  <c r="AG699" i="1"/>
  <c r="AH699" i="1" s="1"/>
  <c r="AF683" i="1"/>
  <c r="AG683" i="1"/>
  <c r="AH683" i="1" s="1"/>
  <c r="AF675" i="1"/>
  <c r="AG675" i="1"/>
  <c r="AH675" i="1" s="1"/>
  <c r="AG666" i="1"/>
  <c r="AH666" i="1" s="1"/>
  <c r="AF666" i="1"/>
  <c r="AF660" i="1"/>
  <c r="AG660" i="1"/>
  <c r="AH660" i="1" s="1"/>
  <c r="AF653" i="1"/>
  <c r="AG653" i="1"/>
  <c r="AH653" i="1" s="1"/>
  <c r="AF647" i="1"/>
  <c r="AG647" i="1"/>
  <c r="AH647" i="1" s="1"/>
  <c r="AF636" i="1"/>
  <c r="AG636" i="1"/>
  <c r="AH636" i="1" s="1"/>
  <c r="AG610" i="1"/>
  <c r="AH610" i="1" s="1"/>
  <c r="AF610" i="1"/>
  <c r="AG602" i="1"/>
  <c r="AH602" i="1" s="1"/>
  <c r="AF602" i="1"/>
  <c r="AF596" i="1"/>
  <c r="AG596" i="1"/>
  <c r="AH596" i="1" s="1"/>
  <c r="AF584" i="1"/>
  <c r="AG584" i="1"/>
  <c r="AH584" i="1" s="1"/>
  <c r="AG578" i="1"/>
  <c r="AH578" i="1" s="1"/>
  <c r="AF578" i="1"/>
  <c r="AF568" i="1"/>
  <c r="AG568" i="1"/>
  <c r="AH568" i="1" s="1"/>
  <c r="AG558" i="1"/>
  <c r="AH558" i="1" s="1"/>
  <c r="AF558" i="1"/>
  <c r="AF552" i="1"/>
  <c r="AG552" i="1"/>
  <c r="AH552" i="1" s="1"/>
  <c r="AF677" i="1"/>
  <c r="AG677" i="1"/>
  <c r="AH677" i="1" s="1"/>
  <c r="AF638" i="1"/>
  <c r="AG638" i="1"/>
  <c r="AH638" i="1" s="1"/>
  <c r="AF580" i="1"/>
  <c r="AG580" i="1"/>
  <c r="AH580" i="1" s="1"/>
  <c r="AF694" i="1"/>
  <c r="AG694" i="1"/>
  <c r="AH694" i="1" s="1"/>
  <c r="AF667" i="1"/>
  <c r="AG667" i="1"/>
  <c r="AH667" i="1" s="1"/>
  <c r="AG637" i="1"/>
  <c r="AH637" i="1" s="1"/>
  <c r="AF637" i="1"/>
  <c r="AF597" i="1"/>
  <c r="AG597" i="1"/>
  <c r="AH597" i="1" s="1"/>
  <c r="AF569" i="1"/>
  <c r="AG569" i="1"/>
  <c r="AH569" i="1" s="1"/>
  <c r="AF553" i="1"/>
  <c r="AG553" i="1"/>
  <c r="AH553" i="1" s="1"/>
  <c r="AG688" i="1"/>
  <c r="AH688" i="1" s="1"/>
  <c r="AF688" i="1"/>
  <c r="AF658" i="1"/>
  <c r="AG658" i="1"/>
  <c r="AH658" i="1" s="1"/>
  <c r="AF615" i="1"/>
  <c r="AG615" i="1"/>
  <c r="AH615" i="1" s="1"/>
  <c r="AG595" i="1"/>
  <c r="AH595" i="1" s="1"/>
  <c r="AF595" i="1"/>
  <c r="AG567" i="1"/>
  <c r="AH567" i="1" s="1"/>
  <c r="AF567" i="1"/>
  <c r="AF695" i="1"/>
  <c r="AG695" i="1"/>
  <c r="AH695" i="1" s="1"/>
  <c r="AG655" i="1"/>
  <c r="AH655" i="1" s="1"/>
  <c r="AF655" i="1"/>
  <c r="AF598" i="1"/>
  <c r="AG598" i="1"/>
  <c r="AH598" i="1" s="1"/>
  <c r="AF564" i="1"/>
  <c r="AG564" i="1"/>
  <c r="AH564" i="1" s="1"/>
  <c r="AG700" i="1"/>
  <c r="AH700" i="1" s="1"/>
  <c r="AF700" i="1"/>
  <c r="AG684" i="1"/>
  <c r="AH684" i="1" s="1"/>
  <c r="AF684" i="1"/>
  <c r="AF661" i="1"/>
  <c r="AG661" i="1"/>
  <c r="AH661" i="1" s="1"/>
  <c r="AF648" i="1"/>
  <c r="AG648" i="1"/>
  <c r="AH648" i="1" s="1"/>
  <c r="AF585" i="1"/>
  <c r="AG585" i="1"/>
  <c r="AH585" i="1" s="1"/>
  <c r="AF563" i="1"/>
  <c r="AG563" i="1"/>
  <c r="AH563" i="1" s="1"/>
  <c r="AF705" i="1"/>
  <c r="AG705" i="1"/>
  <c r="AH705" i="1" s="1"/>
  <c r="AF689" i="1"/>
  <c r="AG689" i="1"/>
  <c r="AH689" i="1" s="1"/>
  <c r="AF704" i="1"/>
  <c r="AG704" i="1"/>
  <c r="AH704" i="1" s="1"/>
  <c r="AF698" i="1"/>
  <c r="AG698" i="1"/>
  <c r="AH698" i="1" s="1"/>
  <c r="AG682" i="1"/>
  <c r="AH682" i="1" s="1"/>
  <c r="AF682" i="1"/>
  <c r="AF674" i="1"/>
  <c r="AG674" i="1"/>
  <c r="AH674" i="1" s="1"/>
  <c r="AF665" i="1"/>
  <c r="AG665" i="1"/>
  <c r="AH665" i="1" s="1"/>
  <c r="AG652" i="1"/>
  <c r="AH652" i="1" s="1"/>
  <c r="AF652" i="1"/>
  <c r="AG646" i="1"/>
  <c r="AH646" i="1" s="1"/>
  <c r="AF646" i="1"/>
  <c r="AF609" i="1"/>
  <c r="AG609" i="1"/>
  <c r="AH609" i="1" s="1"/>
  <c r="AF601" i="1"/>
  <c r="AG601" i="1"/>
  <c r="AH601" i="1" s="1"/>
  <c r="AF583" i="1"/>
  <c r="AG583" i="1"/>
  <c r="AH583" i="1" s="1"/>
  <c r="AG577" i="1"/>
  <c r="AH577" i="1" s="1"/>
  <c r="AF577" i="1"/>
  <c r="AF557" i="1"/>
  <c r="AG557" i="1"/>
  <c r="AH557" i="1" s="1"/>
  <c r="AF709" i="1"/>
  <c r="AG709" i="1"/>
  <c r="AH709" i="1" s="1"/>
  <c r="AF703" i="1"/>
  <c r="AG703" i="1"/>
  <c r="AH703" i="1" s="1"/>
  <c r="AG697" i="1"/>
  <c r="AH697" i="1" s="1"/>
  <c r="AF697" i="1"/>
  <c r="AF687" i="1"/>
  <c r="AG687" i="1"/>
  <c r="AH687" i="1" s="1"/>
  <c r="AG679" i="1"/>
  <c r="AH679" i="1" s="1"/>
  <c r="AF679" i="1"/>
  <c r="AF673" i="1"/>
  <c r="AG673" i="1"/>
  <c r="AH673" i="1" s="1"/>
  <c r="AF664" i="1"/>
  <c r="AG664" i="1"/>
  <c r="AH664" i="1" s="1"/>
  <c r="AF657" i="1"/>
  <c r="AG657" i="1"/>
  <c r="AH657" i="1" s="1"/>
  <c r="AF651" i="1"/>
  <c r="AG651" i="1"/>
  <c r="AH651" i="1" s="1"/>
  <c r="AF645" i="1"/>
  <c r="AG645" i="1"/>
  <c r="AH645" i="1" s="1"/>
  <c r="AF614" i="1"/>
  <c r="AG614" i="1"/>
  <c r="AH614" i="1" s="1"/>
  <c r="AG608" i="1"/>
  <c r="AH608" i="1" s="1"/>
  <c r="AF608" i="1"/>
  <c r="AG600" i="1"/>
  <c r="AH600" i="1" s="1"/>
  <c r="AF600" i="1"/>
  <c r="AF594" i="1"/>
  <c r="AG594" i="1"/>
  <c r="AH594" i="1" s="1"/>
  <c r="AF582" i="1"/>
  <c r="AG582" i="1"/>
  <c r="AH582" i="1" s="1"/>
  <c r="AF576" i="1"/>
  <c r="AG576" i="1"/>
  <c r="AH576" i="1" s="1"/>
  <c r="AF566" i="1"/>
  <c r="AG566" i="1"/>
  <c r="AH566" i="1" s="1"/>
  <c r="AG556" i="1"/>
  <c r="AH556" i="1" s="1"/>
  <c r="AF556" i="1"/>
  <c r="AH201" i="1"/>
  <c r="AH209" i="1"/>
  <c r="AH202" i="1"/>
  <c r="AF209" i="1"/>
  <c r="AG196" i="1"/>
  <c r="AH196" i="1" s="1"/>
  <c r="AF196" i="1"/>
  <c r="AG208" i="1"/>
  <c r="AH208" i="1" s="1"/>
  <c r="AF208" i="1"/>
  <c r="AG205" i="1"/>
  <c r="AH205" i="1" s="1"/>
  <c r="AF205" i="1"/>
  <c r="AG199" i="1"/>
  <c r="AH199" i="1" s="1"/>
  <c r="AF199" i="1"/>
  <c r="AF201" i="1"/>
  <c r="AG206" i="1"/>
  <c r="AH206" i="1" s="1"/>
  <c r="AG207" i="1"/>
  <c r="AH207" i="1" s="1"/>
  <c r="AF207" i="1"/>
  <c r="AG200" i="1"/>
  <c r="AH200" i="1" s="1"/>
  <c r="AF200" i="1"/>
  <c r="AF202" i="1"/>
  <c r="AG204" i="1"/>
  <c r="AH204" i="1" s="1"/>
  <c r="AF204" i="1"/>
  <c r="AG198" i="1"/>
  <c r="AH198" i="1" s="1"/>
  <c r="AF198" i="1"/>
  <c r="T214" i="1" l="1"/>
  <c r="T552" i="1"/>
  <c r="S552" i="1"/>
  <c r="S553" i="1"/>
  <c r="S554" i="1"/>
  <c r="S555" i="1"/>
  <c r="S556" i="1"/>
  <c r="S557" i="1"/>
  <c r="S558" i="1"/>
  <c r="S563" i="1"/>
  <c r="S564" i="1"/>
  <c r="S565" i="1"/>
  <c r="S566" i="1"/>
  <c r="S567" i="1"/>
  <c r="S568" i="1"/>
  <c r="S569" i="1"/>
  <c r="S570" i="1"/>
  <c r="S571" i="1"/>
  <c r="S576" i="1"/>
  <c r="S577" i="1"/>
  <c r="S578" i="1"/>
  <c r="S579" i="1"/>
  <c r="S580" i="1"/>
  <c r="S581" i="1"/>
  <c r="S582" i="1"/>
  <c r="S583" i="1"/>
  <c r="S584" i="1"/>
  <c r="S585" i="1"/>
  <c r="S586" i="1"/>
  <c r="S593" i="1"/>
  <c r="S594" i="1"/>
  <c r="S595" i="1"/>
  <c r="S596" i="1"/>
  <c r="S597" i="1"/>
  <c r="S598" i="1"/>
  <c r="S599" i="1"/>
  <c r="S600" i="1"/>
  <c r="S601" i="1"/>
  <c r="S602" i="1"/>
  <c r="S605" i="1"/>
  <c r="S606" i="1"/>
  <c r="S607" i="1"/>
  <c r="S608" i="1"/>
  <c r="S609" i="1"/>
  <c r="S610" i="1"/>
  <c r="S611" i="1"/>
  <c r="S612" i="1"/>
  <c r="S613" i="1"/>
  <c r="S614" i="1"/>
  <c r="S615" i="1"/>
  <c r="S622" i="1"/>
  <c r="S623" i="1"/>
  <c r="S624" i="1"/>
  <c r="S625" i="1"/>
  <c r="S626" i="1"/>
  <c r="S627" i="1"/>
  <c r="S628" i="1"/>
  <c r="S629" i="1"/>
  <c r="S636" i="1"/>
  <c r="S637" i="1"/>
  <c r="S638" i="1"/>
  <c r="S639" i="1"/>
  <c r="S645" i="1"/>
  <c r="S646" i="1"/>
  <c r="S647" i="1"/>
  <c r="S648" i="1"/>
  <c r="S649" i="1"/>
  <c r="S650" i="1"/>
  <c r="S651" i="1"/>
  <c r="S652" i="1"/>
  <c r="S653" i="1"/>
  <c r="S654" i="1"/>
  <c r="S655" i="1"/>
  <c r="T215" i="1"/>
  <c r="T196" i="1"/>
  <c r="S196" i="1"/>
  <c r="S200" i="1"/>
  <c r="S207" i="1"/>
  <c r="S216" i="1"/>
  <c r="S219" i="1"/>
  <c r="S224" i="1"/>
  <c r="S225" i="1"/>
  <c r="S241" i="1"/>
  <c r="S249" i="1"/>
  <c r="S250" i="1"/>
  <c r="S256" i="1"/>
  <c r="S260" i="1"/>
  <c r="S270" i="1"/>
  <c r="S277" i="1"/>
  <c r="S278" i="1"/>
  <c r="S280" i="1"/>
  <c r="S305" i="1"/>
  <c r="S306" i="1"/>
  <c r="S316" i="1"/>
  <c r="S325" i="1"/>
  <c r="S327" i="1"/>
  <c r="S343" i="1"/>
  <c r="S360" i="1"/>
  <c r="S369" i="1"/>
  <c r="S370" i="1"/>
  <c r="S375" i="1"/>
  <c r="S382" i="1"/>
  <c r="S388" i="1"/>
  <c r="S397" i="1"/>
  <c r="S410" i="1"/>
  <c r="S412" i="1"/>
  <c r="S422" i="1"/>
  <c r="S423" i="1"/>
  <c r="S427" i="1"/>
  <c r="S428" i="1"/>
  <c r="S439" i="1"/>
  <c r="S440" i="1"/>
  <c r="S445" i="1"/>
  <c r="S466" i="1"/>
  <c r="S473" i="1"/>
  <c r="S487" i="1"/>
  <c r="S500" i="1"/>
  <c r="S501" i="1"/>
  <c r="S507" i="1"/>
  <c r="S522" i="1"/>
  <c r="S528" i="1"/>
  <c r="S529" i="1"/>
  <c r="S533" i="1"/>
  <c r="S492" i="1"/>
  <c r="S480" i="1"/>
  <c r="S424" i="1"/>
  <c r="S443" i="1"/>
  <c r="S346" i="1"/>
  <c r="S431" i="1"/>
  <c r="S418" i="1"/>
  <c r="S525" i="1"/>
  <c r="S489" i="1"/>
  <c r="S340" i="1"/>
  <c r="S371" i="1"/>
  <c r="S504" i="1"/>
  <c r="S518" i="1"/>
  <c r="S534" i="1"/>
  <c r="S208" i="1"/>
  <c r="S345" i="1"/>
  <c r="S296" i="1"/>
  <c r="S483" i="1"/>
  <c r="S353" i="1"/>
  <c r="S226" i="1"/>
  <c r="S520" i="1"/>
  <c r="S532" i="1"/>
  <c r="S508" i="1"/>
  <c r="S506" i="1"/>
  <c r="S391" i="1"/>
  <c r="S271" i="1"/>
  <c r="S368" i="1"/>
  <c r="S476" i="1"/>
  <c r="S517" i="1"/>
  <c r="S429" i="1"/>
  <c r="S238" i="1"/>
  <c r="S505" i="1"/>
  <c r="S367" i="1"/>
  <c r="S206" i="1"/>
  <c r="S432" i="1"/>
  <c r="S374" i="1"/>
  <c r="S359" i="1"/>
  <c r="S313" i="1"/>
  <c r="S299" i="1"/>
  <c r="S274" i="1"/>
  <c r="S220" i="1"/>
  <c r="S275" i="1"/>
  <c r="S272" i="1"/>
  <c r="S537" i="1"/>
  <c r="S430" i="1"/>
  <c r="S383" i="1"/>
  <c r="S373" i="1"/>
  <c r="S322" i="1"/>
  <c r="S285" i="1"/>
  <c r="S536" i="1"/>
  <c r="S352" i="1"/>
  <c r="S282" i="1"/>
  <c r="S205" i="1"/>
  <c r="S244" i="1"/>
  <c r="S331" i="1"/>
  <c r="S503" i="1"/>
  <c r="S486" i="1"/>
  <c r="S472" i="1"/>
  <c r="S464" i="1"/>
  <c r="S441" i="1"/>
  <c r="S475" i="1"/>
  <c r="S421" i="1"/>
  <c r="S362" i="1"/>
  <c r="S351" i="1"/>
  <c r="S347" i="1"/>
  <c r="S334" i="1"/>
  <c r="S298" i="1"/>
  <c r="S261" i="1"/>
  <c r="S521" i="1"/>
  <c r="S502" i="1"/>
  <c r="S490" i="1"/>
  <c r="S484" i="1"/>
  <c r="S465" i="1"/>
  <c r="S390" i="1"/>
  <c r="S385" i="1"/>
  <c r="S320" i="1"/>
  <c r="S304" i="1"/>
  <c r="S396" i="1"/>
  <c r="S395" i="1"/>
  <c r="S389" i="1"/>
  <c r="S386" i="1"/>
  <c r="S470" i="1"/>
  <c r="S447" i="1"/>
  <c r="S442" i="1"/>
  <c r="S531" i="1"/>
  <c r="S541" i="1"/>
  <c r="S535" i="1"/>
  <c r="S474" i="1"/>
  <c r="S463" i="1"/>
  <c r="S378" i="1"/>
  <c r="S377" i="1"/>
  <c r="S372" i="1"/>
  <c r="S364" i="1"/>
  <c r="S326" i="1"/>
  <c r="S297" i="1"/>
  <c r="S240" i="1"/>
  <c r="S239" i="1"/>
  <c r="S237" i="1"/>
  <c r="S209" i="1"/>
  <c r="S199" i="1"/>
  <c r="S341" i="1"/>
  <c r="S317" i="1"/>
  <c r="S312" i="1"/>
  <c r="S307" i="1"/>
  <c r="S295" i="1"/>
  <c r="S284" i="1"/>
  <c r="S283" i="1"/>
  <c r="S255" i="1"/>
  <c r="S243" i="1"/>
  <c r="S221" i="1"/>
  <c r="S214" i="1"/>
  <c r="S204" i="1"/>
  <c r="S202" i="1"/>
  <c r="S198" i="1"/>
  <c r="S215" i="1"/>
  <c r="S344" i="1"/>
  <c r="S551" i="1"/>
  <c r="S519" i="1"/>
  <c r="S393" i="1"/>
  <c r="S361" i="1"/>
  <c r="S300" i="1"/>
  <c r="S222" i="1"/>
  <c r="S469" i="1"/>
  <c r="S319" i="1"/>
  <c r="S314" i="1"/>
  <c r="S530" i="1"/>
  <c r="S446" i="1"/>
</calcChain>
</file>

<file path=xl/sharedStrings.xml><?xml version="1.0" encoding="utf-8"?>
<sst xmlns="http://schemas.openxmlformats.org/spreadsheetml/2006/main" count="12470" uniqueCount="2200">
  <si>
    <t>Month Name</t>
  </si>
  <si>
    <t>Transporter</t>
  </si>
  <si>
    <t>Create Date</t>
  </si>
  <si>
    <t>Load Number</t>
  </si>
  <si>
    <t>Mode Of Capture</t>
  </si>
  <si>
    <t>Truck Number</t>
  </si>
  <si>
    <t>Driver Name</t>
  </si>
  <si>
    <t>Customer Name</t>
  </si>
  <si>
    <t>Vol Hl</t>
  </si>
  <si>
    <t>InvoiceNumber</t>
  </si>
  <si>
    <t>MWarehouse</t>
  </si>
  <si>
    <t>Customer #</t>
  </si>
  <si>
    <t>Budgeted KMs</t>
  </si>
  <si>
    <t>KM Deviation</t>
  </si>
  <si>
    <t>Comment</t>
  </si>
  <si>
    <t>Clock in</t>
  </si>
  <si>
    <t>Planned Departure Time</t>
  </si>
  <si>
    <t>DJ Departure Time</t>
  </si>
  <si>
    <t>AVE Departure</t>
  </si>
  <si>
    <t>Comment  AVE Departure</t>
  </si>
  <si>
    <t>Arrival At Customer</t>
  </si>
  <si>
    <t>Service Time At Customer</t>
  </si>
  <si>
    <t>Comment  TAT</t>
  </si>
  <si>
    <t>Arrival At Depot</t>
  </si>
  <si>
    <t>Clock Out</t>
  </si>
  <si>
    <t>AVE Arrival Time</t>
  </si>
  <si>
    <t>Comment  AVE Arrival Time</t>
  </si>
  <si>
    <t>Actual Days in Route</t>
  </si>
  <si>
    <t>Bud Days in Route</t>
  </si>
  <si>
    <t>Days in Rout Deviation</t>
  </si>
  <si>
    <t>Total Hour Route</t>
  </si>
  <si>
    <t>Driver Rest Hours In Route</t>
  </si>
  <si>
    <t>TLP</t>
  </si>
  <si>
    <t>Comment Ave TIR</t>
  </si>
  <si>
    <t>UBJ 703D</t>
  </si>
  <si>
    <t>UBR 535W</t>
  </si>
  <si>
    <t>UBM 648D</t>
  </si>
  <si>
    <t>UBR 541W</t>
  </si>
  <si>
    <t>UBP 301H</t>
  </si>
  <si>
    <t>UBP 312H</t>
  </si>
  <si>
    <t>UBR 534W</t>
  </si>
  <si>
    <t>UBE 680K</t>
  </si>
  <si>
    <t>UBR 903Y</t>
  </si>
  <si>
    <t>UBK 866R</t>
  </si>
  <si>
    <t>UBK 862R</t>
  </si>
  <si>
    <t>UBJ 705D</t>
  </si>
  <si>
    <t>UBP 305H</t>
  </si>
  <si>
    <t>UBR 868Y</t>
  </si>
  <si>
    <t>UBG 237J</t>
  </si>
  <si>
    <t>UBR 533W</t>
  </si>
  <si>
    <t>UBP 311H</t>
  </si>
  <si>
    <t>UBF 379L</t>
  </si>
  <si>
    <t>UBK 858R</t>
  </si>
  <si>
    <t>UBJ 419C</t>
  </si>
  <si>
    <t>UBE 684K</t>
  </si>
  <si>
    <t>UBP 310H</t>
  </si>
  <si>
    <t>UBR 539W</t>
  </si>
  <si>
    <t>UBR 540W</t>
  </si>
  <si>
    <t>UBR 537W</t>
  </si>
  <si>
    <t>UBR 538W</t>
  </si>
  <si>
    <t>UBP 298H</t>
  </si>
  <si>
    <t>UBM 644D</t>
  </si>
  <si>
    <t>UBJ 420C</t>
  </si>
  <si>
    <t>UBE 678K</t>
  </si>
  <si>
    <t>UBF 369L</t>
  </si>
  <si>
    <t>UBG 084B</t>
  </si>
  <si>
    <t xml:space="preserve"> UBP 310H</t>
  </si>
  <si>
    <t>UBJ 421C</t>
  </si>
  <si>
    <t>UBB 116P</t>
  </si>
  <si>
    <t>UBP 294H</t>
  </si>
  <si>
    <t>UBJ 423C</t>
  </si>
  <si>
    <t>UBE 692K</t>
  </si>
  <si>
    <t>UBR 536W</t>
  </si>
  <si>
    <t>UBK 886R</t>
  </si>
  <si>
    <t>UBR 864Y</t>
  </si>
  <si>
    <t>UBP 998T</t>
  </si>
  <si>
    <t>UBF 367L</t>
  </si>
  <si>
    <t>UBR 900Y</t>
  </si>
  <si>
    <t>UBG 082B</t>
  </si>
  <si>
    <t>UBG 084G</t>
  </si>
  <si>
    <t>UBR 863Y</t>
  </si>
  <si>
    <t>UBR 880Y</t>
  </si>
  <si>
    <t>UBR 860Y</t>
  </si>
  <si>
    <t>A20492</t>
  </si>
  <si>
    <t>A20493</t>
  </si>
  <si>
    <t>Z82476</t>
  </si>
  <si>
    <t>A20494</t>
  </si>
  <si>
    <t>A20497</t>
  </si>
  <si>
    <t>Z82469</t>
  </si>
  <si>
    <t>Z82472</t>
  </si>
  <si>
    <t>Z82475</t>
  </si>
  <si>
    <t>A20508</t>
  </si>
  <si>
    <t>A20506</t>
  </si>
  <si>
    <t>A20510</t>
  </si>
  <si>
    <t>A20509</t>
  </si>
  <si>
    <t>Z82492</t>
  </si>
  <si>
    <t>Z82491</t>
  </si>
  <si>
    <t>F15836</t>
  </si>
  <si>
    <t>A20570</t>
  </si>
  <si>
    <t>Z82522</t>
  </si>
  <si>
    <t>A20568</t>
  </si>
  <si>
    <t>Z82524</t>
  </si>
  <si>
    <t>Z82527</t>
  </si>
  <si>
    <t>F15854</t>
  </si>
  <si>
    <t>Z82525</t>
  </si>
  <si>
    <t>A20596</t>
  </si>
  <si>
    <t>Z82547</t>
  </si>
  <si>
    <t>A20594</t>
  </si>
  <si>
    <t>A20595</t>
  </si>
  <si>
    <t>Z82552</t>
  </si>
  <si>
    <t>Z82546</t>
  </si>
  <si>
    <t>F15865</t>
  </si>
  <si>
    <t>F15863</t>
  </si>
  <si>
    <t>Z82558</t>
  </si>
  <si>
    <t>Z82559</t>
  </si>
  <si>
    <t>F15867</t>
  </si>
  <si>
    <t>Z82566</t>
  </si>
  <si>
    <t>A20629</t>
  </si>
  <si>
    <t>Z82562</t>
  </si>
  <si>
    <t>A20628</t>
  </si>
  <si>
    <t>Z82563</t>
  </si>
  <si>
    <t>F15868</t>
  </si>
  <si>
    <t>F15870</t>
  </si>
  <si>
    <t>Z82565</t>
  </si>
  <si>
    <t>Z82579</t>
  </si>
  <si>
    <t>Z82576</t>
  </si>
  <si>
    <t>Z82578</t>
  </si>
  <si>
    <t>Z82584</t>
  </si>
  <si>
    <t>Z82582</t>
  </si>
  <si>
    <t>A20645</t>
  </si>
  <si>
    <t>Z82577</t>
  </si>
  <si>
    <t>Z82575</t>
  </si>
  <si>
    <t>Z82583</t>
  </si>
  <si>
    <t>A20647</t>
  </si>
  <si>
    <t>Z82574</t>
  </si>
  <si>
    <t>A20657</t>
  </si>
  <si>
    <t>A20659</t>
  </si>
  <si>
    <t>Z82591</t>
  </si>
  <si>
    <t>Z82590</t>
  </si>
  <si>
    <t>F15881</t>
  </si>
  <si>
    <t>Z82603</t>
  </si>
  <si>
    <t>A20677</t>
  </si>
  <si>
    <t>Z82600</t>
  </si>
  <si>
    <t>Z82599</t>
  </si>
  <si>
    <t>F15884</t>
  </si>
  <si>
    <t>Z82602</t>
  </si>
  <si>
    <t>Z82604</t>
  </si>
  <si>
    <t>Z82606</t>
  </si>
  <si>
    <t>A20678</t>
  </si>
  <si>
    <t>A20691</t>
  </si>
  <si>
    <t>Z82617</t>
  </si>
  <si>
    <t>Z82618</t>
  </si>
  <si>
    <t>Z82616</t>
  </si>
  <si>
    <t>A20689</t>
  </si>
  <si>
    <t>F15889</t>
  </si>
  <si>
    <t>A20693</t>
  </si>
  <si>
    <t>Z82619</t>
  </si>
  <si>
    <t>Z82620</t>
  </si>
  <si>
    <t>A20688</t>
  </si>
  <si>
    <t>F15890</t>
  </si>
  <si>
    <t>A20708</t>
  </si>
  <si>
    <t>Z82629</t>
  </si>
  <si>
    <t>Z82628</t>
  </si>
  <si>
    <t>A20710</t>
  </si>
  <si>
    <t>A20712</t>
  </si>
  <si>
    <t>A20715</t>
  </si>
  <si>
    <t>A20713</t>
  </si>
  <si>
    <t>A20706</t>
  </si>
  <si>
    <t>Z82625</t>
  </si>
  <si>
    <t>A20705</t>
  </si>
  <si>
    <t>Z82627</t>
  </si>
  <si>
    <t>Z82630</t>
  </si>
  <si>
    <t>A20714</t>
  </si>
  <si>
    <t>F15895</t>
  </si>
  <si>
    <t>Z82631</t>
  </si>
  <si>
    <t>A20728</t>
  </si>
  <si>
    <t>A20734</t>
  </si>
  <si>
    <t>A20735</t>
  </si>
  <si>
    <t>A20731</t>
  </si>
  <si>
    <t>Z82636</t>
  </si>
  <si>
    <t>Z82637</t>
  </si>
  <si>
    <t>A20730</t>
  </si>
  <si>
    <t>A20736</t>
  </si>
  <si>
    <t>Z82639</t>
  </si>
  <si>
    <t>A20726</t>
  </si>
  <si>
    <t>A20729</t>
  </si>
  <si>
    <t>Z82644</t>
  </si>
  <si>
    <t>A20741</t>
  </si>
  <si>
    <t>Z82645</t>
  </si>
  <si>
    <t>A20740</t>
  </si>
  <si>
    <t>F15906</t>
  </si>
  <si>
    <t>Z82649</t>
  </si>
  <si>
    <t>A20752</t>
  </si>
  <si>
    <t>Z82655</t>
  </si>
  <si>
    <t>A20758</t>
  </si>
  <si>
    <t>A20759</t>
  </si>
  <si>
    <t>A20767</t>
  </si>
  <si>
    <t>A20754</t>
  </si>
  <si>
    <t>A20753</t>
  </si>
  <si>
    <t>A20755</t>
  </si>
  <si>
    <t>A20770</t>
  </si>
  <si>
    <t>A20757</t>
  </si>
  <si>
    <t>A20773</t>
  </si>
  <si>
    <t>Z82657</t>
  </si>
  <si>
    <t>Z82674</t>
  </si>
  <si>
    <t>A20806</t>
  </si>
  <si>
    <t>A20804</t>
  </si>
  <si>
    <t>A20807</t>
  </si>
  <si>
    <t>Z82676</t>
  </si>
  <si>
    <t>Z82677</t>
  </si>
  <si>
    <t>A20808</t>
  </si>
  <si>
    <t>A20799</t>
  </si>
  <si>
    <t>A20798</t>
  </si>
  <si>
    <t>A20778</t>
  </si>
  <si>
    <t>A20821</t>
  </si>
  <si>
    <t>A20819</t>
  </si>
  <si>
    <t>Z82686</t>
  </si>
  <si>
    <t>A20816</t>
  </si>
  <si>
    <t>F15920</t>
  </si>
  <si>
    <t>A20822</t>
  </si>
  <si>
    <t>Z82685</t>
  </si>
  <si>
    <t>Z82687</t>
  </si>
  <si>
    <t>A20820</t>
  </si>
  <si>
    <t>A20828</t>
  </si>
  <si>
    <t>A20840</t>
  </si>
  <si>
    <t>Z82694</t>
  </si>
  <si>
    <t>A20847</t>
  </si>
  <si>
    <t>Z82692</t>
  </si>
  <si>
    <t>F15922</t>
  </si>
  <si>
    <t>Z82709</t>
  </si>
  <si>
    <t>A20842</t>
  </si>
  <si>
    <t>A20845</t>
  </si>
  <si>
    <t>A20854</t>
  </si>
  <si>
    <t>A20843</t>
  </si>
  <si>
    <t>A20846</t>
  </si>
  <si>
    <t>Z82705</t>
  </si>
  <si>
    <t>A20874</t>
  </si>
  <si>
    <t>F15929</t>
  </si>
  <si>
    <t>F15928</t>
  </si>
  <si>
    <t>Z82720</t>
  </si>
  <si>
    <t>A20875</t>
  </si>
  <si>
    <t>A20879</t>
  </si>
  <si>
    <t>Z82724</t>
  </si>
  <si>
    <t>A20876</t>
  </si>
  <si>
    <t>F15934</t>
  </si>
  <si>
    <t>F15935</t>
  </si>
  <si>
    <t>Z82723</t>
  </si>
  <si>
    <t>A20905</t>
  </si>
  <si>
    <t>A20900</t>
  </si>
  <si>
    <t>Z82738</t>
  </si>
  <si>
    <t>A20904</t>
  </si>
  <si>
    <t>A20907</t>
  </si>
  <si>
    <t>Z82739</t>
  </si>
  <si>
    <t>Z82740</t>
  </si>
  <si>
    <t>Z82744</t>
  </si>
  <si>
    <t>F15941</t>
  </si>
  <si>
    <t>F15942</t>
  </si>
  <si>
    <t>A20902</t>
  </si>
  <si>
    <t>F15938</t>
  </si>
  <si>
    <t>A20937</t>
  </si>
  <si>
    <t>A20941</t>
  </si>
  <si>
    <t>Z82767</t>
  </si>
  <si>
    <t>A20938</t>
  </si>
  <si>
    <t>F15956</t>
  </si>
  <si>
    <t>Z82769</t>
  </si>
  <si>
    <t>A20942</t>
  </si>
  <si>
    <t>Z82750</t>
  </si>
  <si>
    <t>Z82752</t>
  </si>
  <si>
    <t>F15952</t>
  </si>
  <si>
    <t>A20952</t>
  </si>
  <si>
    <t>Z82777</t>
  </si>
  <si>
    <t>A20961</t>
  </si>
  <si>
    <t>A20960</t>
  </si>
  <si>
    <t>A20962</t>
  </si>
  <si>
    <t>Z82783</t>
  </si>
  <si>
    <t>A20954</t>
  </si>
  <si>
    <t>A20955</t>
  </si>
  <si>
    <t>F15959</t>
  </si>
  <si>
    <t>A20983</t>
  </si>
  <si>
    <t>A20985</t>
  </si>
  <si>
    <t>Z82786</t>
  </si>
  <si>
    <t>A20972</t>
  </si>
  <si>
    <t>Z82789</t>
  </si>
  <si>
    <t>Z82787</t>
  </si>
  <si>
    <t>Z82791</t>
  </si>
  <si>
    <t>Z82793</t>
  </si>
  <si>
    <t>A20974</t>
  </si>
  <si>
    <t>A20975</t>
  </si>
  <si>
    <t>F15963</t>
  </si>
  <si>
    <t>A20999</t>
  </si>
  <si>
    <t>A20998</t>
  </si>
  <si>
    <t>Z82812</t>
  </si>
  <si>
    <t>A21010</t>
  </si>
  <si>
    <t>A21014</t>
  </si>
  <si>
    <t>A21013</t>
  </si>
  <si>
    <t>Z82815</t>
  </si>
  <si>
    <t>A20995</t>
  </si>
  <si>
    <t>Z82805</t>
  </si>
  <si>
    <t>A21006</t>
  </si>
  <si>
    <t>A21008</t>
  </si>
  <si>
    <t>Z82807</t>
  </si>
  <si>
    <t>Z12954</t>
  </si>
  <si>
    <t>F15972</t>
  </si>
  <si>
    <t>Z82816</t>
  </si>
  <si>
    <t>F15971</t>
  </si>
  <si>
    <t>A21056</t>
  </si>
  <si>
    <t>A21057</t>
  </si>
  <si>
    <t>A21055</t>
  </si>
  <si>
    <t>A21059</t>
  </si>
  <si>
    <t>F15981</t>
  </si>
  <si>
    <t>A21074</t>
  </si>
  <si>
    <t>A21076</t>
  </si>
  <si>
    <t>Z82846</t>
  </si>
  <si>
    <t>Z82845</t>
  </si>
  <si>
    <t>A21061</t>
  </si>
  <si>
    <t>Z82850</t>
  </si>
  <si>
    <t>A21079</t>
  </si>
  <si>
    <t>A21077</t>
  </si>
  <si>
    <t>Z82849</t>
  </si>
  <si>
    <t>A21070</t>
  </si>
  <si>
    <t>A21075</t>
  </si>
  <si>
    <t>Z82848</t>
  </si>
  <si>
    <t>Z82847</t>
  </si>
  <si>
    <t>A21081</t>
  </si>
  <si>
    <t>F15998</t>
  </si>
  <si>
    <t>Z82866</t>
  </si>
  <si>
    <t>Z82873</t>
  </si>
  <si>
    <t>Z82867</t>
  </si>
  <si>
    <t>Z82872</t>
  </si>
  <si>
    <t>A21105</t>
  </si>
  <si>
    <t>Z82868</t>
  </si>
  <si>
    <t>Z82869</t>
  </si>
  <si>
    <t>Z82875</t>
  </si>
  <si>
    <t>A21137</t>
  </si>
  <si>
    <t>A21138</t>
  </si>
  <si>
    <t>F16011</t>
  </si>
  <si>
    <t>F16012</t>
  </si>
  <si>
    <t>A21157</t>
  </si>
  <si>
    <t>Z82879</t>
  </si>
  <si>
    <t>A21167</t>
  </si>
  <si>
    <t>Z82900</t>
  </si>
  <si>
    <t>Z82902</t>
  </si>
  <si>
    <t>A21166</t>
  </si>
  <si>
    <t>Z82903</t>
  </si>
  <si>
    <t>Z82901</t>
  </si>
  <si>
    <t>Z82888</t>
  </si>
  <si>
    <t>Z82887</t>
  </si>
  <si>
    <t>F16015</t>
  </si>
  <si>
    <t>A21198</t>
  </si>
  <si>
    <t>A21204</t>
  </si>
  <si>
    <t>A21195</t>
  </si>
  <si>
    <t>A21196</t>
  </si>
  <si>
    <t>A21194</t>
  </si>
  <si>
    <t>A21202</t>
  </si>
  <si>
    <t>A21201</t>
  </si>
  <si>
    <t>Z82922</t>
  </si>
  <si>
    <t>A21200</t>
  </si>
  <si>
    <t>Z82923</t>
  </si>
  <si>
    <t>F16033</t>
  </si>
  <si>
    <t>Z82928</t>
  </si>
  <si>
    <t>A21222</t>
  </si>
  <si>
    <t>Z82939</t>
  </si>
  <si>
    <t>A21223</t>
  </si>
  <si>
    <t>A21218</t>
  </si>
  <si>
    <t>Z82938</t>
  </si>
  <si>
    <t>A21220</t>
  </si>
  <si>
    <t>A21219</t>
  </si>
  <si>
    <t>F16037</t>
  </si>
  <si>
    <t>A21216</t>
  </si>
  <si>
    <t>A21244</t>
  </si>
  <si>
    <t>A21241</t>
  </si>
  <si>
    <t>A21243</t>
  </si>
  <si>
    <t>Z82949</t>
  </si>
  <si>
    <t>Z82951</t>
  </si>
  <si>
    <t>A21240</t>
  </si>
  <si>
    <t>Z82950</t>
  </si>
  <si>
    <t>A21233</t>
  </si>
  <si>
    <t>A21236</t>
  </si>
  <si>
    <t>A21234</t>
  </si>
  <si>
    <t>Z82952</t>
  </si>
  <si>
    <t>A21262</t>
  </si>
  <si>
    <t>A21267</t>
  </si>
  <si>
    <t>A21257</t>
  </si>
  <si>
    <t>Z82960</t>
  </si>
  <si>
    <t>Z82961</t>
  </si>
  <si>
    <t>A21259</t>
  </si>
  <si>
    <t>A21258</t>
  </si>
  <si>
    <t>A21261</t>
  </si>
  <si>
    <t>Z82968</t>
  </si>
  <si>
    <t>A21275</t>
  </si>
  <si>
    <t>A21276</t>
  </si>
  <si>
    <t>Z82966</t>
  </si>
  <si>
    <t>Z82989</t>
  </si>
  <si>
    <t>A21298</t>
  </si>
  <si>
    <t>Z82990</t>
  </si>
  <si>
    <t>A21291</t>
  </si>
  <si>
    <t>A21292</t>
  </si>
  <si>
    <t>Z82979</t>
  </si>
  <si>
    <t>Z82985</t>
  </si>
  <si>
    <t>F16045</t>
  </si>
  <si>
    <t>F16048</t>
  </si>
  <si>
    <t>F16046</t>
  </si>
  <si>
    <t>Z82986</t>
  </si>
  <si>
    <t>Z82987</t>
  </si>
  <si>
    <t>Z82988</t>
  </si>
  <si>
    <t>A21299</t>
  </si>
  <si>
    <t>Z82998</t>
  </si>
  <si>
    <t>A21321</t>
  </si>
  <si>
    <t>A21322</t>
  </si>
  <si>
    <t>A21314</t>
  </si>
  <si>
    <t>A21318</t>
  </si>
  <si>
    <t>F16052</t>
  </si>
  <si>
    <t>A21315</t>
  </si>
  <si>
    <t>A21316</t>
  </si>
  <si>
    <t>A21340</t>
  </si>
  <si>
    <t>A21339</t>
  </si>
  <si>
    <t>Z83017</t>
  </si>
  <si>
    <t>Z83016</t>
  </si>
  <si>
    <t>Z83018</t>
  </si>
  <si>
    <t>F16055</t>
  </si>
  <si>
    <t>Z83013</t>
  </si>
  <si>
    <t>A21338</t>
  </si>
  <si>
    <t>A21353</t>
  </si>
  <si>
    <t>Z83021</t>
  </si>
  <si>
    <t>Z83022</t>
  </si>
  <si>
    <t>A21362</t>
  </si>
  <si>
    <t>Z83023</t>
  </si>
  <si>
    <t>Z83025</t>
  </si>
  <si>
    <t>A21370</t>
  </si>
  <si>
    <t>A21371</t>
  </si>
  <si>
    <t>A21373</t>
  </si>
  <si>
    <t>A21372</t>
  </si>
  <si>
    <t>A21386</t>
  </si>
  <si>
    <t>Z83037</t>
  </si>
  <si>
    <t>A21395</t>
  </si>
  <si>
    <t>A21384</t>
  </si>
  <si>
    <t>A21400</t>
  </si>
  <si>
    <t>F16062</t>
  </si>
  <si>
    <t>Z83039</t>
  </si>
  <si>
    <t>A21389</t>
  </si>
  <si>
    <t>A21382</t>
  </si>
  <si>
    <t>A21394</t>
  </si>
  <si>
    <t>A21392</t>
  </si>
  <si>
    <t>Z83038</t>
  </si>
  <si>
    <t>A21385</t>
  </si>
  <si>
    <t>Z83047</t>
  </si>
  <si>
    <t>F16064</t>
  </si>
  <si>
    <t>A21402</t>
  </si>
  <si>
    <t>Sawan Distributors Ltd-Nabingo</t>
  </si>
  <si>
    <t>Kato Investments Ltd- Kakumiro</t>
  </si>
  <si>
    <t>Kobusinge Steven-Kamwenge</t>
  </si>
  <si>
    <t>KATO INVESTMENTS LTD-KATIKARA</t>
  </si>
  <si>
    <t>Kato Investment Ltd -Mityana</t>
  </si>
  <si>
    <t>Bates Enterprises Ltd-Ntoroko</t>
  </si>
  <si>
    <t>Kobusinge Steven-FPortal</t>
  </si>
  <si>
    <t>Kobusinge Acaali- Kyenjojo</t>
  </si>
  <si>
    <t>Kato Investment Ltd -Kagadi</t>
  </si>
  <si>
    <t>Kabaco U Ltd</t>
  </si>
  <si>
    <t>Boniface Harera</t>
  </si>
  <si>
    <t>Kato Investments Ltd-Bulenga</t>
  </si>
  <si>
    <t>Kato Investments Ltd- Kyegegwa</t>
  </si>
  <si>
    <t>KATO INVESTMENTS LIMITED-MASAK</t>
  </si>
  <si>
    <t>Kato Investment Ltd -Mubende</t>
  </si>
  <si>
    <t>Bates Enterprises U Ltd</t>
  </si>
  <si>
    <t>Rugoma Traders-Rukungiri</t>
  </si>
  <si>
    <t>Sawan Distributors Ltd-Kayabwe</t>
  </si>
  <si>
    <t>Jusime Enterprises</t>
  </si>
  <si>
    <t>Nakuya Enterprises Ltd</t>
  </si>
  <si>
    <t>Kabaco U Ltd-Mbarara</t>
  </si>
  <si>
    <t>OM</t>
  </si>
  <si>
    <t>Depature Deviation (min)</t>
  </si>
  <si>
    <t>Month</t>
  </si>
  <si>
    <t>LOGISTICS DAILY MEETING</t>
  </si>
  <si>
    <t>Week</t>
  </si>
  <si>
    <t>Day</t>
  </si>
  <si>
    <t>Date</t>
  </si>
  <si>
    <t>LAGGING INDICATOR</t>
  </si>
  <si>
    <t>Accountable</t>
  </si>
  <si>
    <t>KPI</t>
  </si>
  <si>
    <t>UN</t>
  </si>
  <si>
    <t>Trigger</t>
  </si>
  <si>
    <t>Target</t>
  </si>
  <si>
    <t xml:space="preserve">MTD </t>
  </si>
  <si>
    <t>SIO WHSE (VPO)</t>
  </si>
  <si>
    <t>LTI</t>
  </si>
  <si>
    <t>#</t>
  </si>
  <si>
    <t>&lt;35</t>
  </si>
  <si>
    <t>SIO DEL ( DPO)</t>
  </si>
  <si>
    <t>&lt;8</t>
  </si>
  <si>
    <t>T2 DWH</t>
  </si>
  <si>
    <t>&gt;0</t>
  </si>
  <si>
    <t>OWD WHSE (Management &amp; Shop floor)</t>
  </si>
  <si>
    <t>TP</t>
  </si>
  <si>
    <t>OWD DEL  (Management &amp; Drivers)</t>
  </si>
  <si>
    <t>T2 Truck Avail%</t>
  </si>
  <si>
    <t>AE</t>
  </si>
  <si>
    <t>%</t>
  </si>
  <si>
    <t>&lt;97%</t>
  </si>
  <si>
    <t>T2 Ave Departure</t>
  </si>
  <si>
    <t>Min</t>
  </si>
  <si>
    <t>Refusals vs Issued</t>
  </si>
  <si>
    <t>RTM</t>
  </si>
  <si>
    <t xml:space="preserve">On-Time% </t>
  </si>
  <si>
    <t>OTIF</t>
  </si>
  <si>
    <t>&gt;1,2%</t>
  </si>
  <si>
    <t>Returns to Issue</t>
  </si>
  <si>
    <t>NPS</t>
  </si>
  <si>
    <t>&gt;99%</t>
  </si>
  <si>
    <t>Sunstone</t>
  </si>
  <si>
    <t>&lt;84%</t>
  </si>
  <si>
    <t>&gt;90%</t>
  </si>
  <si>
    <t>Inv Accuracy</t>
  </si>
  <si>
    <t>&lt;85</t>
  </si>
  <si>
    <t>T1/T2 Open Cycles</t>
  </si>
  <si>
    <t>Nm</t>
  </si>
  <si>
    <t>&gt;1</t>
  </si>
  <si>
    <t>Gains Fulls/Empties</t>
  </si>
  <si>
    <t>R</t>
  </si>
  <si>
    <t>40k</t>
  </si>
  <si>
    <t>Losses Fulls</t>
  </si>
  <si>
    <t>Stock Posting Time</t>
  </si>
  <si>
    <t>nM</t>
  </si>
  <si>
    <t>&gt;10:31</t>
  </si>
  <si>
    <t xml:space="preserve">ATCT </t>
  </si>
  <si>
    <t>VPO</t>
  </si>
  <si>
    <t>&gt;225</t>
  </si>
  <si>
    <t>&lt;220</t>
  </si>
  <si>
    <t>DCBL</t>
  </si>
  <si>
    <t>&gt;45</t>
  </si>
  <si>
    <t>&lt;40</t>
  </si>
  <si>
    <t>DLPA</t>
  </si>
  <si>
    <t>&gt;95</t>
  </si>
  <si>
    <t xml:space="preserve">Picking Productivty </t>
  </si>
  <si>
    <t>Comment for Av. Departure Var</t>
  </si>
  <si>
    <t>Comment For ETA Var</t>
  </si>
  <si>
    <t>Comment for Service Time Var</t>
  </si>
  <si>
    <t>Comment for Ave TIR Var</t>
  </si>
  <si>
    <t>Comment for Av. Arrival Var</t>
  </si>
  <si>
    <t>Damaged stock replacement</t>
  </si>
  <si>
    <t>Customer Delays</t>
  </si>
  <si>
    <t>Freeze Window</t>
  </si>
  <si>
    <t>Delayed Check ins</t>
  </si>
  <si>
    <t>Ferry delays</t>
  </si>
  <si>
    <t>Traffic at gate</t>
  </si>
  <si>
    <t>Prolonged meeting.</t>
  </si>
  <si>
    <t>Truck Breakdown</t>
  </si>
  <si>
    <t>Staging</t>
  </si>
  <si>
    <t>unplanned trainings</t>
  </si>
  <si>
    <t>Unknown stops</t>
  </si>
  <si>
    <t>Fork Lift Breakdown</t>
  </si>
  <si>
    <t>Pre-Trip inspection defect closure</t>
  </si>
  <si>
    <t>Traffic jam</t>
  </si>
  <si>
    <t>Yard Clearing</t>
  </si>
  <si>
    <t>Reconcile stock count delays</t>
  </si>
  <si>
    <t>Delays at weigh Bridge</t>
  </si>
  <si>
    <t>Space constraint</t>
  </si>
  <si>
    <t>Weigh bridge delays</t>
  </si>
  <si>
    <t>Space Constraint at customer</t>
  </si>
  <si>
    <t>Faulty weigh bridge</t>
  </si>
  <si>
    <t>Late coming</t>
  </si>
  <si>
    <t>Spent an extra night at customer</t>
  </si>
  <si>
    <t>DJ failures</t>
  </si>
  <si>
    <t xml:space="preserve">DJ failures </t>
  </si>
  <si>
    <t>Road blockage due to accidents</t>
  </si>
  <si>
    <t>Stock take</t>
  </si>
  <si>
    <t>Early Arrival</t>
  </si>
  <si>
    <t>Government Road block checks</t>
  </si>
  <si>
    <t>Delayed gate checks</t>
  </si>
  <si>
    <t>Traffic at the exit gate</t>
  </si>
  <si>
    <t>Truck diverted by transporter</t>
  </si>
  <si>
    <t>Delayed fuel</t>
  </si>
  <si>
    <t>Driver delays</t>
  </si>
  <si>
    <t>Conjestion at RD due to many trucks invoiced</t>
  </si>
  <si>
    <t>Offloading delays</t>
  </si>
  <si>
    <t>Delayed credit order release</t>
  </si>
  <si>
    <t>Planned to deliver to MDC</t>
  </si>
  <si>
    <t>Diverted for empty collection</t>
  </si>
  <si>
    <t>Tr</t>
  </si>
  <si>
    <t>Customer Name2</t>
  </si>
  <si>
    <t>Customer Type</t>
  </si>
  <si>
    <t>Customer Contact Name</t>
  </si>
  <si>
    <t>Contact Role</t>
  </si>
  <si>
    <t>Contact Number 1</t>
  </si>
  <si>
    <t>Contact no 2</t>
  </si>
  <si>
    <t>Contact no 3</t>
  </si>
  <si>
    <t>E-mail Adress</t>
  </si>
  <si>
    <t>Street</t>
  </si>
  <si>
    <t>Geography</t>
  </si>
  <si>
    <t>Latitude</t>
  </si>
  <si>
    <t>Latitude3</t>
  </si>
  <si>
    <t>Call Type</t>
  </si>
  <si>
    <t>Call Frequency 1</t>
  </si>
  <si>
    <t># DD</t>
  </si>
  <si>
    <t>Mon</t>
  </si>
  <si>
    <t>Tue</t>
  </si>
  <si>
    <t>Wed</t>
  </si>
  <si>
    <t>Thu</t>
  </si>
  <si>
    <t>Fri</t>
  </si>
  <si>
    <t>Sat</t>
  </si>
  <si>
    <t>Sun</t>
  </si>
  <si>
    <t>Max Truck Capacity</t>
  </si>
  <si>
    <t>Time Window</t>
  </si>
  <si>
    <t>CIC Agent</t>
  </si>
  <si>
    <t>Sales Rep / Distributor Specialist</t>
  </si>
  <si>
    <t>Delivery Points</t>
  </si>
  <si>
    <t>Max Stock Capacity at outlet cases</t>
  </si>
  <si>
    <t>12 month sales volume HL</t>
  </si>
  <si>
    <t>12 months # of deliveries</t>
  </si>
  <si>
    <t>12 Month # of FBR's</t>
  </si>
  <si>
    <t>Credit Limit</t>
  </si>
  <si>
    <t>Mon4</t>
  </si>
  <si>
    <t>Tue5</t>
  </si>
  <si>
    <t>Wed6</t>
  </si>
  <si>
    <t>Thu7</t>
  </si>
  <si>
    <t>Fri8</t>
  </si>
  <si>
    <t>Sat9</t>
  </si>
  <si>
    <t>Sun10</t>
  </si>
  <si>
    <t>DEL DAYS COMBINED</t>
  </si>
  <si>
    <t>Budget Cases</t>
  </si>
  <si>
    <t>Lane allocation</t>
  </si>
  <si>
    <t>Rate</t>
  </si>
  <si>
    <t>Budget cost</t>
  </si>
  <si>
    <t>Budget Net Revenue</t>
  </si>
  <si>
    <t>Capacity Occupation</t>
  </si>
  <si>
    <t>Budget: Cases /km</t>
  </si>
  <si>
    <t>Cost/case UGX</t>
  </si>
  <si>
    <t>Net Revenue% Contribution</t>
  </si>
  <si>
    <t>Cost/case Rank</t>
  </si>
  <si>
    <t>Volume Contribution</t>
  </si>
  <si>
    <t>Location type</t>
  </si>
  <si>
    <t>Main catergory</t>
  </si>
  <si>
    <t>Distribution Segmentation</t>
  </si>
  <si>
    <t>Clustering</t>
  </si>
  <si>
    <t>Volume %</t>
  </si>
  <si>
    <t>NetReve Growth</t>
  </si>
  <si>
    <t>Cost to deliver</t>
  </si>
  <si>
    <t>CO HL</t>
  </si>
  <si>
    <t>RMD</t>
  </si>
  <si>
    <t>Points</t>
  </si>
  <si>
    <t>AGABA SERVICES</t>
  </si>
  <si>
    <t>BAGA011</t>
  </si>
  <si>
    <t>BYARUGABA MOSES</t>
  </si>
  <si>
    <t>Distribution Centre</t>
  </si>
  <si>
    <t>OWNER</t>
  </si>
  <si>
    <t>kalvomark@yahoo.com </t>
  </si>
  <si>
    <t>KABALE</t>
  </si>
  <si>
    <t>T</t>
  </si>
  <si>
    <t>Mon-Sun</t>
  </si>
  <si>
    <t>X</t>
  </si>
  <si>
    <t>0800-1700</t>
  </si>
  <si>
    <t>Samuel Kenneth Ssekajja</t>
  </si>
  <si>
    <t>Mon Tue Wed Thu Fri Sat Sun</t>
  </si>
  <si>
    <t xml:space="preserve"> Own </t>
  </si>
  <si>
    <t>Semi Urban</t>
  </si>
  <si>
    <t>Value</t>
  </si>
  <si>
    <t>Semi Urban Value</t>
  </si>
  <si>
    <t>Winner</t>
  </si>
  <si>
    <t>BATES BUNDIBUGYO</t>
  </si>
  <si>
    <t>BBAT035</t>
  </si>
  <si>
    <t>TIMOTHY BAGUMA</t>
  </si>
  <si>
    <t>Distributor CENTER</t>
  </si>
  <si>
    <t xml:space="preserve">batesenterprises@gmail.com </t>
  </si>
  <si>
    <t>BUNDIBUGYO</t>
  </si>
  <si>
    <t>Steven R. Bazungu</t>
  </si>
  <si>
    <t xml:space="preserve"> 3PL </t>
  </si>
  <si>
    <t>Rural</t>
  </si>
  <si>
    <t>Core</t>
  </si>
  <si>
    <t>Rural Core</t>
  </si>
  <si>
    <t>Basic</t>
  </si>
  <si>
    <t>BATES NTOROKO</t>
  </si>
  <si>
    <t>BBAT036</t>
  </si>
  <si>
    <t>MANAGER</t>
  </si>
  <si>
    <t>NTOROKO</t>
  </si>
  <si>
    <t>DE'PLACE INVESTMENT</t>
  </si>
  <si>
    <t>NDE 001</t>
  </si>
  <si>
    <t>BINGI JULIUS</t>
  </si>
  <si>
    <t>deplaceinvestmentltd@yahoo.com</t>
  </si>
  <si>
    <t>HOIMA</t>
  </si>
  <si>
    <t>Gerald Mugisa</t>
  </si>
  <si>
    <t>Urban</t>
  </si>
  <si>
    <t>Urban Core</t>
  </si>
  <si>
    <t>Low</t>
  </si>
  <si>
    <t>HARERA KISORO</t>
  </si>
  <si>
    <t>NBON002</t>
  </si>
  <si>
    <t>HARERA</t>
  </si>
  <si>
    <t>hareraboniface@yahoo.com </t>
  </si>
  <si>
    <t>KISORO</t>
  </si>
  <si>
    <t>KABACO KASESE</t>
  </si>
  <si>
    <t>BKAB002</t>
  </si>
  <si>
    <t>CHARITY TUSIIME</t>
  </si>
  <si>
    <t xml:space="preserve">kabacougltd@yahoo.com </t>
  </si>
  <si>
    <t>KASESE</t>
  </si>
  <si>
    <t>Semi Urban Core</t>
  </si>
  <si>
    <t>KABACO MBARARA</t>
  </si>
  <si>
    <t>BKAB005</t>
  </si>
  <si>
    <t>RUTI</t>
  </si>
  <si>
    <t>MBARARA</t>
  </si>
  <si>
    <t>Susan Twongyeirwe</t>
  </si>
  <si>
    <t>KATO INVESTMENT BULENGA</t>
  </si>
  <si>
    <t>KKAT010</t>
  </si>
  <si>
    <t>MATOVU FAHAD</t>
  </si>
  <si>
    <t>Katoinvestmentslimited@yahoo.com</t>
  </si>
  <si>
    <t>BULENGA</t>
  </si>
  <si>
    <t>Ronald Kasumba</t>
  </si>
  <si>
    <t>KATO INVESTMENT KAGADI</t>
  </si>
  <si>
    <t>KKAT003</t>
  </si>
  <si>
    <t xml:space="preserve">Nasuna Florence </t>
  </si>
  <si>
    <t>KAGADI</t>
  </si>
  <si>
    <t>Rural Value</t>
  </si>
  <si>
    <t>KATO INVESTMENT KAKUMIRO</t>
  </si>
  <si>
    <t>KKAT013</t>
  </si>
  <si>
    <t>NANSUBUGA LUCIE</t>
  </si>
  <si>
    <t>KAKUMIRO</t>
  </si>
  <si>
    <t>x</t>
  </si>
  <si>
    <t>KATO INVESTMENT KALISIZO</t>
  </si>
  <si>
    <t>NKAT002</t>
  </si>
  <si>
    <t>SIMON MAKODI</t>
  </si>
  <si>
    <t>KALISIZO</t>
  </si>
  <si>
    <t xml:space="preserve"> -   </t>
  </si>
  <si>
    <t>KATO INVESTMENT KATIKARA</t>
  </si>
  <si>
    <t>KKAT012</t>
  </si>
  <si>
    <t>LUUTU JOSEPH</t>
  </si>
  <si>
    <t>KATIKARA</t>
  </si>
  <si>
    <t>KATO INVESTMENT KYEGEGWA</t>
  </si>
  <si>
    <t>KKAT014</t>
  </si>
  <si>
    <t>Ssemanda Herny</t>
  </si>
  <si>
    <t>KYEGEGWA</t>
  </si>
  <si>
    <t xml:space="preserve">-   </t>
  </si>
  <si>
    <t>KATO INVESTMENT MASAKA</t>
  </si>
  <si>
    <t>NKAT001</t>
  </si>
  <si>
    <t>MASAKA</t>
  </si>
  <si>
    <t>KATO INVESTMENT MASAKA - SEMBABULE</t>
  </si>
  <si>
    <t xml:space="preserve">  </t>
  </si>
  <si>
    <t>KATO INVESTMENT MIT - BUKUYA</t>
  </si>
  <si>
    <t>KKAT006</t>
  </si>
  <si>
    <t>MUTUMBA ALLOYZIOUS</t>
  </si>
  <si>
    <t>BUKUYA</t>
  </si>
  <si>
    <t>KATO INVESTMENT MITYANA</t>
  </si>
  <si>
    <t>MITYANA</t>
  </si>
  <si>
    <t>KATO INVESTMENT MUBENDE</t>
  </si>
  <si>
    <t>KKAT007</t>
  </si>
  <si>
    <t>NAKYAMBADDE DAPHINE</t>
  </si>
  <si>
    <t>MUBENDE</t>
  </si>
  <si>
    <t>KATO MASAKA - KALANGALA</t>
  </si>
  <si>
    <t>KALANGALA</t>
  </si>
  <si>
    <t>KIHEMBE BUSHENYI</t>
  </si>
  <si>
    <t>NKIH002</t>
  </si>
  <si>
    <t>LABAN</t>
  </si>
  <si>
    <t>Musinguzi Laban</t>
  </si>
  <si>
    <t>kihembebrothers@gmail.com</t>
  </si>
  <si>
    <t>KIHEMBE</t>
  </si>
  <si>
    <t>kIHEMBE IBANDA</t>
  </si>
  <si>
    <t>NIBA001</t>
  </si>
  <si>
    <t>IBANDA</t>
  </si>
  <si>
    <t>KIHEMBE MBARARA</t>
  </si>
  <si>
    <t>NKIH001</t>
  </si>
  <si>
    <t>KAKOBA</t>
  </si>
  <si>
    <t>KIHEMBE MBRA-LYANTONDE</t>
  </si>
  <si>
    <t xml:space="preserve">CYNTHIA </t>
  </si>
  <si>
    <t>CYNTHIA</t>
  </si>
  <si>
    <t>LYANTONDE</t>
  </si>
  <si>
    <t>KOBUSINGYE FORTPORTAL</t>
  </si>
  <si>
    <t>BKOB003</t>
  </si>
  <si>
    <t>KENNETH</t>
  </si>
  <si>
    <t>Kobusingyeandsonsdistributors@gmail.com</t>
  </si>
  <si>
    <t>FORTPORTAL</t>
  </si>
  <si>
    <t>Urban Value</t>
  </si>
  <si>
    <t>KOBUSINGYE KAMWENGE</t>
  </si>
  <si>
    <t>BKOB004</t>
  </si>
  <si>
    <t>PETER KINGOMA</t>
  </si>
  <si>
    <t>KAMWENGE</t>
  </si>
  <si>
    <t>KOBUSINGYE KYENJOJO</t>
  </si>
  <si>
    <t>BKOB001</t>
  </si>
  <si>
    <t>PAUL MUGISA</t>
  </si>
  <si>
    <t>KYENJOJO</t>
  </si>
  <si>
    <t>NTALE &amp; SONS KAKIRI</t>
  </si>
  <si>
    <t>KNTA004</t>
  </si>
  <si>
    <t>HAKIM</t>
  </si>
  <si>
    <t>nntaleandsons@yahoo.com</t>
  </si>
  <si>
    <t>KAKIRI</t>
  </si>
  <si>
    <t>NTALE AND SONS KIBOGA</t>
  </si>
  <si>
    <t>KNTA002</t>
  </si>
  <si>
    <t>KIBOGA</t>
  </si>
  <si>
    <t>RUGOMA KIHIHI</t>
  </si>
  <si>
    <t>BRUG004</t>
  </si>
  <si>
    <t>Gloria</t>
  </si>
  <si>
    <t>rugoma10@yahoo.com </t>
  </si>
  <si>
    <t>KIHIHI</t>
  </si>
  <si>
    <t>RUGOMA NTUNGAMO</t>
  </si>
  <si>
    <t>NRUG001</t>
  </si>
  <si>
    <t>Muhwezi</t>
  </si>
  <si>
    <t>NTUNGAMO</t>
  </si>
  <si>
    <t>RUGOMA RUKUNGIRI</t>
  </si>
  <si>
    <t>BRUG002</t>
  </si>
  <si>
    <t>RUKUNGIRI</t>
  </si>
  <si>
    <t>SAWAN KAYABWE</t>
  </si>
  <si>
    <t>KSAW005</t>
  </si>
  <si>
    <t xml:space="preserve">GODWINE TINKA    </t>
  </si>
  <si>
    <t>0702774004 /   0776863785</t>
  </si>
  <si>
    <t>godwinetinkah@gmail.com</t>
  </si>
  <si>
    <t>KAYABWE</t>
  </si>
  <si>
    <t>Peter Jumba</t>
  </si>
  <si>
    <t>SAWAN NABBINGO</t>
  </si>
  <si>
    <t>KSAW004</t>
  </si>
  <si>
    <t>SANJAY    </t>
  </si>
  <si>
    <t>0703584358 </t>
  </si>
  <si>
    <t> sanjaymkeshwala@keshwalagroup.com</t>
  </si>
  <si>
    <t>NABBINGO</t>
  </si>
  <si>
    <t xml:space="preserve"> </t>
  </si>
  <si>
    <t>OM1JESFRR</t>
  </si>
  <si>
    <t>OMRGR92RR</t>
  </si>
  <si>
    <t>OMRYT3NRR</t>
  </si>
  <si>
    <t>OMEA2E9RR</t>
  </si>
  <si>
    <t>OMGW63URR</t>
  </si>
  <si>
    <t>OM08QBORR</t>
  </si>
  <si>
    <t>OM2G8SKRR</t>
  </si>
  <si>
    <t>OM3FY6QRR</t>
  </si>
  <si>
    <t>OMGYL7CRR</t>
  </si>
  <si>
    <t>OMMK06ORR</t>
  </si>
  <si>
    <t>OM2T10KRR</t>
  </si>
  <si>
    <t>OMF1N6TRR</t>
  </si>
  <si>
    <t>OMMMFQSRR</t>
  </si>
  <si>
    <t>OMOHRI9RR</t>
  </si>
  <si>
    <t>OMPH45PRR</t>
  </si>
  <si>
    <t>OMSF49ZRR</t>
  </si>
  <si>
    <t>OMT67LPRR</t>
  </si>
  <si>
    <t>OM6CYJIRR</t>
  </si>
  <si>
    <t>OM97USARR</t>
  </si>
  <si>
    <t>OMGBWDPRR</t>
  </si>
  <si>
    <t>OMPS7Y0RR</t>
  </si>
  <si>
    <t>OM3EGIHRR</t>
  </si>
  <si>
    <t>OMAKGLLRR</t>
  </si>
  <si>
    <t>OMU699YRR</t>
  </si>
  <si>
    <t>OMWUMP8RR</t>
  </si>
  <si>
    <t>OMZIMCMRR</t>
  </si>
  <si>
    <t>OM2FJTZRR</t>
  </si>
  <si>
    <t>OM5KX1ZRR</t>
  </si>
  <si>
    <t>OMATXRURR</t>
  </si>
  <si>
    <t>OMJBBX8RR</t>
  </si>
  <si>
    <t>OMN4OBMRR</t>
  </si>
  <si>
    <t>OMOF3KLRR</t>
  </si>
  <si>
    <t>OMWCMJWRR</t>
  </si>
  <si>
    <t>OMBYEG6RR</t>
  </si>
  <si>
    <t>OMMT37ZRR</t>
  </si>
  <si>
    <t>OM7QN6ORR</t>
  </si>
  <si>
    <t>OMM0QETRR</t>
  </si>
  <si>
    <t>OM881JIRR</t>
  </si>
  <si>
    <t>OMD8HUDRR</t>
  </si>
  <si>
    <t>OM117K8RR</t>
  </si>
  <si>
    <t>OM1QUZPRR</t>
  </si>
  <si>
    <t>OMD3RE6RR</t>
  </si>
  <si>
    <t>OMK83DARR</t>
  </si>
  <si>
    <t>OMRKN18RR</t>
  </si>
  <si>
    <t>OMLX6IURR</t>
  </si>
  <si>
    <t>OMSILIWRR</t>
  </si>
  <si>
    <t>OMBA7HPRR</t>
  </si>
  <si>
    <t>OMCBKQ0RR</t>
  </si>
  <si>
    <t>OMFVAXKRR</t>
  </si>
  <si>
    <t>OMUK22WRR</t>
  </si>
  <si>
    <t>OM5OK06RR</t>
  </si>
  <si>
    <t>OM9TWHKRR</t>
  </si>
  <si>
    <t>OMAIDXSRR</t>
  </si>
  <si>
    <t>OMBHUVNRR</t>
  </si>
  <si>
    <t>OMFNWCZRR</t>
  </si>
  <si>
    <t>OMV95IBRR</t>
  </si>
  <si>
    <t>OMPBEA7RR</t>
  </si>
  <si>
    <t>OM6HORERR</t>
  </si>
  <si>
    <t>OMHTPFRRR</t>
  </si>
  <si>
    <t>OMNQSVFRR</t>
  </si>
  <si>
    <t>OMSQWKVRR</t>
  </si>
  <si>
    <t>OM02W5MRR</t>
  </si>
  <si>
    <t>OM55YD2RR</t>
  </si>
  <si>
    <t>OM6ZFN7RR</t>
  </si>
  <si>
    <t>OM8QX4HRR</t>
  </si>
  <si>
    <t>OMC7YK7RR</t>
  </si>
  <si>
    <t>OME9UVIRR</t>
  </si>
  <si>
    <t>OMEOYKVRR</t>
  </si>
  <si>
    <t>OMHDVM2RR</t>
  </si>
  <si>
    <t>OMIWDB2RR</t>
  </si>
  <si>
    <t>OMRIVTMRR</t>
  </si>
  <si>
    <t>OMEBZ2HRR</t>
  </si>
  <si>
    <t>OMUPC2WRR</t>
  </si>
  <si>
    <t>OM0BXO6RR</t>
  </si>
  <si>
    <t>OM0QHSLRR</t>
  </si>
  <si>
    <t>OM2FUCTRR</t>
  </si>
  <si>
    <t>OME6941RR</t>
  </si>
  <si>
    <t>OMF0NLXRR</t>
  </si>
  <si>
    <t>OMR1XSFRR</t>
  </si>
  <si>
    <t>OM75QECRR</t>
  </si>
  <si>
    <t>OM8PJX9RR</t>
  </si>
  <si>
    <t>OM8QHT4RR</t>
  </si>
  <si>
    <t>OM9KEAKRR</t>
  </si>
  <si>
    <t>OMBYM1LRR</t>
  </si>
  <si>
    <t>OMOB9FFRR</t>
  </si>
  <si>
    <t>OMSXD6GRR</t>
  </si>
  <si>
    <t>OMKIGUORR</t>
  </si>
  <si>
    <t>OMLV1DQRR</t>
  </si>
  <si>
    <t>OM0ZQ3MRR</t>
  </si>
  <si>
    <t>OM5H4T5RR</t>
  </si>
  <si>
    <t>OM7VIDTRR</t>
  </si>
  <si>
    <t>OMB6EOSRR</t>
  </si>
  <si>
    <t>OMK91NURR</t>
  </si>
  <si>
    <t>OMWT7WERR</t>
  </si>
  <si>
    <t>OMZY0AVRR</t>
  </si>
  <si>
    <t>OM9RS70RR</t>
  </si>
  <si>
    <t>OMNP0AERR</t>
  </si>
  <si>
    <t>OMPYKSHRR</t>
  </si>
  <si>
    <t>OM17TH5RR</t>
  </si>
  <si>
    <t>OMATP0LRR</t>
  </si>
  <si>
    <t>OMGVHG4RR</t>
  </si>
  <si>
    <t>OMUB5G2RR</t>
  </si>
  <si>
    <t>OMLTVKTRR</t>
  </si>
  <si>
    <t>OMMB4GSRR</t>
  </si>
  <si>
    <t>OMQOK5MRR</t>
  </si>
  <si>
    <t>OM19WNFRR</t>
  </si>
  <si>
    <t>OMAIF00RR</t>
  </si>
  <si>
    <t>OM2IOKSRR</t>
  </si>
  <si>
    <t>OM8QNZMRR</t>
  </si>
  <si>
    <t>OMSMRMKRR</t>
  </si>
  <si>
    <t>OM3SDLVRR</t>
  </si>
  <si>
    <t>OM14WBURR</t>
  </si>
  <si>
    <t>OM2U5PIRR</t>
  </si>
  <si>
    <t>OMKY5Y8RR</t>
  </si>
  <si>
    <t>OMQ9CV1RR</t>
  </si>
  <si>
    <t>OMZZIPQRR</t>
  </si>
  <si>
    <t>OM2VQCMRR</t>
  </si>
  <si>
    <t>OM3KEC6RR</t>
  </si>
  <si>
    <t>OM7NTMURR</t>
  </si>
  <si>
    <t>OMHTHKORR</t>
  </si>
  <si>
    <t>OMIE8WWRR</t>
  </si>
  <si>
    <t>OMJNRQ6RR</t>
  </si>
  <si>
    <t>OM6CFFURR</t>
  </si>
  <si>
    <t>OMB1R5JRR</t>
  </si>
  <si>
    <t>OMFLUW9RR</t>
  </si>
  <si>
    <t>OMJM25LRR</t>
  </si>
  <si>
    <t>OMM9KJSRR</t>
  </si>
  <si>
    <t>OMXJO6NRR</t>
  </si>
  <si>
    <t>OM7NW09RR</t>
  </si>
  <si>
    <t>OMXD6KGRR</t>
  </si>
  <si>
    <t>OM496R1RR</t>
  </si>
  <si>
    <t>OMDIOAFRR</t>
  </si>
  <si>
    <t>OMF5K3MRR</t>
  </si>
  <si>
    <t>OMNBE1MRR</t>
  </si>
  <si>
    <t>OMOPQ4TRR</t>
  </si>
  <si>
    <t>OMR2MRVRR</t>
  </si>
  <si>
    <t>OM2MDORRR</t>
  </si>
  <si>
    <t>OMGDQSGRR</t>
  </si>
  <si>
    <t>OMPNM07RR</t>
  </si>
  <si>
    <t>OMVRA7NRR</t>
  </si>
  <si>
    <t>OMEZ1JZRR</t>
  </si>
  <si>
    <t>Benon Ssempijja</t>
  </si>
  <si>
    <t>Mugisha  George</t>
  </si>
  <si>
    <t>Isaac Tumuhimbise</t>
  </si>
  <si>
    <t xml:space="preserve">Stephen Musoke </t>
  </si>
  <si>
    <t>Abel Mark naffa</t>
  </si>
  <si>
    <t>Luyaga Isaac</t>
  </si>
  <si>
    <t>Bisaso  Ronald</t>
  </si>
  <si>
    <t>Tumusiime Robert</t>
  </si>
  <si>
    <t>Kabene John</t>
  </si>
  <si>
    <t>Konge Husein</t>
  </si>
  <si>
    <t>ZIWA ABASI</t>
  </si>
  <si>
    <t>MUKOSE MUZAMIRU</t>
  </si>
  <si>
    <t>James  Kironde</t>
  </si>
  <si>
    <t>SENTONG DAVID</t>
  </si>
  <si>
    <t>Jacob Oneka</t>
  </si>
  <si>
    <t>Kilabila Ismail</t>
  </si>
  <si>
    <t>GODWIN  NIWENSIIMA</t>
  </si>
  <si>
    <t>UAY 526V</t>
  </si>
  <si>
    <t>UAV 203T</t>
  </si>
  <si>
    <t>UBE 287X</t>
  </si>
  <si>
    <t>UBJ 375N</t>
  </si>
  <si>
    <t>UBJ 415C</t>
  </si>
  <si>
    <t>UAY 265V</t>
  </si>
  <si>
    <t>UBK 875R</t>
  </si>
  <si>
    <t>UBJ 988D</t>
  </si>
  <si>
    <t>UBA 523T</t>
  </si>
  <si>
    <t>UBJ 707D</t>
  </si>
  <si>
    <t>UBJ 417C</t>
  </si>
  <si>
    <t>UBK 881R</t>
  </si>
  <si>
    <t>UBE 422T</t>
  </si>
  <si>
    <t>UBE 419T</t>
  </si>
  <si>
    <t>UAR 731Q</t>
  </si>
  <si>
    <t xml:space="preserve">KATO INVESTMENTS LIMITED-MASAK </t>
  </si>
  <si>
    <t xml:space="preserve">RUGOMA TRADERS CO. LTD NTUNGAM </t>
  </si>
  <si>
    <t xml:space="preserve">Sawan Distributors Ltd-Kayabwe </t>
  </si>
  <si>
    <t xml:space="preserve">Kato Investment Ltd -Mityana </t>
  </si>
  <si>
    <t xml:space="preserve">KATO INVESTMENTS LTD- KALISIZO </t>
  </si>
  <si>
    <t xml:space="preserve">Kabaco U Ltd </t>
  </si>
  <si>
    <t>RUGOMA TRADERS CO. LTD NTUNGAM</t>
  </si>
  <si>
    <t xml:space="preserve">Rugoma Traders-Rukungiri </t>
  </si>
  <si>
    <t xml:space="preserve">Boniface Harera </t>
  </si>
  <si>
    <t xml:space="preserve">Kabaco U Ltd-Mbarara </t>
  </si>
  <si>
    <t>Kobusinge Steven-Fporta</t>
  </si>
  <si>
    <t xml:space="preserve">Sawan Distributors Ltd-Nabingo </t>
  </si>
  <si>
    <t xml:space="preserve">Kato Investment Ltd -Mubende </t>
  </si>
  <si>
    <t>Rugoma Traders-Kanungu/Kihih</t>
  </si>
  <si>
    <t>KATO INVESTMENTS LTD- KALISIZO</t>
  </si>
  <si>
    <t>Rugoma Traders-Kanungu/Kihihi</t>
  </si>
  <si>
    <t xml:space="preserve">Rugoma Traders-Kanungu/Kihihi </t>
  </si>
  <si>
    <t xml:space="preserve">Kobusinge Steven-Kamwenge </t>
  </si>
  <si>
    <t xml:space="preserve">Jusime Enterprises </t>
  </si>
  <si>
    <t>Ssempa Investments Limited</t>
  </si>
  <si>
    <t xml:space="preserve">Sawan Distributors </t>
  </si>
  <si>
    <t xml:space="preserve">SAGAR TRADING CO. LTD- MUKONO </t>
  </si>
  <si>
    <t xml:space="preserve">Kachain Logistics Ltd </t>
  </si>
  <si>
    <t>OMTDJ66RR</t>
  </si>
  <si>
    <t>OMG1H0FRR</t>
  </si>
  <si>
    <t>OMHUBMXRR</t>
  </si>
  <si>
    <t>OMLLIGXRR</t>
  </si>
  <si>
    <t>OMY4VRCRR</t>
  </si>
  <si>
    <t>OMOK60URR</t>
  </si>
  <si>
    <t>OMZH3MWRR</t>
  </si>
  <si>
    <t>OMB59V1RR</t>
  </si>
  <si>
    <t>Faruk Abel</t>
  </si>
  <si>
    <t>Eriku Alipa</t>
  </si>
  <si>
    <t>Ngobi Fred</t>
  </si>
  <si>
    <t>DJ</t>
  </si>
  <si>
    <t>Manual</t>
  </si>
  <si>
    <t>Byanshala Stoney</t>
  </si>
  <si>
    <t>Sentongo paul</t>
  </si>
  <si>
    <t>Mbogo bashil</t>
  </si>
  <si>
    <t>Ntumwa Solomon</t>
  </si>
  <si>
    <t>Kyapa Hakim</t>
  </si>
  <si>
    <t>kakembo Masudi</t>
  </si>
  <si>
    <t>Mudunga Musa</t>
  </si>
  <si>
    <t>Kabanda Ronald</t>
  </si>
  <si>
    <t>kayanja Sam</t>
  </si>
  <si>
    <t>Tsaale Hassan</t>
  </si>
  <si>
    <t>Taimwa Alex</t>
  </si>
  <si>
    <t>Nminya Siraje</t>
  </si>
  <si>
    <t>Lule Fred</t>
  </si>
  <si>
    <t>Ikwalikwa Yusuf</t>
  </si>
  <si>
    <t>Malinzi Awali</t>
  </si>
  <si>
    <t>Mulumba Kasim</t>
  </si>
  <si>
    <t>Kyakulaga James</t>
  </si>
  <si>
    <t>Bwanga Gilbert</t>
  </si>
  <si>
    <t>Nakalya John</t>
  </si>
  <si>
    <t>Matovu Musa</t>
  </si>
  <si>
    <t>slept at the RD and offloaded the next day</t>
  </si>
  <si>
    <t>found another truck at the RD</t>
  </si>
  <si>
    <t>found another truck at the RD and offloaded the next day</t>
  </si>
  <si>
    <t>Delievered to kalangala</t>
  </si>
  <si>
    <t>Delievered to Lyantonde</t>
  </si>
  <si>
    <t>Deviated due to road mantanance</t>
  </si>
  <si>
    <t>Waited for empties from trade</t>
  </si>
  <si>
    <t>Dj failure at customer</t>
  </si>
  <si>
    <t>truck faulty</t>
  </si>
  <si>
    <t>space consquents</t>
  </si>
  <si>
    <t>Not enough casuals to offload</t>
  </si>
  <si>
    <t>Reached late and offloaded the next day</t>
  </si>
  <si>
    <t>found another truck to be offloaded</t>
  </si>
  <si>
    <t>less casuals and offloaded the next day</t>
  </si>
  <si>
    <t>found another truck at RD</t>
  </si>
  <si>
    <t>Delayed order capture</t>
  </si>
  <si>
    <t>Traffic at the exit gate.</t>
  </si>
  <si>
    <t>Grand Total</t>
  </si>
  <si>
    <t>January</t>
  </si>
  <si>
    <t>December</t>
  </si>
  <si>
    <t>November</t>
  </si>
  <si>
    <t>October</t>
  </si>
  <si>
    <t>Row Labels</t>
  </si>
  <si>
    <t>(blank)</t>
  </si>
  <si>
    <t>Quarter</t>
  </si>
  <si>
    <t>September</t>
  </si>
  <si>
    <t>Tar</t>
  </si>
  <si>
    <t>Average of AVE Departure</t>
  </si>
  <si>
    <t>First offloaded their route sale trucks</t>
  </si>
  <si>
    <t>OM02L6Y5</t>
  </si>
  <si>
    <t>OM7APO5RR</t>
  </si>
  <si>
    <t>OMCOX6YRR</t>
  </si>
  <si>
    <t>OMZLGL1RR</t>
  </si>
  <si>
    <t>OM33KZQRR</t>
  </si>
  <si>
    <t>OMCP7C6RR</t>
  </si>
  <si>
    <t>OMO39VURR</t>
  </si>
  <si>
    <t>OMY25R8RR</t>
  </si>
  <si>
    <t>OM84GFKRR</t>
  </si>
  <si>
    <t>OMN00PNRR</t>
  </si>
  <si>
    <t>OM8F9LXRR</t>
  </si>
  <si>
    <t>OMHX7MPRR</t>
  </si>
  <si>
    <t>OMVZ7HGRR</t>
  </si>
  <si>
    <t>OM976EURR</t>
  </si>
  <si>
    <t>OM02L7BP</t>
  </si>
  <si>
    <t>OM02L7BK</t>
  </si>
  <si>
    <t>OM02L7BR</t>
  </si>
  <si>
    <t>OM02L777</t>
  </si>
  <si>
    <t>OM02L77A</t>
  </si>
  <si>
    <t>OM02L7BL</t>
  </si>
  <si>
    <t>OM02L7BM</t>
  </si>
  <si>
    <t>OM02L77B</t>
  </si>
  <si>
    <t>OM02L7BH</t>
  </si>
  <si>
    <t>OMJVKLYRR</t>
  </si>
  <si>
    <t>OMFII1DRR</t>
  </si>
  <si>
    <t>OMY3M6PRR</t>
  </si>
  <si>
    <t>OM0MCP3RR</t>
  </si>
  <si>
    <t>OMHN31TRR</t>
  </si>
  <si>
    <t>OM4WLDZRR</t>
  </si>
  <si>
    <t>OMF1PUWRR</t>
  </si>
  <si>
    <t>OM7HSU6RR</t>
  </si>
  <si>
    <t>OMS5GYURR</t>
  </si>
  <si>
    <t>OMF7GZSRR</t>
  </si>
  <si>
    <t>OMUDTTERR</t>
  </si>
  <si>
    <t>OM8Y8XJRR</t>
  </si>
  <si>
    <t>OM4CG3KRR</t>
  </si>
  <si>
    <t>OM02L7HP</t>
  </si>
  <si>
    <t>OM02L7EK</t>
  </si>
  <si>
    <t>OM02L7EN</t>
  </si>
  <si>
    <t>OM02L7HG</t>
  </si>
  <si>
    <t>OM02L7HR</t>
  </si>
  <si>
    <t>OM02L7HJ</t>
  </si>
  <si>
    <t>OM02L7HQ</t>
  </si>
  <si>
    <t>OMWYCZRRR</t>
  </si>
  <si>
    <t>OM2E5A6RR</t>
  </si>
  <si>
    <t>OMO3M45RR</t>
  </si>
  <si>
    <t>OMCD8ZSRR</t>
  </si>
  <si>
    <t>OMA2QVIRR</t>
  </si>
  <si>
    <t>OMG49BWRR</t>
  </si>
  <si>
    <t>OM96U3ORR</t>
  </si>
  <si>
    <t>OM4RC6WRR</t>
  </si>
  <si>
    <t>OM9SFUBRR</t>
  </si>
  <si>
    <t>OMC6AUJRR</t>
  </si>
  <si>
    <t>OM02L7NZ</t>
  </si>
  <si>
    <t>OM02L7P3</t>
  </si>
  <si>
    <t>OM02L7NY</t>
  </si>
  <si>
    <t>OM02L7PK</t>
  </si>
  <si>
    <t>OM02L7LG</t>
  </si>
  <si>
    <t>OM02L7NX</t>
  </si>
  <si>
    <t>OM02L7LH</t>
  </si>
  <si>
    <t>OM02L7NV</t>
  </si>
  <si>
    <t>OM02L7P1</t>
  </si>
  <si>
    <t>OM02L7LJ</t>
  </si>
  <si>
    <t>OMWSZKWRR</t>
  </si>
  <si>
    <t>OMIUJ2ERR</t>
  </si>
  <si>
    <t>OMNWADWRR</t>
  </si>
  <si>
    <t>OMZFBPWRR</t>
  </si>
  <si>
    <t>OMXTBKSRR</t>
  </si>
  <si>
    <t>OMK5QNURR</t>
  </si>
  <si>
    <t>OMQO9OURR</t>
  </si>
  <si>
    <t>OM42HHBRR</t>
  </si>
  <si>
    <t>OMNK83VRR</t>
  </si>
  <si>
    <t>OM49I5JRR</t>
  </si>
  <si>
    <t>OMYOY87RR</t>
  </si>
  <si>
    <t>OMU06VORR</t>
  </si>
  <si>
    <t>OM02L7T0</t>
  </si>
  <si>
    <t>OM02L7T9</t>
  </si>
  <si>
    <t>OMTGDUXRR</t>
  </si>
  <si>
    <t>OM4O141RR</t>
  </si>
  <si>
    <t>OM76ZVYRR</t>
  </si>
  <si>
    <t>OMYKJ8LRR</t>
  </si>
  <si>
    <t>OMSZNXIRR</t>
  </si>
  <si>
    <t>OMRF7ELRR</t>
  </si>
  <si>
    <t>OMLA1GERR</t>
  </si>
  <si>
    <t>OMXCAB3RR</t>
  </si>
  <si>
    <t>OMZ2EAARR</t>
  </si>
  <si>
    <t>OM02L8B9</t>
  </si>
  <si>
    <t>OM02L801</t>
  </si>
  <si>
    <t>OM02L87X</t>
  </si>
  <si>
    <t>OM02L80B</t>
  </si>
  <si>
    <t>OM02L8AK</t>
  </si>
  <si>
    <t>OM02L807</t>
  </si>
  <si>
    <t>OM7OPDRRR</t>
  </si>
  <si>
    <t>OMCGJHRRR</t>
  </si>
  <si>
    <t>OMFEHYMRR</t>
  </si>
  <si>
    <t>OMIFRI4RR</t>
  </si>
  <si>
    <t>OM65I70RR</t>
  </si>
  <si>
    <t>OMBC2B0RR</t>
  </si>
  <si>
    <t>OM8ZA87RR</t>
  </si>
  <si>
    <t>OMDMEGIRR</t>
  </si>
  <si>
    <t>OMTPUGSRR</t>
  </si>
  <si>
    <t>OM2GG6XRR</t>
  </si>
  <si>
    <t>OM87MA9RR</t>
  </si>
  <si>
    <t>OM02L8JN</t>
  </si>
  <si>
    <t>OM02L8M9</t>
  </si>
  <si>
    <t>OM02L8PX</t>
  </si>
  <si>
    <t>OM02L8Q3</t>
  </si>
  <si>
    <t>OM02L8Q4</t>
  </si>
  <si>
    <t>OMAXS8ORR</t>
  </si>
  <si>
    <t>OM6FUXCRR</t>
  </si>
  <si>
    <t>OMOMP47RR</t>
  </si>
  <si>
    <t>OMN3QBKRR</t>
  </si>
  <si>
    <t>OM7J2X1RR</t>
  </si>
  <si>
    <t>OM6MJPIRR</t>
  </si>
  <si>
    <t>OMGCPOPRR</t>
  </si>
  <si>
    <t>OM50BJLRR</t>
  </si>
  <si>
    <t>OM1NWRKRR</t>
  </si>
  <si>
    <t>OM7S3B6RR</t>
  </si>
  <si>
    <t>OM49LLCRR</t>
  </si>
  <si>
    <t>OMAQNGLRR</t>
  </si>
  <si>
    <t>OMFFWYQRR</t>
  </si>
  <si>
    <t>OMHK4MCRR</t>
  </si>
  <si>
    <t>OM07GNXRR</t>
  </si>
  <si>
    <t>OM02L9W8</t>
  </si>
  <si>
    <t>OM02L9WM</t>
  </si>
  <si>
    <t>OM02L9X4</t>
  </si>
  <si>
    <t>OM4DOVGRR</t>
  </si>
  <si>
    <t>OMDBS1TRR</t>
  </si>
  <si>
    <t>OM25K0CRR</t>
  </si>
  <si>
    <t>OMJUD54RR</t>
  </si>
  <si>
    <t>OM0X9GERR</t>
  </si>
  <si>
    <t>OM02L9YT</t>
  </si>
  <si>
    <t>OM02LA1G</t>
  </si>
  <si>
    <t>OMWT228RR</t>
  </si>
  <si>
    <t>OMRIOMRRR</t>
  </si>
  <si>
    <t>OM7MQQSRR</t>
  </si>
  <si>
    <t>OM2878BRR</t>
  </si>
  <si>
    <t>OMMGTQTRR</t>
  </si>
  <si>
    <t>OMU6OH3RR</t>
  </si>
  <si>
    <t>OMIPYWZRR</t>
  </si>
  <si>
    <t>OMK9VQKRR</t>
  </si>
  <si>
    <t>OM02LB8W</t>
  </si>
  <si>
    <t>OM02LBA5</t>
  </si>
  <si>
    <t>OM02LB8X</t>
  </si>
  <si>
    <t>OM02LB8G</t>
  </si>
  <si>
    <t>OMGCR2FRR</t>
  </si>
  <si>
    <t>OML8B0JRR</t>
  </si>
  <si>
    <t>OMFJAHBRR</t>
  </si>
  <si>
    <t>OM02LBK3</t>
  </si>
  <si>
    <t>OMC325YRR</t>
  </si>
  <si>
    <t>OMGBRN0RR</t>
  </si>
  <si>
    <t>OMZ664MRR</t>
  </si>
  <si>
    <t>OM4B5TARR</t>
  </si>
  <si>
    <t>OMN2SNYRR</t>
  </si>
  <si>
    <t>OM02LBWD</t>
  </si>
  <si>
    <t>OMFHMV5RR</t>
  </si>
  <si>
    <t>OMZW8IMRR</t>
  </si>
  <si>
    <t>OMSRSHURR</t>
  </si>
  <si>
    <t>OM07KFYRR</t>
  </si>
  <si>
    <t>OM2JT1CRR</t>
  </si>
  <si>
    <t>OM02LCCT</t>
  </si>
  <si>
    <t>OM02LCCD</t>
  </si>
  <si>
    <t>OMA4Y0IRR</t>
  </si>
  <si>
    <t>OM6MVL0RR</t>
  </si>
  <si>
    <t>OM4DE3NRR</t>
  </si>
  <si>
    <t>OM02LCU3</t>
  </si>
  <si>
    <t>OM02LCVC</t>
  </si>
  <si>
    <t>OM02LCUL</t>
  </si>
  <si>
    <t>OM02LCVL</t>
  </si>
  <si>
    <t>OMK2QQ0RR</t>
  </si>
  <si>
    <t>OMI94BXRR</t>
  </si>
  <si>
    <t>OM30TK9RR</t>
  </si>
  <si>
    <t>OMFZR75RR</t>
  </si>
  <si>
    <t>OM81ATSRR</t>
  </si>
  <si>
    <t>OMY60JXRR</t>
  </si>
  <si>
    <t>OM8UP1NRR</t>
  </si>
  <si>
    <t>OMW08D3RR</t>
  </si>
  <si>
    <t>OMX3L21RR</t>
  </si>
  <si>
    <t>OM02LEAV</t>
  </si>
  <si>
    <t>OM02LEB2</t>
  </si>
  <si>
    <t>OM02LEB0</t>
  </si>
  <si>
    <t>OM02LEAY</t>
  </si>
  <si>
    <t>OMYYR0JRR</t>
  </si>
  <si>
    <t>OM9EIJURR</t>
  </si>
  <si>
    <t>OM1IHTVRR</t>
  </si>
  <si>
    <t>OM7D5ZMRR</t>
  </si>
  <si>
    <t>OM02LEE4</t>
  </si>
  <si>
    <t>OMQV2WDRR</t>
  </si>
  <si>
    <t>OM02LEQX</t>
  </si>
  <si>
    <t>OM1NA56RR</t>
  </si>
  <si>
    <t>OM59X9SRR</t>
  </si>
  <si>
    <t>OM1UO8SRR</t>
  </si>
  <si>
    <t>OM8EHZZRR</t>
  </si>
  <si>
    <t>OMJV7ZARR</t>
  </si>
  <si>
    <t>UBE 690K</t>
  </si>
  <si>
    <t>UAV 051U</t>
  </si>
  <si>
    <t>UBK 882R</t>
  </si>
  <si>
    <t>UAT 351G</t>
  </si>
  <si>
    <t>UBE 687K</t>
  </si>
  <si>
    <t>UBB 115P</t>
  </si>
  <si>
    <t>UBE 673K</t>
  </si>
  <si>
    <t>ALIPA EREKU</t>
  </si>
  <si>
    <t>Ekwalikwa Yusuf</t>
  </si>
  <si>
    <t>Angello Lumala</t>
  </si>
  <si>
    <t>SULAIMAN MUBIRU</t>
  </si>
  <si>
    <t>NAMINYA SIRAJE</t>
  </si>
  <si>
    <t>BYEKWASO TWAHA</t>
  </si>
  <si>
    <t>NASASIRA STEPHENE</t>
  </si>
  <si>
    <t>Hamudi Sesanga</t>
  </si>
  <si>
    <t>Godwin Niwensiima</t>
  </si>
  <si>
    <t>Kakembo Masuud</t>
  </si>
  <si>
    <t>KASULE JOHNBOSC</t>
  </si>
  <si>
    <t>Bulega Sperito</t>
  </si>
  <si>
    <t>NTUMWA SOLOMON</t>
  </si>
  <si>
    <t>Ntende Nassar</t>
  </si>
  <si>
    <t>Ntale and Sons</t>
  </si>
  <si>
    <t>Agaba Services</t>
  </si>
  <si>
    <t>Ntale and Sons Ltd-Kakiri</t>
  </si>
  <si>
    <t>A19778</t>
  </si>
  <si>
    <t>Z82022</t>
  </si>
  <si>
    <t>Z82023</t>
  </si>
  <si>
    <t>F15655</t>
  </si>
  <si>
    <t>A19779</t>
  </si>
  <si>
    <t>F15657</t>
  </si>
  <si>
    <t>A19781</t>
  </si>
  <si>
    <t>A19789</t>
  </si>
  <si>
    <t>F15658</t>
  </si>
  <si>
    <t>A19800</t>
  </si>
  <si>
    <t>Z82038</t>
  </si>
  <si>
    <t>Z82039</t>
  </si>
  <si>
    <t>F15659</t>
  </si>
  <si>
    <t>Z82040</t>
  </si>
  <si>
    <t>A19821</t>
  </si>
  <si>
    <t>A19818</t>
  </si>
  <si>
    <t>Z82048</t>
  </si>
  <si>
    <t>A19812</t>
  </si>
  <si>
    <t>Z82042</t>
  </si>
  <si>
    <t>Z82047</t>
  </si>
  <si>
    <t>A19820</t>
  </si>
  <si>
    <t>A19813</t>
  </si>
  <si>
    <t>Z82046</t>
  </si>
  <si>
    <t>F15660</t>
  </si>
  <si>
    <t>F15661</t>
  </si>
  <si>
    <t>F15662</t>
  </si>
  <si>
    <t>F15663</t>
  </si>
  <si>
    <t>Z82049</t>
  </si>
  <si>
    <t>F15664</t>
  </si>
  <si>
    <t>A19824</t>
  </si>
  <si>
    <t>F15665</t>
  </si>
  <si>
    <t>F15666</t>
  </si>
  <si>
    <t>A19825</t>
  </si>
  <si>
    <t>F15667</t>
  </si>
  <si>
    <t>F15668</t>
  </si>
  <si>
    <t>F15669</t>
  </si>
  <si>
    <t>Z82057</t>
  </si>
  <si>
    <t>A19840</t>
  </si>
  <si>
    <t>A19842</t>
  </si>
  <si>
    <t>Z82054</t>
  </si>
  <si>
    <t>A19849</t>
  </si>
  <si>
    <t>Z82055</t>
  </si>
  <si>
    <t>Z82058</t>
  </si>
  <si>
    <t>F15670</t>
  </si>
  <si>
    <t>F15671</t>
  </si>
  <si>
    <t>A19850</t>
  </si>
  <si>
    <t>F15672</t>
  </si>
  <si>
    <t>F15673</t>
  </si>
  <si>
    <t>F15674</t>
  </si>
  <si>
    <t>A19851</t>
  </si>
  <si>
    <t>A19856</t>
  </si>
  <si>
    <t>Z82060</t>
  </si>
  <si>
    <t>F15675</t>
  </si>
  <si>
    <t>Z82079</t>
  </si>
  <si>
    <t>Z82080</t>
  </si>
  <si>
    <t>Z82078</t>
  </si>
  <si>
    <t>Z82081</t>
  </si>
  <si>
    <t>Z82067</t>
  </si>
  <si>
    <t>Z82077</t>
  </si>
  <si>
    <t>Z82068</t>
  </si>
  <si>
    <t>A19875</t>
  </si>
  <si>
    <t>A19877</t>
  </si>
  <si>
    <t>A19867</t>
  </si>
  <si>
    <t>F15677</t>
  </si>
  <si>
    <t>Z82066</t>
  </si>
  <si>
    <t>A19868</t>
  </si>
  <si>
    <t>F15679</t>
  </si>
  <si>
    <t>F15680</t>
  </si>
  <si>
    <t>Z82069</t>
  </si>
  <si>
    <t>Z82071</t>
  </si>
  <si>
    <t>Z82072</t>
  </si>
  <si>
    <t>Z82073</t>
  </si>
  <si>
    <t>F15681</t>
  </si>
  <si>
    <t>A19879</t>
  </si>
  <si>
    <t>A19880</t>
  </si>
  <si>
    <t>F15684</t>
  </si>
  <si>
    <t>Z82085</t>
  </si>
  <si>
    <t>F15682</t>
  </si>
  <si>
    <t>F15683</t>
  </si>
  <si>
    <t>F15685</t>
  </si>
  <si>
    <t>A19895</t>
  </si>
  <si>
    <t>F15686</t>
  </si>
  <si>
    <t>F15687</t>
  </si>
  <si>
    <t>F15688</t>
  </si>
  <si>
    <t>Z82086</t>
  </si>
  <si>
    <t>F15689</t>
  </si>
  <si>
    <t>A19916</t>
  </si>
  <si>
    <t>A19901</t>
  </si>
  <si>
    <t>F15690</t>
  </si>
  <si>
    <t>Z82087</t>
  </si>
  <si>
    <t>A19913</t>
  </si>
  <si>
    <t>A19902</t>
  </si>
  <si>
    <t>A19903</t>
  </si>
  <si>
    <t>Z82089</t>
  </si>
  <si>
    <t>Z82091</t>
  </si>
  <si>
    <t>F15691</t>
  </si>
  <si>
    <t>Z82092</t>
  </si>
  <si>
    <t>Z82093</t>
  </si>
  <si>
    <t>F15692</t>
  </si>
  <si>
    <t>Z82094</t>
  </si>
  <si>
    <t>A19912</t>
  </si>
  <si>
    <t>Z82095</t>
  </si>
  <si>
    <t>A19918</t>
  </si>
  <si>
    <t>A19922</t>
  </si>
  <si>
    <t>Z82096</t>
  </si>
  <si>
    <t>Z82099</t>
  </si>
  <si>
    <t>Z82101</t>
  </si>
  <si>
    <t>Z82102</t>
  </si>
  <si>
    <t>F15694</t>
  </si>
  <si>
    <t>A19923</t>
  </si>
  <si>
    <t>F15695</t>
  </si>
  <si>
    <t>F15696</t>
  </si>
  <si>
    <t>A19929</t>
  </si>
  <si>
    <t>Z82097</t>
  </si>
  <si>
    <t>Z82098</t>
  </si>
  <si>
    <t>A19930</t>
  </si>
  <si>
    <t>A19931</t>
  </si>
  <si>
    <t>F15697</t>
  </si>
  <si>
    <t>A19933</t>
  </si>
  <si>
    <t>A19934</t>
  </si>
  <si>
    <t>A19983</t>
  </si>
  <si>
    <t>A19985</t>
  </si>
  <si>
    <t>F15703</t>
  </si>
  <si>
    <t>Z82141</t>
  </si>
  <si>
    <t>Z82142</t>
  </si>
  <si>
    <t>A20003</t>
  </si>
  <si>
    <t>F15704</t>
  </si>
  <si>
    <t>A19992</t>
  </si>
  <si>
    <t>Z82139</t>
  </si>
  <si>
    <t>F15709</t>
  </si>
  <si>
    <t>F15710</t>
  </si>
  <si>
    <t>Z82148</t>
  </si>
  <si>
    <t>A20019</t>
  </si>
  <si>
    <t>Z82152</t>
  </si>
  <si>
    <t>A20020</t>
  </si>
  <si>
    <t>F15714</t>
  </si>
  <si>
    <t>F15715</t>
  </si>
  <si>
    <t>Z82160</t>
  </si>
  <si>
    <t>Z82159</t>
  </si>
  <si>
    <t>F15718</t>
  </si>
  <si>
    <t>A20070</t>
  </si>
  <si>
    <t>A20086</t>
  </si>
  <si>
    <t>Z82195</t>
  </si>
  <si>
    <t>Z82190</t>
  </si>
  <si>
    <t>Z82186</t>
  </si>
  <si>
    <t>F15725</t>
  </si>
  <si>
    <t>Z82197</t>
  </si>
  <si>
    <t>A20095</t>
  </si>
  <si>
    <t>Z82198</t>
  </si>
  <si>
    <t>F15726</t>
  </si>
  <si>
    <t>F15727</t>
  </si>
  <si>
    <t>A20123</t>
  </si>
  <si>
    <t>A20124</t>
  </si>
  <si>
    <t>F15738</t>
  </si>
  <si>
    <t>A20149</t>
  </si>
  <si>
    <t>Z82223</t>
  </si>
  <si>
    <t>F15740</t>
  </si>
  <si>
    <t>F15741</t>
  </si>
  <si>
    <t>F15742</t>
  </si>
  <si>
    <t>F15743</t>
  </si>
  <si>
    <t>A20176</t>
  </si>
  <si>
    <t>A20173</t>
  </si>
  <si>
    <t>F15748</t>
  </si>
  <si>
    <t>A20172</t>
  </si>
  <si>
    <t>F15753</t>
  </si>
  <si>
    <t>Z82255</t>
  </si>
  <si>
    <t>Z82267</t>
  </si>
  <si>
    <t>A20191</t>
  </si>
  <si>
    <t>A20194</t>
  </si>
  <si>
    <t>A20201</t>
  </si>
  <si>
    <t>A20219</t>
  </si>
  <si>
    <t>A20220</t>
  </si>
  <si>
    <t>A20230</t>
  </si>
  <si>
    <t>F15768</t>
  </si>
  <si>
    <t>A20235</t>
  </si>
  <si>
    <t>A20237</t>
  </si>
  <si>
    <t>A20270</t>
  </si>
  <si>
    <t>A20274</t>
  </si>
  <si>
    <t>A20299</t>
  </si>
  <si>
    <t>Z82334</t>
  </si>
  <si>
    <t>Z82333</t>
  </si>
  <si>
    <t>Z82332</t>
  </si>
  <si>
    <t>A20290</t>
  </si>
  <si>
    <t>Z82324</t>
  </si>
  <si>
    <t>A20291</t>
  </si>
  <si>
    <t>F15778</t>
  </si>
  <si>
    <t>Z82343</t>
  </si>
  <si>
    <t>Z82339</t>
  </si>
  <si>
    <t>Z82356</t>
  </si>
  <si>
    <t>F15782</t>
  </si>
  <si>
    <t>Z82357</t>
  </si>
  <si>
    <t>Z82358</t>
  </si>
  <si>
    <t>Z82359</t>
  </si>
  <si>
    <t>Z82360</t>
  </si>
  <si>
    <t>found another truck at the gate</t>
  </si>
  <si>
    <t>loading delays</t>
  </si>
  <si>
    <t>dj failures</t>
  </si>
  <si>
    <t>fuel delays</t>
  </si>
  <si>
    <t>February</t>
  </si>
  <si>
    <t>March</t>
  </si>
  <si>
    <t>Average of AVE Arrival Time</t>
  </si>
  <si>
    <t>Z83049</t>
  </si>
  <si>
    <t>A21414</t>
  </si>
  <si>
    <t>Z83048</t>
  </si>
  <si>
    <t>Z83055</t>
  </si>
  <si>
    <t>Z83060</t>
  </si>
  <si>
    <t>Z83058</t>
  </si>
  <si>
    <t>Z83057</t>
  </si>
  <si>
    <t>F16070</t>
  </si>
  <si>
    <t>A21413</t>
  </si>
  <si>
    <t>Z83059</t>
  </si>
  <si>
    <t>F16073</t>
  </si>
  <si>
    <t>Z83071</t>
  </si>
  <si>
    <t>A21416</t>
  </si>
  <si>
    <t>A21428</t>
  </si>
  <si>
    <t>A21427</t>
  </si>
  <si>
    <t>A21425</t>
  </si>
  <si>
    <t>Z83064</t>
  </si>
  <si>
    <t>Z83063</t>
  </si>
  <si>
    <t>A21417</t>
  </si>
  <si>
    <t>A21418</t>
  </si>
  <si>
    <t>A21438</t>
  </si>
  <si>
    <t>A21440</t>
  </si>
  <si>
    <t>Z83078</t>
  </si>
  <si>
    <t>F16075</t>
  </si>
  <si>
    <t>A21443</t>
  </si>
  <si>
    <t>Z83080</t>
  </si>
  <si>
    <t>F16076</t>
  </si>
  <si>
    <t>F16074</t>
  </si>
  <si>
    <t>A21467</t>
  </si>
  <si>
    <t>A21468</t>
  </si>
  <si>
    <t>Z83096</t>
  </si>
  <si>
    <t>A21464</t>
  </si>
  <si>
    <t>Z83104</t>
  </si>
  <si>
    <t>Z83095</t>
  </si>
  <si>
    <t>A21465</t>
  </si>
  <si>
    <t>A21466</t>
  </si>
  <si>
    <t>Z83094</t>
  </si>
  <si>
    <t>A21469</t>
  </si>
  <si>
    <t>F16083</t>
  </si>
  <si>
    <t>Z83099</t>
  </si>
  <si>
    <t>Z83102</t>
  </si>
  <si>
    <t>Z83125</t>
  </si>
  <si>
    <t>F16092</t>
  </si>
  <si>
    <t>Z83126</t>
  </si>
  <si>
    <t>Z83124</t>
  </si>
  <si>
    <t>Z83127</t>
  </si>
  <si>
    <t>A21497</t>
  </si>
  <si>
    <t>F16094</t>
  </si>
  <si>
    <t>Z83131</t>
  </si>
  <si>
    <t>Z83162</t>
  </si>
  <si>
    <t>A21544</t>
  </si>
  <si>
    <t>Z83163</t>
  </si>
  <si>
    <t>A21547</t>
  </si>
  <si>
    <t>Z83164</t>
  </si>
  <si>
    <t>F16102</t>
  </si>
  <si>
    <t>A21545</t>
  </si>
  <si>
    <t>Z83160</t>
  </si>
  <si>
    <t>F16103</t>
  </si>
  <si>
    <t>A21548</t>
  </si>
  <si>
    <t>Z83157</t>
  </si>
  <si>
    <t>Z83158</t>
  </si>
  <si>
    <t>F16104</t>
  </si>
  <si>
    <t>Z83175</t>
  </si>
  <si>
    <t>A21559</t>
  </si>
  <si>
    <t>A21558</t>
  </si>
  <si>
    <t>F16105</t>
  </si>
  <si>
    <t>F16108</t>
  </si>
  <si>
    <t>F16109</t>
  </si>
  <si>
    <t>F16110</t>
  </si>
  <si>
    <t>A21579</t>
  </si>
  <si>
    <t>A21581</t>
  </si>
  <si>
    <t>Z83189</t>
  </si>
  <si>
    <t>Z83187</t>
  </si>
  <si>
    <t>A21582</t>
  </si>
  <si>
    <t>F16114</t>
  </si>
  <si>
    <t>A21578</t>
  </si>
  <si>
    <t>A21577</t>
  </si>
  <si>
    <t>Z83205</t>
  </si>
  <si>
    <t>Z83203</t>
  </si>
  <si>
    <t>F16128</t>
  </si>
  <si>
    <t>Z83220</t>
  </si>
  <si>
    <t>A21630</t>
  </si>
  <si>
    <t>Z83222</t>
  </si>
  <si>
    <t>Z83223</t>
  </si>
  <si>
    <t>Z83211</t>
  </si>
  <si>
    <t>Z83213</t>
  </si>
  <si>
    <t>F16131</t>
  </si>
  <si>
    <t>A21629</t>
  </si>
  <si>
    <t>Z83214</t>
  </si>
  <si>
    <t>Z83221</t>
  </si>
  <si>
    <t>A21625</t>
  </si>
  <si>
    <t>Z83219</t>
  </si>
  <si>
    <t>A21641</t>
  </si>
  <si>
    <t>A21643</t>
  </si>
  <si>
    <t>Z83237</t>
  </si>
  <si>
    <t>A21635</t>
  </si>
  <si>
    <t>A21636</t>
  </si>
  <si>
    <t>F16134</t>
  </si>
  <si>
    <t>Z83226</t>
  </si>
  <si>
    <t>A21639</t>
  </si>
  <si>
    <t>A21640</t>
  </si>
  <si>
    <t>A21637</t>
  </si>
  <si>
    <t>A21657</t>
  </si>
  <si>
    <t>A21638</t>
  </si>
  <si>
    <t>Z83238</t>
  </si>
  <si>
    <t>Z83233</t>
  </si>
  <si>
    <t>F16139</t>
  </si>
  <si>
    <t>A21656</t>
  </si>
  <si>
    <t>A21658</t>
  </si>
  <si>
    <t>F16141</t>
  </si>
  <si>
    <t>A21678</t>
  </si>
  <si>
    <t>Z83259</t>
  </si>
  <si>
    <t>A21672</t>
  </si>
  <si>
    <t>F16144</t>
  </si>
  <si>
    <t>Z83257</t>
  </si>
  <si>
    <t>Z83263</t>
  </si>
  <si>
    <t>Z83274</t>
  </si>
  <si>
    <t>Z83268</t>
  </si>
  <si>
    <t>Z83270</t>
  </si>
  <si>
    <t>A21691</t>
  </si>
  <si>
    <t>A21688</t>
  </si>
  <si>
    <t>A21698</t>
  </si>
  <si>
    <t>A21689</t>
  </si>
  <si>
    <t>A21687</t>
  </si>
  <si>
    <t>F16150</t>
  </si>
  <si>
    <t>Z83264</t>
  </si>
  <si>
    <t>A21692</t>
  </si>
  <si>
    <t>Z83273</t>
  </si>
  <si>
    <t>A21702</t>
  </si>
  <si>
    <t>A21700</t>
  </si>
  <si>
    <t>A21701</t>
  </si>
  <si>
    <t>Z83279</t>
  </si>
  <si>
    <t>F16152</t>
  </si>
  <si>
    <t>F16153</t>
  </si>
  <si>
    <t>Z83281</t>
  </si>
  <si>
    <t>Z83285</t>
  </si>
  <si>
    <t>Z83287</t>
  </si>
  <si>
    <t>Z83289</t>
  </si>
  <si>
    <t>A21718</t>
  </si>
  <si>
    <t>Z83280</t>
  </si>
  <si>
    <t>Z83282</t>
  </si>
  <si>
    <t>Z83288</t>
  </si>
  <si>
    <t>A21719</t>
  </si>
  <si>
    <t>A21713</t>
  </si>
  <si>
    <t>A21715</t>
  </si>
  <si>
    <t>Z83304</t>
  </si>
  <si>
    <t>F16155</t>
  </si>
  <si>
    <t>F16158</t>
  </si>
  <si>
    <t>Z83302</t>
  </si>
  <si>
    <t>Z83305</t>
  </si>
  <si>
    <t>A21743</t>
  </si>
  <si>
    <t>Z83301</t>
  </si>
  <si>
    <t>A21741</t>
  </si>
  <si>
    <t>A21747</t>
  </si>
  <si>
    <t>Z83303</t>
  </si>
  <si>
    <t>A21738</t>
  </si>
  <si>
    <t>Z83306</t>
  </si>
  <si>
    <t>A21742</t>
  </si>
  <si>
    <t>Z83308</t>
  </si>
  <si>
    <t>Z83299</t>
  </si>
  <si>
    <t>Z83300</t>
  </si>
  <si>
    <t>Z83307</t>
  </si>
  <si>
    <t>Z83298</t>
  </si>
  <si>
    <t>Z83316</t>
  </si>
  <si>
    <t>Z83324</t>
  </si>
  <si>
    <t>A21753</t>
  </si>
  <si>
    <t>F16160</t>
  </si>
  <si>
    <t>A21754</t>
  </si>
  <si>
    <t>Z83338</t>
  </si>
  <si>
    <t>Z83344</t>
  </si>
  <si>
    <t>F16166</t>
  </si>
  <si>
    <t>A21784</t>
  </si>
  <si>
    <t>A21786</t>
  </si>
  <si>
    <t>A21776</t>
  </si>
  <si>
    <t>A21798</t>
  </si>
  <si>
    <t>A21777</t>
  </si>
  <si>
    <t>UBP 304H</t>
  </si>
  <si>
    <t>UBR 866R</t>
  </si>
  <si>
    <t>UBJ 900Y</t>
  </si>
  <si>
    <t>UBR 899Y</t>
  </si>
  <si>
    <t>Ntemenro Enterprises</t>
  </si>
  <si>
    <t>Muzamiru</t>
  </si>
  <si>
    <t>Nassasira</t>
  </si>
  <si>
    <t>Awali Malinzi</t>
  </si>
  <si>
    <t>Actual KM</t>
  </si>
  <si>
    <t>Jam at the weigh bridge</t>
  </si>
  <si>
    <t xml:space="preserve">Reconciling stock count delays </t>
  </si>
  <si>
    <t>sorting delays</t>
  </si>
  <si>
    <t>dj failures at the gate</t>
  </si>
  <si>
    <t>pre trip inspections</t>
  </si>
  <si>
    <t>Failed batteries at the gate</t>
  </si>
  <si>
    <t>offloading delays</t>
  </si>
  <si>
    <t>fueling delays</t>
  </si>
  <si>
    <t>(All)</t>
  </si>
  <si>
    <t>Count of Comment  AVE Departure</t>
  </si>
  <si>
    <t>Meeting Delays</t>
  </si>
  <si>
    <t>Unplanned Training</t>
  </si>
  <si>
    <t>TAR</t>
  </si>
  <si>
    <t>AVE departure</t>
  </si>
  <si>
    <t>quarter</t>
  </si>
  <si>
    <t>Delivered to Lyatonde</t>
  </si>
  <si>
    <t>Column Labels</t>
  </si>
  <si>
    <t>Average of Total Hour Route</t>
  </si>
  <si>
    <t xml:space="preserve">ANGELO KYOSIGA </t>
  </si>
  <si>
    <t>ALLEX TAIMWA</t>
  </si>
  <si>
    <t xml:space="preserve">FRED LURE </t>
  </si>
  <si>
    <t>IKWALIKWA YUSUF</t>
  </si>
  <si>
    <t>KAJUBI ISMA</t>
  </si>
  <si>
    <t>Hassan Byashara</t>
  </si>
  <si>
    <t>SENTONGO GODFREY</t>
  </si>
  <si>
    <t>MBOGO BASHIR</t>
  </si>
  <si>
    <t>ABDUL NASSER NTENDE</t>
  </si>
  <si>
    <t>KYAPA AKIMU</t>
  </si>
  <si>
    <t>Tumwine Jimmy</t>
  </si>
  <si>
    <t xml:space="preserve">RONALD KABANDA </t>
  </si>
  <si>
    <t>OMHQ6LSRR</t>
  </si>
  <si>
    <t>OMXFMKJRR</t>
  </si>
  <si>
    <t>OMTAMNERR</t>
  </si>
  <si>
    <t>OMQQLOIRR</t>
  </si>
  <si>
    <t>OMTMCRZRR</t>
  </si>
  <si>
    <t>OM8WX4FRR</t>
  </si>
  <si>
    <t>OMYA2X2RR</t>
  </si>
  <si>
    <t>OMC2LQYRR</t>
  </si>
  <si>
    <t>OMD66ITRR</t>
  </si>
  <si>
    <t>OMFFD7DRR</t>
  </si>
  <si>
    <t>OMX7XSORR</t>
  </si>
  <si>
    <t>OMFFDP4RR</t>
  </si>
  <si>
    <t>OMVI4UJRR</t>
  </si>
  <si>
    <t>OMP5SC4RR</t>
  </si>
  <si>
    <t>OMQWIN8RR</t>
  </si>
  <si>
    <t>OMEWFYHRR</t>
  </si>
  <si>
    <t>OMXPJ8URR</t>
  </si>
  <si>
    <t>OM65TV2RR</t>
  </si>
  <si>
    <t>OMF7YJSRR</t>
  </si>
  <si>
    <t>OM2EAMURR</t>
  </si>
  <si>
    <t>OMAQ2Y8RR</t>
  </si>
  <si>
    <t>OM4MKX4RR</t>
  </si>
  <si>
    <t>OM4RCL0RR</t>
  </si>
  <si>
    <t>OMWJEXPRR</t>
  </si>
  <si>
    <t>OM5437GRR</t>
  </si>
  <si>
    <t>OMGF8R5RR</t>
  </si>
  <si>
    <t>OMWC5MPRR</t>
  </si>
  <si>
    <t>OM6OBRWRR</t>
  </si>
  <si>
    <t>OMQ68G1RR</t>
  </si>
  <si>
    <t>OMDXV7BRR</t>
  </si>
  <si>
    <t>OM4C6O2RR</t>
  </si>
  <si>
    <t>OMRWYG5RR</t>
  </si>
  <si>
    <t>OM4639BRR</t>
  </si>
  <si>
    <t>OMZ4IR6RR</t>
  </si>
  <si>
    <t>OM0JKWQRR</t>
  </si>
  <si>
    <t>OMCRG1XRR</t>
  </si>
  <si>
    <t>OMC9Q76RR</t>
  </si>
  <si>
    <t>OMY9837RR</t>
  </si>
  <si>
    <t>OM4BBA2RR</t>
  </si>
  <si>
    <t>OMUDJKKRR</t>
  </si>
  <si>
    <t>OM3S7MFRR</t>
  </si>
  <si>
    <t>OMSM5ZMRR</t>
  </si>
  <si>
    <t>OMBPTEPRR</t>
  </si>
  <si>
    <t>OMEUP5CRR</t>
  </si>
  <si>
    <t>OMFOGCTRR</t>
  </si>
  <si>
    <t>OM9E0QKRR</t>
  </si>
  <si>
    <t>OMDYYTVRR</t>
  </si>
  <si>
    <t>OMXXPJNRR</t>
  </si>
  <si>
    <t>OMZU2Z9RR</t>
  </si>
  <si>
    <t>OMIBKZ2RR</t>
  </si>
  <si>
    <t>OMB4NO9RR</t>
  </si>
  <si>
    <t>OMVC0I5RR</t>
  </si>
  <si>
    <t>OM2JM1BRR</t>
  </si>
  <si>
    <t>OM36BOPRR</t>
  </si>
  <si>
    <t>OM6IVKZRR</t>
  </si>
  <si>
    <t>OMYMRNDRR</t>
  </si>
  <si>
    <t>OM006PBRR</t>
  </si>
  <si>
    <t>OMPHJ0CRR</t>
  </si>
  <si>
    <t>OMULNXXRR</t>
  </si>
  <si>
    <t>OM5V83IRR</t>
  </si>
  <si>
    <t>OMAI56GRR</t>
  </si>
  <si>
    <t>OMT3S9HRR</t>
  </si>
  <si>
    <t>OMMUSBERR</t>
  </si>
  <si>
    <t>OMHQOVMRR</t>
  </si>
  <si>
    <t>OMY9LNNRR</t>
  </si>
  <si>
    <t>OMW92Y7RR</t>
  </si>
  <si>
    <t>OMK7BMWRR</t>
  </si>
  <si>
    <t>OMQ88K5RR</t>
  </si>
  <si>
    <t>OMS6KKIRR</t>
  </si>
  <si>
    <t>OMQWSBARR</t>
  </si>
  <si>
    <t>OMADN1KRR</t>
  </si>
  <si>
    <t>OMB5DYDRR</t>
  </si>
  <si>
    <t>OM1QSM2RR</t>
  </si>
  <si>
    <t>OMRDJTARR</t>
  </si>
  <si>
    <t>OMPC74IRR</t>
  </si>
  <si>
    <t>OMDHRHTRR</t>
  </si>
  <si>
    <t>OMSEDWTRR</t>
  </si>
  <si>
    <t>OMVHCQMRR</t>
  </si>
  <si>
    <t>OMM41O1RR</t>
  </si>
  <si>
    <t>OMM3RS8RR</t>
  </si>
  <si>
    <t>OMNJM9ARR</t>
  </si>
  <si>
    <t>OMR5MLBRR</t>
  </si>
  <si>
    <t>OMG8VA0RR</t>
  </si>
  <si>
    <t>OM01H1MRR</t>
  </si>
  <si>
    <t>OMGG1SURR</t>
  </si>
  <si>
    <t>OMV8ARVRR</t>
  </si>
  <si>
    <t>OMWNC5GRR</t>
  </si>
  <si>
    <t>OMZAGCBRR</t>
  </si>
  <si>
    <t>OM2RNADRR</t>
  </si>
  <si>
    <t>OMBDVRIRR</t>
  </si>
  <si>
    <t>OM5C607RR</t>
  </si>
  <si>
    <t>OMTN5Q3RR</t>
  </si>
  <si>
    <t>OMEFD9TRR</t>
  </si>
  <si>
    <t>OMKDJQPRR</t>
  </si>
  <si>
    <t>OMWD15ERR</t>
  </si>
  <si>
    <t>OMVSA1TRR</t>
  </si>
  <si>
    <t>OMDLVFYRR</t>
  </si>
  <si>
    <t>OMCAO90RR</t>
  </si>
  <si>
    <t>OMBB5YORR</t>
  </si>
  <si>
    <t>OM2B6ZERR</t>
  </si>
  <si>
    <t>OMXH4DRRR</t>
  </si>
  <si>
    <t>OMRSQ20RR</t>
  </si>
  <si>
    <t>OM5UP8WRR</t>
  </si>
  <si>
    <t>OM7TJ2URR</t>
  </si>
  <si>
    <t>OM6PID7RR</t>
  </si>
  <si>
    <t>OMB7MRURR</t>
  </si>
  <si>
    <t>OMVZBUHRR</t>
  </si>
  <si>
    <t>OMF3MAWRR</t>
  </si>
  <si>
    <t>OMZ0XTFRR</t>
  </si>
  <si>
    <t>OM54FOHRR</t>
  </si>
  <si>
    <t>OMDI5BMRR</t>
  </si>
  <si>
    <t>OMUF23RRR</t>
  </si>
  <si>
    <t>OMLIPECRR</t>
  </si>
  <si>
    <t>OM5O3XSRR</t>
  </si>
  <si>
    <t>OMJZ4D6RR</t>
  </si>
  <si>
    <t>OMQFKRLRR</t>
  </si>
  <si>
    <t>OMS8SICRR</t>
  </si>
  <si>
    <t>OMR4630RR</t>
  </si>
  <si>
    <t>OMHQ4ESRR</t>
  </si>
  <si>
    <t>OMK8I03RR</t>
  </si>
  <si>
    <t>OMZS6CPRR</t>
  </si>
  <si>
    <t>OMYIAO8RR</t>
  </si>
  <si>
    <t>OMB4KHTRR</t>
  </si>
  <si>
    <t>OMFTSA9RR</t>
  </si>
  <si>
    <t>OMP86T1RR</t>
  </si>
  <si>
    <t>OMNI74URR</t>
  </si>
  <si>
    <t>OM0DYRERR</t>
  </si>
  <si>
    <t>OMXCT9ARR</t>
  </si>
  <si>
    <t>OML19JTRR</t>
  </si>
  <si>
    <t>OMTSVUORR</t>
  </si>
  <si>
    <t>OM5JGJVRR</t>
  </si>
  <si>
    <t>OMYW9FURR</t>
  </si>
  <si>
    <t>OM0UQ97RR</t>
  </si>
  <si>
    <t>OMDCZXARR</t>
  </si>
  <si>
    <t>OM872UZRR</t>
  </si>
  <si>
    <t>OM3QNLRRR</t>
  </si>
  <si>
    <t>OMZW3RNRR</t>
  </si>
  <si>
    <t>OM6T75SRR</t>
  </si>
  <si>
    <t>OM1JDTIRR</t>
  </si>
  <si>
    <t>OMY4HF8RR</t>
  </si>
  <si>
    <t>OMXVJR6RR</t>
  </si>
  <si>
    <t>OM2NK6FRR</t>
  </si>
  <si>
    <t>OMBKFUDRR</t>
  </si>
  <si>
    <t>OMXQP30RR</t>
  </si>
  <si>
    <t>OM9DMDDRR</t>
  </si>
  <si>
    <t>OMZ42GXRR</t>
  </si>
  <si>
    <t>OMSERSKRR</t>
  </si>
  <si>
    <t>OMH7O0FRR</t>
  </si>
  <si>
    <t>OMH4Y2YRR</t>
  </si>
  <si>
    <t>OM3DU4ZRR</t>
  </si>
  <si>
    <t>OMTEYKBRR</t>
  </si>
  <si>
    <t>OM8IELKRR</t>
  </si>
  <si>
    <t>OM50HFORR</t>
  </si>
  <si>
    <t>OM1HV8FRR</t>
  </si>
  <si>
    <t>OMTKKX0RR</t>
  </si>
  <si>
    <t>OM32FATRR</t>
  </si>
  <si>
    <t>OMR40NVRR</t>
  </si>
  <si>
    <t>OM5W2YWRR</t>
  </si>
  <si>
    <t>OMZW81PRR</t>
  </si>
  <si>
    <t>OMD1TBXRR</t>
  </si>
  <si>
    <t>OM47OYXRR</t>
  </si>
  <si>
    <t>OM6WLEERR</t>
  </si>
  <si>
    <t>OML2ERSRR</t>
  </si>
  <si>
    <t>OMBXR3MRR</t>
  </si>
  <si>
    <t>OM6OHK3RR</t>
  </si>
  <si>
    <t>OM25R1ORR</t>
  </si>
  <si>
    <t>OMB34F1RR</t>
  </si>
  <si>
    <t>OM3ZL69RR</t>
  </si>
  <si>
    <t>OMKA99URR</t>
  </si>
  <si>
    <t>OMS00DZRR</t>
  </si>
  <si>
    <t>OM7ICJ0RR</t>
  </si>
  <si>
    <t>OM2XMCMRR</t>
  </si>
  <si>
    <t>OMFM5UARR</t>
  </si>
  <si>
    <t>OM057N3RR</t>
  </si>
  <si>
    <t>OMX1BL3RR</t>
  </si>
  <si>
    <t>OMWRE4BRR</t>
  </si>
  <si>
    <t>OMIAU68RR</t>
  </si>
  <si>
    <t>OMJQKSSRR</t>
  </si>
  <si>
    <t>OMRG8AVRR</t>
  </si>
  <si>
    <t>OMH1NY4RR</t>
  </si>
  <si>
    <t>OM8RYWRRR</t>
  </si>
  <si>
    <t>OM5LI1BRR</t>
  </si>
  <si>
    <t>OMKHXMZRR</t>
  </si>
  <si>
    <t>OME2LBDRR</t>
  </si>
  <si>
    <t>OMQP71FRR</t>
  </si>
  <si>
    <t>OMRUUIERR</t>
  </si>
  <si>
    <t>OMJPTPBRR</t>
  </si>
  <si>
    <t>OMOCYEXRR</t>
  </si>
  <si>
    <t>OMST1FTRR</t>
  </si>
  <si>
    <t>OMNFEUWRR</t>
  </si>
  <si>
    <t>OMCM4MYRR</t>
  </si>
  <si>
    <t>OMEF5NKRR</t>
  </si>
  <si>
    <t>OMQHJHCRR</t>
  </si>
  <si>
    <t>OMIDFUGRR</t>
  </si>
  <si>
    <t>OMHJ7FFRR</t>
  </si>
  <si>
    <t>OMKRZYYRR</t>
  </si>
  <si>
    <t>OMW972ORR</t>
  </si>
  <si>
    <t>OM8P74HRR</t>
  </si>
  <si>
    <t>OMJE4I6RR</t>
  </si>
  <si>
    <t>OMTODWZRR</t>
  </si>
  <si>
    <t>OMYD4DGRR</t>
  </si>
  <si>
    <t>OMNCN9GRR</t>
  </si>
  <si>
    <t>OM8QEKHRR</t>
  </si>
  <si>
    <t>OMD1KP8RR</t>
  </si>
  <si>
    <t>OM70RU0RR</t>
  </si>
  <si>
    <t>OMZSCWGRR</t>
  </si>
  <si>
    <t>OM07JP6RR</t>
  </si>
  <si>
    <t>OMQDV1RRR</t>
  </si>
  <si>
    <t>OMC7P3QRR</t>
  </si>
  <si>
    <t>OM2F84ZRR</t>
  </si>
  <si>
    <t>OMKEKPURR</t>
  </si>
  <si>
    <t>OMOFF1LRR</t>
  </si>
  <si>
    <t>OMV1ARBRR</t>
  </si>
  <si>
    <t>OM1C4NPRR</t>
  </si>
  <si>
    <t>OMT333ERR</t>
  </si>
  <si>
    <t>OM6TUFHRR</t>
  </si>
  <si>
    <t>OMA83H6RR</t>
  </si>
  <si>
    <t>OMEO7YNRR</t>
  </si>
  <si>
    <t>OM1LP68RR</t>
  </si>
  <si>
    <t>OMO599ARR</t>
  </si>
  <si>
    <t>OM814O7RR</t>
  </si>
  <si>
    <t>OMYI04IRR</t>
  </si>
  <si>
    <t>OMNZ863RR</t>
  </si>
  <si>
    <t>OMXKDHNRR</t>
  </si>
  <si>
    <t>OM1SJA5RR</t>
  </si>
  <si>
    <t>OMJ7B4VRR</t>
  </si>
  <si>
    <t>OMV8271RR</t>
  </si>
  <si>
    <t>OMW4LOARR</t>
  </si>
  <si>
    <t>OMW0RXLRR</t>
  </si>
  <si>
    <t>OMFHZQ0RR</t>
  </si>
  <si>
    <t>OMN7HURRR</t>
  </si>
  <si>
    <t>OMNY8D8RR</t>
  </si>
  <si>
    <t>OMV0SI2RR</t>
  </si>
  <si>
    <t>OMUYLUARR</t>
  </si>
  <si>
    <t>OMQ0L08RR</t>
  </si>
  <si>
    <t>OMWAJU4RR</t>
  </si>
  <si>
    <t>OM66R9VRR</t>
  </si>
  <si>
    <t>OMYNEIKRR</t>
  </si>
  <si>
    <t>OMDLEAQRR</t>
  </si>
  <si>
    <t>OMFFWKLRR</t>
  </si>
  <si>
    <t>OM8QXGJRR</t>
  </si>
  <si>
    <t>OMAARNHRR</t>
  </si>
  <si>
    <t>OMK20F3RR</t>
  </si>
  <si>
    <t>OMUB6M8RR</t>
  </si>
  <si>
    <t>OMSBPFBRR</t>
  </si>
  <si>
    <t>Kachain Logistics Ltd Tax No.: 1005388662</t>
  </si>
  <si>
    <t>April</t>
  </si>
  <si>
    <t>OM3UZFPRR</t>
  </si>
  <si>
    <t>OMN6U3NRR</t>
  </si>
  <si>
    <t>OMGMI2BRR</t>
  </si>
  <si>
    <t>OMH67KZRR</t>
  </si>
  <si>
    <t>OM6929GRR</t>
  </si>
  <si>
    <t>OMQMTDWRR</t>
  </si>
  <si>
    <t>OM7V2JTRR</t>
  </si>
  <si>
    <t>Departure Time from Customer</t>
  </si>
  <si>
    <t>KATO INVESTMENTS LIMITED-MASAK Tax No.: 1000098824</t>
  </si>
  <si>
    <t>KATO INVESTMENTS LTD- KALISIZO Tax No.: 1000098824</t>
  </si>
  <si>
    <t>Kobusinge Steven-FPortal Tax No.: 1000977837</t>
  </si>
  <si>
    <t>Kabaco U Ltd Tax No.: 1000025425</t>
  </si>
  <si>
    <t>SENTONGO PAUL</t>
  </si>
  <si>
    <t>UBR 855Y</t>
  </si>
  <si>
    <t>FARUK   ABEL</t>
  </si>
  <si>
    <t>NGOBI FRED</t>
  </si>
  <si>
    <t>OM51JTPRR</t>
  </si>
  <si>
    <t>OMD89ZBRR</t>
  </si>
  <si>
    <t>OMYMZMTRR</t>
  </si>
  <si>
    <t>OMESUBZRR</t>
  </si>
  <si>
    <t>OMPNR2CRR</t>
  </si>
  <si>
    <t>OMROXUBRR</t>
  </si>
  <si>
    <t>OMF637ERR</t>
  </si>
  <si>
    <t>OMXE8INRR</t>
  </si>
  <si>
    <t>OM8GNF6RR</t>
  </si>
  <si>
    <t>OMMIHKORR</t>
  </si>
  <si>
    <t>OMFRFNRRR</t>
  </si>
  <si>
    <t>OM4RPHWRR</t>
  </si>
  <si>
    <t>OMCIJKDRR</t>
  </si>
  <si>
    <t>OM1FWR8RR</t>
  </si>
  <si>
    <t>OMV1Y4PRR</t>
  </si>
  <si>
    <t>OM7NOXKRR</t>
  </si>
  <si>
    <t>OM5Q08ORR</t>
  </si>
  <si>
    <t>OMJDSRSRR</t>
  </si>
  <si>
    <t>OMC9WFORR</t>
  </si>
  <si>
    <t>OMO6H1YRR</t>
  </si>
  <si>
    <t>OM6GP6DRR</t>
  </si>
  <si>
    <t>OMS6I63RR</t>
  </si>
  <si>
    <t>OMUW2B5RR</t>
  </si>
  <si>
    <t>OMMKGPCRR</t>
  </si>
  <si>
    <t>OM7EM43RR</t>
  </si>
  <si>
    <t>Kabaco U Ltd-Mbarara Tax No.: 1000025425</t>
  </si>
  <si>
    <t>Ntale &amp; Sons Tax No.: 1001371381</t>
  </si>
  <si>
    <t>Rugoma Traders-Kanungu/Kihihi Tax No.: 1000249350</t>
  </si>
  <si>
    <t>OMQTA8FRR</t>
  </si>
  <si>
    <t>OMJLB38RR</t>
  </si>
  <si>
    <t>OMZ4QJKRR</t>
  </si>
  <si>
    <t>OMRZGLORR</t>
  </si>
  <si>
    <t>OMJL9OHRR</t>
  </si>
  <si>
    <t>OM9N4X5RR</t>
  </si>
  <si>
    <t>OMJM0HQRR</t>
  </si>
  <si>
    <t>OMFSCA2RR</t>
  </si>
  <si>
    <t>OMBAX3ORR</t>
  </si>
  <si>
    <t>OMBTHSBRR</t>
  </si>
  <si>
    <t>OMGT6A1RR</t>
  </si>
  <si>
    <t>OMMIAVHRR</t>
  </si>
  <si>
    <t>OME99OQRR</t>
  </si>
  <si>
    <t>OMUK8XKRR</t>
  </si>
  <si>
    <t>OMDOMR6RR</t>
  </si>
  <si>
    <t>OMKWRO9RR</t>
  </si>
  <si>
    <t>OMJGB4SRR</t>
  </si>
  <si>
    <t>OM0YIRCRR</t>
  </si>
  <si>
    <t>OMCHPFQRR</t>
  </si>
  <si>
    <t>OMLR1HWRR</t>
  </si>
  <si>
    <t>OMJIZTORR</t>
  </si>
  <si>
    <t>OMHP698RR</t>
  </si>
  <si>
    <t>OMFYYOXRR</t>
  </si>
  <si>
    <t>OMDHZULRR</t>
  </si>
  <si>
    <t>OMYN7HQRR</t>
  </si>
  <si>
    <t>OMLUI8DRR</t>
  </si>
  <si>
    <t>OM1SDVFRR</t>
  </si>
  <si>
    <t>OMPO7ITRR</t>
  </si>
  <si>
    <t>OM4RREYRR</t>
  </si>
  <si>
    <t>OLOWO JOHNWHITE</t>
  </si>
  <si>
    <t>RUGOMA TRADERS CO. LTD NTUNGAM Tax No.: 1000249350</t>
  </si>
  <si>
    <t>OMS3B3MRR</t>
  </si>
  <si>
    <t>OMSQV2GRR</t>
  </si>
  <si>
    <t>OM9N9BIRR</t>
  </si>
  <si>
    <t>OM4KKX8RR</t>
  </si>
  <si>
    <t>OMU7WX1RR</t>
  </si>
  <si>
    <t>OMBED62RR</t>
  </si>
  <si>
    <t>OMC1CSKRR</t>
  </si>
  <si>
    <t>OMFHEHIRR</t>
  </si>
  <si>
    <t>OM8KXCGRR</t>
  </si>
  <si>
    <t>OM74XLZRR</t>
  </si>
  <si>
    <t>OMQWDXKRR</t>
  </si>
  <si>
    <t>OM2BWH3RR</t>
  </si>
  <si>
    <t>OM2EZZ9RR</t>
  </si>
  <si>
    <t>OM93QDIRR</t>
  </si>
  <si>
    <t>OMFVD0HRR</t>
  </si>
  <si>
    <t>OM96Q3HRR</t>
  </si>
  <si>
    <t>OMLQIVZRR</t>
  </si>
  <si>
    <t>OMEOH0SRR</t>
  </si>
  <si>
    <t>OMWR0ITRR</t>
  </si>
  <si>
    <t>OMUIJZ7RR</t>
  </si>
  <si>
    <t>OMA8D6BRR</t>
  </si>
  <si>
    <t>OMA9X0ERR</t>
  </si>
  <si>
    <t>OM9EVL6RR</t>
  </si>
  <si>
    <t>OM00YLBRR</t>
  </si>
  <si>
    <t>OMZCAE3RR</t>
  </si>
  <si>
    <t>OMONQB9RR</t>
  </si>
  <si>
    <t>OM9XNCRRR</t>
  </si>
  <si>
    <t>OMABYEMRR</t>
  </si>
  <si>
    <t>OM6AL80RR</t>
  </si>
  <si>
    <t>OM1NHHPRR</t>
  </si>
  <si>
    <t>OMBWHMKRR</t>
  </si>
  <si>
    <t>Kato Investments Ltd-Bulenga Tax No.: 1000098824</t>
  </si>
  <si>
    <t>OMVV2B0RR</t>
  </si>
  <si>
    <t>OMP4ZRHRR</t>
  </si>
  <si>
    <t>OMWYALIRR</t>
  </si>
  <si>
    <t>OMUSM36RR</t>
  </si>
  <si>
    <t>OMZDLRHRR</t>
  </si>
  <si>
    <t>OMX7GV7RR</t>
  </si>
  <si>
    <t>OMXY1P1RR</t>
  </si>
  <si>
    <t>OMEUSI1RR</t>
  </si>
  <si>
    <t>OM1VZHKRR</t>
  </si>
  <si>
    <t>OMAJOEURR</t>
  </si>
  <si>
    <t>OM31776RR</t>
  </si>
  <si>
    <t>OM47YEHRR</t>
  </si>
  <si>
    <t>OME981KRR</t>
  </si>
  <si>
    <t>OMX0174RR</t>
  </si>
  <si>
    <t>OMTVJ6LRR</t>
  </si>
  <si>
    <t>OM421BARR</t>
  </si>
  <si>
    <t>OMO3VRTRR</t>
  </si>
  <si>
    <t>OMCX2RMRR</t>
  </si>
  <si>
    <t>OMBUTGWRR</t>
  </si>
  <si>
    <t>OMZPN3VRR</t>
  </si>
  <si>
    <t>OM977JIRR</t>
  </si>
  <si>
    <t>Sawan Distributors Ltd Hoima Tax No.: 1000186379</t>
  </si>
  <si>
    <t>OM5EAJURR</t>
  </si>
  <si>
    <t>OMPHI92RR</t>
  </si>
  <si>
    <t>OM9SZSZRR</t>
  </si>
  <si>
    <t>OMNKUSZRR</t>
  </si>
  <si>
    <t>OMQ185XRR</t>
  </si>
  <si>
    <t>OM4D83ARR</t>
  </si>
  <si>
    <t>OM1GCBWRR</t>
  </si>
  <si>
    <t>OMMY8Y4RR</t>
  </si>
  <si>
    <t>OM1NA2CRR</t>
  </si>
  <si>
    <t>OMIDNADRR</t>
  </si>
  <si>
    <t>OMLQ0DYRR</t>
  </si>
  <si>
    <t>OMS76RKRR</t>
  </si>
  <si>
    <t>OMNK3ECRR</t>
  </si>
  <si>
    <t>OMOLX1VRR</t>
  </si>
  <si>
    <t>OM5W1CRRR</t>
  </si>
  <si>
    <t>OMLJPR1RR</t>
  </si>
  <si>
    <t>OM848VIRR</t>
  </si>
  <si>
    <t>OMO5Y0DRR</t>
  </si>
  <si>
    <t>OMVD6SARR</t>
  </si>
  <si>
    <t>OMI2426RR</t>
  </si>
  <si>
    <t>OM9SFORRR</t>
  </si>
  <si>
    <t>OM88KEFRR</t>
  </si>
  <si>
    <t>OMA1ALERR</t>
  </si>
  <si>
    <t>OMDOC0ORR</t>
  </si>
  <si>
    <t>OMT96O9RR</t>
  </si>
  <si>
    <t>OMCAD1GRR</t>
  </si>
  <si>
    <t>OM1F6UHRR</t>
  </si>
  <si>
    <t>OMYP1ZIRR</t>
  </si>
  <si>
    <t>OMURC7ARR</t>
  </si>
  <si>
    <t>OMIG098RR</t>
  </si>
  <si>
    <t>OMI6DE8RR</t>
  </si>
  <si>
    <t>OMOZKQCRR</t>
  </si>
  <si>
    <t>OM234XURR</t>
  </si>
  <si>
    <t>OM883HQRR</t>
  </si>
  <si>
    <t>OM87MPTRR</t>
  </si>
  <si>
    <t>OMOYM2FRR</t>
  </si>
  <si>
    <t>OM2B764RR</t>
  </si>
  <si>
    <t>OMXSDRORR</t>
  </si>
  <si>
    <t>OM3KRYURR</t>
  </si>
  <si>
    <t>OMWEW2ZRR</t>
  </si>
  <si>
    <t>OMDJQQCRR</t>
  </si>
  <si>
    <t>OMI7KX4RR</t>
  </si>
  <si>
    <t>OMK4XSVRR</t>
  </si>
  <si>
    <t>OM15IBERR</t>
  </si>
  <si>
    <t>OM6AZNNRR</t>
  </si>
  <si>
    <t>OM23Q4JRR</t>
  </si>
  <si>
    <t>OMGSDE8RR</t>
  </si>
  <si>
    <t>OMUV4JORR</t>
  </si>
  <si>
    <t>OMHJ4H9RR</t>
  </si>
  <si>
    <t>OMP7Y5ARR</t>
  </si>
  <si>
    <t>OM9CCAVRR</t>
  </si>
  <si>
    <t>OMV3VN5RR</t>
  </si>
  <si>
    <t>OM4SUEIRR</t>
  </si>
  <si>
    <t>OM8DLV3RR</t>
  </si>
  <si>
    <t>OMT3NL3RR</t>
  </si>
  <si>
    <t>OM3H8AGRR</t>
  </si>
  <si>
    <t>OMC1H0CRR</t>
  </si>
  <si>
    <t>OM0GI82RR</t>
  </si>
  <si>
    <t>OMQQ8XXRR</t>
  </si>
  <si>
    <t>OMXQVI0RR</t>
  </si>
  <si>
    <t>OMR5398RR</t>
  </si>
  <si>
    <t>OMKJEM0RR</t>
  </si>
  <si>
    <t>OMNUP3ARR</t>
  </si>
  <si>
    <t>OMEGPEVRR</t>
  </si>
  <si>
    <t>OM0TVD8RR</t>
  </si>
  <si>
    <t>OMUYY1TRR</t>
  </si>
  <si>
    <t>OMTK64WRR</t>
  </si>
  <si>
    <t>OMYS43NRR</t>
  </si>
  <si>
    <t>OMD6NY4RR</t>
  </si>
  <si>
    <t>OMY9ORHRR</t>
  </si>
  <si>
    <t>OM6U5PNRR</t>
  </si>
  <si>
    <t>OMT4SKARR</t>
  </si>
  <si>
    <t>OMT00KKRR</t>
  </si>
  <si>
    <t>OM1CS1IRR</t>
  </si>
  <si>
    <t>OM7WANURR</t>
  </si>
  <si>
    <t>OMHW32IRR</t>
  </si>
  <si>
    <t>OM6VU6BRR</t>
  </si>
  <si>
    <t>OMC6OKARR</t>
  </si>
  <si>
    <t>OMS6DUJRR</t>
  </si>
  <si>
    <t>OMUN8D9RR</t>
  </si>
  <si>
    <t>OM7ISAFRR</t>
  </si>
  <si>
    <t>OMUD62CRR</t>
  </si>
  <si>
    <t>OM1HP7ZRR</t>
  </si>
  <si>
    <t>OMK3CFYRR</t>
  </si>
  <si>
    <t>NBL</t>
  </si>
  <si>
    <t>KESH</t>
  </si>
  <si>
    <t>found another truck waiting to be cleared at the gate</t>
  </si>
  <si>
    <t>pressure balancing</t>
  </si>
  <si>
    <t>network failures</t>
  </si>
  <si>
    <t>stock recon delays</t>
  </si>
  <si>
    <t>Water top up</t>
  </si>
  <si>
    <t>found another truck waiting to offload</t>
  </si>
  <si>
    <t>beer topup delays</t>
  </si>
  <si>
    <t>empties confirmation delays</t>
  </si>
  <si>
    <t>dj completion delays</t>
  </si>
  <si>
    <t>May</t>
  </si>
  <si>
    <t>Count of Comment  AVE Arrival Time</t>
  </si>
  <si>
    <t>CUSTOMER NAME</t>
  </si>
  <si>
    <t>KM 1 WAY</t>
  </si>
  <si>
    <t>KM 2 WAY</t>
  </si>
  <si>
    <t>Boniface Harera Tax No.: 1000317747</t>
  </si>
  <si>
    <t>Bates Enterprises Ltd-Ntoroko Tax No.: 1001193253</t>
  </si>
  <si>
    <t>Sawan Distributors Ltd-Nabingo Tax No.: 1000186379</t>
  </si>
  <si>
    <t>Rugoma Traders-Rukungiri Tax No.: 1000249350</t>
  </si>
  <si>
    <t>Kobusinge Acaali- Kyenjojo Tax No.: 1000977837</t>
  </si>
  <si>
    <t>Kato Investments Ltd- Kakumiro Tax No.: 1000098824</t>
  </si>
  <si>
    <t>Kato Investment Ltd -Mityana Tax No.: 1000098824</t>
  </si>
  <si>
    <t>Kato Investments Ltd- Kyegegwa Tax No.: 1000098824</t>
  </si>
  <si>
    <t>Sawan Distributors Ltd-Kayabwe Tax No.: 1000186379</t>
  </si>
  <si>
    <t>Kobusinge Steven-Kamwenge Tax No.: 1000977837</t>
  </si>
  <si>
    <t>Kato Investment Ltd -Kagadi Tax No.: 1000098824</t>
  </si>
  <si>
    <t>Nakuya Enterprises Ltd Tax No.: 1000098344</t>
  </si>
  <si>
    <t>Bates Enterprises U Ltd Tax No.: 1001193253</t>
  </si>
  <si>
    <t>Kato Investment Ltd -Mubende Tax No.: 1000098824</t>
  </si>
  <si>
    <t>KATO INVESTMENTS LTD-KATIKARA Tax No.: 1000098824</t>
  </si>
  <si>
    <t>DAYS IN TRADE</t>
  </si>
  <si>
    <t>POC TIME</t>
  </si>
  <si>
    <t>Ntale &amp; Sons -Kakiri Tax No.: 1001371381</t>
  </si>
  <si>
    <t>D1</t>
  </si>
  <si>
    <t>D2</t>
  </si>
  <si>
    <t>D3</t>
  </si>
  <si>
    <t>D4</t>
  </si>
  <si>
    <t>Total 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</si>
</sst>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m/d/yy"/>
    <numFmt numFmtId="165" formatCode="[$-F400]h:mm:ss\ AM/PM"/>
    <numFmt numFmtId="166" formatCode="m/d/yy\ h:mm;@"/>
    <numFmt numFmtId="167" formatCode="0.0"/>
    <numFmt numFmtId="175" formatCode="00.00"/>
  </numFmts>
  <fonts count="2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Century Gothic"/>
      <family val="2"/>
    </font>
    <font>
      <b/>
      <sz val="16"/>
      <color theme="1"/>
      <name val="Century Gothic"/>
      <family val="2"/>
    </font>
    <font>
      <b/>
      <sz val="9"/>
      <name val="Century Gothic"/>
      <family val="2"/>
    </font>
    <font>
      <sz val="9"/>
      <name val="Century Gothic"/>
      <family val="2"/>
    </font>
    <font>
      <b/>
      <sz val="9"/>
      <color rgb="FFFFFFFF"/>
      <name val="Trebuchet MS"/>
      <family val="2"/>
    </font>
    <font>
      <sz val="9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9C5700"/>
      <name val="Calibri"/>
      <family val="2"/>
      <scheme val="minor"/>
    </font>
    <font>
      <sz val="9"/>
      <color rgb="FF9C0006"/>
      <name val="Calibri"/>
      <family val="2"/>
      <scheme val="minor"/>
    </font>
    <font>
      <sz val="9"/>
      <color rgb="FF555555"/>
      <name val="Calibri"/>
      <family val="2"/>
      <scheme val="minor"/>
    </font>
    <font>
      <sz val="9"/>
      <color rgb="FFFF0000"/>
      <name val="Calibri"/>
      <family val="2"/>
      <scheme val="minor"/>
    </font>
    <font>
      <u/>
      <sz val="9"/>
      <color rgb="FF305496"/>
      <name val="Calibri"/>
      <family val="2"/>
      <scheme val="minor"/>
    </font>
    <font>
      <sz val="9"/>
      <color rgb="FF000000"/>
      <name val="Times New Roman"/>
      <family val="1"/>
    </font>
    <font>
      <b/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33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4472C4"/>
        <bgColor rgb="FF4472C4"/>
      </patternFill>
    </fill>
    <fill>
      <patternFill patternType="solid">
        <fgColor rgb="FFFFFFFF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theme="4" tint="0.79998168889431442"/>
        <bgColor theme="4" tint="0.79998168889431442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5">
    <xf numFmtId="0" fontId="0" fillId="0" borderId="0"/>
    <xf numFmtId="0" fontId="1" fillId="0" borderId="0"/>
    <xf numFmtId="9" fontId="4" fillId="0" borderId="0" applyFont="0" applyFill="0" applyBorder="0" applyAlignment="0" applyProtection="0"/>
    <xf numFmtId="0" fontId="1" fillId="0" borderId="0"/>
    <xf numFmtId="0" fontId="11" fillId="0" borderId="0" applyNumberFormat="0" applyFill="0" applyBorder="0" applyAlignment="0" applyProtection="0"/>
  </cellStyleXfs>
  <cellXfs count="125">
    <xf numFmtId="0" fontId="0" fillId="0" borderId="0" xfId="0"/>
    <xf numFmtId="0" fontId="5" fillId="0" borderId="1" xfId="0" applyFont="1" applyBorder="1"/>
    <xf numFmtId="0" fontId="5" fillId="0" borderId="2" xfId="0" applyFont="1" applyBorder="1"/>
    <xf numFmtId="0" fontId="6" fillId="4" borderId="4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6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/>
    <xf numFmtId="0" fontId="5" fillId="0" borderId="5" xfId="0" applyFont="1" applyBorder="1"/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7" fillId="0" borderId="12" xfId="3" applyFont="1" applyBorder="1" applyAlignment="1">
      <alignment vertical="center"/>
    </xf>
    <xf numFmtId="0" fontId="8" fillId="0" borderId="5" xfId="3" applyFont="1" applyBorder="1" applyAlignment="1">
      <alignment vertical="center"/>
    </xf>
    <xf numFmtId="0" fontId="8" fillId="0" borderId="3" xfId="3" applyFont="1" applyBorder="1" applyAlignment="1">
      <alignment horizontal="center" vertical="center"/>
    </xf>
    <xf numFmtId="0" fontId="8" fillId="0" borderId="13" xfId="3" applyFont="1" applyBorder="1" applyAlignment="1">
      <alignment horizontal="center" vertical="center"/>
    </xf>
    <xf numFmtId="0" fontId="7" fillId="5" borderId="14" xfId="3" applyFont="1" applyFill="1" applyBorder="1" applyAlignment="1">
      <alignment vertical="center"/>
    </xf>
    <xf numFmtId="0" fontId="8" fillId="0" borderId="5" xfId="3" applyFont="1" applyBorder="1" applyAlignment="1">
      <alignment horizontal="center" vertical="center"/>
    </xf>
    <xf numFmtId="1" fontId="8" fillId="0" borderId="5" xfId="2" applyNumberFormat="1" applyFont="1" applyBorder="1" applyAlignment="1">
      <alignment horizontal="center" vertical="center"/>
    </xf>
    <xf numFmtId="1" fontId="8" fillId="0" borderId="13" xfId="2" applyNumberFormat="1" applyFont="1" applyBorder="1" applyAlignment="1">
      <alignment horizontal="center" vertical="center"/>
    </xf>
    <xf numFmtId="1" fontId="8" fillId="0" borderId="5" xfId="3" applyNumberFormat="1" applyFont="1" applyBorder="1" applyAlignment="1">
      <alignment horizontal="center" vertical="center"/>
    </xf>
    <xf numFmtId="1" fontId="8" fillId="0" borderId="13" xfId="3" applyNumberFormat="1" applyFont="1" applyBorder="1" applyAlignment="1">
      <alignment horizontal="center" vertical="center"/>
    </xf>
    <xf numFmtId="0" fontId="7" fillId="0" borderId="14" xfId="3" applyFont="1" applyBorder="1" applyAlignment="1">
      <alignment vertical="center"/>
    </xf>
    <xf numFmtId="9" fontId="8" fillId="0" borderId="5" xfId="3" applyNumberFormat="1" applyFont="1" applyBorder="1" applyAlignment="1">
      <alignment horizontal="center" vertical="center"/>
    </xf>
    <xf numFmtId="9" fontId="8" fillId="0" borderId="13" xfId="3" applyNumberFormat="1" applyFont="1" applyBorder="1" applyAlignment="1">
      <alignment horizontal="center" vertical="center"/>
    </xf>
    <xf numFmtId="10" fontId="8" fillId="0" borderId="5" xfId="2" applyNumberFormat="1" applyFont="1" applyBorder="1" applyAlignment="1">
      <alignment horizontal="center" vertical="center"/>
    </xf>
    <xf numFmtId="10" fontId="8" fillId="0" borderId="13" xfId="2" applyNumberFormat="1" applyFont="1" applyBorder="1" applyAlignment="1">
      <alignment horizontal="center" vertical="center"/>
    </xf>
    <xf numFmtId="0" fontId="7" fillId="0" borderId="5" xfId="3" applyFont="1" applyBorder="1" applyAlignment="1">
      <alignment horizontal="center" vertical="center"/>
    </xf>
    <xf numFmtId="0" fontId="7" fillId="0" borderId="3" xfId="3" applyFont="1" applyBorder="1" applyAlignment="1">
      <alignment horizontal="center" vertical="center"/>
    </xf>
    <xf numFmtId="0" fontId="7" fillId="0" borderId="15" xfId="3" applyFont="1" applyBorder="1" applyAlignment="1">
      <alignment vertical="center"/>
    </xf>
    <xf numFmtId="0" fontId="8" fillId="0" borderId="5" xfId="3" applyFont="1" applyBorder="1" applyAlignment="1">
      <alignment horizontal="left" vertical="center"/>
    </xf>
    <xf numFmtId="2" fontId="8" fillId="0" borderId="5" xfId="3" applyNumberFormat="1" applyFont="1" applyBorder="1" applyAlignment="1">
      <alignment horizontal="center" vertical="center"/>
    </xf>
    <xf numFmtId="2" fontId="8" fillId="0" borderId="13" xfId="3" applyNumberFormat="1" applyFont="1" applyBorder="1" applyAlignment="1">
      <alignment horizontal="center" vertical="center"/>
    </xf>
    <xf numFmtId="165" fontId="8" fillId="0" borderId="5" xfId="3" applyNumberFormat="1" applyFont="1" applyBorder="1" applyAlignment="1">
      <alignment horizontal="center" vertical="center"/>
    </xf>
    <xf numFmtId="165" fontId="8" fillId="0" borderId="13" xfId="3" applyNumberFormat="1" applyFont="1" applyBorder="1" applyAlignment="1">
      <alignment horizontal="center" vertical="center"/>
    </xf>
    <xf numFmtId="9" fontId="8" fillId="0" borderId="5" xfId="2" applyFont="1" applyBorder="1" applyAlignment="1">
      <alignment horizontal="center" vertical="center"/>
    </xf>
    <xf numFmtId="164" fontId="2" fillId="2" borderId="8" xfId="1" applyNumberFormat="1" applyFont="1" applyFill="1" applyBorder="1" applyAlignment="1">
      <alignment horizontal="center" vertical="center" wrapText="1"/>
    </xf>
    <xf numFmtId="0" fontId="4" fillId="0" borderId="0" xfId="0" applyFont="1"/>
    <xf numFmtId="0" fontId="9" fillId="6" borderId="7" xfId="0" applyFont="1" applyFill="1" applyBorder="1" applyAlignment="1">
      <alignment wrapText="1"/>
    </xf>
    <xf numFmtId="0" fontId="9" fillId="6" borderId="8" xfId="0" applyFont="1" applyFill="1" applyBorder="1" applyAlignment="1">
      <alignment wrapText="1"/>
    </xf>
    <xf numFmtId="0" fontId="9" fillId="6" borderId="16" xfId="0" applyFont="1" applyFill="1" applyBorder="1" applyAlignment="1">
      <alignment wrapText="1"/>
    </xf>
    <xf numFmtId="0" fontId="9" fillId="6" borderId="16" xfId="0" applyFont="1" applyFill="1" applyBorder="1" applyAlignment="1">
      <alignment horizontal="center" wrapText="1"/>
    </xf>
    <xf numFmtId="0" fontId="9" fillId="6" borderId="5" xfId="0" applyFont="1" applyFill="1" applyBorder="1" applyAlignment="1">
      <alignment wrapText="1"/>
    </xf>
    <xf numFmtId="0" fontId="9" fillId="6" borderId="17" xfId="0" applyFont="1" applyFill="1" applyBorder="1" applyAlignment="1">
      <alignment wrapText="1"/>
    </xf>
    <xf numFmtId="0" fontId="10" fillId="0" borderId="3" xfId="0" applyFont="1" applyBorder="1"/>
    <xf numFmtId="0" fontId="10" fillId="7" borderId="5" xfId="0" applyFont="1" applyFill="1" applyBorder="1"/>
    <xf numFmtId="0" fontId="11" fillId="0" borderId="5" xfId="4" applyBorder="1" applyAlignment="1">
      <alignment vertical="center"/>
    </xf>
    <xf numFmtId="0" fontId="10" fillId="0" borderId="5" xfId="0" applyFont="1" applyBorder="1" applyAlignment="1">
      <alignment horizontal="right"/>
    </xf>
    <xf numFmtId="0" fontId="10" fillId="0" borderId="5" xfId="0" applyFont="1" applyBorder="1"/>
    <xf numFmtId="0" fontId="10" fillId="0" borderId="5" xfId="0" applyFont="1" applyBorder="1" applyAlignment="1">
      <alignment horizontal="center"/>
    </xf>
    <xf numFmtId="0" fontId="10" fillId="7" borderId="5" xfId="0" applyFont="1" applyFill="1" applyBorder="1" applyAlignment="1">
      <alignment horizontal="left"/>
    </xf>
    <xf numFmtId="3" fontId="10" fillId="8" borderId="5" xfId="0" applyNumberFormat="1" applyFont="1" applyFill="1" applyBorder="1"/>
    <xf numFmtId="0" fontId="10" fillId="8" borderId="5" xfId="0" applyFont="1" applyFill="1" applyBorder="1"/>
    <xf numFmtId="9" fontId="10" fillId="8" borderId="5" xfId="0" applyNumberFormat="1" applyFont="1" applyFill="1" applyBorder="1"/>
    <xf numFmtId="10" fontId="10" fillId="0" borderId="5" xfId="0" applyNumberFormat="1" applyFont="1" applyBorder="1"/>
    <xf numFmtId="0" fontId="12" fillId="9" borderId="5" xfId="0" applyFont="1" applyFill="1" applyBorder="1"/>
    <xf numFmtId="10" fontId="13" fillId="0" borderId="0" xfId="0" applyNumberFormat="1" applyFont="1"/>
    <xf numFmtId="0" fontId="10" fillId="0" borderId="17" xfId="0" applyFont="1" applyBorder="1"/>
    <xf numFmtId="0" fontId="11" fillId="0" borderId="5" xfId="4" applyBorder="1"/>
    <xf numFmtId="0" fontId="14" fillId="10" borderId="5" xfId="0" applyFont="1" applyFill="1" applyBorder="1"/>
    <xf numFmtId="0" fontId="15" fillId="11" borderId="5" xfId="0" applyFont="1" applyFill="1" applyBorder="1"/>
    <xf numFmtId="0" fontId="16" fillId="0" borderId="5" xfId="0" applyFont="1" applyBorder="1"/>
    <xf numFmtId="0" fontId="10" fillId="7" borderId="5" xfId="0" applyFont="1" applyFill="1" applyBorder="1" applyAlignment="1">
      <alignment horizontal="right"/>
    </xf>
    <xf numFmtId="0" fontId="17" fillId="0" borderId="3" xfId="0" applyFont="1" applyBorder="1"/>
    <xf numFmtId="0" fontId="18" fillId="0" borderId="5" xfId="0" applyFont="1" applyBorder="1"/>
    <xf numFmtId="0" fontId="10" fillId="7" borderId="3" xfId="0" applyFont="1" applyFill="1" applyBorder="1"/>
    <xf numFmtId="0" fontId="18" fillId="7" borderId="5" xfId="0" applyFont="1" applyFill="1" applyBorder="1"/>
    <xf numFmtId="0" fontId="19" fillId="0" borderId="5" xfId="0" applyFont="1" applyBorder="1"/>
    <xf numFmtId="0" fontId="10" fillId="12" borderId="3" xfId="0" applyFont="1" applyFill="1" applyBorder="1"/>
    <xf numFmtId="0" fontId="10" fillId="12" borderId="5" xfId="0" applyFont="1" applyFill="1" applyBorder="1"/>
    <xf numFmtId="0" fontId="10" fillId="12" borderId="5" xfId="0" applyFont="1" applyFill="1" applyBorder="1" applyAlignment="1">
      <alignment horizontal="left"/>
    </xf>
    <xf numFmtId="0" fontId="10" fillId="12" borderId="5" xfId="0" applyFont="1" applyFill="1" applyBorder="1" applyAlignment="1">
      <alignment horizontal="center"/>
    </xf>
    <xf numFmtId="3" fontId="10" fillId="12" borderId="5" xfId="0" applyNumberFormat="1" applyFont="1" applyFill="1" applyBorder="1"/>
    <xf numFmtId="0" fontId="10" fillId="12" borderId="0" xfId="0" applyFont="1" applyFill="1"/>
    <xf numFmtId="9" fontId="10" fillId="12" borderId="5" xfId="0" applyNumberFormat="1" applyFont="1" applyFill="1" applyBorder="1"/>
    <xf numFmtId="0" fontId="0" fillId="0" borderId="5" xfId="0" applyBorder="1"/>
    <xf numFmtId="0" fontId="3" fillId="3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1" fontId="3" fillId="3" borderId="5" xfId="0" applyNumberFormat="1" applyFont="1" applyFill="1" applyBorder="1" applyAlignment="1">
      <alignment horizontal="center" vertical="center"/>
    </xf>
    <xf numFmtId="166" fontId="3" fillId="3" borderId="5" xfId="0" applyNumberFormat="1" applyFont="1" applyFill="1" applyBorder="1" applyAlignment="1">
      <alignment horizontal="center" vertical="center"/>
    </xf>
    <xf numFmtId="2" fontId="3" fillId="3" borderId="5" xfId="0" applyNumberFormat="1" applyFont="1" applyFill="1" applyBorder="1" applyAlignment="1">
      <alignment horizontal="center" vertical="center"/>
    </xf>
    <xf numFmtId="2" fontId="0" fillId="0" borderId="5" xfId="0" applyNumberFormat="1" applyBorder="1" applyAlignment="1">
      <alignment horizontal="center"/>
    </xf>
    <xf numFmtId="166" fontId="2" fillId="3" borderId="5" xfId="0" applyNumberFormat="1" applyFont="1" applyFill="1" applyBorder="1" applyAlignment="1">
      <alignment horizontal="center" vertical="center"/>
    </xf>
    <xf numFmtId="0" fontId="0" fillId="3" borderId="5" xfId="0" applyFill="1" applyBorder="1"/>
    <xf numFmtId="0" fontId="0" fillId="3" borderId="5" xfId="0" applyFill="1" applyBorder="1" applyAlignment="1">
      <alignment horizontal="center"/>
    </xf>
    <xf numFmtId="167" fontId="0" fillId="0" borderId="0" xfId="0" applyNumberFormat="1"/>
    <xf numFmtId="0" fontId="0" fillId="0" borderId="0" xfId="0" applyAlignment="1">
      <alignment horizontal="left"/>
    </xf>
    <xf numFmtId="0" fontId="20" fillId="13" borderId="18" xfId="0" applyFont="1" applyFill="1" applyBorder="1"/>
    <xf numFmtId="0" fontId="0" fillId="0" borderId="0" xfId="0" pivotButton="1"/>
    <xf numFmtId="2" fontId="0" fillId="3" borderId="5" xfId="0" applyNumberFormat="1" applyFill="1" applyBorder="1" applyAlignment="1">
      <alignment horizontal="center"/>
    </xf>
    <xf numFmtId="2" fontId="0" fillId="0" borderId="0" xfId="0" applyNumberFormat="1"/>
    <xf numFmtId="0" fontId="0" fillId="0" borderId="5" xfId="0" applyBorder="1" applyAlignment="1">
      <alignment horizontal="left"/>
    </xf>
    <xf numFmtId="0" fontId="0" fillId="3" borderId="5" xfId="0" applyFill="1" applyBorder="1" applyAlignment="1">
      <alignment horizontal="left"/>
    </xf>
    <xf numFmtId="0" fontId="3" fillId="3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166" fontId="3" fillId="3" borderId="13" xfId="0" applyNumberFormat="1" applyFont="1" applyFill="1" applyBorder="1" applyAlignment="1">
      <alignment horizontal="center" vertical="center"/>
    </xf>
    <xf numFmtId="0" fontId="0" fillId="0" borderId="13" xfId="0" applyBorder="1" applyAlignment="1">
      <alignment horizontal="left"/>
    </xf>
    <xf numFmtId="0" fontId="0" fillId="0" borderId="13" xfId="0" applyBorder="1"/>
    <xf numFmtId="0" fontId="3" fillId="3" borderId="13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/>
    </xf>
    <xf numFmtId="1" fontId="3" fillId="3" borderId="13" xfId="0" applyNumberFormat="1" applyFont="1" applyFill="1" applyBorder="1" applyAlignment="1">
      <alignment horizontal="center" vertical="center"/>
    </xf>
    <xf numFmtId="2" fontId="3" fillId="3" borderId="13" xfId="0" applyNumberFormat="1" applyFont="1" applyFill="1" applyBorder="1" applyAlignment="1">
      <alignment horizontal="center" vertical="center"/>
    </xf>
    <xf numFmtId="2" fontId="0" fillId="0" borderId="13" xfId="0" applyNumberFormat="1" applyBorder="1" applyAlignment="1">
      <alignment horizontal="center"/>
    </xf>
    <xf numFmtId="166" fontId="3" fillId="3" borderId="8" xfId="0" applyNumberFormat="1" applyFont="1" applyFill="1" applyBorder="1" applyAlignment="1">
      <alignment horizontal="center" vertical="center"/>
    </xf>
    <xf numFmtId="0" fontId="0" fillId="0" borderId="8" xfId="0" applyBorder="1" applyAlignment="1">
      <alignment horizontal="left"/>
    </xf>
    <xf numFmtId="0" fontId="0" fillId="0" borderId="8" xfId="0" applyBorder="1"/>
    <xf numFmtId="0" fontId="3" fillId="3" borderId="8" xfId="0" applyFont="1" applyFill="1" applyBorder="1" applyAlignment="1">
      <alignment horizontal="center" vertical="center"/>
    </xf>
    <xf numFmtId="0" fontId="0" fillId="0" borderId="8" xfId="0" applyBorder="1" applyAlignment="1">
      <alignment horizontal="center"/>
    </xf>
    <xf numFmtId="1" fontId="3" fillId="3" borderId="8" xfId="0" applyNumberFormat="1" applyFont="1" applyFill="1" applyBorder="1" applyAlignment="1">
      <alignment horizontal="center" vertical="center"/>
    </xf>
    <xf numFmtId="2" fontId="3" fillId="3" borderId="8" xfId="0" applyNumberFormat="1" applyFont="1" applyFill="1" applyBorder="1" applyAlignment="1">
      <alignment horizontal="center" vertical="center"/>
    </xf>
    <xf numFmtId="2" fontId="0" fillId="0" borderId="8" xfId="0" applyNumberFormat="1" applyBorder="1" applyAlignment="1">
      <alignment horizontal="center"/>
    </xf>
    <xf numFmtId="164" fontId="2" fillId="2" borderId="5" xfId="1" applyNumberFormat="1" applyFont="1" applyFill="1" applyBorder="1" applyAlignment="1">
      <alignment horizontal="center" vertical="center" wrapText="1"/>
    </xf>
    <xf numFmtId="164" fontId="2" fillId="2" borderId="5" xfId="1" applyNumberFormat="1" applyFont="1" applyFill="1" applyBorder="1" applyAlignment="1">
      <alignment horizontal="left" vertical="center" wrapText="1"/>
    </xf>
    <xf numFmtId="22" fontId="0" fillId="0" borderId="0" xfId="0" applyNumberFormat="1"/>
    <xf numFmtId="0" fontId="0" fillId="0" borderId="0" xfId="0" applyNumberFormat="1"/>
    <xf numFmtId="0" fontId="20" fillId="0" borderId="0" xfId="0" applyFont="1"/>
    <xf numFmtId="166" fontId="3" fillId="3" borderId="5" xfId="0" applyNumberFormat="1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175" fontId="3" fillId="3" borderId="5" xfId="0" applyNumberFormat="1" applyFont="1" applyFill="1" applyBorder="1" applyAlignment="1">
      <alignment horizontal="center" vertical="center"/>
    </xf>
    <xf numFmtId="175" fontId="0" fillId="0" borderId="5" xfId="0" applyNumberFormat="1" applyBorder="1"/>
    <xf numFmtId="0" fontId="3" fillId="3" borderId="5" xfId="0" applyNumberFormat="1" applyFont="1" applyFill="1" applyBorder="1" applyAlignment="1">
      <alignment horizontal="center" vertical="center"/>
    </xf>
  </cellXfs>
  <cellStyles count="5">
    <cellStyle name="Hyperlink" xfId="4" builtinId="8"/>
    <cellStyle name="Normal" xfId="0" builtinId="0"/>
    <cellStyle name="Normal 7" xfId="1"/>
    <cellStyle name="Normal_WMB Master TOR List" xfId="3"/>
    <cellStyle name="Percent" xfId="2" builtinId="5"/>
  </cellStyles>
  <dxfs count="153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Calibri"/>
        <scheme val="minor"/>
      </font>
      <fill>
        <patternFill patternType="solid">
          <fgColor rgb="FF000000"/>
          <bgColor rgb="FF00B05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fill>
        <patternFill patternType="solid">
          <fgColor rgb="FF000000"/>
          <bgColor rgb="FFD9D9D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numFmt numFmtId="13" formatCode="0%"/>
      <fill>
        <patternFill patternType="solid">
          <fgColor rgb="FF000000"/>
          <bgColor rgb="FFD9D9D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numFmt numFmtId="3" formatCode="#,##0"/>
      <fill>
        <patternFill patternType="solid">
          <fgColor rgb="FF000000"/>
          <bgColor rgb="FFD9D9D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fill>
        <patternFill patternType="solid">
          <fgColor rgb="FF000000"/>
          <bgColor rgb="FFD9D9D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fill>
        <patternFill patternType="solid">
          <fgColor rgb="FF000000"/>
          <bgColor rgb="FFD9D9D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numFmt numFmtId="3" formatCode="#,##0"/>
      <fill>
        <patternFill patternType="solid">
          <fgColor rgb="FF000000"/>
          <bgColor rgb="FFD9D9D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numFmt numFmtId="3" formatCode="#,##0"/>
      <fill>
        <patternFill patternType="solid">
          <fgColor rgb="FF000000"/>
          <bgColor rgb="FFD9D9D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numFmt numFmtId="3" formatCode="#,##0"/>
      <fill>
        <patternFill patternType="solid">
          <fgColor rgb="FF000000"/>
          <bgColor rgb="FFD9D9D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fill>
        <patternFill patternType="solid">
          <fgColor rgb="FF000000"/>
          <bgColor rgb="FFD9D9D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numFmt numFmtId="3" formatCode="#,##0"/>
      <fill>
        <patternFill patternType="solid">
          <fgColor rgb="FF000000"/>
          <bgColor rgb="FFD9D9D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numFmt numFmtId="3" formatCode="#,##0"/>
      <fill>
        <patternFill patternType="solid">
          <fgColor rgb="FF000000"/>
          <bgColor rgb="FFD9D9D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fill>
        <patternFill patternType="solid">
          <fgColor rgb="FF000000"/>
          <bgColor rgb="FFD9D9D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fill>
        <patternFill patternType="solid">
          <fgColor rgb="FF000000"/>
          <bgColor rgb="FFD9D9D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numFmt numFmtId="3" formatCode="#,##0"/>
      <fill>
        <patternFill patternType="solid">
          <fgColor rgb="FF000000"/>
          <bgColor rgb="FFD9D9D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numFmt numFmtId="3" formatCode="#,##0"/>
      <fill>
        <patternFill patternType="solid">
          <fgColor rgb="FF000000"/>
          <bgColor rgb="FFD9D9D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fill>
        <patternFill patternType="solid">
          <fgColor rgb="FF000000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fill>
        <patternFill patternType="solid">
          <fgColor rgb="FF000000"/>
          <bgColor rgb="FFFFFFF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fill>
        <patternFill patternType="solid">
          <fgColor rgb="FF000000"/>
          <bgColor rgb="FFFFFFF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fill>
        <patternFill patternType="solid">
          <fgColor rgb="FF000000"/>
          <bgColor rgb="FFFFFFF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fill>
        <patternFill patternType="solid">
          <fgColor rgb="FF000000"/>
          <bgColor rgb="FFFFFFF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fill>
        <patternFill patternType="solid">
          <fgColor rgb="FF000000"/>
          <bgColor rgb="FFFFFFF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fill>
        <patternFill patternType="solid">
          <fgColor rgb="FF000000"/>
          <bgColor rgb="FFFFFFF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fill>
        <patternFill patternType="solid">
          <fgColor rgb="FF000000"/>
          <bgColor rgb="FFFFFFF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fill>
        <patternFill patternType="solid">
          <fgColor rgb="FF000000"/>
          <bgColor rgb="FFFFFFF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fill>
        <patternFill patternType="solid">
          <fgColor rgb="FF000000"/>
          <bgColor rgb="FFFFFFF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Trebuchet MS"/>
        <scheme val="none"/>
      </font>
      <fill>
        <patternFill patternType="solid">
          <fgColor rgb="FF4472C4"/>
          <bgColor rgb="FF4472C4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numFmt numFmtId="2" formatCode="0.00"/>
    </dxf>
    <dxf>
      <numFmt numFmtId="168" formatCode="0.000"/>
    </dxf>
    <dxf>
      <numFmt numFmtId="169" formatCode="0.0000"/>
    </dxf>
    <dxf>
      <numFmt numFmtId="170" formatCode="0.00000"/>
    </dxf>
    <dxf>
      <numFmt numFmtId="171" formatCode="0.000000"/>
    </dxf>
    <dxf>
      <numFmt numFmtId="172" formatCode="0.0000000"/>
    </dxf>
    <dxf>
      <numFmt numFmtId="2" formatCode="0.00"/>
    </dxf>
    <dxf>
      <numFmt numFmtId="168" formatCode="0.000"/>
    </dxf>
    <dxf>
      <numFmt numFmtId="169" formatCode="0.0000"/>
    </dxf>
    <dxf>
      <numFmt numFmtId="170" formatCode="0.00000"/>
    </dxf>
    <dxf>
      <numFmt numFmtId="171" formatCode="0.000000"/>
    </dxf>
    <dxf>
      <numFmt numFmtId="172" formatCode="0.0000000"/>
    </dxf>
    <dxf>
      <numFmt numFmtId="167" formatCode="0.0"/>
    </dxf>
    <dxf>
      <numFmt numFmtId="2" formatCode="0.00"/>
    </dxf>
    <dxf>
      <numFmt numFmtId="168" formatCode="0.000"/>
    </dxf>
    <dxf>
      <numFmt numFmtId="169" formatCode="0.0000"/>
    </dxf>
    <dxf>
      <numFmt numFmtId="170" formatCode="0.00000"/>
    </dxf>
    <dxf>
      <numFmt numFmtId="171" formatCode="0.000000"/>
    </dxf>
    <dxf>
      <numFmt numFmtId="172" formatCode="0.0000000"/>
    </dxf>
    <dxf>
      <numFmt numFmtId="2" formatCode="0.00"/>
    </dxf>
    <dxf>
      <numFmt numFmtId="168" formatCode="0.000"/>
    </dxf>
    <dxf>
      <numFmt numFmtId="169" formatCode="0.0000"/>
    </dxf>
    <dxf>
      <numFmt numFmtId="170" formatCode="0.00000"/>
    </dxf>
    <dxf>
      <numFmt numFmtId="171" formatCode="0.000000"/>
    </dxf>
    <dxf>
      <numFmt numFmtId="172" formatCode="0.0000000"/>
    </dxf>
    <dxf>
      <numFmt numFmtId="2" formatCode="0.00"/>
    </dxf>
    <dxf>
      <numFmt numFmtId="168" formatCode="0.000"/>
    </dxf>
    <dxf>
      <numFmt numFmtId="169" formatCode="0.0000"/>
    </dxf>
    <dxf>
      <numFmt numFmtId="170" formatCode="0.00000"/>
    </dxf>
    <dxf>
      <numFmt numFmtId="171" formatCode="0.000000"/>
    </dxf>
    <dxf>
      <numFmt numFmtId="172" formatCode="0.0000000"/>
    </dxf>
    <dxf>
      <numFmt numFmtId="2" formatCode="0.00"/>
    </dxf>
    <dxf>
      <numFmt numFmtId="168" formatCode="0.000"/>
    </dxf>
    <dxf>
      <numFmt numFmtId="169" formatCode="0.0000"/>
    </dxf>
    <dxf>
      <numFmt numFmtId="170" formatCode="0.00000"/>
    </dxf>
    <dxf>
      <numFmt numFmtId="171" formatCode="0.000000"/>
    </dxf>
    <dxf>
      <numFmt numFmtId="172" formatCode="0.0000000"/>
    </dxf>
    <dxf>
      <numFmt numFmtId="2" formatCode="0.00"/>
    </dxf>
    <dxf>
      <numFmt numFmtId="168" formatCode="0.000"/>
    </dxf>
    <dxf>
      <numFmt numFmtId="169" formatCode="0.0000"/>
    </dxf>
    <dxf>
      <numFmt numFmtId="170" formatCode="0.00000"/>
    </dxf>
    <dxf>
      <numFmt numFmtId="171" formatCode="0.000000"/>
    </dxf>
    <dxf>
      <numFmt numFmtId="172" formatCode="0.0000000"/>
    </dxf>
    <dxf>
      <numFmt numFmtId="2" formatCode="0.00"/>
    </dxf>
    <dxf>
      <numFmt numFmtId="167" formatCode="0.0"/>
    </dxf>
    <dxf>
      <numFmt numFmtId="2" formatCode="0.00"/>
    </dxf>
    <dxf>
      <numFmt numFmtId="168" formatCode="0.000"/>
    </dxf>
    <dxf>
      <numFmt numFmtId="169" formatCode="0.0000"/>
    </dxf>
    <dxf>
      <numFmt numFmtId="170" formatCode="0.00000"/>
    </dxf>
    <dxf>
      <numFmt numFmtId="171" formatCode="0.000000"/>
    </dxf>
    <dxf>
      <numFmt numFmtId="172" formatCode="0.0000000"/>
    </dxf>
    <dxf>
      <numFmt numFmtId="2" formatCode="0.00"/>
    </dxf>
    <dxf>
      <numFmt numFmtId="167" formatCode="0.0"/>
    </dxf>
    <dxf>
      <numFmt numFmtId="2" formatCode="0.00"/>
    </dxf>
    <dxf>
      <numFmt numFmtId="168" formatCode="0.000"/>
    </dxf>
    <dxf>
      <numFmt numFmtId="169" formatCode="0.0000"/>
    </dxf>
    <dxf>
      <numFmt numFmtId="170" formatCode="0.00000"/>
    </dxf>
    <dxf>
      <numFmt numFmtId="171" formatCode="0.000000"/>
    </dxf>
    <dxf>
      <numFmt numFmtId="172" formatCode="0.0000000"/>
    </dxf>
    <dxf>
      <numFmt numFmtId="2" formatCode="0.00"/>
    </dxf>
    <dxf>
      <numFmt numFmtId="168" formatCode="0.000"/>
    </dxf>
    <dxf>
      <numFmt numFmtId="169" formatCode="0.0000"/>
    </dxf>
    <dxf>
      <numFmt numFmtId="170" formatCode="0.00000"/>
    </dxf>
    <dxf>
      <numFmt numFmtId="171" formatCode="0.000000"/>
    </dxf>
    <dxf>
      <numFmt numFmtId="172" formatCode="0.0000000"/>
    </dxf>
    <dxf>
      <numFmt numFmtId="2" formatCode="0.00"/>
    </dxf>
    <dxf>
      <numFmt numFmtId="2" formatCode="0.00"/>
    </dxf>
    <dxf>
      <numFmt numFmtId="2" formatCode="0.00"/>
    </dxf>
    <dxf>
      <numFmt numFmtId="168" formatCode="0.000"/>
    </dxf>
    <dxf>
      <numFmt numFmtId="168" formatCode="0.000"/>
    </dxf>
    <dxf>
      <numFmt numFmtId="169" formatCode="0.0000"/>
    </dxf>
    <dxf>
      <numFmt numFmtId="169" formatCode="0.0000"/>
    </dxf>
    <dxf>
      <numFmt numFmtId="170" formatCode="0.00000"/>
    </dxf>
    <dxf>
      <numFmt numFmtId="170" formatCode="0.00000"/>
    </dxf>
    <dxf>
      <numFmt numFmtId="171" formatCode="0.000000"/>
    </dxf>
    <dxf>
      <numFmt numFmtId="171" formatCode="0.000000"/>
    </dxf>
    <dxf>
      <numFmt numFmtId="172" formatCode="0.0000000"/>
    </dxf>
    <dxf>
      <numFmt numFmtId="172" formatCode="0.0000000"/>
    </dxf>
    <dxf>
      <numFmt numFmtId="167" formatCode="0.0"/>
    </dxf>
    <dxf>
      <numFmt numFmtId="2" formatCode="0.00"/>
    </dxf>
    <dxf>
      <numFmt numFmtId="168" formatCode="0.000"/>
    </dxf>
    <dxf>
      <numFmt numFmtId="169" formatCode="0.0000"/>
    </dxf>
    <dxf>
      <numFmt numFmtId="170" formatCode="0.00000"/>
    </dxf>
    <dxf>
      <numFmt numFmtId="171" formatCode="0.000000"/>
    </dxf>
    <dxf>
      <numFmt numFmtId="172" formatCode="0.0000000"/>
    </dxf>
    <dxf>
      <numFmt numFmtId="172" formatCode="0.0000000"/>
    </dxf>
    <dxf>
      <numFmt numFmtId="173" formatCode="0.00000000"/>
    </dxf>
    <dxf>
      <numFmt numFmtId="174" formatCode="0.0000000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colors>
    <mruColors>
      <color rgb="FFE23C58"/>
      <color rgb="FFF02E2E"/>
      <color rgb="FFC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4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 Departure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Analysis!$I$3</c:f>
              <c:strCache>
                <c:ptCount val="1"/>
                <c:pt idx="0">
                  <c:v>Average of AVE Departure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Ref>
              <c:f>Analysis!$H$4:$H$8</c:f>
              <c:strCache>
                <c:ptCount val="5"/>
                <c:pt idx="0">
                  <c:v>October</c:v>
                </c:pt>
                <c:pt idx="1">
                  <c:v>November</c:v>
                </c:pt>
                <c:pt idx="2">
                  <c:v>December</c:v>
                </c:pt>
                <c:pt idx="3">
                  <c:v>January</c:v>
                </c:pt>
                <c:pt idx="4">
                  <c:v>Quarter</c:v>
                </c:pt>
              </c:strCache>
            </c:strRef>
          </c:cat>
          <c:val>
            <c:numRef>
              <c:f>Analysis!$I$4:$I$8</c:f>
              <c:numCache>
                <c:formatCode>0.0</c:formatCode>
                <c:ptCount val="5"/>
                <c:pt idx="0">
                  <c:v>46.609850746268648</c:v>
                </c:pt>
                <c:pt idx="1">
                  <c:v>48.50232558139534</c:v>
                </c:pt>
                <c:pt idx="2">
                  <c:v>47.503878406708658</c:v>
                </c:pt>
                <c:pt idx="3">
                  <c:v>44.994911858974334</c:v>
                </c:pt>
                <c:pt idx="4">
                  <c:v>46.902741648336743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1E-4C55-8B25-6D0D51714F9F}"/>
            </c:ext>
          </c:extLst>
        </c:ser>
        <c:ser>
          <c:idx val="1"/>
          <c:order val="1"/>
          <c:tx>
            <c:strRef>
              <c:f>Analysis!$J$3</c:f>
              <c:strCache>
                <c:ptCount val="1"/>
                <c:pt idx="0">
                  <c:v>Tar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Ref>
              <c:f>Analysis!$H$4:$H$8</c:f>
              <c:strCache>
                <c:ptCount val="5"/>
                <c:pt idx="0">
                  <c:v>October</c:v>
                </c:pt>
                <c:pt idx="1">
                  <c:v>November</c:v>
                </c:pt>
                <c:pt idx="2">
                  <c:v>December</c:v>
                </c:pt>
                <c:pt idx="3">
                  <c:v>January</c:v>
                </c:pt>
                <c:pt idx="4">
                  <c:v>Quarter</c:v>
                </c:pt>
              </c:strCache>
            </c:strRef>
          </c:cat>
          <c:val>
            <c:numRef>
              <c:f>Analysis!$J$4:$J$8</c:f>
              <c:numCache>
                <c:formatCode>General</c:formatCode>
                <c:ptCount val="5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45</c:v>
                </c:pt>
                <c:pt idx="4">
                  <c:v>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1E-4C55-8B25-6D0D51714F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3314208"/>
        <c:axId val="403314688"/>
      </c:lineChart>
      <c:catAx>
        <c:axId val="40331420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3314688"/>
        <c:crosses val="autoZero"/>
        <c:auto val="1"/>
        <c:lblAlgn val="ctr"/>
        <c:lblOffset val="100"/>
        <c:noMultiLvlLbl val="0"/>
      </c:catAx>
      <c:valAx>
        <c:axId val="40331468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331420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50000"/>
                <a:lumOff val="5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Departure 2025</a:t>
            </a:r>
            <a:endParaRPr lang="en-US"/>
          </a:p>
        </c:rich>
      </c:tx>
      <c:layout>
        <c:manualLayout>
          <c:xMode val="edge"/>
          <c:yMode val="edge"/>
          <c:x val="0.26809135845401028"/>
          <c:y val="4.02684563758389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Sheet2!$B$11</c:f>
              <c:strCache>
                <c:ptCount val="1"/>
                <c:pt idx="0">
                  <c:v>AVE departure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Ref>
              <c:f>Sheet2!$A$12:$A$15</c:f>
              <c:strCache>
                <c:ptCount val="4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quarter</c:v>
                </c:pt>
              </c:strCache>
            </c:strRef>
          </c:cat>
          <c:val>
            <c:numRef>
              <c:f>Sheet2!$B$12:$B$15</c:f>
              <c:numCache>
                <c:formatCode>General</c:formatCode>
                <c:ptCount val="4"/>
                <c:pt idx="0">
                  <c:v>43.98613497669492</c:v>
                </c:pt>
                <c:pt idx="1">
                  <c:v>42.879726080271936</c:v>
                </c:pt>
                <c:pt idx="2">
                  <c:v>42.669736944165649</c:v>
                </c:pt>
                <c:pt idx="3">
                  <c:v>43.178532667044159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61-467D-9B69-D0E878035B90}"/>
            </c:ext>
          </c:extLst>
        </c:ser>
        <c:ser>
          <c:idx val="1"/>
          <c:order val="1"/>
          <c:tx>
            <c:strRef>
              <c:f>Sheet2!$C$11</c:f>
              <c:strCache>
                <c:ptCount val="1"/>
                <c:pt idx="0">
                  <c:v>Tar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Ref>
              <c:f>Sheet2!$A$12:$A$15</c:f>
              <c:strCache>
                <c:ptCount val="4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quarter</c:v>
                </c:pt>
              </c:strCache>
            </c:strRef>
          </c:cat>
          <c:val>
            <c:numRef>
              <c:f>Sheet2!$C$12:$C$15</c:f>
              <c:numCache>
                <c:formatCode>General</c:formatCode>
                <c:ptCount val="4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61-467D-9B69-D0E878035B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9425872"/>
        <c:axId val="1609424912"/>
      </c:lineChart>
      <c:catAx>
        <c:axId val="160942587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9424912"/>
        <c:crosses val="autoZero"/>
        <c:auto val="1"/>
        <c:lblAlgn val="ctr"/>
        <c:lblOffset val="100"/>
        <c:noMultiLvlLbl val="0"/>
      </c:catAx>
      <c:valAx>
        <c:axId val="160942491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942587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50000"/>
                <a:lumOff val="5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554990</xdr:colOff>
      <xdr:row>5</xdr:row>
      <xdr:rowOff>38100</xdr:rowOff>
    </xdr:from>
    <xdr:to>
      <xdr:col>18</xdr:col>
      <xdr:colOff>132080</xdr:colOff>
      <xdr:row>20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442633-E934-B901-72FC-CBF4B9E78A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168275</xdr:rowOff>
    </xdr:from>
    <xdr:to>
      <xdr:col>2</xdr:col>
      <xdr:colOff>1568450</xdr:colOff>
      <xdr:row>30</xdr:row>
      <xdr:rowOff>149225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1036D5E-C170-8E8A-682E-B828DFA758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ITA/TIR%2025/Productivity%20DEP%202025%20(v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me-Tracker"/>
      <sheetName val="Departure"/>
      <sheetName val="Time Spent at POC"/>
      <sheetName val="DC Times"/>
      <sheetName val="Analysis"/>
      <sheetName val="Volume"/>
      <sheetName val="Sheet1"/>
      <sheetName val="KM (2)"/>
      <sheetName val="Km"/>
      <sheetName val="Customer Master Data"/>
      <sheetName val="Logs Tar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RITA/TIR%2025/Productivity%20DEP%202025%20(ver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harif Nsubuga" refreshedDate="45749.597662615743" createdVersion="8" refreshedVersion="6" minRefreshableVersion="3" recordCount="1785">
  <cacheSource type="worksheet">
    <worksheetSource name="Volume" r:id="rId2"/>
  </cacheSource>
  <cacheFields count="41">
    <cacheField name="Month Name" numFmtId="0">
      <sharedItems containsBlank="1" count="6">
        <s v="September"/>
        <s v="October"/>
        <s v="November"/>
        <s v="December"/>
        <s v="January"/>
        <m/>
      </sharedItems>
    </cacheField>
    <cacheField name="Transporter" numFmtId="0">
      <sharedItems containsBlank="1" count="3">
        <s v="3PL"/>
        <s v="OWN"/>
        <m/>
      </sharedItems>
    </cacheField>
    <cacheField name="Create Date" numFmtId="0">
      <sharedItems containsDate="1" containsMixedTypes="1" minDate="2024-09-30T18:28:52" maxDate="2025-03-01T00:00:00"/>
    </cacheField>
    <cacheField name="Load Number" numFmtId="0">
      <sharedItems/>
    </cacheField>
    <cacheField name="Mode Of Capture" numFmtId="0">
      <sharedItems containsBlank="1" count="3">
        <s v="Manual"/>
        <s v="DJ"/>
        <m/>
      </sharedItems>
    </cacheField>
    <cacheField name="Truck Number" numFmtId="0">
      <sharedItems/>
    </cacheField>
    <cacheField name="Driver Name" numFmtId="0">
      <sharedItems containsBlank="1"/>
    </cacheField>
    <cacheField name="Customer Name" numFmtId="0">
      <sharedItems containsBlank="1"/>
    </cacheField>
    <cacheField name="Vol Hl" numFmtId="0">
      <sharedItems containsString="0" containsBlank="1" containsNumber="1" minValue="96.263999999999996" maxValue="187.20000000000002"/>
    </cacheField>
    <cacheField name="InvoiceNumber" numFmtId="0">
      <sharedItems containsBlank="1"/>
    </cacheField>
    <cacheField name="Customer" numFmtId="0">
      <sharedItems containsBlank="1" count="27">
        <s v="NDE 001"/>
        <s v="KKAT007"/>
        <s v="KKAT010"/>
        <s v="BKOB001"/>
        <s v="NKAT002"/>
        <s v="KKAT012"/>
        <s v="BKAB002"/>
        <s v="BBAT035"/>
        <s v="BKAB005"/>
        <s v="KSAW005"/>
        <s v="NBON002"/>
        <s v="BKOB003"/>
        <s v="KKAT003"/>
        <s v="BKOB004"/>
        <s v="NKAT001"/>
        <s v="NRUG001"/>
        <s v="KKAT006"/>
        <s v="BRUG004"/>
        <s v="KKAT014"/>
        <s v="KNTA002"/>
        <s v="BAGA011"/>
        <s v="KSAW004"/>
        <s v="KNTA004"/>
        <s v="BRUG002"/>
        <s v="KKAT013"/>
        <s v="BBAT036"/>
        <m/>
      </sharedItems>
    </cacheField>
    <cacheField name="DriverCompany" numFmtId="0">
      <sharedItems containsBlank="1" count="3">
        <s v="NKES001"/>
        <s v="NNBL001"/>
        <m/>
      </sharedItems>
    </cacheField>
    <cacheField name="MWarehouse" numFmtId="0">
      <sharedItems containsBlank="1" count="2">
        <s v="OM"/>
        <m/>
      </sharedItems>
    </cacheField>
    <cacheField name="ShipOwner" numFmtId="0">
      <sharedItems containsBlank="1" count="3">
        <s v="NKES001"/>
        <s v="NNBL001"/>
        <m/>
      </sharedItems>
    </cacheField>
    <cacheField name="Customer #" numFmtId="0">
      <sharedItems containsBlank="1" count="27">
        <s v="NDE 001"/>
        <s v="KKAT007"/>
        <s v="KKAT010"/>
        <s v="BKOB001"/>
        <s v="NKAT002"/>
        <s v="KKAT012"/>
        <s v="BKAB002"/>
        <s v="BBAT035"/>
        <s v="BKAB005"/>
        <s v="KSAW005"/>
        <s v="NBON002"/>
        <s v="BKOB003"/>
        <s v="KKAT003"/>
        <s v="BKOB004"/>
        <s v="NKAT001"/>
        <s v="NRUG001"/>
        <s v="KKAT006"/>
        <s v="BRUG004"/>
        <s v="KKAT014"/>
        <s v="KNTA002"/>
        <s v="BAGA011"/>
        <s v="KSAW004"/>
        <s v="KNTA004"/>
        <s v="BRUG002"/>
        <s v="KKAT013"/>
        <s v="BBAT036"/>
        <m/>
      </sharedItems>
    </cacheField>
    <cacheField name="Budgeted KMs" numFmtId="0">
      <sharedItems containsString="0" containsBlank="1" containsNumber="1" containsInteger="1" minValue="11" maxValue="830" count="26">
        <n v="760"/>
        <n v="680"/>
        <n v="560"/>
        <n v="480"/>
        <n v="350"/>
        <n v="830"/>
        <n v="320"/>
        <n v="606"/>
        <n v="11"/>
        <n v="400"/>
        <n v="470"/>
        <n v="390"/>
        <n v="612"/>
        <n v="230"/>
        <n v="340"/>
        <n v="130"/>
        <n v="690"/>
        <n v="256"/>
        <n v="565"/>
        <n v="810"/>
        <n v="302"/>
        <n v="620"/>
        <n v="765"/>
        <n v="304"/>
        <n v="512"/>
        <m/>
      </sharedItems>
    </cacheField>
    <cacheField name="Total DJ Distance for Load" numFmtId="0">
      <sharedItems containsString="0" containsBlank="1" containsNumber="1" containsInteger="1" minValue="11" maxValue="860"/>
    </cacheField>
    <cacheField name="KM Deviation" numFmtId="0">
      <sharedItems containsString="0" containsBlank="1" containsNumber="1" containsInteger="1" minValue="-810" maxValue="499"/>
    </cacheField>
    <cacheField name="Comment" numFmtId="0">
      <sharedItems containsBlank="1" count="8">
        <m/>
        <s v="Offloaded from Bukuya"/>
        <s v="Offloaded from Lyantode"/>
        <s v="Offloaded from Matuga"/>
        <s v="Offloaded from Bushenyi"/>
        <s v="Offloaded from Wobulenzi"/>
        <s v="Offloaded from Sembabule"/>
        <s v="Offloaded from Kalangala"/>
      </sharedItems>
    </cacheField>
    <cacheField name="Clock in" numFmtId="0">
      <sharedItems containsNonDate="0" containsDate="1" containsString="0" containsBlank="1" minDate="2024-09-30T17:53:00" maxDate="2025-01-28T08:11:00"/>
    </cacheField>
    <cacheField name="Planned Departure Time" numFmtId="0">
      <sharedItems containsNonDate="0" containsDate="1" containsString="0" containsBlank="1" minDate="2024-09-30T19:35:00" maxDate="2025-01-28T07:30:00"/>
    </cacheField>
    <cacheField name="DJ Departure Time" numFmtId="0">
      <sharedItems containsSemiMixedTypes="0" containsNonDate="0" containsDate="1" containsString="0" minDate="2024-09-30T18:53:00" maxDate="2025-02-28T10:02:00"/>
    </cacheField>
    <cacheField name="Depature Deviation" numFmtId="0">
      <sharedItems containsString="0" containsBlank="1" containsNumber="1" minValue="-2014.15" maxValue="43078.433333333334"/>
    </cacheField>
    <cacheField name="AVE Departure" numFmtId="0">
      <sharedItems containsString="0" containsBlank="1" containsNumber="1" minValue="26.433333333333334" maxValue="117"/>
    </cacheField>
    <cacheField name="Comment  AVE Departure" numFmtId="0">
      <sharedItems containsBlank="1" count="15">
        <s v="DJ failures "/>
        <m/>
        <s v="Delayed Check ins"/>
        <s v="Driver delays"/>
        <s v="Late coming"/>
        <s v="Reconcile stock count delays"/>
        <s v="Pre-Trip inspection defect closure"/>
        <s v="unplanned trainings"/>
        <s v="Delayed order capture"/>
        <s v="Weigh bridge delays"/>
        <s v="Damaged stock replacement"/>
        <s v="Traffic at the exit gate."/>
        <s v="Prolonged meeting."/>
        <s v="Delayed credit order release"/>
        <s v="Early Arrival"/>
      </sharedItems>
    </cacheField>
    <cacheField name="Arrival At Customer" numFmtId="0">
      <sharedItems containsDate="1" containsBlank="1" containsMixedTypes="1" minDate="2024-01-10T10:57:00" maxDate="2025-01-29T10:55:00"/>
    </cacheField>
    <cacheField name="Departure Time at Customer" numFmtId="0">
      <sharedItems containsDate="1" containsBlank="1" containsMixedTypes="1" minDate="2024-01-10T13:36:00" maxDate="2025-01-30T11:42:24"/>
    </cacheField>
    <cacheField name="Service Time At Customer" numFmtId="1">
      <sharedItems containsString="0" containsBlank="1" containsNumber="1" minValue="3.9" maxValue="7826.4666666666662"/>
    </cacheField>
    <cacheField name="Comment  TAT" numFmtId="0">
      <sharedItems containsNonDate="0" containsString="0" containsBlank="1" count="1">
        <m/>
      </sharedItems>
    </cacheField>
    <cacheField name="Arrival At Depot" numFmtId="0">
      <sharedItems containsNonDate="0" containsDate="1" containsString="0" containsBlank="1" minDate="2024-10-02T09:56:00" maxDate="2025-02-17T09:41:00"/>
    </cacheField>
    <cacheField name="Clock Out" numFmtId="0">
      <sharedItems containsNonDate="0" containsDate="1" containsString="0" containsBlank="1" minDate="2024-10-02T10:46:00" maxDate="2025-01-30T21:25:00"/>
    </cacheField>
    <cacheField name="AVE Arrival Time" numFmtId="0">
      <sharedItems containsString="0" containsBlank="1" containsNumber="1" minValue="20.55" maxValue="201.7"/>
    </cacheField>
    <cacheField name="Comment  AVE Arrival Time" numFmtId="0">
      <sharedItems containsBlank="1" count="12">
        <m/>
        <s v="Staging"/>
        <s v="Offloading delays"/>
        <s v="Faulty weigh bridge"/>
        <s v="DJ failures"/>
        <s v="Delayed fuel"/>
        <s v="Fork Lift Breakdown"/>
        <s v="Traffic at gate"/>
        <s v="Delayed gate checks"/>
        <s v="Freeze Window"/>
        <s v="Yard Clearing"/>
        <s v="Stock take"/>
      </sharedItems>
    </cacheField>
    <cacheField name="Actual Days in Route" numFmtId="0">
      <sharedItems containsString="0" containsBlank="1" containsNumber="1" minValue="0.125" maxValue="7.0291666666671517"/>
    </cacheField>
    <cacheField name="Bud Days in Route" numFmtId="2">
      <sharedItems containsString="0" containsBlank="1" containsNumber="1" minValue="0.8" maxValue="3" count="10">
        <n v="2"/>
        <n v="2.5"/>
        <n v="1.7"/>
        <n v="1.5"/>
        <n v="3"/>
        <n v="0.8"/>
        <n v="2.2999999999999998"/>
        <n v="1.3"/>
        <n v="1"/>
        <m/>
      </sharedItems>
    </cacheField>
    <cacheField name="Days in Rout Deviation" numFmtId="2">
      <sharedItems containsSemiMixedTypes="0" containsString="0" containsNumber="1" minValue="-1.8152777777795563" maxValue="5.0291666666671517"/>
    </cacheField>
    <cacheField name="Total Hour Route" numFmtId="0">
      <sharedItems containsString="0" containsBlank="1" containsNumber="1" minValue="3" maxValue="168.70000000001164"/>
    </cacheField>
    <cacheField name="Driver Rest Hours In Route" numFmtId="2">
      <sharedItems containsSemiMixedTypes="0" containsString="0" containsNumber="1" minValue="-67.249999999883585" maxValue="548590.03333333344"/>
    </cacheField>
    <cacheField name="TIR Excluding Rest Hrs" numFmtId="2">
      <sharedItems containsSemiMixedTypes="0" containsString="0" containsNumber="1" minValue="-548590.03333333344" maxValue="83.883333333302289"/>
    </cacheField>
    <cacheField name="TLP" numFmtId="2">
      <sharedItems containsSemiMixedTypes="0" containsString="0" containsNumber="1" minValue="0" maxValue="46.545454546439743"/>
    </cacheField>
    <cacheField name="Comment Ave TIR" numFmtId="0">
      <sharedItems containsBlank="1" count="15">
        <m/>
        <s v="Conjestion at RD due to many trucks invoiced"/>
        <s v="Truck diverted by transporter"/>
        <s v="Government Road block checks"/>
        <s v="Planned to deliver to MDC"/>
        <s v="Diverted for empty collection"/>
        <s v="Road blockage due to accidents"/>
        <s v="Spent an extra night at customer"/>
        <s v="Customer Delays"/>
        <s v="Unknown stops"/>
        <s v="Ferry delays"/>
        <s v="Traffic jam"/>
        <s v="Space Constraint at customer"/>
        <s v="Delays at weigh Bridge"/>
        <s v="Truck Breakdow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Sharif Nsubuga" refreshedDate="45827.670062500001" createdVersion="6" refreshedVersion="6" minRefreshableVersion="3" recordCount="1327">
  <cacheSource type="worksheet">
    <worksheetSource ref="A1:AO1328" sheet="DATA SOURCE"/>
  </cacheSource>
  <cacheFields count="41">
    <cacheField name="Create Date" numFmtId="0">
      <sharedItems containsNonDate="0" containsDate="1" containsString="0" containsBlank="1" minDate="2025-01-01T00:00:00" maxDate="2025-05-26T00:00:00"/>
    </cacheField>
    <cacheField name="Month Name" numFmtId="0">
      <sharedItems containsBlank="1" count="6">
        <s v="January"/>
        <s v="February"/>
        <s v="March"/>
        <s v="April"/>
        <s v="May"/>
        <m/>
      </sharedItems>
    </cacheField>
    <cacheField name="Transporter" numFmtId="0">
      <sharedItems containsBlank="1"/>
    </cacheField>
    <cacheField name="Load Number" numFmtId="0">
      <sharedItems containsBlank="1"/>
    </cacheField>
    <cacheField name="Mode Of Capture" numFmtId="0">
      <sharedItems containsBlank="1"/>
    </cacheField>
    <cacheField name="Driver Name" numFmtId="0">
      <sharedItems containsBlank="1"/>
    </cacheField>
    <cacheField name="Truck Number" numFmtId="0">
      <sharedItems containsBlank="1"/>
    </cacheField>
    <cacheField name="Customer Name" numFmtId="0">
      <sharedItems containsBlank="1"/>
    </cacheField>
    <cacheField name="Vol Hl" numFmtId="0">
      <sharedItems containsString="0" containsBlank="1" containsNumber="1" minValue="-156" maxValue="187.20000000000002"/>
    </cacheField>
    <cacheField name="InvoiceNumber" numFmtId="0">
      <sharedItems containsBlank="1"/>
    </cacheField>
    <cacheField name="MWarehouse" numFmtId="0">
      <sharedItems containsBlank="1"/>
    </cacheField>
    <cacheField name="Budgeted KMs" numFmtId="0">
      <sharedItems containsString="0" containsBlank="1" containsNumber="1" containsInteger="1" minValue="20" maxValue="810"/>
    </cacheField>
    <cacheField name="Actual KM" numFmtId="0">
      <sharedItems containsSemiMixedTypes="0" containsString="0" containsNumber="1" containsInteger="1" minValue="-4" maxValue="812"/>
    </cacheField>
    <cacheField name="KM Deviation" numFmtId="0">
      <sharedItems containsString="0" containsBlank="1" containsNumber="1" containsInteger="1" minValue="-265" maxValue="159"/>
    </cacheField>
    <cacheField name="Comment" numFmtId="0">
      <sharedItems containsBlank="1"/>
    </cacheField>
    <cacheField name="Clock in" numFmtId="0">
      <sharedItems containsDate="1" containsString="0" containsBlank="1" containsMixedTypes="1" minDate="2025-05-13T12:48:00" maxDate="2025-05-25T19:04:00"/>
    </cacheField>
    <cacheField name="Planned Departure Time" numFmtId="0">
      <sharedItems containsNonDate="0" containsDate="1" containsString="0" containsBlank="1" minDate="2024-03-14T07:30:00" maxDate="2025-05-25T07:42:00"/>
    </cacheField>
    <cacheField name="DJ Departure Time" numFmtId="0">
      <sharedItems containsNonDate="0" containsDate="1" containsString="0" containsBlank="1" minDate="2024-03-14T08:38:00" maxDate="2025-05-25T19:31:00"/>
    </cacheField>
    <cacheField name="Depature Deviation (min)" numFmtId="0">
      <sharedItems containsString="0" containsBlank="1" containsNumber="1" minValue="-4208.425925929866" maxValue="4387.5925925965321"/>
    </cacheField>
    <cacheField name="AVE Departure" numFmtId="0">
      <sharedItems containsString="0" containsBlank="1" containsNumber="1" minValue="20.902777772910969" maxValue="76.643518518055018"/>
    </cacheField>
    <cacheField name="Comment  AVE Departure" numFmtId="0">
      <sharedItems containsBlank="1"/>
    </cacheField>
    <cacheField name="Arrival At Customer" numFmtId="0">
      <sharedItems containsNonDate="0" containsDate="1" containsString="0" containsBlank="1" minDate="2024-03-01T18:17:00" maxDate="2025-05-26T10:21:00"/>
    </cacheField>
    <cacheField name="Departure Time from Customer" numFmtId="0">
      <sharedItems containsNonDate="0" containsDate="1" containsString="0" containsBlank="1" minDate="1899-12-30T03:00:00" maxDate="2025-05-26T18:45:00"/>
    </cacheField>
    <cacheField name="Service Time At Customer" numFmtId="0">
      <sharedItems containsString="0" containsBlank="1" containsNumber="1" minValue="86.166666660283227" maxValue="4669.6458333404007"/>
    </cacheField>
    <cacheField name="Comment  TAT" numFmtId="0">
      <sharedItems containsBlank="1"/>
    </cacheField>
    <cacheField name="Arrival At Depot" numFmtId="0">
      <sharedItems containsNonDate="0" containsDate="1" containsString="0" containsBlank="1" minDate="2024-03-15T21:50:00" maxDate="2025-05-26T19:21:00"/>
    </cacheField>
    <cacheField name="Clock Out" numFmtId="0">
      <sharedItems containsNonDate="0" containsDate="1" containsString="0" containsBlank="1" minDate="1899-12-30T00:39:00" maxDate="2025-05-26T20:04:00"/>
    </cacheField>
    <cacheField name="AVE Arrival Time" numFmtId="0">
      <sharedItems containsString="0" containsBlank="1" containsNumber="1" minValue="33.291666662335047" maxValue="87.145833330141613"/>
    </cacheField>
    <cacheField name="Comment  AVE Arrival Time" numFmtId="0">
      <sharedItems containsBlank="1"/>
    </cacheField>
    <cacheField name="Actual Days in Route" numFmtId="0">
      <sharedItems containsString="0" containsBlank="1" containsNumber="1" minValue="-45802.813194444447" maxValue="45790.646527777775"/>
    </cacheField>
    <cacheField name="Bud Days in Route" numFmtId="0">
      <sharedItems containsString="0" containsBlank="1" containsNumber="1" containsInteger="1" minValue="1" maxValue="3"/>
    </cacheField>
    <cacheField name="Days in Rout Deviation" numFmtId="0">
      <sharedItems containsString="0" containsBlank="1" containsNumber="1" minValue="-45789.646527777775" maxValue="45804.813194444447"/>
    </cacheField>
    <cacheField name="Total Hour Route" numFmtId="0">
      <sharedItems containsString="0" containsBlank="1" containsNumber="1" minValue="-1099267.5166666666" maxValue="1098975.5166666666"/>
    </cacheField>
    <cacheField name="Driver Rest Hours In Route" numFmtId="0">
      <sharedItems containsString="0" containsBlank="1" containsNumber="1" containsInteger="1" minValue="-549636" maxValue="549480"/>
    </cacheField>
    <cacheField name="Total WH" numFmtId="0">
      <sharedItems containsString="0" containsBlank="1" containsNumber="1" minValue="-549631.5166666666" maxValue="549495.5166666666"/>
    </cacheField>
    <cacheField name="TLP" numFmtId="0">
      <sharedItems containsString="0" containsBlank="1" containsNumber="1" minValue="-70.892307695481904" maxValue="9359.9999694898725"/>
    </cacheField>
    <cacheField name="D1" numFmtId="0">
      <sharedItems containsNonDate="0" containsString="0" containsBlank="1"/>
    </cacheField>
    <cacheField name="D2" numFmtId="0">
      <sharedItems containsNonDate="0" containsString="0" containsBlank="1"/>
    </cacheField>
    <cacheField name="D3" numFmtId="0">
      <sharedItems containsNonDate="0" containsString="0" containsBlank="1"/>
    </cacheField>
    <cacheField name="D4" numFmtId="0">
      <sharedItems containsNonDate="0" containsString="0" containsBlank="1"/>
    </cacheField>
    <cacheField name="Comment Ave TIR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Sharif Nsubuga" refreshedDate="45827.67006261574" createdVersion="6" refreshedVersion="6" minRefreshableVersion="3" recordCount="1327">
  <cacheSource type="worksheet">
    <worksheetSource ref="A1:AO1328" sheet="DATA SOURCE"/>
  </cacheSource>
  <cacheFields count="41">
    <cacheField name="Create Date" numFmtId="0">
      <sharedItems containsNonDate="0" containsDate="1" containsString="0" containsBlank="1" minDate="2025-01-01T00:00:00" maxDate="2025-05-26T00:00:00"/>
    </cacheField>
    <cacheField name="Month Name" numFmtId="0">
      <sharedItems containsBlank="1" count="6">
        <s v="January"/>
        <s v="February"/>
        <s v="March"/>
        <s v="April"/>
        <s v="May"/>
        <m/>
      </sharedItems>
    </cacheField>
    <cacheField name="Transporter" numFmtId="0">
      <sharedItems containsBlank="1"/>
    </cacheField>
    <cacheField name="Load Number" numFmtId="0">
      <sharedItems containsBlank="1"/>
    </cacheField>
    <cacheField name="Mode Of Capture" numFmtId="0">
      <sharedItems containsBlank="1"/>
    </cacheField>
    <cacheField name="Driver Name" numFmtId="0">
      <sharedItems containsBlank="1"/>
    </cacheField>
    <cacheField name="Truck Number" numFmtId="0">
      <sharedItems containsBlank="1"/>
    </cacheField>
    <cacheField name="Customer Name" numFmtId="0">
      <sharedItems containsBlank="1"/>
    </cacheField>
    <cacheField name="Vol Hl" numFmtId="0">
      <sharedItems containsString="0" containsBlank="1" containsNumber="1" minValue="-156" maxValue="187.20000000000002"/>
    </cacheField>
    <cacheField name="InvoiceNumber" numFmtId="0">
      <sharedItems containsBlank="1"/>
    </cacheField>
    <cacheField name="MWarehouse" numFmtId="0">
      <sharedItems containsBlank="1"/>
    </cacheField>
    <cacheField name="Budgeted KMs" numFmtId="0">
      <sharedItems containsString="0" containsBlank="1" containsNumber="1" containsInteger="1" minValue="20" maxValue="810"/>
    </cacheField>
    <cacheField name="Actual KM" numFmtId="0">
      <sharedItems containsSemiMixedTypes="0" containsString="0" containsNumber="1" containsInteger="1" minValue="-4" maxValue="812"/>
    </cacheField>
    <cacheField name="KM Deviation" numFmtId="0">
      <sharedItems containsString="0" containsBlank="1" containsNumber="1" containsInteger="1" minValue="-265" maxValue="159"/>
    </cacheField>
    <cacheField name="Comment" numFmtId="0">
      <sharedItems containsBlank="1"/>
    </cacheField>
    <cacheField name="Clock in" numFmtId="0">
      <sharedItems containsDate="1" containsString="0" containsBlank="1" containsMixedTypes="1" minDate="2025-05-13T12:48:00" maxDate="2025-05-25T19:04:00"/>
    </cacheField>
    <cacheField name="Planned Departure Time" numFmtId="0">
      <sharedItems containsNonDate="0" containsDate="1" containsString="0" containsBlank="1" minDate="2024-03-14T07:30:00" maxDate="2025-05-25T07:42:00"/>
    </cacheField>
    <cacheField name="DJ Departure Time" numFmtId="0">
      <sharedItems containsNonDate="0" containsDate="1" containsString="0" containsBlank="1" minDate="2024-03-14T08:38:00" maxDate="2025-05-25T19:31:00"/>
    </cacheField>
    <cacheField name="Depature Deviation (min)" numFmtId="0">
      <sharedItems containsString="0" containsBlank="1" containsNumber="1" minValue="-4208.425925929866" maxValue="4387.5925925965321"/>
    </cacheField>
    <cacheField name="AVE Departure" numFmtId="0">
      <sharedItems containsString="0" containsBlank="1" containsNumber="1" minValue="20.902777772910969" maxValue="76.643518518055018"/>
    </cacheField>
    <cacheField name="Comment  AVE Departure" numFmtId="0">
      <sharedItems containsBlank="1" count="14">
        <m/>
        <s v="DJ failures "/>
        <s v="Jam at the weigh bridge"/>
        <s v="Meeting Delays"/>
        <s v="Damaged stock replacement"/>
        <s v="Pre-Trip inspection defect closure"/>
        <s v="Driver delays"/>
        <s v="Reconciling stock count delays "/>
        <s v="Unplanned Training"/>
        <s v="pressure balancing"/>
        <s v="stock recon delays"/>
        <s v="network failures"/>
        <s v="Water top up"/>
        <s v="found another truck waiting to be cleared at the gate"/>
      </sharedItems>
    </cacheField>
    <cacheField name="Arrival At Customer" numFmtId="0">
      <sharedItems containsNonDate="0" containsDate="1" containsString="0" containsBlank="1" minDate="2024-03-01T18:17:00" maxDate="2025-05-26T10:21:00"/>
    </cacheField>
    <cacheField name="Departure Time from Customer" numFmtId="0">
      <sharedItems containsNonDate="0" containsDate="1" containsString="0" containsBlank="1" minDate="1899-12-30T03:00:00" maxDate="2025-05-26T18:45:00"/>
    </cacheField>
    <cacheField name="Service Time At Customer" numFmtId="0">
      <sharedItems containsString="0" containsBlank="1" containsNumber="1" minValue="86.166666660283227" maxValue="4669.6458333404007"/>
    </cacheField>
    <cacheField name="Comment  TAT" numFmtId="0">
      <sharedItems containsBlank="1"/>
    </cacheField>
    <cacheField name="Arrival At Depot" numFmtId="0">
      <sharedItems containsNonDate="0" containsDate="1" containsString="0" containsBlank="1" minDate="2024-03-15T21:50:00" maxDate="2025-05-26T19:21:00"/>
    </cacheField>
    <cacheField name="Clock Out" numFmtId="0">
      <sharedItems containsNonDate="0" containsDate="1" containsString="0" containsBlank="1" minDate="1899-12-30T00:39:00" maxDate="2025-05-26T20:04:00"/>
    </cacheField>
    <cacheField name="AVE Arrival Time" numFmtId="0">
      <sharedItems containsString="0" containsBlank="1" containsNumber="1" minValue="33.291666662335047" maxValue="87.145833330141613"/>
    </cacheField>
    <cacheField name="Comment  AVE Arrival Time" numFmtId="0">
      <sharedItems containsBlank="1" count="17">
        <m/>
        <s v="fuel delays"/>
        <s v="loading delays"/>
        <s v="Traffic at gate"/>
        <s v="dj failures at the gate"/>
        <s v="sorting delays"/>
        <s v="found another truck at the gate"/>
        <s v="Failed batteries at the gate"/>
        <s v="fueling delays"/>
        <s v="pre trip inspections"/>
        <s v="dj failures"/>
        <s v="found another truck waiting to offload"/>
        <s v="offloading delays"/>
        <s v="beer topup delays"/>
        <s v="Fork Lift Breakdown"/>
        <s v="empties confirmation delays"/>
        <s v="dj completion delays"/>
      </sharedItems>
    </cacheField>
    <cacheField name="Actual Days in Route" numFmtId="0">
      <sharedItems containsString="0" containsBlank="1" containsNumber="1" minValue="-45802.813194444447" maxValue="45790.646527777775"/>
    </cacheField>
    <cacheField name="Bud Days in Route" numFmtId="0">
      <sharedItems containsString="0" containsBlank="1" containsNumber="1" containsInteger="1" minValue="1" maxValue="3"/>
    </cacheField>
    <cacheField name="Days in Rout Deviation" numFmtId="0">
      <sharedItems containsString="0" containsBlank="1" containsNumber="1" minValue="-45789.646527777775" maxValue="45804.813194444447"/>
    </cacheField>
    <cacheField name="Total Hour Route" numFmtId="0">
      <sharedItems containsString="0" containsBlank="1" containsNumber="1" minValue="-1099267.5166666666" maxValue="1098975.5166666666"/>
    </cacheField>
    <cacheField name="Driver Rest Hours In Route" numFmtId="0">
      <sharedItems containsString="0" containsBlank="1" containsNumber="1" containsInteger="1" minValue="-549636" maxValue="549480"/>
    </cacheField>
    <cacheField name="Total WH" numFmtId="0">
      <sharedItems containsString="0" containsBlank="1" containsNumber="1" minValue="-549631.5166666666" maxValue="549495.5166666666"/>
    </cacheField>
    <cacheField name="TLP" numFmtId="0">
      <sharedItems containsString="0" containsBlank="1" containsNumber="1" minValue="-70.892307695481904" maxValue="9359.9999694898725"/>
    </cacheField>
    <cacheField name="D1" numFmtId="0">
      <sharedItems containsNonDate="0" containsString="0" containsBlank="1"/>
    </cacheField>
    <cacheField name="D2" numFmtId="0">
      <sharedItems containsNonDate="0" containsString="0" containsBlank="1"/>
    </cacheField>
    <cacheField name="D3" numFmtId="0">
      <sharedItems containsNonDate="0" containsString="0" containsBlank="1"/>
    </cacheField>
    <cacheField name="D4" numFmtId="0">
      <sharedItems containsNonDate="0" containsString="0" containsBlank="1"/>
    </cacheField>
    <cacheField name="Comment Ave TIR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Sharif Nsubuga" refreshedDate="45827.670063310186" createdVersion="8" refreshedVersion="6" minRefreshableVersion="3" recordCount="1014">
  <cacheSource type="worksheet">
    <worksheetSource ref="A1:AO1015" sheet="DATA SOURCE"/>
  </cacheSource>
  <cacheFields count="41">
    <cacheField name="Create Date" numFmtId="166">
      <sharedItems containsSemiMixedTypes="0" containsNonDate="0" containsDate="1" containsString="0" minDate="2025-01-01T00:00:00" maxDate="2025-04-24T00:00:00"/>
    </cacheField>
    <cacheField name="Month Name" numFmtId="0">
      <sharedItems count="4">
        <s v="January"/>
        <s v="February"/>
        <s v="March"/>
        <s v="April"/>
      </sharedItems>
    </cacheField>
    <cacheField name="Transporter" numFmtId="0">
      <sharedItems containsBlank="1"/>
    </cacheField>
    <cacheField name="Load Number" numFmtId="0">
      <sharedItems/>
    </cacheField>
    <cacheField name="Mode Of Capture" numFmtId="0">
      <sharedItems containsBlank="1"/>
    </cacheField>
    <cacheField name="Driver Name" numFmtId="0">
      <sharedItems containsBlank="1" count="60">
        <s v="MUKOSE MUZAMIRU"/>
        <s v="Stephen Musoke "/>
        <s v="Isaac Tumuhimbise"/>
        <s v="James  Kironde"/>
        <s v="Jacob Oneka"/>
        <s v="Kilabila Ismail"/>
        <s v="ALIPA EREKU"/>
        <s v="Benon Ssempijja"/>
        <s v="Bisaso  Ronald"/>
        <s v="Mugisha  George"/>
        <m/>
        <s v="Ekwalikwa Yusuf"/>
        <s v="Abel Mark naffa"/>
        <s v="Angello Lumala"/>
        <s v="Tumusiime Robert"/>
        <s v="SULAIMAN MUBIRU"/>
        <s v="Konge Husein"/>
        <s v="Kabene John"/>
        <s v="NAMINYA SIRAJE"/>
        <s v="BYEKWASO TWAHA"/>
        <s v="Luyaga Isaac"/>
        <s v="NASASIRA STEPHENE"/>
        <s v="Hamudi Sesanga"/>
        <s v="Godwin Niwensiima"/>
        <s v="SENTONG DAVID"/>
        <s v="ZIWA ABASI"/>
        <s v="Kakembo Masuud"/>
        <s v="Nakalya John"/>
        <s v="KASULE JOHNBOSC"/>
        <s v="Bulega Sperito"/>
        <s v="NTUMWA SOLOMON"/>
        <s v="Ntende Nassar"/>
        <s v="Tsaale Hassan"/>
        <s v="Sentongo paul"/>
        <s v="Nminya Siraje"/>
        <s v="Byanshala Stoney"/>
        <s v="Mulumba Kasim"/>
        <s v="Ngobi Fred"/>
        <s v="Bwanga Gilbert"/>
        <s v="Taimwa Alex"/>
        <s v="Ikwalikwa Yusuf"/>
        <s v="kayanja Sam"/>
        <s v="Eriku Alipa"/>
        <s v="Kyakulaga James"/>
        <s v="Kabanda Ronald"/>
        <s v="Lule Fred"/>
        <s v="Mudunga Musa"/>
        <s v="Matovu Musa"/>
        <s v="kakembo Masudi"/>
        <s v="Faruk Abel"/>
        <s v="GODWIN  NIWENSIIMA"/>
        <s v="Malinzi Awali"/>
        <s v="Kyapa Hakim"/>
        <s v="Awali Malinzi"/>
        <s v="Nassasira"/>
        <s v="Muzamiru"/>
        <s v="Mbogo bashil"/>
        <s v="ANGELO KYOSIGA "/>
        <s v="ALLEX TAIMWA"/>
        <s v="Abdul Nasser" u="1"/>
      </sharedItems>
    </cacheField>
    <cacheField name="Truck Number" numFmtId="0">
      <sharedItems/>
    </cacheField>
    <cacheField name="Customer Name" numFmtId="0">
      <sharedItems/>
    </cacheField>
    <cacheField name="Vol Hl" numFmtId="0">
      <sharedItems containsSemiMixedTypes="0" containsString="0" containsNumber="1" minValue="-156" maxValue="187.20000000000002"/>
    </cacheField>
    <cacheField name="InvoiceNumber" numFmtId="0">
      <sharedItems containsBlank="1"/>
    </cacheField>
    <cacheField name="MWarehouse" numFmtId="0">
      <sharedItems containsBlank="1"/>
    </cacheField>
    <cacheField name="Budgeted KMs" numFmtId="0">
      <sharedItems containsSemiMixedTypes="0" containsString="0" containsNumber="1" containsInteger="1" minValue="20" maxValue="810"/>
    </cacheField>
    <cacheField name="Actual KM" numFmtId="0">
      <sharedItems containsSemiMixedTypes="0" containsString="0" containsNumber="1" containsInteger="1" minValue="12" maxValue="812"/>
    </cacheField>
    <cacheField name="KM Deviation" numFmtId="1">
      <sharedItems containsSemiMixedTypes="0" containsString="0" containsNumber="1" containsInteger="1" minValue="-265" maxValue="159"/>
    </cacheField>
    <cacheField name="Comment" numFmtId="0">
      <sharedItems containsBlank="1"/>
    </cacheField>
    <cacheField name="Clock in" numFmtId="166">
      <sharedItems containsSemiMixedTypes="0" containsNonDate="0" containsDate="1" containsString="0" minDate="2024-03-14T08:09:00" maxDate="2025-04-24T10:23:00"/>
    </cacheField>
    <cacheField name="Planned Departure Time" numFmtId="166">
      <sharedItems containsSemiMixedTypes="0" containsNonDate="0" containsDate="1" containsString="0" minDate="2024-03-14T07:30:00" maxDate="2025-04-23T04:14:00"/>
    </cacheField>
    <cacheField name="DJ Departure Time" numFmtId="166">
      <sharedItems containsSemiMixedTypes="0" containsNonDate="0" containsDate="1" containsString="0" minDate="2024-03-14T08:38:00" maxDate="2025-04-24T11:02:00"/>
    </cacheField>
    <cacheField name="Depature Deviation (min)" numFmtId="1">
      <sharedItems containsSemiMixedTypes="0" containsString="0" containsNumber="1" minValue="-4208.425925929866" maxValue="4387.5925925965321"/>
    </cacheField>
    <cacheField name="AVE Departure" numFmtId="1">
      <sharedItems containsSemiMixedTypes="0" containsString="0" containsNumber="1" minValue="20.902777772910969" maxValue="76.643518518055018"/>
    </cacheField>
    <cacheField name="Comment  AVE Departure" numFmtId="0">
      <sharedItems containsBlank="1" count="26">
        <m/>
        <s v="DJ failures "/>
        <s v="Jam at the weigh bridge"/>
        <s v="Meeting Delays"/>
        <s v="Damaged stock replacement"/>
        <s v="Pre-Trip inspection defect closure"/>
        <s v="Driver delays"/>
        <s v="Reconciling stock count delays "/>
        <s v="Unplanned Training"/>
        <s v="pressure balancing"/>
        <s v="stock recon delays"/>
        <s v="network failures"/>
        <s v="Water top up"/>
        <s v="found another truck waiting to be cleared at the gate"/>
        <s v="Forklift breakdown " u="1"/>
        <s v="Dj failures at the gate" u="1"/>
        <s v="delays in tire replacement" u="1"/>
        <s v="Battery replacement" u="1"/>
        <s v="Delayes in invoicing" u="1"/>
        <s v="Pressure refilling delays" u="1"/>
        <s v="invoicing delays" u="1"/>
        <s v="Traffic at the exit gate." u="1"/>
        <s v="Pre trip inspection delays" u="1"/>
        <s v="found another truck at the gate waiting to be cleared" u="1"/>
        <s v="Corner flaps replacement" u="1"/>
        <s v="Loading delays" u="1"/>
      </sharedItems>
    </cacheField>
    <cacheField name="Arrival At Customer" numFmtId="166">
      <sharedItems containsNonDate="0" containsDate="1" containsString="0" containsBlank="1" minDate="2024-03-01T18:17:00" maxDate="2025-04-25T08:11:00"/>
    </cacheField>
    <cacheField name="Departure Time from Customer" numFmtId="166">
      <sharedItems containsSemiMixedTypes="0" containsNonDate="0" containsDate="1" containsString="0" minDate="1899-12-30T03:00:00" maxDate="2025-04-25T16:40:00"/>
    </cacheField>
    <cacheField name="Service Time At Customer" numFmtId="1">
      <sharedItems containsSemiMixedTypes="0" containsString="0" containsNumber="1" minValue="86.166666660283227" maxValue="4669.6458333404007"/>
    </cacheField>
    <cacheField name="Comment  TAT" numFmtId="0">
      <sharedItems containsBlank="1"/>
    </cacheField>
    <cacheField name="Arrival At Depot" numFmtId="166">
      <sharedItems containsSemiMixedTypes="0" containsNonDate="0" containsDate="1" containsString="0" minDate="2024-03-15T21:50:00" maxDate="2025-04-26T10:24:00"/>
    </cacheField>
    <cacheField name="Clock Out" numFmtId="166">
      <sharedItems containsSemiMixedTypes="0" containsNonDate="0" containsDate="1" containsString="0" minDate="2024-03-15T22:47:00" maxDate="2025-04-26T11:14:00"/>
    </cacheField>
    <cacheField name="AVE Arrival Time" numFmtId="1">
      <sharedItems containsSemiMixedTypes="0" containsString="0" containsNumber="1" minValue="33.291666662335047" maxValue="87.145833330141613"/>
    </cacheField>
    <cacheField name="Comment  AVE Arrival Time" numFmtId="0">
      <sharedItems containsBlank="1"/>
    </cacheField>
    <cacheField name="Actual Days in Route" numFmtId="2">
      <sharedItems containsSemiMixedTypes="0" containsString="0" containsNumber="1" minValue="-0.11111111110949423" maxValue="14.847916666672972"/>
    </cacheField>
    <cacheField name="Bud Days in Route" numFmtId="0">
      <sharedItems containsSemiMixedTypes="0" containsString="0" containsNumber="1" containsInteger="1" minValue="1" maxValue="3"/>
    </cacheField>
    <cacheField name="Days in Rout Deviation" numFmtId="2">
      <sharedItems containsSemiMixedTypes="0" containsString="0" containsNumber="1" minValue="-12.847916666672972" maxValue="2.929861111108039"/>
    </cacheField>
    <cacheField name="Total Hour Route" numFmtId="2">
      <sharedItems containsSemiMixedTypes="0" containsString="0" containsNumber="1" minValue="-2.6666666666278616" maxValue="356.35000000015134"/>
    </cacheField>
    <cacheField name="Driver Rest Hours In Route" numFmtId="2">
      <sharedItems containsSemiMixedTypes="0" containsString="0" containsNumber="1" containsInteger="1" minValue="-12" maxValue="168"/>
    </cacheField>
    <cacheField name="Total WH" numFmtId="2">
      <sharedItems containsSemiMixedTypes="0" containsString="0" containsNumber="1" minValue="1.03333333338378" maxValue="188.35000000015134"/>
    </cacheField>
    <cacheField name="TLP" numFmtId="2">
      <sharedItems containsSemiMixedTypes="0" containsString="0" containsNumber="1" minValue="-8.7394957983022277" maxValue="150.96774192811372"/>
    </cacheField>
    <cacheField name="D1" numFmtId="2">
      <sharedItems containsNonDate="0" containsString="0" containsBlank="1"/>
    </cacheField>
    <cacheField name="D2" numFmtId="2">
      <sharedItems containsNonDate="0" containsString="0" containsBlank="1"/>
    </cacheField>
    <cacheField name="D3" numFmtId="2">
      <sharedItems containsNonDate="0" containsString="0" containsBlank="1"/>
    </cacheField>
    <cacheField name="D4" numFmtId="2">
      <sharedItems containsNonDate="0" containsString="0" containsBlank="1"/>
    </cacheField>
    <cacheField name="Comment Ave TIR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785">
  <r>
    <x v="0"/>
    <x v="0"/>
    <d v="2024-09-30T18:28:52"/>
    <s v="OMV3WRYRR"/>
    <x v="0"/>
    <s v="UBE 673K"/>
    <s v="Bulega Sperito"/>
    <s v="DE PLACE INVESTMENTS LTD"/>
    <n v="156"/>
    <s v="F15086"/>
    <x v="0"/>
    <x v="0"/>
    <x v="0"/>
    <x v="0"/>
    <x v="0"/>
    <x v="0"/>
    <n v="763"/>
    <n v="3"/>
    <x v="0"/>
    <d v="2024-09-30T17:53:00"/>
    <d v="2024-09-30T19:55:00"/>
    <d v="2024-09-30T18:53:00"/>
    <n v="-60.716666666666669"/>
    <n v="58.75"/>
    <x v="0"/>
    <d v="2024-10-01T11:59:00"/>
    <d v="2024-10-01T15:37:00"/>
    <n v="213.45"/>
    <x v="0"/>
    <d v="2024-10-02T09:56:00"/>
    <d v="2024-10-02T10:46:00"/>
    <n v="48.95"/>
    <x v="0"/>
    <n v="1.6270833333328483"/>
    <x v="0"/>
    <n v="-0.37291666666715173"/>
    <n v="39.049999999988358"/>
    <n v="12"/>
    <n v="27.049999999988358"/>
    <n v="5.7670979667307627"/>
    <x v="0"/>
  </r>
  <r>
    <x v="0"/>
    <x v="0"/>
    <d v="2024-09-30T18:30:04"/>
    <s v="OMEAASZRR"/>
    <x v="1"/>
    <s v="UBJ 705D"/>
    <s v="KASULE JOHNBOSC"/>
    <s v="Kato Investment Ltd -Mubende"/>
    <n v="156"/>
    <s v="A17235"/>
    <x v="1"/>
    <x v="0"/>
    <x v="0"/>
    <x v="0"/>
    <x v="1"/>
    <x v="1"/>
    <n v="621"/>
    <n v="-59"/>
    <x v="0"/>
    <d v="2024-09-30T18:47:00"/>
    <d v="2024-09-30T19:37:00"/>
    <d v="2024-09-30T19:31:00"/>
    <n v="-5.8833333333333337"/>
    <n v="43.06666666666667"/>
    <x v="1"/>
    <d v="2024-10-02T09:48:00"/>
    <d v="2024-10-02T12:36:00"/>
    <n v="164.5"/>
    <x v="0"/>
    <d v="2024-10-02T21:37:00"/>
    <d v="2024-10-02T22:10:00"/>
    <n v="32.299999999999997"/>
    <x v="0"/>
    <n v="2.0875000000014552"/>
    <x v="1"/>
    <n v="-0.41249999999854481"/>
    <n v="50.100000000034925"/>
    <n v="24"/>
    <n v="26.100000000034925"/>
    <n v="5.9770114942448753"/>
    <x v="0"/>
  </r>
  <r>
    <x v="0"/>
    <x v="0"/>
    <d v="2024-09-30T18:32:09"/>
    <s v="OMV4QO8RR"/>
    <x v="0"/>
    <s v="UBJ 700D"/>
    <m/>
    <s v="Kato Investments Ltd-Bulenga"/>
    <n v="156"/>
    <s v="A17236"/>
    <x v="2"/>
    <x v="0"/>
    <x v="0"/>
    <x v="0"/>
    <x v="2"/>
    <x v="2"/>
    <n v="555"/>
    <n v="-5"/>
    <x v="0"/>
    <d v="2024-10-01T07:32:09"/>
    <d v="2024-10-01T07:30:09"/>
    <d v="2024-10-01T08:16:09"/>
    <n v="45.033333333333331"/>
    <n v="43.06666666666667"/>
    <x v="1"/>
    <d v="2024-10-02T08:16:09"/>
    <d v="2024-10-02T11:51:09"/>
    <n v="210.51666666666668"/>
    <x v="0"/>
    <d v="2024-10-03T13:47:21"/>
    <d v="2024-10-03T14:47:21"/>
    <n v="58.733333333333334"/>
    <x v="0"/>
    <n v="2.2300000000032014"/>
    <x v="0"/>
    <n v="0.23000000000320142"/>
    <n v="53.520000000076834"/>
    <n v="24"/>
    <n v="29.520000000076834"/>
    <n v="5.2845528455147006"/>
    <x v="0"/>
  </r>
  <r>
    <x v="0"/>
    <x v="0"/>
    <d v="2024-09-30T18:37:23"/>
    <s v="OMVP3BGRR"/>
    <x v="0"/>
    <s v="UBM 648D"/>
    <m/>
    <s v="Kobusinge Acaali- Kyenjojo"/>
    <n v="156"/>
    <s v="Z80387"/>
    <x v="3"/>
    <x v="0"/>
    <x v="0"/>
    <x v="0"/>
    <x v="3"/>
    <x v="3"/>
    <n v="481"/>
    <n v="1"/>
    <x v="0"/>
    <d v="2024-10-01T07:58:23"/>
    <d v="2024-10-01T07:30:23"/>
    <d v="2024-10-01T08:42:23"/>
    <n v="70.483333333333334"/>
    <n v="43.06666666666667"/>
    <x v="1"/>
    <d v="2024-10-02T11:07:23"/>
    <d v="2024-10-02T17:56:23"/>
    <n v="400.46666666666664"/>
    <x v="0"/>
    <d v="2024-10-03T20:33:21"/>
    <d v="2024-10-03T21:30:21"/>
    <n v="55.8"/>
    <x v="0"/>
    <n v="2.4937222222215496"/>
    <x v="1"/>
    <n v="-6.2777777784503996E-3"/>
    <n v="59.84933333331719"/>
    <n v="24"/>
    <n v="35.84933333331719"/>
    <n v="4.3515453564939444"/>
    <x v="0"/>
  </r>
  <r>
    <x v="0"/>
    <x v="1"/>
    <d v="2024-09-30T19:39:21"/>
    <s v="OMJZJ7URR"/>
    <x v="1"/>
    <s v="UAY 265V"/>
    <s v="Luyaga Isaac"/>
    <s v="KATO INVESTMENTS LTD- KALISIZO"/>
    <n v="153.60000000000002"/>
    <s v="F15088"/>
    <x v="4"/>
    <x v="1"/>
    <x v="0"/>
    <x v="1"/>
    <x v="4"/>
    <x v="4"/>
    <n v="350"/>
    <n v="0"/>
    <x v="0"/>
    <d v="2024-10-02T10:23:00"/>
    <d v="2024-10-01T08:30:00"/>
    <d v="2024-10-02T11:08:00"/>
    <n v="1564.7"/>
    <n v="44.05"/>
    <x v="1"/>
    <d v="2024-10-03T07:23:00"/>
    <d v="2024-10-03T14:48:00"/>
    <n v="435.71666666666664"/>
    <x v="0"/>
    <d v="2024-10-04T06:36:00"/>
    <d v="2024-10-04T07:36:00"/>
    <n v="58.733333333333334"/>
    <x v="0"/>
    <n v="1.8111111111138598"/>
    <x v="2"/>
    <n v="0.11111111111385985"/>
    <n v="43.466666666732635"/>
    <n v="12"/>
    <n v="31.466666666732635"/>
    <n v="4.8813559321931566"/>
    <x v="0"/>
  </r>
  <r>
    <x v="0"/>
    <x v="0"/>
    <d v="2024-09-30T19:40:07"/>
    <s v="OMW01XWRR"/>
    <x v="0"/>
    <s v="UBP 310H"/>
    <m/>
    <s v="KATO INVESTMENTS LTD-KATIKARA"/>
    <n v="156"/>
    <s v="A17239"/>
    <x v="5"/>
    <x v="0"/>
    <x v="0"/>
    <x v="0"/>
    <x v="5"/>
    <x v="5"/>
    <n v="796"/>
    <n v="-34"/>
    <x v="0"/>
    <d v="2024-10-01T07:58:07"/>
    <d v="2024-10-01T07:30:07"/>
    <d v="2024-10-01T08:47:07"/>
    <n v="75.38333333333334"/>
    <n v="47.966666666666669"/>
    <x v="1"/>
    <d v="2024-10-02T11:02:07"/>
    <d v="2024-10-03T10:47:34"/>
    <n v="1395.75"/>
    <x v="0"/>
    <d v="2024-10-04T15:35:34"/>
    <d v="2024-10-04T16:11:34"/>
    <n v="35.25"/>
    <x v="0"/>
    <n v="3.2836499999975786"/>
    <x v="0"/>
    <n v="1.2836499999975786"/>
    <n v="78.807599999941885"/>
    <n v="36"/>
    <n v="42.807599999941885"/>
    <n v="3.6442127098975834"/>
    <x v="1"/>
  </r>
  <r>
    <x v="0"/>
    <x v="0"/>
    <d v="2024-09-30T21:17:02"/>
    <s v="OMFRVVCRR"/>
    <x v="0"/>
    <s v="UBJ 419C"/>
    <m/>
    <s v="Kabaco U Ltd"/>
    <n v="156"/>
    <s v="Z80394"/>
    <x v="6"/>
    <x v="0"/>
    <x v="0"/>
    <x v="0"/>
    <x v="6"/>
    <x v="6"/>
    <n v="331"/>
    <n v="11"/>
    <x v="0"/>
    <d v="2024-10-01T09:45:02"/>
    <d v="2024-10-01T09:17:02"/>
    <d v="2024-10-01T10:40:02"/>
    <n v="81.266666666666666"/>
    <n v="53.85"/>
    <x v="2"/>
    <d v="2024-10-01T16:40:02"/>
    <d v="2024-10-01T20:16:02"/>
    <n v="211.5"/>
    <x v="0"/>
    <d v="2024-10-02T10:11:14"/>
    <d v="2024-10-02T11:06:14"/>
    <n v="53.85"/>
    <x v="0"/>
    <n v="0.98000000000320142"/>
    <x v="3"/>
    <n v="-0.51999999999679858"/>
    <n v="23.520000000076834"/>
    <n v="0"/>
    <n v="23.520000000076834"/>
    <n v="6.6326530612028227"/>
    <x v="0"/>
  </r>
  <r>
    <x v="0"/>
    <x v="0"/>
    <d v="2024-09-30T23:02:13"/>
    <s v="OM3BB5URR"/>
    <x v="0"/>
    <s v="UBF 379L"/>
    <m/>
    <s v="Kato Investments Ltd-Bulenga"/>
    <n v="156"/>
    <s v="A17251"/>
    <x v="2"/>
    <x v="0"/>
    <x v="0"/>
    <x v="0"/>
    <x v="2"/>
    <x v="2"/>
    <n v="555"/>
    <n v="-5"/>
    <x v="0"/>
    <d v="2024-10-01T11:30:13"/>
    <d v="2024-10-01T11:02:13"/>
    <d v="2024-10-01T12:10:13"/>
    <n v="66.583333333333329"/>
    <n v="39.166666666666664"/>
    <x v="1"/>
    <d v="2024-10-02T12:10:13"/>
    <d v="2024-10-02T17:43:13"/>
    <n v="326.05"/>
    <x v="0"/>
    <d v="2024-10-03T09:46:13"/>
    <d v="2024-10-03T10:43:13"/>
    <n v="55.8"/>
    <x v="0"/>
    <n v="1.9000000000014552"/>
    <x v="0"/>
    <n v="-9.9999999998544808E-2"/>
    <n v="45.600000000034925"/>
    <n v="12"/>
    <n v="33.600000000034925"/>
    <n v="4.6428571428523169"/>
    <x v="0"/>
  </r>
  <r>
    <x v="0"/>
    <x v="1"/>
    <d v="2024-09-30T23:12:25"/>
    <s v="OMC5UP6RR"/>
    <x v="0"/>
    <s v="UAV 051U"/>
    <s v="Angello Lumala"/>
    <s v="Kabaco U Ltd"/>
    <n v="153.60000000000002"/>
    <s v="Z80400"/>
    <x v="6"/>
    <x v="1"/>
    <x v="0"/>
    <x v="1"/>
    <x v="6"/>
    <x v="6"/>
    <n v="318"/>
    <n v="-2"/>
    <x v="0"/>
    <d v="2024-10-01T11:40:25"/>
    <d v="2024-10-01T11:12:25"/>
    <d v="2024-10-01T12:24:25"/>
    <n v="70.483333333333334"/>
    <n v="43.06666666666667"/>
    <x v="1"/>
    <d v="2024-10-01T18:24:25"/>
    <d v="2024-10-02T13:36:25"/>
    <n v="1128"/>
    <x v="0"/>
    <d v="2024-10-02T18:56:25"/>
    <d v="2024-10-02T19:41:25"/>
    <n v="44.05"/>
    <x v="0"/>
    <n v="1.2722222222218988"/>
    <x v="3"/>
    <n v="-0.22777777777810115"/>
    <n v="30.533333333325572"/>
    <n v="12"/>
    <n v="18.533333333325572"/>
    <n v="8.2877697841761329"/>
    <x v="0"/>
  </r>
  <r>
    <x v="1"/>
    <x v="0"/>
    <d v="2024-10-01T17:42:48"/>
    <s v="OMT62BBRR"/>
    <x v="0"/>
    <s v="UBE 687K"/>
    <m/>
    <s v="Bates Enterprises U Ltd"/>
    <n v="156"/>
    <s v="Z80404"/>
    <x v="7"/>
    <x v="0"/>
    <x v="0"/>
    <x v="0"/>
    <x v="7"/>
    <x v="7"/>
    <n v="580"/>
    <n v="-26"/>
    <x v="0"/>
    <d v="2024-10-02T07:58:48"/>
    <d v="2024-10-02T07:30:48"/>
    <d v="2024-10-02T08:42:48"/>
    <n v="70.483333333333334"/>
    <n v="43.06666666666667"/>
    <x v="1"/>
    <d v="2024-10-04T08:42:48"/>
    <d v="2024-10-04T12:48:48"/>
    <n v="240.86666666666667"/>
    <x v="0"/>
    <d v="2024-10-05T20:00:48"/>
    <d v="2024-10-05T20:51:48"/>
    <n v="49.93333333333333"/>
    <x v="0"/>
    <n v="3.4708333333328483"/>
    <x v="4"/>
    <n v="0.47083333333284827"/>
    <n v="83.299999999988358"/>
    <n v="36"/>
    <n v="47.299999999988358"/>
    <n v="3.2980972515864355"/>
    <x v="0"/>
  </r>
  <r>
    <x v="1"/>
    <x v="1"/>
    <d v="2024-10-01T17:45:39"/>
    <s v="OM1WZHZRR"/>
    <x v="0"/>
    <s v="UAR 731Q"/>
    <s v="Godwin Niwensiima"/>
    <s v="Kabaco U Ltd-Mbarara"/>
    <n v="153.60000000000002"/>
    <s v="Z80405"/>
    <x v="8"/>
    <x v="1"/>
    <x v="0"/>
    <x v="1"/>
    <x v="8"/>
    <x v="8"/>
    <n v="12"/>
    <n v="1"/>
    <x v="0"/>
    <d v="2024-10-02T07:58:39"/>
    <d v="2024-10-02T07:30:39"/>
    <d v="2024-10-02T08:53:39"/>
    <n v="81.266666666666666"/>
    <n v="53.85"/>
    <x v="3"/>
    <d v="2024-10-02T09:29:39"/>
    <d v="2024-10-02T13:06:39"/>
    <n v="212.46666666666667"/>
    <x v="0"/>
    <d v="2024-10-02T13:37:39"/>
    <d v="2024-10-02T14:25:39"/>
    <n v="46.983333333333334"/>
    <x v="0"/>
    <n v="0.19722222221753327"/>
    <x v="5"/>
    <n v="-0.60277777778246677"/>
    <n v="4.7333333332207985"/>
    <n v="0"/>
    <n v="4.7333333332207985"/>
    <n v="32.450704226123634"/>
    <x v="0"/>
  </r>
  <r>
    <x v="1"/>
    <x v="0"/>
    <d v="2024-10-01T17:48:37"/>
    <s v="OM03LYVRR"/>
    <x v="1"/>
    <s v="UBM 565R"/>
    <s v="BAZALE SAID"/>
    <s v="Kabaco U Ltd"/>
    <n v="156"/>
    <s v="Z80406"/>
    <x v="6"/>
    <x v="0"/>
    <x v="0"/>
    <x v="0"/>
    <x v="6"/>
    <x v="6"/>
    <n v="335"/>
    <n v="15"/>
    <x v="0"/>
    <d v="2024-10-02T08:53:00"/>
    <d v="2024-10-02T02:22:00"/>
    <d v="2024-10-02T09:35:00"/>
    <n v="423.96666666666664"/>
    <n v="41.116666666666667"/>
    <x v="1"/>
    <d v="2024-10-03T11:25:00"/>
    <d v="2024-10-03T16:18:00"/>
    <n v="286.88333333333333"/>
    <x v="0"/>
    <d v="2024-10-03T21:25:00"/>
    <d v="2024-10-03T22:08:00"/>
    <n v="42.1"/>
    <x v="0"/>
    <n v="1.4930555555547471"/>
    <x v="3"/>
    <n v="-6.9444444452528842E-3"/>
    <n v="35.833333333313931"/>
    <n v="12"/>
    <n v="23.833333333313931"/>
    <n v="6.545454545459874"/>
    <x v="0"/>
  </r>
  <r>
    <x v="1"/>
    <x v="0"/>
    <d v="2024-10-01T17:49:19"/>
    <s v="OMJAP20RR"/>
    <x v="0"/>
    <s v="UBF 375L"/>
    <m/>
    <s v="Sawan Distributors Ltd-Kayabwe"/>
    <n v="156"/>
    <s v="A17254"/>
    <x v="9"/>
    <x v="0"/>
    <x v="0"/>
    <x v="0"/>
    <x v="9"/>
    <x v="9"/>
    <n v="397"/>
    <n v="-3"/>
    <x v="0"/>
    <d v="2024-10-02T07:58:19"/>
    <d v="2024-10-02T07:30:19"/>
    <d v="2024-10-02T08:46:19"/>
    <n v="74.400000000000006"/>
    <n v="46.983333333333334"/>
    <x v="1"/>
    <d v="2024-10-02T17:46:19"/>
    <d v="2024-10-03T17:21:50"/>
    <n v="1386.0166666666667"/>
    <x v="0"/>
    <d v="2024-10-04T13:45:50"/>
    <d v="2024-10-04T14:45:50"/>
    <n v="58.733333333333334"/>
    <x v="0"/>
    <n v="2.2079999999987194"/>
    <x v="0"/>
    <n v="0.20799999999871943"/>
    <n v="52.991999999969266"/>
    <n v="24"/>
    <n v="28.991999999969266"/>
    <n v="5.3807947019924587"/>
    <x v="0"/>
  </r>
  <r>
    <x v="1"/>
    <x v="0"/>
    <d v="2024-10-02T00:00:00"/>
    <s v="OM02K6SY"/>
    <x v="0"/>
    <s v="UBF 382L"/>
    <m/>
    <s v="Sawan Distributors Ltd-Kayabwe"/>
    <n v="156"/>
    <s v="A17275"/>
    <x v="9"/>
    <x v="0"/>
    <x v="0"/>
    <x v="0"/>
    <x v="9"/>
    <x v="9"/>
    <n v="397"/>
    <n v="-3"/>
    <x v="0"/>
    <d v="2024-10-02T07:58:00"/>
    <d v="2024-10-02T07:30:00"/>
    <d v="2024-10-02T09:02:00"/>
    <n v="90.066666666666663"/>
    <n v="62.65"/>
    <x v="4"/>
    <d v="2024-10-02T18:17:00"/>
    <d v="2024-10-03T17:52:31"/>
    <n v="1386.0166666666667"/>
    <x v="0"/>
    <d v="2024-10-04T12:35:43"/>
    <d v="2024-10-04T13:11:43"/>
    <n v="35.25"/>
    <x v="0"/>
    <n v="2.1484166666632518"/>
    <x v="0"/>
    <n v="0.14841666666325182"/>
    <n v="51.561999999918044"/>
    <n v="32"/>
    <n v="19.561999999918044"/>
    <n v="7.9746447193872596"/>
    <x v="0"/>
  </r>
  <r>
    <x v="1"/>
    <x v="0"/>
    <d v="2024-10-02T14:28:17"/>
    <s v="OM9HJXORR"/>
    <x v="1"/>
    <s v="UBJ 420C"/>
    <s v="ZIWA ABASI"/>
    <s v="Boniface Harera"/>
    <n v="156"/>
    <s v="F15090"/>
    <x v="10"/>
    <x v="0"/>
    <x v="0"/>
    <x v="0"/>
    <x v="10"/>
    <x v="10"/>
    <n v="465"/>
    <n v="-5"/>
    <x v="0"/>
    <d v="2024-10-02T20:05:00"/>
    <d v="2024-10-03T01:30:00"/>
    <d v="2024-10-02T20:52:00"/>
    <n v="-272.21666666666664"/>
    <n v="46.016666666666666"/>
    <x v="1"/>
    <d v="2024-10-03T15:23:00"/>
    <d v="2024-10-04T13:05:00"/>
    <n v="1274.8666666666666"/>
    <x v="0"/>
    <d v="2024-10-04T22:09:00"/>
    <d v="2024-10-04T22:52:00"/>
    <n v="42.1"/>
    <x v="0"/>
    <n v="2.0534722222291748"/>
    <x v="1"/>
    <n v="-0.4465277777708252"/>
    <n v="49.283333333500195"/>
    <n v="24"/>
    <n v="25.283333333500195"/>
    <n v="6.1700725114952055"/>
    <x v="0"/>
  </r>
  <r>
    <x v="1"/>
    <x v="0"/>
    <d v="2024-10-02T14:31:30"/>
    <s v="OMEKS08RR"/>
    <x v="1"/>
    <s v="UBJ 421 C"/>
    <s v="Tumwine Jimmy"/>
    <s v="Kobusinge Steven-FPortal"/>
    <n v="156"/>
    <s v="Z80414"/>
    <x v="11"/>
    <x v="0"/>
    <x v="0"/>
    <x v="0"/>
    <x v="11"/>
    <x v="11"/>
    <n v="383"/>
    <n v="-7"/>
    <x v="0"/>
    <d v="2024-10-02T14:12:00"/>
    <d v="2024-10-02T20:25:00"/>
    <d v="2024-10-02T14:57:00"/>
    <n v="-321.18333333333334"/>
    <n v="44.05"/>
    <x v="1"/>
    <d v="2024-10-03T13:06:00"/>
    <d v="2024-10-03T17:17:00"/>
    <n v="245.76666666666668"/>
    <x v="0"/>
    <d v="2024-10-04T10:37:00"/>
    <d v="2024-10-04T11:21:00"/>
    <n v="43.06666666666667"/>
    <x v="0"/>
    <n v="1.8194444444452529"/>
    <x v="0"/>
    <n v="-0.18055555555474712"/>
    <n v="43.666666666686069"/>
    <n v="12"/>
    <n v="31.666666666686069"/>
    <n v="4.9263157894706655"/>
    <x v="0"/>
  </r>
  <r>
    <x v="1"/>
    <x v="1"/>
    <d v="2024-10-02T18:45:13"/>
    <s v="OMCPAC2RR"/>
    <x v="1"/>
    <s v="UBE 419T"/>
    <s v="Kilabila Ismail"/>
    <s v="Kabaco U Ltd"/>
    <n v="153.60000000000002"/>
    <s v="Z80415"/>
    <x v="6"/>
    <x v="1"/>
    <x v="0"/>
    <x v="1"/>
    <x v="6"/>
    <x v="6"/>
    <n v="331"/>
    <n v="11"/>
    <x v="0"/>
    <d v="2024-10-03T09:52:00"/>
    <d v="2024-10-03T08:30:00"/>
    <d v="2024-10-03T10:36:00"/>
    <n v="123.36666666666666"/>
    <n v="43.06666666666667"/>
    <x v="1"/>
    <d v="2024-10-03T13:19:00"/>
    <d v="2024-10-03T17:22:00"/>
    <n v="237.93333333333334"/>
    <x v="0"/>
    <d v="2024-10-04T18:10:00"/>
    <d v="2024-10-04T19:01:00"/>
    <n v="49.93333333333333"/>
    <x v="0"/>
    <n v="1.3152777777795563"/>
    <x v="3"/>
    <n v="-0.18472222222044365"/>
    <n v="31.566666666709352"/>
    <n v="12"/>
    <n v="19.566666666709352"/>
    <n v="7.8500851788585146"/>
    <x v="0"/>
  </r>
  <r>
    <x v="1"/>
    <x v="0"/>
    <d v="2024-10-02T18:50:53"/>
    <s v="OM7VK09RR"/>
    <x v="0"/>
    <s v="UBE 673K"/>
    <s v="Bulega Sperito"/>
    <s v="Kato Investment Ltd -Kagadi"/>
    <n v="156"/>
    <s v="A17272"/>
    <x v="12"/>
    <x v="0"/>
    <x v="0"/>
    <x v="0"/>
    <x v="12"/>
    <x v="12"/>
    <n v="603"/>
    <n v="-9"/>
    <x v="0"/>
    <d v="2024-10-02T21:33:00"/>
    <d v="2024-10-02T20:20:00"/>
    <d v="2024-10-02T22:06:00"/>
    <n v="103.78333333333333"/>
    <n v="32.299999999999997"/>
    <x v="1"/>
    <d v="2024-10-04T08:08:00"/>
    <d v="2024-10-04T15:00:00"/>
    <n v="403.41666666666669"/>
    <x v="0"/>
    <d v="2024-10-05T10:33:00"/>
    <d v="2024-10-05T11:22:00"/>
    <n v="47.966666666666669"/>
    <x v="0"/>
    <n v="2.5187500000029104"/>
    <x v="6"/>
    <n v="0.21875000000291056"/>
    <n v="60.450000000069849"/>
    <n v="24"/>
    <n v="36.450000000069849"/>
    <n v="4.2798353909383007"/>
    <x v="0"/>
  </r>
  <r>
    <x v="1"/>
    <x v="0"/>
    <d v="2024-10-02T18:52:21"/>
    <s v="OMLXY9YRR"/>
    <x v="0"/>
    <s v="UBE 684K"/>
    <m/>
    <s v="Kobusinge Acaali- Kyenjojo"/>
    <n v="156"/>
    <s v="Z80417"/>
    <x v="3"/>
    <x v="0"/>
    <x v="0"/>
    <x v="0"/>
    <x v="3"/>
    <x v="3"/>
    <n v="490"/>
    <n v="10"/>
    <x v="0"/>
    <d v="2024-10-03T07:58:21"/>
    <d v="2024-10-03T07:30:21"/>
    <d v="2024-10-03T08:58:21"/>
    <n v="86.15"/>
    <n v="58.733333333333334"/>
    <x v="0"/>
    <d v="2024-10-04T10:43:21"/>
    <d v="2024-10-04T15:04:21"/>
    <n v="255.55"/>
    <x v="0"/>
    <d v="2024-10-05T17:31:05"/>
    <d v="2024-10-05T18:01:05"/>
    <n v="29.366666666666667"/>
    <x v="0"/>
    <n v="2.356066666667175"/>
    <x v="1"/>
    <n v="-0.14393333333282499"/>
    <n v="56.5456000000122"/>
    <n v="32"/>
    <n v="24.5456000000122"/>
    <n v="6.3555178932241407"/>
    <x v="0"/>
  </r>
  <r>
    <x v="1"/>
    <x v="0"/>
    <d v="2024-10-02T18:57:29"/>
    <s v="OMW9SDRRR"/>
    <x v="0"/>
    <s v="UBF 070Q"/>
    <s v="NTUMWA SOLOMON"/>
    <s v="Sawan Distributors Ltd-Kayabwe"/>
    <n v="156"/>
    <s v="A17273"/>
    <x v="9"/>
    <x v="0"/>
    <x v="0"/>
    <x v="0"/>
    <x v="9"/>
    <x v="9"/>
    <n v="397"/>
    <n v="-3"/>
    <x v="0"/>
    <d v="2024-10-02T21:27:00"/>
    <d v="2024-10-03T04:19:00"/>
    <d v="2024-10-02T22:07:00"/>
    <n v="-364.25"/>
    <n v="39.166666666666664"/>
    <x v="1"/>
    <d v="2024-10-03T15:21:00"/>
    <d v="2024-10-08T16:06:00"/>
    <n v="7094.05"/>
    <x v="0"/>
    <d v="2024-10-09T10:00:00"/>
    <d v="2024-10-09T10:39:00"/>
    <n v="38.18333333333333"/>
    <x v="0"/>
    <n v="6.4951388888875954"/>
    <x v="0"/>
    <n v="4.4951388888875954"/>
    <n v="155.88333333330229"/>
    <n v="72"/>
    <n v="83.883333333302289"/>
    <n v="1.8597258096569569"/>
    <x v="2"/>
  </r>
  <r>
    <x v="1"/>
    <x v="0"/>
    <d v="2024-10-02T18:58:59"/>
    <s v="OM0217ORR"/>
    <x v="1"/>
    <s v="UBP 301H"/>
    <s v="NAMINYA SIRAJE"/>
    <s v="Kobusinge Steven-Kamwenge"/>
    <n v="156"/>
    <s v="Z80418"/>
    <x v="13"/>
    <x v="0"/>
    <x v="0"/>
    <x v="0"/>
    <x v="13"/>
    <x v="13"/>
    <n v="247"/>
    <n v="17"/>
    <x v="0"/>
    <d v="2024-10-03T06:36:00"/>
    <d v="2024-10-03T03:17:00"/>
    <d v="2024-10-03T07:16:00"/>
    <n v="234.01666666666668"/>
    <n v="39.166666666666664"/>
    <x v="1"/>
    <d v="2024-10-03T10:08:00"/>
    <d v="2024-10-03T14:07:00"/>
    <n v="234.01666666666668"/>
    <x v="0"/>
    <d v="2024-10-04T18:42:00"/>
    <d v="2024-10-04T19:30:00"/>
    <n v="46.983333333333334"/>
    <x v="0"/>
    <n v="1.476388888891961"/>
    <x v="7"/>
    <n v="0.17638888889196092"/>
    <n v="35.433333333407063"/>
    <n v="12"/>
    <n v="23.433333333407063"/>
    <n v="6.6571834992678163"/>
    <x v="0"/>
  </r>
  <r>
    <x v="1"/>
    <x v="1"/>
    <d v="2024-10-04T18:49:43"/>
    <s v="OMUUPM0RR"/>
    <x v="1"/>
    <s v="UAV 203T"/>
    <s v="Mugisha  George"/>
    <s v="KATO INVESTMENTS LTD- KALISIZO"/>
    <n v="153.6"/>
    <s v="F15095"/>
    <x v="4"/>
    <x v="1"/>
    <x v="0"/>
    <x v="1"/>
    <x v="4"/>
    <x v="4"/>
    <n v="348"/>
    <n v="-2"/>
    <x v="0"/>
    <d v="2024-10-04T18:54:00"/>
    <d v="2024-10-05T03:43:00"/>
    <d v="2024-10-04T19:34:00"/>
    <n v="-478.81666666666666"/>
    <n v="39.166666666666664"/>
    <x v="1"/>
    <d v="2024-10-05T08:39:00"/>
    <d v="2024-10-05T14:42:00"/>
    <n v="355.43333333333334"/>
    <x v="0"/>
    <d v="2024-10-06T11:21:00"/>
    <d v="2024-10-06T12:03:00"/>
    <n v="41.116666666666667"/>
    <x v="0"/>
    <n v="1.6576388888861402"/>
    <x v="2"/>
    <n v="-4.2361111113859762E-2"/>
    <n v="39.783333333267365"/>
    <n v="12"/>
    <n v="27.783333333267365"/>
    <n v="5.5284943011528984"/>
    <x v="0"/>
  </r>
  <r>
    <x v="1"/>
    <x v="1"/>
    <d v="2024-10-04T19:21:32"/>
    <s v="OMYP0SGRR"/>
    <x v="0"/>
    <s v="UAY 526V"/>
    <s v="Benon Ssempijja"/>
    <s v="KATO INVESTMENTS LIMITED-MASAK"/>
    <n v="153.60000000000002"/>
    <s v="F15096"/>
    <x v="14"/>
    <x v="1"/>
    <x v="0"/>
    <x v="1"/>
    <x v="14"/>
    <x v="14"/>
    <n v="348"/>
    <n v="8"/>
    <x v="0"/>
    <d v="2024-10-04T18:43:00"/>
    <d v="2024-10-05T04:14:00"/>
    <d v="2024-10-04T19:39:00"/>
    <n v="-504.28333333333336"/>
    <n v="54.833333333333336"/>
    <x v="3"/>
    <d v="2024-10-05T09:40:00"/>
    <d v="2024-10-05T18:17:00"/>
    <n v="506.21666666666664"/>
    <x v="0"/>
    <d v="2024-10-06T14:05:00"/>
    <d v="2024-10-06T15:00:00"/>
    <n v="53.85"/>
    <x v="0"/>
    <n v="1.7680555555562023"/>
    <x v="8"/>
    <n v="0.76805555555620231"/>
    <n v="42.433333333348855"/>
    <n v="16"/>
    <n v="26.433333333348855"/>
    <n v="5.8108448928086949"/>
    <x v="0"/>
  </r>
  <r>
    <x v="1"/>
    <x v="1"/>
    <d v="2024-10-04T19:31:52"/>
    <s v="OMWAIGPRR"/>
    <x v="1"/>
    <s v="UBE 422T"/>
    <s v="Jacob Oneka"/>
    <s v="Kabaco U Ltd-Mbarara"/>
    <n v="153.60000000000002"/>
    <s v="Z80430"/>
    <x v="8"/>
    <x v="1"/>
    <x v="0"/>
    <x v="1"/>
    <x v="8"/>
    <x v="8"/>
    <n v="14"/>
    <n v="3"/>
    <x v="0"/>
    <d v="2024-10-04T18:53:00"/>
    <d v="2024-10-05T07:42:00"/>
    <d v="2024-10-04T19:44:00"/>
    <n v="-703.05"/>
    <n v="49.93333333333333"/>
    <x v="0"/>
    <d v="2024-10-04T20:27:00"/>
    <d v="2024-10-05T10:21:00"/>
    <n v="816.61666666666667"/>
    <x v="0"/>
    <d v="2024-10-05T10:46:00"/>
    <d v="2024-10-05T11:20:00"/>
    <n v="33.283333333333331"/>
    <x v="0"/>
    <n v="0.62638888888614019"/>
    <x v="5"/>
    <n v="-0.17361111111385985"/>
    <n v="15.033333333267365"/>
    <n v="0"/>
    <n v="15.033333333267365"/>
    <n v="10.217294900266566"/>
    <x v="0"/>
  </r>
  <r>
    <x v="1"/>
    <x v="1"/>
    <d v="2024-10-04T19:37:59"/>
    <s v="OMF6BIKRR"/>
    <x v="0"/>
    <s v="UAR 731Q"/>
    <s v="Godwin Niwensiima"/>
    <s v="Kabaco U Ltd"/>
    <n v="153.60000000000002"/>
    <s v="Z80433"/>
    <x v="6"/>
    <x v="1"/>
    <x v="0"/>
    <x v="1"/>
    <x v="6"/>
    <x v="6"/>
    <n v="323"/>
    <n v="3"/>
    <x v="0"/>
    <d v="2024-10-05T07:58:59"/>
    <d v="2024-10-05T07:30:59"/>
    <d v="2024-10-05T08:42:59"/>
    <n v="70.483333333333334"/>
    <n v="43.06666666666667"/>
    <x v="1"/>
    <d v="2024-10-05T14:42:59"/>
    <d v="2024-10-05T18:27:37"/>
    <n v="219.95"/>
    <x v="0"/>
    <d v="2024-10-06T08:22:49"/>
    <d v="2024-10-06T09:02:49"/>
    <n v="39.166666666666664"/>
    <x v="0"/>
    <n v="0.98600000000442378"/>
    <x v="3"/>
    <n v="-0.51399999999557622"/>
    <n v="23.664000000106171"/>
    <n v="0"/>
    <n v="23.664000000106171"/>
    <n v="6.4908722109242261"/>
    <x v="0"/>
  </r>
  <r>
    <x v="1"/>
    <x v="1"/>
    <d v="2024-10-04T19:41:15"/>
    <s v="OM83L4MRR"/>
    <x v="0"/>
    <s v="UAT 351G"/>
    <s v="Hamudi Sesanga"/>
    <s v="RUGOMA TRADERS CO. LTD NTUNGAM"/>
    <n v="153.60000000000002"/>
    <s v="F15099"/>
    <x v="15"/>
    <x v="1"/>
    <x v="0"/>
    <x v="1"/>
    <x v="15"/>
    <x v="15"/>
    <n v="131"/>
    <n v="1"/>
    <x v="0"/>
    <d v="2024-10-05T07:58:15"/>
    <d v="2024-10-05T07:30:15"/>
    <d v="2024-10-05T08:42:15"/>
    <n v="70.483333333333334"/>
    <n v="43.06666666666667"/>
    <x v="1"/>
    <d v="2024-10-05T11:12:15"/>
    <d v="2024-10-05T16:12:15"/>
    <n v="293.75"/>
    <x v="0"/>
    <d v="2024-10-05T19:42:15"/>
    <d v="2024-10-05T20:42:15"/>
    <n v="58.733333333333334"/>
    <x v="0"/>
    <n v="0.45833333333575865"/>
    <x v="8"/>
    <n v="-0.54166666666424135"/>
    <n v="11.000000000058208"/>
    <n v="0"/>
    <n v="11.000000000058208"/>
    <n v="13.963636363562475"/>
    <x v="0"/>
  </r>
  <r>
    <x v="1"/>
    <x v="0"/>
    <d v="2024-10-05T00:00:00"/>
    <s v="OM02K7AL"/>
    <x v="0"/>
    <s v="UBF 374L "/>
    <m/>
    <s v="Kato Investment Ltd -Mityana"/>
    <n v="156"/>
    <s v="A17328"/>
    <x v="16"/>
    <x v="0"/>
    <x v="0"/>
    <x v="0"/>
    <x v="16"/>
    <x v="16"/>
    <m/>
    <n v="-690"/>
    <x v="0"/>
    <d v="2024-10-05T07:58:00"/>
    <d v="2024-10-05T07:30:00"/>
    <d v="2024-10-05T09:02:00"/>
    <n v="90.066666666666663"/>
    <n v="62.65"/>
    <x v="5"/>
    <d v="2024-10-06T11:02:00"/>
    <d v="2024-10-06T16:22:00"/>
    <n v="313.31666666666666"/>
    <x v="0"/>
    <d v="2024-10-07T11:52:43"/>
    <d v="2024-10-07T12:44:43"/>
    <n v="50.916666666666664"/>
    <x v="0"/>
    <n v="2.118555555556668"/>
    <x v="0"/>
    <n v="0.11855555555666797"/>
    <n v="50.845333333360031"/>
    <n v="32"/>
    <n v="18.845333333360031"/>
    <n v="8.2779114192609491"/>
    <x v="0"/>
  </r>
  <r>
    <x v="1"/>
    <x v="0"/>
    <d v="2024-10-05T00:00:00"/>
    <s v="OM02K7AM"/>
    <x v="0"/>
    <s v="UBK 866R"/>
    <m/>
    <s v="KATO INVESTMENTS LTD-KATIKARA"/>
    <n v="156"/>
    <s v="A17329"/>
    <x v="5"/>
    <x v="0"/>
    <x v="0"/>
    <x v="0"/>
    <x v="5"/>
    <x v="5"/>
    <n v="796"/>
    <n v="-34"/>
    <x v="0"/>
    <d v="2024-10-05T07:58:00"/>
    <d v="2024-10-05T07:30:00"/>
    <d v="2024-10-05T08:45:00"/>
    <n v="73.433333333333337"/>
    <n v="46.016666666666666"/>
    <x v="1"/>
    <d v="2024-10-06T10:00:00"/>
    <d v="2024-10-06T15:06:00"/>
    <n v="299.61666666666667"/>
    <x v="0"/>
    <d v="2024-10-07T19:54:00"/>
    <d v="2024-10-07T20:51:00"/>
    <n v="55.8"/>
    <x v="0"/>
    <n v="2.4645833333343035"/>
    <x v="0"/>
    <n v="0.46458333333430346"/>
    <n v="59.150000000023283"/>
    <n v="24"/>
    <n v="35.150000000023283"/>
    <n v="4.4381223328562349"/>
    <x v="0"/>
  </r>
  <r>
    <x v="1"/>
    <x v="0"/>
    <d v="2024-10-05T00:00:00"/>
    <s v="OM02K7BN"/>
    <x v="0"/>
    <s v="UBP 310H"/>
    <s v="Lule Fred"/>
    <s v="Rugoma Traders-Rukungiri"/>
    <n v="156"/>
    <s v="Z80444"/>
    <x v="17"/>
    <x v="0"/>
    <x v="0"/>
    <x v="0"/>
    <x v="17"/>
    <x v="17"/>
    <n v="263"/>
    <n v="7"/>
    <x v="0"/>
    <d v="2024-10-05T07:58:00"/>
    <d v="2024-10-05T07:30:00"/>
    <d v="2024-10-05T08:53:00"/>
    <n v="81.266666666666666"/>
    <n v="53.85"/>
    <x v="6"/>
    <d v="2024-10-05T15:07:00"/>
    <d v="2024-10-05T17:31:00"/>
    <n v="140.98333333333332"/>
    <x v="0"/>
    <d v="2024-10-05T20:31:00"/>
    <d v="2024-10-05T21:26:00"/>
    <n v="53.85"/>
    <x v="0"/>
    <n v="0.48472222222335404"/>
    <x v="8"/>
    <n v="-0.51527777777664596"/>
    <n v="11.633333333360497"/>
    <n v="0"/>
    <n v="11.633333333360497"/>
    <n v="13.409742120312528"/>
    <x v="0"/>
  </r>
  <r>
    <x v="1"/>
    <x v="0"/>
    <d v="2024-10-05T15:32:48"/>
    <s v="OMRD83MRR"/>
    <x v="1"/>
    <s v="UBE 680K"/>
    <s v="BYEKWASO TWAHA"/>
    <s v="Kato Investments Ltd- Kyegegwa"/>
    <n v="156"/>
    <s v="A17324"/>
    <x v="18"/>
    <x v="0"/>
    <x v="0"/>
    <x v="0"/>
    <x v="18"/>
    <x v="18"/>
    <n v="565"/>
    <n v="0"/>
    <x v="0"/>
    <d v="2024-10-05T14:49:00"/>
    <d v="2024-10-05T20:24:00"/>
    <d v="2024-10-05T15:42:00"/>
    <n v="-276.13333333333333"/>
    <n v="51.883333333333333"/>
    <x v="0"/>
    <d v="2024-10-06T08:18:00"/>
    <d v="2024-10-06T11:23:00"/>
    <n v="181.13333333333333"/>
    <x v="0"/>
    <d v="2024-10-06T18:50:00"/>
    <d v="2024-10-06T19:50:00"/>
    <n v="58.75"/>
    <x v="0"/>
    <n v="1.1305555555518367"/>
    <x v="0"/>
    <n v="-0.86944444444816327"/>
    <n v="27.133333333244082"/>
    <n v="16"/>
    <n v="11.133333333244082"/>
    <n v="14.011976048016521"/>
    <x v="0"/>
  </r>
  <r>
    <x v="1"/>
    <x v="0"/>
    <d v="2024-10-05T15:37:15"/>
    <s v="OMOAR2PRR"/>
    <x v="1"/>
    <s v="UBF 380L"/>
    <s v="SENTONGO GODFREY"/>
    <s v="Kato Investments Ltd-Bulenga"/>
    <n v="156"/>
    <s v="A17325"/>
    <x v="2"/>
    <x v="0"/>
    <x v="0"/>
    <x v="0"/>
    <x v="2"/>
    <x v="2"/>
    <n v="571"/>
    <n v="11"/>
    <x v="0"/>
    <d v="2024-10-05T18:14:00"/>
    <d v="2024-10-05T20:13:00"/>
    <d v="2024-10-05T19:01:00"/>
    <n v="-70.516666666666666"/>
    <n v="46.016666666666666"/>
    <x v="1"/>
    <d v="2024-10-06T16:29:00"/>
    <d v="2024-10-07T13:32:00"/>
    <n v="1236.6833333333334"/>
    <x v="0"/>
    <d v="2024-10-07T11:01:00"/>
    <d v="2024-10-07T11:36:00"/>
    <n v="34.266666666666666"/>
    <x v="0"/>
    <n v="1.6666666666642413"/>
    <x v="0"/>
    <n v="-0.33333333333575865"/>
    <n v="39.999999999941792"/>
    <n v="12"/>
    <n v="27.999999999941792"/>
    <n v="5.5714285714401539"/>
    <x v="0"/>
  </r>
  <r>
    <x v="1"/>
    <x v="0"/>
    <d v="2024-10-05T15:51:30"/>
    <s v="OMCL81GRR"/>
    <x v="1"/>
    <s v="UBK 858R"/>
    <s v="ALIPA EREKU"/>
    <s v="Kato Investment Ltd -Kagadi"/>
    <n v="156"/>
    <s v="A17326"/>
    <x v="12"/>
    <x v="0"/>
    <x v="0"/>
    <x v="0"/>
    <x v="12"/>
    <x v="12"/>
    <n v="603"/>
    <n v="-9"/>
    <x v="0"/>
    <d v="2024-10-05T16:39:00"/>
    <d v="2024-10-05T17:46:00"/>
    <d v="2024-10-05T17:29:00"/>
    <n v="-16.649999999999999"/>
    <n v="48.95"/>
    <x v="1"/>
    <d v="2024-10-06T13:15:00"/>
    <d v="2024-10-06T19:54:00"/>
    <n v="390.68333333333334"/>
    <x v="0"/>
    <d v="2024-10-07T19:55:00"/>
    <d v="2024-10-07T20:27:00"/>
    <n v="31.316666666666666"/>
    <x v="0"/>
    <n v="2.101388888884685"/>
    <x v="6"/>
    <n v="-0.19861111111531482"/>
    <n v="50.43333333323244"/>
    <n v="24"/>
    <n v="26.43333333323244"/>
    <n v="5.9016393442848214"/>
    <x v="0"/>
  </r>
  <r>
    <x v="1"/>
    <x v="0"/>
    <d v="2024-10-05T15:59:45"/>
    <s v="OM8WK5ARR"/>
    <x v="0"/>
    <s v="UBJ 419C"/>
    <m/>
    <s v="Kato Investment Ltd -Mubende"/>
    <n v="156"/>
    <s v="A17327"/>
    <x v="1"/>
    <x v="0"/>
    <x v="0"/>
    <x v="0"/>
    <x v="1"/>
    <x v="1"/>
    <n v="686"/>
    <n v="6"/>
    <x v="0"/>
    <d v="2024-10-05T16:57:45"/>
    <d v="2024-10-05T16:29:45"/>
    <d v="2024-10-05T17:45:45"/>
    <n v="74.400000000000006"/>
    <n v="46.983333333333334"/>
    <x v="1"/>
    <d v="2024-10-06T20:02:45"/>
    <d v="2024-10-07T15:42:07"/>
    <n v="1154.7833333333333"/>
    <x v="0"/>
    <d v="2024-10-08T18:34:55"/>
    <d v="2024-10-08T19:34:55"/>
    <n v="58.733333333333334"/>
    <x v="0"/>
    <n v="3.0341388888919028"/>
    <x v="1"/>
    <n v="0.53413888889190275"/>
    <n v="72.819333333405666"/>
    <n v="36"/>
    <n v="36.819333333405666"/>
    <n v="4.2369045247884314"/>
    <x v="3"/>
  </r>
  <r>
    <x v="1"/>
    <x v="1"/>
    <d v="2024-10-05T20:19:36"/>
    <s v="OMIO4DARR"/>
    <x v="0"/>
    <s v="UAV 051U"/>
    <s v="Angello Lumala"/>
    <s v="Kabaco U Ltd"/>
    <n v="153.60000000000002"/>
    <s v="Z80443"/>
    <x v="6"/>
    <x v="1"/>
    <x v="0"/>
    <x v="1"/>
    <x v="6"/>
    <x v="6"/>
    <n v="323"/>
    <n v="3"/>
    <x v="0"/>
    <d v="2024-10-06T07:58:36"/>
    <d v="2024-10-06T07:30:36"/>
    <d v="2024-10-06T08:42:36"/>
    <n v="70.483333333333334"/>
    <n v="43.06666666666667"/>
    <x v="1"/>
    <d v="2024-10-06T16:42:36"/>
    <d v="2024-10-07T11:25:48"/>
    <n v="1099.7833333333333"/>
    <x v="0"/>
    <d v="2024-10-07T16:45:48"/>
    <d v="2024-10-07T17:39:48"/>
    <n v="52.866666666666667"/>
    <x v="0"/>
    <n v="1.335555555553583"/>
    <x v="3"/>
    <n v="-0.16444444444641704"/>
    <n v="32.053333333285991"/>
    <n v="12"/>
    <n v="20.053333333285991"/>
    <n v="7.6595744681031901"/>
    <x v="0"/>
  </r>
  <r>
    <x v="1"/>
    <x v="0"/>
    <d v="2024-10-05T20:43:43"/>
    <s v="OMCKCJMRR"/>
    <x v="1"/>
    <s v="UBP 301H"/>
    <s v="NAMINYA SIRAJE"/>
    <s v="Kabaco U Ltd"/>
    <n v="156"/>
    <s v="Z80445"/>
    <x v="6"/>
    <x v="0"/>
    <x v="0"/>
    <x v="0"/>
    <x v="6"/>
    <x v="6"/>
    <n v="331"/>
    <n v="11"/>
    <x v="0"/>
    <d v="2024-10-05T20:42:00"/>
    <d v="2024-10-06T02:22:00"/>
    <d v="2024-10-05T21:29:00"/>
    <n v="-286.89999999999998"/>
    <n v="46.016666666666666"/>
    <x v="1"/>
    <d v="2024-10-07T08:28:00"/>
    <d v="2024-10-07T10:32:00"/>
    <n v="121.4"/>
    <x v="0"/>
    <d v="2024-10-07T19:27:00"/>
    <d v="2024-10-07T20:04:00"/>
    <n v="36.216666666666669"/>
    <x v="0"/>
    <n v="1.9152777777781012"/>
    <x v="3"/>
    <n v="0.41527777777810115"/>
    <n v="45.966666666674428"/>
    <n v="12"/>
    <n v="33.966666666674428"/>
    <n v="4.5927379784091569"/>
    <x v="0"/>
  </r>
  <r>
    <x v="1"/>
    <x v="1"/>
    <d v="2024-10-05T22:06:17"/>
    <s v="OMGR47HRR"/>
    <x v="1"/>
    <s v="UBE 419T"/>
    <s v="Kilabila Ismail"/>
    <s v="Ntale and Sons"/>
    <n v="153.60000000000002"/>
    <s v="A17332"/>
    <x v="19"/>
    <x v="1"/>
    <x v="0"/>
    <x v="1"/>
    <x v="19"/>
    <x v="19"/>
    <n v="802"/>
    <n v="-8"/>
    <x v="0"/>
    <d v="2024-10-05T21:36:00"/>
    <d v="2024-10-05T16:40:00"/>
    <d v="2024-10-05T22:22:00"/>
    <n v="334.86666666666667"/>
    <n v="45.033333333333331"/>
    <x v="1"/>
    <d v="2024-10-06T18:16:00"/>
    <d v="2024-10-07T15:14:00"/>
    <n v="1231.7833333333333"/>
    <x v="0"/>
    <d v="2024-10-08T10:48:00"/>
    <d v="2024-10-08T11:41:00"/>
    <n v="51.883333333333333"/>
    <x v="0"/>
    <n v="2.5180555555562023"/>
    <x v="4"/>
    <n v="-0.48194444444379769"/>
    <n v="60.433333333348855"/>
    <n v="24"/>
    <n v="36.433333333348855"/>
    <n v="4.215919487646878"/>
    <x v="0"/>
  </r>
  <r>
    <x v="1"/>
    <x v="1"/>
    <d v="2024-10-06T13:06:23"/>
    <s v="OMJKYQPRR"/>
    <x v="0"/>
    <s v="UAR 731Q"/>
    <s v="Godwin Niwensiima"/>
    <s v="KATO INVESTMENTS LIMITED-MASAK"/>
    <n v="153.60000000000002"/>
    <s v="F15105"/>
    <x v="14"/>
    <x v="1"/>
    <x v="0"/>
    <x v="1"/>
    <x v="14"/>
    <x v="14"/>
    <n v="151"/>
    <n v="-189"/>
    <x v="0"/>
    <d v="2024-10-06T14:04:23"/>
    <d v="2024-10-06T13:36:23"/>
    <d v="2024-10-06T15:08:23"/>
    <n v="90.066666666666663"/>
    <n v="62.65"/>
    <x v="1"/>
    <d v="2024-10-06T18:21:23"/>
    <d v="2024-10-07T13:04:35"/>
    <n v="1099.7833333333333"/>
    <x v="0"/>
    <d v="2024-10-07T15:44:35"/>
    <d v="2024-10-07T16:29:35"/>
    <n v="44.05"/>
    <x v="0"/>
    <n v="1.0251388888864312"/>
    <x v="8"/>
    <n v="2.5138888886431232E-2"/>
    <n v="24.60333333327435"/>
    <n v="12"/>
    <n v="12.60333333327435"/>
    <n v="12.187252049779334"/>
    <x v="0"/>
  </r>
  <r>
    <x v="1"/>
    <x v="0"/>
    <d v="2024-10-06T13:11:10"/>
    <s v="OMR0LU2RR"/>
    <x v="0"/>
    <s v="UBM 648D"/>
    <s v="Nakalya John"/>
    <s v="Kato Investment Ltd -Mityana"/>
    <n v="156"/>
    <s v="A17335"/>
    <x v="16"/>
    <x v="0"/>
    <x v="0"/>
    <x v="0"/>
    <x v="16"/>
    <x v="16"/>
    <m/>
    <n v="-690"/>
    <x v="0"/>
    <d v="2024-10-06T14:09:10"/>
    <d v="2024-10-06T13:41:10"/>
    <d v="2024-10-06T15:09:10"/>
    <n v="86.15"/>
    <n v="58.733333333333334"/>
    <x v="0"/>
    <d v="2024-10-07T17:09:10"/>
    <d v="2024-10-07T22:09:10"/>
    <n v="293.75"/>
    <x v="0"/>
    <d v="2024-10-08T17:25:29"/>
    <d v="2024-10-08T18:26:29"/>
    <n v="59.716666666666669"/>
    <x v="0"/>
    <n v="2.0946666666714009"/>
    <x v="0"/>
    <n v="9.466666667140089E-2"/>
    <n v="50.272000000113621"/>
    <n v="32"/>
    <n v="18.272000000113621"/>
    <n v="8.5376532398768568"/>
    <x v="0"/>
  </r>
  <r>
    <x v="1"/>
    <x v="0"/>
    <d v="2024-10-06T13:15:59"/>
    <s v="OMS3CYORR"/>
    <x v="1"/>
    <s v="UBK 882R"/>
    <s v="NASASIRA STEPHENE"/>
    <s v="Kato Investment Ltd -Mityana"/>
    <n v="172.8"/>
    <s v="A17336"/>
    <x v="16"/>
    <x v="0"/>
    <x v="0"/>
    <x v="0"/>
    <x v="16"/>
    <x v="16"/>
    <n v="689"/>
    <n v="-1"/>
    <x v="0"/>
    <d v="2024-10-06T15:32:00"/>
    <d v="2024-10-06T19:35:00"/>
    <d v="2024-10-06T16:21:00"/>
    <n v="-189.96666666666667"/>
    <n v="47.966666666666669"/>
    <x v="1"/>
    <d v="2024-10-07T11:52:00"/>
    <d v="2024-10-07T13:18:00"/>
    <n v="84.2"/>
    <x v="0"/>
    <d v="2024-10-08T09:40:00"/>
    <d v="2024-10-08T10:10:00"/>
    <n v="29.366666666666667"/>
    <x v="0"/>
    <n v="1.7215277777795563"/>
    <x v="0"/>
    <n v="-0.27847222222044365"/>
    <n v="41.316666666709352"/>
    <n v="12"/>
    <n v="29.316666666709352"/>
    <n v="5.8942581011852786"/>
    <x v="0"/>
  </r>
  <r>
    <x v="1"/>
    <x v="1"/>
    <d v="2024-10-06T13:19:30"/>
    <s v="OMCQF0VRR"/>
    <x v="0"/>
    <s v="UAT 351G"/>
    <s v="Hamudi Sesanga"/>
    <s v="Kabaco U Ltd"/>
    <n v="153.60000000000002"/>
    <s v="Z80453"/>
    <x v="6"/>
    <x v="1"/>
    <x v="0"/>
    <x v="1"/>
    <x v="6"/>
    <x v="6"/>
    <n v="121"/>
    <n v="-199"/>
    <x v="0"/>
    <d v="2024-10-06T14:17:30"/>
    <d v="2024-10-06T13:49:30"/>
    <d v="2024-10-06T15:01:30"/>
    <n v="70.483333333333334"/>
    <n v="43.06666666666667"/>
    <x v="1"/>
    <d v="2024-10-06T21:31:30"/>
    <d v="2024-10-07T13:50:42"/>
    <n v="958.8"/>
    <x v="0"/>
    <d v="2024-10-07T19:10:42"/>
    <d v="2024-10-07T19:46:42"/>
    <n v="35.25"/>
    <x v="0"/>
    <n v="1.1730555555550382"/>
    <x v="3"/>
    <n v="-0.32694444444496185"/>
    <n v="28.153333333320916"/>
    <n v="12"/>
    <n v="16.153333333320916"/>
    <n v="9.5088732975723129"/>
    <x v="0"/>
  </r>
  <r>
    <x v="1"/>
    <x v="1"/>
    <d v="2024-10-06T13:24:19"/>
    <s v="OMLOL3YRR"/>
    <x v="1"/>
    <s v="UAV 203T"/>
    <s v="Mugisha  George"/>
    <s v="Kabaco U Ltd-Mbarara"/>
    <n v="153.60000000000002"/>
    <s v="Z80454"/>
    <x v="8"/>
    <x v="1"/>
    <x v="0"/>
    <x v="1"/>
    <x v="8"/>
    <x v="8"/>
    <n v="13"/>
    <n v="2"/>
    <x v="0"/>
    <d v="2024-10-06T18:38:00"/>
    <d v="2024-10-06T14:00:00"/>
    <d v="2024-10-06T19:15:00"/>
    <n v="308.43333333333334"/>
    <n v="36.216666666666669"/>
    <x v="1"/>
    <d v="2024-10-06T19:56:00"/>
    <d v="2024-10-07T13:56:00"/>
    <n v="1057.5"/>
    <x v="0"/>
    <d v="2024-10-08T09:07:00"/>
    <d v="2024-10-08T10:05:00"/>
    <n v="56.783333333333331"/>
    <x v="0"/>
    <n v="1.577777777776646"/>
    <x v="5"/>
    <n v="0.77777777777664592"/>
    <n v="37.866666666639503"/>
    <n v="12"/>
    <n v="25.866666666639503"/>
    <n v="5.9381443299031442"/>
    <x v="0"/>
  </r>
  <r>
    <x v="1"/>
    <x v="1"/>
    <d v="2024-10-06T20:36:57"/>
    <s v="OMYF4CHRR"/>
    <x v="0"/>
    <s v="UAY 265V"/>
    <m/>
    <s v="Kabaco U Ltd-Mbarara"/>
    <n v="153.60000000000002"/>
    <s v="Z80458"/>
    <x v="8"/>
    <x v="1"/>
    <x v="0"/>
    <x v="1"/>
    <x v="8"/>
    <x v="8"/>
    <n v="12"/>
    <n v="1"/>
    <x v="0"/>
    <d v="2024-10-07T07:58:57"/>
    <d v="2024-10-07T07:30:57"/>
    <d v="2024-10-07T08:42:57"/>
    <n v="70.483333333333334"/>
    <n v="43.06666666666667"/>
    <x v="1"/>
    <d v="2024-10-07T09:24:57"/>
    <d v="2024-10-07T12:41:57"/>
    <n v="192.88333333333333"/>
    <x v="0"/>
    <d v="2024-10-07T13:12:57"/>
    <d v="2024-10-07T14:12:57"/>
    <n v="58.733333333333334"/>
    <x v="0"/>
    <n v="0.1875"/>
    <x v="5"/>
    <n v="-0.61250000000000004"/>
    <n v="4.5"/>
    <n v="0"/>
    <n v="4.5"/>
    <n v="34.13333333333334"/>
    <x v="0"/>
  </r>
  <r>
    <x v="1"/>
    <x v="1"/>
    <d v="2024-10-06T20:40:15"/>
    <s v="OMDA86XRR"/>
    <x v="1"/>
    <s v="UBJ 415C"/>
    <s v="Abel Mark naffa"/>
    <s v="KATO INVESTMENTS LIMITED-MASAK"/>
    <n v="153.60000000000002"/>
    <s v="F15109"/>
    <x v="14"/>
    <x v="1"/>
    <x v="0"/>
    <x v="1"/>
    <x v="14"/>
    <x v="14"/>
    <n v="249"/>
    <n v="-91"/>
    <x v="0"/>
    <d v="2024-10-06T20:11:00"/>
    <d v="2024-10-07T04:14:00"/>
    <d v="2024-10-06T20:58:00"/>
    <n v="-426.91666666666669"/>
    <n v="46.016666666666666"/>
    <x v="1"/>
    <d v="2024-10-07T10:05:00"/>
    <d v="2024-10-07T13:13:00"/>
    <n v="184.06666666666666"/>
    <x v="0"/>
    <d v="2024-10-08T10:39:00"/>
    <d v="2024-10-08T11:16:00"/>
    <n v="36.216666666666669"/>
    <x v="0"/>
    <n v="1.570138888884685"/>
    <x v="8"/>
    <n v="0.570138888884685"/>
    <n v="37.68333333323244"/>
    <n v="12"/>
    <n v="25.68333333323244"/>
    <n v="5.980532122022197"/>
    <x v="0"/>
  </r>
  <r>
    <x v="1"/>
    <x v="1"/>
    <d v="2024-10-06T22:23:05"/>
    <s v="OMMZZE8RR"/>
    <x v="1"/>
    <s v="UBA 523T"/>
    <s v="Kabene John"/>
    <s v="DE PLACE INVESTMENTS LTD"/>
    <n v="153.60000000000002"/>
    <s v="F15111"/>
    <x v="0"/>
    <x v="1"/>
    <x v="0"/>
    <x v="1"/>
    <x v="0"/>
    <x v="0"/>
    <n v="765"/>
    <n v="5"/>
    <x v="0"/>
    <d v="2024-10-07T13:22:00"/>
    <d v="2024-10-06T16:40:00"/>
    <d v="2024-10-07T14:08:00"/>
    <n v="1261.1500000000001"/>
    <n v="45.033333333333331"/>
    <x v="1"/>
    <d v="2024-10-08T11:24:00"/>
    <d v="2024-10-08T14:59:00"/>
    <n v="210.51666666666668"/>
    <x v="0"/>
    <d v="2024-10-09T16:14:00"/>
    <d v="2024-10-09T17:02:00"/>
    <n v="46.983333333333334"/>
    <x v="0"/>
    <n v="2.0875000000014552"/>
    <x v="0"/>
    <n v="8.7500000001455192E-2"/>
    <n v="50.100000000034925"/>
    <n v="24"/>
    <n v="26.100000000034925"/>
    <n v="5.885057471256494"/>
    <x v="0"/>
  </r>
  <r>
    <x v="1"/>
    <x v="0"/>
    <d v="2024-10-06T22:25:26"/>
    <s v="OMCWO1LRR"/>
    <x v="0"/>
    <s v="UBE 687K"/>
    <m/>
    <s v="Boniface Harera"/>
    <n v="156"/>
    <s v="F15112"/>
    <x v="10"/>
    <x v="0"/>
    <x v="0"/>
    <x v="0"/>
    <x v="10"/>
    <x v="10"/>
    <n v="465"/>
    <n v="-5"/>
    <x v="0"/>
    <d v="2024-10-07T07:58:26"/>
    <d v="2024-10-07T07:30:26"/>
    <d v="2024-10-07T08:42:26"/>
    <n v="70.483333333333334"/>
    <n v="43.06666666666667"/>
    <x v="1"/>
    <d v="2024-10-08T10:42:26"/>
    <d v="2024-10-08T15:57:26"/>
    <n v="308.43333333333334"/>
    <x v="0"/>
    <d v="2024-10-09T14:45:26"/>
    <d v="2024-10-09T15:29:26"/>
    <n v="43.06666666666667"/>
    <x v="0"/>
    <n v="2.2520833333328483"/>
    <x v="1"/>
    <n v="-0.24791666666715173"/>
    <n v="54.049999999988358"/>
    <n v="24"/>
    <n v="30.049999999988358"/>
    <n v="5.191347753745772"/>
    <x v="0"/>
  </r>
  <r>
    <x v="1"/>
    <x v="0"/>
    <d v="2024-10-07T00:00:00"/>
    <s v="OM02K7TE"/>
    <x v="0"/>
    <s v="UBJ 703D"/>
    <m/>
    <s v="Kabaco U Ltd"/>
    <n v="156"/>
    <s v="Z80472"/>
    <x v="6"/>
    <x v="0"/>
    <x v="0"/>
    <x v="0"/>
    <x v="6"/>
    <x v="6"/>
    <n v="323"/>
    <n v="3"/>
    <x v="0"/>
    <d v="2024-10-07T07:58:00"/>
    <d v="2024-10-07T07:30:00"/>
    <d v="2024-10-07T08:42:00"/>
    <n v="70.483333333333334"/>
    <n v="43.06666666666667"/>
    <x v="1"/>
    <d v="2024-10-07T15:22:00"/>
    <d v="2024-10-07T19:03:46"/>
    <n v="217.13333333333333"/>
    <x v="0"/>
    <d v="2024-10-08T11:22:58"/>
    <d v="2024-10-08T12:13:58"/>
    <n v="49.93333333333333"/>
    <x v="0"/>
    <n v="1.1117777777835727"/>
    <x v="3"/>
    <n v="-0.38822222221642733"/>
    <n v="26.682666666805744"/>
    <n v="12"/>
    <n v="14.682666666805744"/>
    <n v="10.624772974835793"/>
    <x v="0"/>
  </r>
  <r>
    <x v="1"/>
    <x v="1"/>
    <d v="2024-10-07T14:33:29"/>
    <s v="OMYQ0C6RR"/>
    <x v="1"/>
    <s v="UBJ 375N"/>
    <s v="Stephen Musoke "/>
    <s v="KATO INVESTMENTS LIMITED-MASAK"/>
    <n v="153.60000000000002"/>
    <s v="F15113"/>
    <x v="14"/>
    <x v="1"/>
    <x v="0"/>
    <x v="1"/>
    <x v="14"/>
    <x v="14"/>
    <n v="296"/>
    <n v="-44"/>
    <x v="0"/>
    <d v="2024-10-07T15:42:00"/>
    <d v="2024-10-08T04:14:00"/>
    <d v="2024-10-07T16:22:00"/>
    <n v="-697.18333333333328"/>
    <n v="39.166666666666664"/>
    <x v="1"/>
    <d v="2024-10-07T20:39:00"/>
    <d v="2024-10-08T12:03:00"/>
    <n v="904.73333333333335"/>
    <x v="0"/>
    <d v="2024-10-08T17:41:00"/>
    <d v="2024-10-08T18:34:00"/>
    <n v="51.883333333333333"/>
    <x v="0"/>
    <n v="1.054861111115315"/>
    <x v="8"/>
    <n v="5.4861111115314998E-2"/>
    <n v="25.31666666676756"/>
    <n v="12"/>
    <n v="13.31666666676756"/>
    <n v="11.534418022440772"/>
    <x v="0"/>
  </r>
  <r>
    <x v="1"/>
    <x v="1"/>
    <d v="2024-10-07T14:35:56"/>
    <s v="OMTZ2BVRR"/>
    <x v="0"/>
    <s v="UAV 051U"/>
    <s v="Angello Lumala"/>
    <s v="KATO INVESTMENTS LIMITED-MASAK"/>
    <n v="153.60000000000002"/>
    <s v="F15114"/>
    <x v="14"/>
    <x v="1"/>
    <x v="0"/>
    <x v="1"/>
    <x v="14"/>
    <x v="14"/>
    <n v="348"/>
    <n v="8"/>
    <x v="0"/>
    <d v="2024-10-07T15:33:56"/>
    <d v="2024-10-07T15:05:56"/>
    <d v="2024-10-07T16:17:56"/>
    <n v="70.483333333333334"/>
    <n v="43.06666666666667"/>
    <x v="1"/>
    <d v="2024-10-07T19:30:56"/>
    <d v="2024-10-08T14:14:08"/>
    <n v="1099.7833333333333"/>
    <x v="0"/>
    <d v="2024-10-08T16:54:08"/>
    <d v="2024-10-08T17:49:08"/>
    <n v="53.85"/>
    <x v="0"/>
    <n v="1.0251388888864312"/>
    <x v="8"/>
    <n v="2.5138888886431232E-2"/>
    <n v="24.60333333327435"/>
    <n v="12"/>
    <n v="12.60333333327435"/>
    <n v="12.187252049779334"/>
    <x v="0"/>
  </r>
  <r>
    <x v="1"/>
    <x v="0"/>
    <d v="2024-10-07T19:29:52"/>
    <s v="OMTBXQYRR"/>
    <x v="1"/>
    <s v="UBE 673K"/>
    <s v="Bulega Sperito"/>
    <s v="Kato Investment Ltd -Mityana"/>
    <n v="156"/>
    <s v="A17355"/>
    <x v="16"/>
    <x v="0"/>
    <x v="0"/>
    <x v="0"/>
    <x v="16"/>
    <x v="16"/>
    <n v="691"/>
    <n v="1"/>
    <x v="0"/>
    <d v="2024-10-07T19:01:00"/>
    <d v="2024-10-07T19:35:00"/>
    <d v="2024-10-07T19:41:00"/>
    <n v="5.8666666666666663"/>
    <n v="39.166666666666664"/>
    <x v="1"/>
    <d v="2024-10-08T20:19:00"/>
    <d v="2024-10-09T11:06:00"/>
    <n v="868.51666666666665"/>
    <x v="0"/>
    <d v="2024-10-11T19:22:00"/>
    <d v="2024-10-11T20:13:00"/>
    <n v="49.93333333333333"/>
    <x v="0"/>
    <n v="3.9868055555489263"/>
    <x v="0"/>
    <n v="1.9868055555489263"/>
    <n v="95.683333333174232"/>
    <n v="36"/>
    <n v="59.683333333174232"/>
    <n v="2.6137950293283865"/>
    <x v="4"/>
  </r>
  <r>
    <x v="1"/>
    <x v="0"/>
    <d v="2024-10-07T19:30:52"/>
    <s v="OMWVQVXRR"/>
    <x v="0"/>
    <s v="UBF 375L"/>
    <m/>
    <s v="Kobusinge Steven-FPortal"/>
    <n v="156"/>
    <s v="Z80470"/>
    <x v="11"/>
    <x v="0"/>
    <x v="0"/>
    <x v="0"/>
    <x v="11"/>
    <x v="11"/>
    <n v="386"/>
    <n v="-4"/>
    <x v="0"/>
    <d v="2024-10-08T07:58:52"/>
    <d v="2024-10-08T07:30:52"/>
    <d v="2024-10-08T08:53:52"/>
    <n v="81.266666666666666"/>
    <n v="53.85"/>
    <x v="3"/>
    <d v="2024-10-09T10:23:52"/>
    <d v="2024-10-10T11:50:16"/>
    <n v="1494.5833333333333"/>
    <x v="0"/>
    <d v="2024-10-10T12:08:59"/>
    <d v="2024-10-10T13:08:59"/>
    <n v="58.733333333333334"/>
    <x v="0"/>
    <n v="2.1354999999966822"/>
    <x v="0"/>
    <n v="0.13549999999668216"/>
    <n v="51.251999999920372"/>
    <n v="32"/>
    <n v="19.251999999920372"/>
    <n v="8.1030542281656572"/>
    <x v="0"/>
  </r>
  <r>
    <x v="1"/>
    <x v="0"/>
    <d v="2024-10-07T19:33:39"/>
    <s v="OMDXCAFRR"/>
    <x v="1"/>
    <s v="UBJ 420C"/>
    <s v="ZIWA ABASI"/>
    <s v="Kobusinge Steven-Kamwenge"/>
    <n v="156"/>
    <s v="Z80471"/>
    <x v="13"/>
    <x v="0"/>
    <x v="0"/>
    <x v="0"/>
    <x v="13"/>
    <x v="13"/>
    <n v="236"/>
    <n v="6"/>
    <x v="0"/>
    <d v="2024-10-07T19:29:00"/>
    <d v="2024-10-08T03:17:00"/>
    <d v="2024-10-07T20:12:00"/>
    <n v="-416.15"/>
    <n v="42.1"/>
    <x v="1"/>
    <d v="2024-10-08T07:16:00"/>
    <d v="2024-10-08T16:30:00"/>
    <n v="542.45000000000005"/>
    <x v="0"/>
    <d v="2024-10-08T22:10:00"/>
    <d v="2024-10-08T22:54:00"/>
    <n v="43.083333333333336"/>
    <x v="0"/>
    <n v="1.0819444444423425"/>
    <x v="7"/>
    <n v="-0.21805555555765754"/>
    <n v="25.96666666661622"/>
    <n v="12"/>
    <n v="13.96666666661622"/>
    <n v="11.169451074026023"/>
    <x v="0"/>
  </r>
  <r>
    <x v="1"/>
    <x v="1"/>
    <d v="2024-10-07T19:46:57"/>
    <s v="OMV15PHRR"/>
    <x v="1"/>
    <s v="UBE 422T"/>
    <s v="Jacob Oneka"/>
    <s v="Agaba Services"/>
    <n v="153.60000000000002"/>
    <s v="F15117"/>
    <x v="20"/>
    <x v="1"/>
    <x v="0"/>
    <x v="1"/>
    <x v="20"/>
    <x v="20"/>
    <n v="296"/>
    <n v="-6"/>
    <x v="0"/>
    <d v="2024-10-08T08:07:00"/>
    <d v="2024-10-08T08:30:00"/>
    <d v="2024-10-08T08:50:00"/>
    <n v="19.583333333333332"/>
    <n v="42.1"/>
    <x v="1"/>
    <d v="2024-10-08T13:13:00"/>
    <d v="2024-10-08T15:23:00"/>
    <n v="127.28333333333333"/>
    <x v="0"/>
    <d v="2024-10-08T19:57:00"/>
    <d v="2024-10-08T20:39:00"/>
    <n v="41.116666666666667"/>
    <x v="0"/>
    <n v="0.46319444444816327"/>
    <x v="8"/>
    <n v="-0.53680555555183673"/>
    <n v="11.116666666755918"/>
    <n v="0"/>
    <n v="11.116666666755918"/>
    <n v="13.817091454161933"/>
    <x v="0"/>
  </r>
  <r>
    <x v="1"/>
    <x v="0"/>
    <d v="2024-10-07T19:47:41"/>
    <s v="OMFWO1TRR"/>
    <x v="0"/>
    <s v="UBE 684K"/>
    <m/>
    <s v="Kabaco U Ltd"/>
    <n v="156"/>
    <s v="Z80473"/>
    <x v="6"/>
    <x v="0"/>
    <x v="0"/>
    <x v="0"/>
    <x v="6"/>
    <x v="6"/>
    <n v="318"/>
    <n v="-2"/>
    <x v="0"/>
    <d v="2024-10-08T07:58:41"/>
    <d v="2024-10-08T07:30:41"/>
    <d v="2024-10-08T08:45:41"/>
    <n v="73.433333333333337"/>
    <n v="46.016666666666666"/>
    <x v="1"/>
    <d v="2024-10-08T14:45:41"/>
    <d v="2024-10-08T18:46:10"/>
    <n v="235.46666666666667"/>
    <x v="0"/>
    <d v="2024-10-09T08:41:22"/>
    <d v="2024-10-09T09:38:22"/>
    <n v="55.8"/>
    <x v="0"/>
    <n v="0.9970000000030268"/>
    <x v="3"/>
    <n v="-0.5029999999969732"/>
    <n v="23.928000000072643"/>
    <n v="0"/>
    <n v="23.928000000072643"/>
    <n v="6.5195586760082911"/>
    <x v="0"/>
  </r>
  <r>
    <x v="1"/>
    <x v="1"/>
    <d v="2024-10-07T20:58:42"/>
    <s v="OMV94UTRR"/>
    <x v="1"/>
    <s v="UBJ 988D"/>
    <s v="Tumusiime Robert"/>
    <s v="Agaba Services"/>
    <n v="153.60000000000002"/>
    <s v="F15118"/>
    <x v="20"/>
    <x v="1"/>
    <x v="0"/>
    <x v="1"/>
    <x v="20"/>
    <x v="20"/>
    <n v="303"/>
    <n v="1"/>
    <x v="0"/>
    <d v="2024-10-09T06:23:00"/>
    <d v="2024-10-08T10:00:00"/>
    <d v="2024-10-09T07:00:00"/>
    <n v="1233.75"/>
    <n v="36.216666666666669"/>
    <x v="1"/>
    <d v="2024-10-09T12:57:00"/>
    <d v="2024-10-09T16:16:00"/>
    <n v="194.85"/>
    <x v="0"/>
    <d v="2024-10-11T11:43:00"/>
    <d v="2024-10-11T12:19:00"/>
    <n v="35.25"/>
    <x v="0"/>
    <n v="2.1965277777781012"/>
    <x v="8"/>
    <n v="1.1965277777781012"/>
    <n v="52.716666666674428"/>
    <n v="24"/>
    <n v="28.716666666674428"/>
    <n v="5.3488102147402845"/>
    <x v="0"/>
  </r>
  <r>
    <x v="1"/>
    <x v="1"/>
    <d v="2024-10-07T21:00:49"/>
    <s v="OMLK57KRR"/>
    <x v="0"/>
    <s v="UAT 351G"/>
    <s v="Hamudi Sesanga"/>
    <s v="RUGOMA TRADERS CO. LTD NTUNGAM"/>
    <n v="153.60000000000002"/>
    <s v="F15120"/>
    <x v="15"/>
    <x v="1"/>
    <x v="0"/>
    <x v="1"/>
    <x v="15"/>
    <x v="15"/>
    <n v="129"/>
    <n v="-1"/>
    <x v="0"/>
    <d v="2024-10-08T08:58:49"/>
    <d v="2024-10-08T08:30:49"/>
    <d v="2024-10-08T09:42:49"/>
    <n v="70.483333333333334"/>
    <n v="43.06666666666667"/>
    <x v="1"/>
    <d v="2024-10-08T12:12:49"/>
    <d v="2024-10-08T16:52:49"/>
    <n v="274.16666666666669"/>
    <x v="0"/>
    <d v="2024-10-08T20:22:49"/>
    <d v="2024-10-08T21:10:49"/>
    <n v="46.983333333333334"/>
    <x v="0"/>
    <n v="0.44444444444525288"/>
    <x v="8"/>
    <n v="-0.55555555555474712"/>
    <n v="10.666666666686069"/>
    <n v="0"/>
    <n v="10.666666666686069"/>
    <n v="14.399999999973808"/>
    <x v="0"/>
  </r>
  <r>
    <x v="1"/>
    <x v="1"/>
    <d v="2024-10-07T21:48:40"/>
    <s v="OMZDB3ERR"/>
    <x v="1"/>
    <s v="UBJ 707D"/>
    <s v="Konge Husein"/>
    <s v="Ntale and Sons"/>
    <n v="153.60000000000002"/>
    <s v="A17361"/>
    <x v="19"/>
    <x v="1"/>
    <x v="0"/>
    <x v="1"/>
    <x v="19"/>
    <x v="19"/>
    <n v="819"/>
    <n v="9"/>
    <x v="0"/>
    <d v="2024-10-08T12:47:00"/>
    <d v="2024-10-08T16:40:00"/>
    <d v="2024-10-08T13:31:00"/>
    <n v="-185.06666666666666"/>
    <n v="43.06666666666667"/>
    <x v="1"/>
    <d v="2024-10-09T13:07:00"/>
    <d v="2024-10-09T17:19:00"/>
    <n v="246.75"/>
    <x v="0"/>
    <d v="2024-10-11T13:48:00"/>
    <d v="2024-10-11T14:35:00"/>
    <n v="46.016666666666666"/>
    <x v="0"/>
    <n v="3.0118055555503815"/>
    <x v="4"/>
    <n v="1.1805555550381541E-2"/>
    <n v="72.283333333209157"/>
    <n v="36"/>
    <n v="36.283333333209157"/>
    <n v="4.2333486449386966"/>
    <x v="0"/>
  </r>
  <r>
    <x v="1"/>
    <x v="0"/>
    <d v="2024-10-08T16:27:17"/>
    <s v="OMJU7P2RR"/>
    <x v="1"/>
    <s v="UBK 882R"/>
    <s v="NASASIRA STEPHENE"/>
    <s v="Kato Investment Ltd -Mityana"/>
    <n v="172.8"/>
    <s v="A17384"/>
    <x v="16"/>
    <x v="0"/>
    <x v="0"/>
    <x v="0"/>
    <x v="16"/>
    <x v="16"/>
    <n v="687"/>
    <n v="-3"/>
    <x v="0"/>
    <d v="2024-10-08T17:02:00"/>
    <d v="2024-10-08T19:35:00"/>
    <d v="2024-10-08T17:49:00"/>
    <n v="-103.8"/>
    <n v="46.016666666666666"/>
    <x v="1"/>
    <d v="2024-10-09T20:01:00"/>
    <d v="2024-10-09T21:45:00"/>
    <n v="101.83333333333333"/>
    <x v="0"/>
    <d v="2024-10-10T17:34:00"/>
    <d v="2024-10-10T18:08:00"/>
    <n v="33.283333333333331"/>
    <x v="0"/>
    <n v="1.9895833333357587"/>
    <x v="0"/>
    <n v="-1.0416666664241347E-2"/>
    <n v="47.750000000058208"/>
    <n v="12"/>
    <n v="35.750000000058208"/>
    <n v="4.8335664335585635"/>
    <x v="0"/>
  </r>
  <r>
    <x v="1"/>
    <x v="1"/>
    <d v="2024-10-08T22:21:14"/>
    <s v="OMAC019RR"/>
    <x v="1"/>
    <s v="UBJ 375N"/>
    <s v="Stephen Musoke "/>
    <s v="Ntale and Sons"/>
    <n v="153.60000000000002"/>
    <s v="A17386"/>
    <x v="19"/>
    <x v="1"/>
    <x v="0"/>
    <x v="1"/>
    <x v="19"/>
    <x v="19"/>
    <n v="798"/>
    <n v="-12"/>
    <x v="0"/>
    <d v="2024-10-09T12:05:00"/>
    <d v="2024-10-09T16:40:00"/>
    <d v="2024-10-09T12:42:00"/>
    <n v="-233.05"/>
    <n v="36.216666666666669"/>
    <x v="1"/>
    <d v="2024-10-10T17:20:00"/>
    <d v="2024-10-11T12:28:00"/>
    <n v="1124.0833333333333"/>
    <x v="0"/>
    <d v="2024-10-12T19:37:00"/>
    <d v="2024-10-12T20:37:00"/>
    <n v="58.733333333333334"/>
    <x v="0"/>
    <n v="3.2881944444452529"/>
    <x v="4"/>
    <n v="0.28819444444525288"/>
    <n v="78.916666666686069"/>
    <n v="36"/>
    <n v="42.916666666686069"/>
    <n v="3.5790291262119749"/>
    <x v="0"/>
  </r>
  <r>
    <x v="1"/>
    <x v="0"/>
    <d v="2024-10-09T00:00:00"/>
    <s v="OM02K8SD"/>
    <x v="0"/>
    <s v="UBJ 705D"/>
    <s v="KASULE JOHNBOSC"/>
    <s v="Sawan Distributors Ltd-Nabingo"/>
    <n v="156.67500000000001"/>
    <s v="A17415"/>
    <x v="21"/>
    <x v="0"/>
    <x v="0"/>
    <x v="0"/>
    <x v="21"/>
    <x v="2"/>
    <n v="555"/>
    <n v="-5"/>
    <x v="0"/>
    <d v="2024-10-09T07:58:00"/>
    <d v="2024-10-09T07:30:00"/>
    <d v="2024-10-09T08:58:00"/>
    <n v="86.15"/>
    <n v="58.733333333333334"/>
    <x v="0"/>
    <d v="2024-10-10T09:58:00"/>
    <d v="2024-10-10T14:58:00"/>
    <n v="293.75"/>
    <x v="0"/>
    <d v="2024-10-11T17:22:00"/>
    <d v="2024-10-11T18:16:00"/>
    <n v="52.866666666666667"/>
    <x v="0"/>
    <n v="2.3499999999985448"/>
    <x v="0"/>
    <n v="0.34999999999854481"/>
    <n v="56.399999999965075"/>
    <n v="32"/>
    <n v="24.399999999965075"/>
    <n v="6.4211065573862403"/>
    <x v="0"/>
  </r>
  <r>
    <x v="1"/>
    <x v="0"/>
    <d v="2024-10-09T00:00:00"/>
    <s v="OM02K8R7"/>
    <x v="0"/>
    <s v="UBP 310H"/>
    <m/>
    <s v="Kobusinge Acaali- Kyenjojo"/>
    <n v="156"/>
    <s v="Z80513"/>
    <x v="3"/>
    <x v="0"/>
    <x v="0"/>
    <x v="0"/>
    <x v="3"/>
    <x v="3"/>
    <n v="481"/>
    <n v="1"/>
    <x v="0"/>
    <d v="2024-10-09T07:58:00"/>
    <d v="2024-10-09T07:30:00"/>
    <d v="2024-10-09T08:42:00"/>
    <n v="70.483333333333334"/>
    <n v="43.06666666666667"/>
    <x v="1"/>
    <d v="2024-10-10T10:42:00"/>
    <d v="2024-10-11T15:44:24"/>
    <n v="1706.0833333333333"/>
    <x v="0"/>
    <d v="2024-10-12T18:11:08"/>
    <d v="2024-10-12T18:59:08"/>
    <n v="46.983333333333334"/>
    <x v="0"/>
    <n v="3.395233333336364"/>
    <x v="1"/>
    <n v="0.89523333333636401"/>
    <n v="81.485600000072736"/>
    <n v="36"/>
    <n v="45.485600000072736"/>
    <n v="3.4296568584288334"/>
    <x v="2"/>
  </r>
  <r>
    <x v="1"/>
    <x v="1"/>
    <d v="2024-10-09T14:08:41"/>
    <s v="OMF4JNQRR"/>
    <x v="1"/>
    <s v="UBA 523T"/>
    <s v="Kabene John"/>
    <s v="Ntale and Sons"/>
    <n v="144"/>
    <s v="A17393"/>
    <x v="19"/>
    <x v="1"/>
    <x v="0"/>
    <x v="1"/>
    <x v="19"/>
    <x v="19"/>
    <n v="793"/>
    <n v="-17"/>
    <x v="0"/>
    <d v="2024-10-10T07:52:00"/>
    <d v="2024-10-09T16:40:00"/>
    <d v="2024-10-10T08:32:00"/>
    <n v="932.16666666666663"/>
    <n v="39.166666666666664"/>
    <x v="1"/>
    <d v="2024-10-11T10:13:00"/>
    <d v="2024-10-11T18:31:00"/>
    <n v="487.61666666666667"/>
    <x v="0"/>
    <d v="2024-10-12T19:07:00"/>
    <d v="2024-10-12T19:55:00"/>
    <n v="46.983333333333334"/>
    <x v="0"/>
    <n v="2.4409722222189885"/>
    <x v="4"/>
    <n v="-0.55902777778101154"/>
    <n v="58.583333333255723"/>
    <n v="24"/>
    <n v="34.583333333255723"/>
    <n v="4.1638554216960912"/>
    <x v="0"/>
  </r>
  <r>
    <x v="1"/>
    <x v="0"/>
    <d v="2024-10-09T14:15:22"/>
    <s v="OM90FV8RR"/>
    <x v="1"/>
    <s v="UBE 674K"/>
    <s v="SSENOGA AMOS "/>
    <s v="Kato Investment Ltd -Mityana"/>
    <n v="141.75"/>
    <s v="A17396"/>
    <x v="16"/>
    <x v="0"/>
    <x v="0"/>
    <x v="0"/>
    <x v="16"/>
    <x v="16"/>
    <n v="646"/>
    <n v="-44"/>
    <x v="0"/>
    <d v="2024-10-09T15:35:00"/>
    <d v="2024-10-09T19:35:00"/>
    <d v="2024-10-09T16:21:00"/>
    <n v="-189.96666666666667"/>
    <n v="45.033333333333331"/>
    <x v="1"/>
    <d v="2024-10-11T13:45:00"/>
    <d v="2024-10-11T17:58:00"/>
    <n v="247.71666666666667"/>
    <x v="0"/>
    <d v="2024-10-12T08:38:00"/>
    <d v="2024-10-12T09:38:00"/>
    <n v="58.733333333333334"/>
    <x v="0"/>
    <n v="2.6784722222218988"/>
    <x v="0"/>
    <n v="0.67847222222189885"/>
    <n v="64.283333333325572"/>
    <n v="24"/>
    <n v="40.283333333325572"/>
    <n v="3.518824989657277"/>
    <x v="4"/>
  </r>
  <r>
    <x v="1"/>
    <x v="1"/>
    <d v="2024-10-09T14:17:44"/>
    <s v="OM0NJQERR"/>
    <x v="0"/>
    <s v="UBJ 375N"/>
    <s v="Stephen Musoke "/>
    <s v="Kabaco U Ltd"/>
    <n v="141.75"/>
    <s v="Z80503"/>
    <x v="6"/>
    <x v="1"/>
    <x v="0"/>
    <x v="1"/>
    <x v="6"/>
    <x v="6"/>
    <n v="121"/>
    <n v="-199"/>
    <x v="0"/>
    <d v="2024-10-09T15:15:44"/>
    <d v="2024-10-09T14:47:44"/>
    <d v="2024-10-09T15:59:44"/>
    <n v="70.483333333333334"/>
    <n v="43.06666666666667"/>
    <x v="1"/>
    <d v="2024-10-09T22:59:44"/>
    <d v="2024-10-10T12:54:56"/>
    <n v="817.8"/>
    <x v="0"/>
    <d v="2024-10-11T07:38:08"/>
    <d v="2024-10-11T08:18:08"/>
    <n v="39.166666666666664"/>
    <x v="0"/>
    <n v="1.6516666666648234"/>
    <x v="3"/>
    <n v="0.15166666666482342"/>
    <n v="39.639999999955762"/>
    <n v="12"/>
    <n v="27.639999999955762"/>
    <n v="5.1284370477650825"/>
    <x v="0"/>
  </r>
  <r>
    <x v="1"/>
    <x v="1"/>
    <d v="2024-10-09T20:12:04"/>
    <s v="OM5Z3U9RR"/>
    <x v="0"/>
    <s v="UAR 731Q"/>
    <s v="Godwin Niwensiima"/>
    <s v="Agaba Services"/>
    <n v="153.60000000000002"/>
    <s v="F15131"/>
    <x v="20"/>
    <x v="1"/>
    <x v="0"/>
    <x v="1"/>
    <x v="20"/>
    <x v="20"/>
    <n v="302"/>
    <n v="0"/>
    <x v="0"/>
    <d v="2024-10-10T07:58:04"/>
    <d v="2024-10-10T07:30:04"/>
    <d v="2024-10-10T08:53:04"/>
    <n v="81.266666666666666"/>
    <n v="53.85"/>
    <x v="7"/>
    <d v="2024-10-10T14:53:04"/>
    <d v="2024-10-10T17:55:04"/>
    <n v="178.2"/>
    <x v="0"/>
    <d v="2024-10-11T08:47:52"/>
    <d v="2024-10-11T09:23:52"/>
    <n v="35.25"/>
    <x v="0"/>
    <n v="0.99638888888875954"/>
    <x v="8"/>
    <n v="-3.6111111112404615E-3"/>
    <n v="23.913333333330229"/>
    <n v="0"/>
    <n v="23.913333333330229"/>
    <n v="6.4231948703660429"/>
    <x v="0"/>
  </r>
  <r>
    <x v="1"/>
    <x v="0"/>
    <d v="2024-10-09T20:16:36"/>
    <s v="OM6ERKURR"/>
    <x v="1"/>
    <s v="UBE 690K"/>
    <s v="MUKOSE MUZAMIRU"/>
    <s v="Ntale and Sons Ltd-Kakiri"/>
    <n v="156"/>
    <s v="A17398"/>
    <x v="22"/>
    <x v="0"/>
    <x v="0"/>
    <x v="0"/>
    <x v="22"/>
    <x v="21"/>
    <n v="592"/>
    <n v="-28"/>
    <x v="0"/>
    <d v="2024-10-09T20:17:00"/>
    <d v="2024-10-10T01:59:00"/>
    <d v="2024-10-09T21:06:00"/>
    <n v="-286.89999999999998"/>
    <n v="47.966666666666669"/>
    <x v="1"/>
    <d v="2024-10-11T06:52:00"/>
    <d v="2024-10-11T16:29:00"/>
    <n v="564.9666666666667"/>
    <x v="0"/>
    <d v="2024-10-12T10:56:00"/>
    <d v="2024-10-12T11:57:00"/>
    <n v="59.716666666666669"/>
    <x v="0"/>
    <n v="2.5763888888905058"/>
    <x v="0"/>
    <n v="0.57638888889050577"/>
    <n v="61.833333333372138"/>
    <n v="24"/>
    <n v="37.833333333372138"/>
    <n v="4.1233480176169159"/>
    <x v="0"/>
  </r>
  <r>
    <x v="1"/>
    <x v="0"/>
    <d v="2024-10-09T20:17:36"/>
    <s v="OMM38S5RR"/>
    <x v="0"/>
    <s v="UBP 311H"/>
    <m/>
    <s v="Sawan Distributors Ltd-Kayabwe"/>
    <n v="156"/>
    <s v="A17399"/>
    <x v="9"/>
    <x v="0"/>
    <x v="0"/>
    <x v="0"/>
    <x v="9"/>
    <x v="9"/>
    <m/>
    <n v="-400"/>
    <x v="0"/>
    <d v="2024-10-10T07:58:36"/>
    <d v="2024-10-10T07:30:36"/>
    <d v="2024-10-10T08:42:36"/>
    <n v="70.483333333333334"/>
    <n v="43.06666666666667"/>
    <x v="1"/>
    <d v="2024-10-10T17:42:36"/>
    <d v="2024-10-11T17:18:07"/>
    <n v="1386.0166666666667"/>
    <x v="0"/>
    <d v="2024-10-12T12:01:19"/>
    <d v="2024-10-12T12:53:19"/>
    <n v="50.916666666666664"/>
    <x v="0"/>
    <n v="2.1379999999990105"/>
    <x v="0"/>
    <n v="0.13799999999901047"/>
    <n v="51.311999999976251"/>
    <n v="24"/>
    <n v="27.311999999976251"/>
    <n v="5.7117750439416977"/>
    <x v="0"/>
  </r>
  <r>
    <x v="1"/>
    <x v="0"/>
    <d v="2024-10-09T20:22:36"/>
    <s v="OMGPPOKRR"/>
    <x v="1"/>
    <s v="UBP 301H"/>
    <s v="NAMINYA SIRAJE"/>
    <s v="KATO INVESTMENTS LTD-KATIKARA"/>
    <n v="155.10000000000002"/>
    <s v="A17401"/>
    <x v="5"/>
    <x v="0"/>
    <x v="0"/>
    <x v="0"/>
    <x v="5"/>
    <x v="5"/>
    <n v="834"/>
    <n v="4"/>
    <x v="0"/>
    <d v="2024-10-09T21:33:00"/>
    <d v="2024-10-09T20:30:00"/>
    <d v="2024-10-09T22:13:00"/>
    <n v="100.85"/>
    <n v="39.166666666666664"/>
    <x v="1"/>
    <d v="2024-10-11T11:08:00"/>
    <d v="2024-10-11T13:24:00"/>
    <n v="133.16666666666666"/>
    <x v="0"/>
    <d v="2024-10-12T10:56:00"/>
    <d v="2024-10-12T11:32:00"/>
    <n v="35.25"/>
    <x v="0"/>
    <n v="2.5298611111138598"/>
    <x v="0"/>
    <n v="0.52986111111385981"/>
    <n v="60.716666666732635"/>
    <n v="24"/>
    <n v="36.716666666732635"/>
    <n v="4.2242396731653571"/>
    <x v="5"/>
  </r>
  <r>
    <x v="1"/>
    <x v="0"/>
    <d v="2024-10-09T20:23:39"/>
    <s v="OM6EXXLRR"/>
    <x v="1"/>
    <s v="UBE 681K"/>
    <s v="KYAPA AKIMU"/>
    <s v="Sawan Distributors Ltd-Nabingo"/>
    <n v="155.10000000000002"/>
    <s v="A17402"/>
    <x v="21"/>
    <x v="0"/>
    <x v="0"/>
    <x v="0"/>
    <x v="21"/>
    <x v="2"/>
    <n v="527"/>
    <n v="-33"/>
    <x v="0"/>
    <d v="2024-10-10T07:49:00"/>
    <d v="2024-10-10T02:30:00"/>
    <d v="2024-10-10T08:28:00"/>
    <n v="350.53333333333336"/>
    <n v="38.18333333333333"/>
    <x v="1"/>
    <d v="2024-10-12T10:21:00"/>
    <d v="2024-10-12T12:06:00"/>
    <n v="102.8"/>
    <x v="0"/>
    <d v="2024-10-12T08:57:00"/>
    <d v="2024-10-12T09:54:00"/>
    <n v="55.8"/>
    <x v="0"/>
    <n v="2.0201388888890506"/>
    <x v="0"/>
    <n v="2.0138888889050577E-2"/>
    <n v="48.483333333337214"/>
    <n v="24"/>
    <n v="24.483333333337214"/>
    <n v="6.3349217154516859"/>
    <x v="0"/>
  </r>
  <r>
    <x v="1"/>
    <x v="0"/>
    <d v="2024-10-09T20:39:21"/>
    <s v="OM6PW9QRR"/>
    <x v="1"/>
    <s v="UBK 858R"/>
    <s v="ALIPA EREKU"/>
    <s v="Kabaco U Ltd"/>
    <n v="156"/>
    <s v="Z80512"/>
    <x v="6"/>
    <x v="0"/>
    <x v="0"/>
    <x v="0"/>
    <x v="6"/>
    <x v="6"/>
    <n v="333"/>
    <n v="13"/>
    <x v="0"/>
    <d v="2024-10-09T21:42:00"/>
    <d v="2024-10-10T02:22:00"/>
    <d v="2024-10-09T22:25:00"/>
    <n v="-232.06666666666666"/>
    <n v="42.1"/>
    <x v="1"/>
    <d v="2024-10-10T07:00:00"/>
    <d v="2024-10-10T14:34:00"/>
    <n v="444.53333333333336"/>
    <x v="0"/>
    <d v="2024-10-10T22:01:00"/>
    <d v="2024-10-10T22:46:00"/>
    <n v="44.05"/>
    <x v="0"/>
    <n v="0.98333333332993789"/>
    <x v="3"/>
    <n v="-0.51666666667006211"/>
    <n v="23.599999999918509"/>
    <n v="0"/>
    <n v="23.599999999918509"/>
    <n v="6.6101694915482483"/>
    <x v="0"/>
  </r>
  <r>
    <x v="1"/>
    <x v="0"/>
    <d v="2024-10-09T20:40:10"/>
    <s v="OMI0FL6RR"/>
    <x v="0"/>
    <s v="UBF 379L"/>
    <m/>
    <s v="Kato Investment Ltd -Kagadi"/>
    <n v="156"/>
    <s v="A17404"/>
    <x v="12"/>
    <x v="0"/>
    <x v="0"/>
    <x v="0"/>
    <x v="12"/>
    <x v="12"/>
    <n v="612"/>
    <n v="0"/>
    <x v="0"/>
    <d v="2024-10-10T07:27:10"/>
    <d v="2024-10-10T07:30:10"/>
    <d v="2024-10-10T08:22:10"/>
    <n v="50.9"/>
    <n v="53.85"/>
    <x v="1"/>
    <d v="2024-10-11T10:22:10"/>
    <d v="2024-10-11T17:12:10"/>
    <n v="401.45"/>
    <x v="0"/>
    <d v="2024-10-12T15:45:46"/>
    <d v="2024-10-12T16:45:46"/>
    <n v="58.733333333333334"/>
    <x v="0"/>
    <n v="2.3080555555570754"/>
    <x v="6"/>
    <n v="8.0555555570755999E-3"/>
    <n v="55.39333333336981"/>
    <n v="24"/>
    <n v="31.39333333336981"/>
    <n v="4.9692078997606313"/>
    <x v="0"/>
  </r>
  <r>
    <x v="1"/>
    <x v="0"/>
    <d v="2024-10-09T20:42:59"/>
    <s v="OMZY04PRR"/>
    <x v="0"/>
    <s v="UBJ 419C"/>
    <m/>
    <s v="Kato Investment Ltd -Kagadi"/>
    <n v="156"/>
    <s v="A17405"/>
    <x v="12"/>
    <x v="0"/>
    <x v="0"/>
    <x v="0"/>
    <x v="12"/>
    <x v="12"/>
    <n v="603"/>
    <n v="-9"/>
    <x v="0"/>
    <d v="2024-10-10T07:58:59"/>
    <d v="2024-10-10T07:30:59"/>
    <d v="2024-10-10T08:46:59"/>
    <n v="74.400000000000006"/>
    <n v="46.983333333333334"/>
    <x v="1"/>
    <d v="2024-10-11T10:16:59"/>
    <d v="2024-10-11T15:16:59"/>
    <n v="293.75"/>
    <x v="0"/>
    <d v="2024-10-12T13:07:23"/>
    <d v="2024-10-12T13:52:23"/>
    <n v="44.05"/>
    <x v="0"/>
    <n v="2.1808333333392511"/>
    <x v="6"/>
    <n v="-0.11916666666074871"/>
    <n v="52.340000000142027"/>
    <n v="24"/>
    <n v="28.340000000142027"/>
    <n v="5.5045871559357167"/>
    <x v="0"/>
  </r>
  <r>
    <x v="1"/>
    <x v="1"/>
    <d v="2024-10-09T23:03:42"/>
    <s v="OM9DVXZRR"/>
    <x v="0"/>
    <s v="UAV 051U"/>
    <s v="Angello Lumala"/>
    <s v="Kobusinge Steven-Kamwenge"/>
    <n v="153.60000000000002"/>
    <s v="Z80514"/>
    <x v="13"/>
    <x v="1"/>
    <x v="0"/>
    <x v="1"/>
    <x v="13"/>
    <x v="13"/>
    <n v="240"/>
    <n v="10"/>
    <x v="0"/>
    <d v="2024-10-10T07:58:42"/>
    <d v="2024-10-10T07:30:42"/>
    <d v="2024-10-10T09:02:42"/>
    <n v="90.066666666666663"/>
    <n v="62.65"/>
    <x v="6"/>
    <d v="2024-10-11T10:32:42"/>
    <d v="2024-10-12T13:39:54"/>
    <n v="1593.2833333333333"/>
    <x v="0"/>
    <d v="2024-10-13T10:18:18"/>
    <d v="2024-10-13T11:15:18"/>
    <n v="55.8"/>
    <x v="0"/>
    <n v="3.0524999999979627"/>
    <x v="7"/>
    <n v="1.7524999999979627"/>
    <n v="73.259999999951106"/>
    <n v="48"/>
    <n v="25.259999999951106"/>
    <n v="6.0807600950236473"/>
    <x v="0"/>
  </r>
  <r>
    <x v="1"/>
    <x v="1"/>
    <d v="2024-10-09T23:06:30"/>
    <s v="OMW37L3RR"/>
    <x v="1"/>
    <s v="UBK 875R"/>
    <s v="Bisaso  Ronald"/>
    <s v="Kobusinge Steven-Kamwenge"/>
    <n v="153.60000000000002"/>
    <s v="Z80515"/>
    <x v="13"/>
    <x v="1"/>
    <x v="0"/>
    <x v="1"/>
    <x v="13"/>
    <x v="13"/>
    <n v="146"/>
    <n v="-84"/>
    <x v="0"/>
    <d v="2024-10-10T15:46:00"/>
    <d v="2024-10-10T09:30:00"/>
    <d v="2024-10-10T16:32:00"/>
    <n v="413.2"/>
    <n v="45.033333333333331"/>
    <x v="1"/>
    <d v="2024-10-11T08:58:00"/>
    <d v="2024-10-11T13:31:00"/>
    <n v="267.3"/>
    <x v="0"/>
    <d v="2024-10-11T17:05:00"/>
    <d v="2024-10-11T17:40:00"/>
    <n v="34.266666666666666"/>
    <x v="0"/>
    <n v="1.0229166666686069"/>
    <x v="7"/>
    <n v="-0.27708333333139312"/>
    <n v="24.550000000046566"/>
    <n v="12"/>
    <n v="12.550000000046566"/>
    <n v="12.239043824655784"/>
    <x v="0"/>
  </r>
  <r>
    <x v="1"/>
    <x v="0"/>
    <d v="2024-10-10T00:00:00"/>
    <s v="OM02K99E"/>
    <x v="0"/>
    <s v="UBJ 703D"/>
    <m/>
    <s v="Boniface Harera"/>
    <n v="156"/>
    <s v="F15134"/>
    <x v="10"/>
    <x v="0"/>
    <x v="0"/>
    <x v="0"/>
    <x v="10"/>
    <x v="10"/>
    <n v="465"/>
    <n v="-5"/>
    <x v="0"/>
    <d v="2024-10-10T07:58:00"/>
    <d v="2024-10-10T07:30:00"/>
    <d v="2024-10-10T08:58:00"/>
    <n v="86.15"/>
    <n v="58.733333333333334"/>
    <x v="0"/>
    <d v="2024-10-11T08:58:00"/>
    <d v="2024-10-11T16:13:00"/>
    <n v="425.93333333333334"/>
    <x v="0"/>
    <d v="2024-10-12T15:01:00"/>
    <d v="2024-10-12T15:56:00"/>
    <n v="53.85"/>
    <x v="0"/>
    <n v="2.2520833333328483"/>
    <x v="1"/>
    <n v="-0.24791666666715173"/>
    <n v="54.049999999988358"/>
    <n v="32"/>
    <n v="22.049999999988358"/>
    <n v="7.0748299319765247"/>
    <x v="0"/>
  </r>
  <r>
    <x v="1"/>
    <x v="0"/>
    <d v="2024-10-10T18:03:12"/>
    <s v="OM1TMS4RR"/>
    <x v="1"/>
    <s v="UBJ 420C"/>
    <s v="ZIWA ABASI"/>
    <s v="Kabaco U Ltd"/>
    <n v="137.24"/>
    <s v="Z80525"/>
    <x v="6"/>
    <x v="0"/>
    <x v="0"/>
    <x v="0"/>
    <x v="6"/>
    <x v="6"/>
    <n v="342"/>
    <n v="22"/>
    <x v="0"/>
    <d v="2024-10-10T17:56:00"/>
    <d v="2024-10-11T02:22:00"/>
    <d v="2024-10-10T18:35:00"/>
    <n v="-457.28333333333336"/>
    <n v="38.18333333333333"/>
    <x v="1"/>
    <d v="2024-10-11T08:00:00"/>
    <d v="2024-10-11T13:15:00"/>
    <n v="308.43333333333334"/>
    <x v="0"/>
    <d v="2024-10-11T20:14:00"/>
    <d v="2024-10-11T21:07:00"/>
    <n v="51.883333333333333"/>
    <x v="0"/>
    <n v="1.0687499999985448"/>
    <x v="3"/>
    <n v="-0.43125000000145519"/>
    <n v="25.649999999965075"/>
    <n v="12"/>
    <n v="13.649999999965075"/>
    <n v="10.054212454238179"/>
    <x v="0"/>
  </r>
  <r>
    <x v="1"/>
    <x v="0"/>
    <d v="2024-10-10T21:56:53"/>
    <s v="OM0HKK6RR"/>
    <x v="0"/>
    <s v="UBM 648D"/>
    <m/>
    <s v="Kobusinge Acaali- Kyenjojo"/>
    <n v="156"/>
    <s v="Z80527"/>
    <x v="3"/>
    <x v="0"/>
    <x v="0"/>
    <x v="0"/>
    <x v="3"/>
    <x v="3"/>
    <n v="490"/>
    <n v="10"/>
    <x v="0"/>
    <d v="2024-10-11T07:58:53"/>
    <d v="2024-10-11T07:30:53"/>
    <d v="2024-10-11T08:42:53"/>
    <n v="70.483333333333334"/>
    <n v="43.06666666666667"/>
    <x v="1"/>
    <d v="2024-10-12T10:27:53"/>
    <d v="2024-10-12T15:49:53"/>
    <n v="315.28333333333336"/>
    <x v="0"/>
    <d v="2024-10-13T17:59:29"/>
    <d v="2024-10-13T18:59:29"/>
    <n v="58.733333333333334"/>
    <x v="0"/>
    <n v="2.3865277777731535"/>
    <x v="1"/>
    <n v="-0.1134722222268465"/>
    <n v="57.276666666555684"/>
    <n v="24"/>
    <n v="33.276666666555684"/>
    <n v="4.6879695482476293"/>
    <x v="0"/>
  </r>
  <r>
    <x v="1"/>
    <x v="1"/>
    <d v="2024-10-10T22:09:22"/>
    <s v="OMGTH7URR"/>
    <x v="0"/>
    <s v="UAY 265V"/>
    <m/>
    <s v="Rugoma Traders-Kanungu/Kihihi"/>
    <n v="153.60000000000002"/>
    <s v="F15135"/>
    <x v="23"/>
    <x v="1"/>
    <x v="0"/>
    <x v="1"/>
    <x v="23"/>
    <x v="14"/>
    <m/>
    <n v="-340"/>
    <x v="0"/>
    <d v="2024-10-11T07:58:22"/>
    <d v="2024-10-11T07:30:22"/>
    <d v="2024-10-11T08:38:22"/>
    <n v="66.583333333333329"/>
    <n v="39.166666666666664"/>
    <x v="1"/>
    <d v="2024-10-11T15:13:22"/>
    <d v="2024-10-11T18:33:22"/>
    <n v="195.83333333333334"/>
    <x v="0"/>
    <d v="2024-10-12T11:08:22"/>
    <d v="2024-10-12T11:38:22"/>
    <n v="29.366666666666667"/>
    <x v="0"/>
    <n v="1.1041666666642413"/>
    <x v="3"/>
    <n v="-0.39583333333575865"/>
    <n v="26.499999999941792"/>
    <n v="12"/>
    <n v="14.499999999941792"/>
    <n v="10.593103448318388"/>
    <x v="0"/>
  </r>
  <r>
    <x v="1"/>
    <x v="0"/>
    <d v="2024-10-10T22:12:19"/>
    <s v="OMN1217RR"/>
    <x v="0"/>
    <s v="UBE 687K"/>
    <m/>
    <s v="Kabaco U Ltd"/>
    <n v="156"/>
    <s v="Z80530"/>
    <x v="6"/>
    <x v="0"/>
    <x v="0"/>
    <x v="0"/>
    <x v="6"/>
    <x v="6"/>
    <n v="318"/>
    <n v="-2"/>
    <x v="0"/>
    <d v="2024-10-11T07:58:19"/>
    <d v="2024-10-11T07:30:19"/>
    <d v="2024-10-11T08:42:19"/>
    <n v="70.483333333333334"/>
    <n v="43.06666666666667"/>
    <x v="1"/>
    <d v="2024-10-11T15:32:19"/>
    <d v="2024-10-11T19:51:31"/>
    <n v="253.8"/>
    <x v="0"/>
    <d v="2024-10-12T09:46:43"/>
    <d v="2024-10-12T10:30:43"/>
    <n v="43.06666666666667"/>
    <x v="0"/>
    <n v="1.0447222222210257"/>
    <x v="3"/>
    <n v="-0.45527777777897427"/>
    <n v="25.073333333304618"/>
    <n v="12"/>
    <n v="13.073333333304618"/>
    <n v="11.932687404411729"/>
    <x v="0"/>
  </r>
  <r>
    <x v="1"/>
    <x v="0"/>
    <d v="2024-10-11T00:00:00"/>
    <s v="OM02K9HL"/>
    <x v="0"/>
    <s v="UBE 684K"/>
    <m/>
    <s v="Kato Investment Ltd -Mityana"/>
    <n v="156"/>
    <s v="A17449"/>
    <x v="16"/>
    <x v="0"/>
    <x v="0"/>
    <x v="0"/>
    <x v="16"/>
    <x v="16"/>
    <m/>
    <n v="-690"/>
    <x v="0"/>
    <d v="2024-10-11T07:52:00"/>
    <d v="2024-10-11T07:30:00"/>
    <d v="2024-10-11T08:38:00"/>
    <n v="66.583333333333329"/>
    <n v="45.033333333333331"/>
    <x v="1"/>
    <d v="2024-10-12T10:38:00"/>
    <d v="2024-10-12T17:26:00"/>
    <n v="399.48333333333335"/>
    <x v="0"/>
    <d v="2024-10-13T12:27:55"/>
    <d v="2024-10-13T13:27:55"/>
    <n v="58.733333333333334"/>
    <x v="0"/>
    <n v="2.1596666666664532"/>
    <x v="0"/>
    <n v="0.15966666666645324"/>
    <n v="51.831999999994878"/>
    <n v="24"/>
    <n v="27.831999999994878"/>
    <n v="5.605058924979474"/>
    <x v="0"/>
  </r>
  <r>
    <x v="1"/>
    <x v="0"/>
    <d v="2024-10-11T00:00:00"/>
    <s v="OM02K9E1"/>
    <x v="0"/>
    <s v="UBF 382L"/>
    <m/>
    <s v="Boniface Harera"/>
    <n v="156"/>
    <s v="F15136"/>
    <x v="10"/>
    <x v="0"/>
    <x v="0"/>
    <x v="0"/>
    <x v="10"/>
    <x v="10"/>
    <n v="474"/>
    <n v="4"/>
    <x v="0"/>
    <d v="2024-10-11T07:58:00"/>
    <d v="2024-10-11T07:30:00"/>
    <d v="2024-10-11T08:42:00"/>
    <n v="70.483333333333334"/>
    <n v="43.06666666666667"/>
    <x v="1"/>
    <d v="2024-10-12T10:12:00"/>
    <d v="2024-10-12T15:36:00"/>
    <n v="317.23333333333335"/>
    <x v="0"/>
    <d v="2024-10-13T14:24:00"/>
    <d v="2024-10-13T15:15:00"/>
    <n v="49.93333333333333"/>
    <x v="0"/>
    <n v="2.2374999999956344"/>
    <x v="1"/>
    <n v="-0.26250000000436557"/>
    <n v="53.699999999895226"/>
    <n v="24"/>
    <n v="29.699999999895226"/>
    <n v="5.2525252525437818"/>
    <x v="0"/>
  </r>
  <r>
    <x v="1"/>
    <x v="0"/>
    <d v="2024-10-11T11:58:55"/>
    <s v="OMF3KLURR"/>
    <x v="1"/>
    <s v="UBM 644D"/>
    <s v="KAJUBI ISMA"/>
    <s v="Ntale and Sons Ltd-Kakiri"/>
    <n v="156"/>
    <s v="A17446"/>
    <x v="22"/>
    <x v="0"/>
    <x v="0"/>
    <x v="0"/>
    <x v="22"/>
    <x v="21"/>
    <n v="641"/>
    <n v="21"/>
    <x v="0"/>
    <d v="2024-10-11T11:45:00"/>
    <d v="2024-10-12T01:59:00"/>
    <d v="2024-10-11T12:26:00"/>
    <n v="-796.06666666666672"/>
    <n v="40.133333333333333"/>
    <x v="1"/>
    <d v="2024-10-12T07:47:00"/>
    <d v="2024-10-12T11:50:00"/>
    <n v="237.93333333333334"/>
    <x v="0"/>
    <d v="2024-10-12T20:40:00"/>
    <d v="2024-10-12T21:12:00"/>
    <n v="31.316666666666666"/>
    <x v="0"/>
    <n v="1.3430555555532919"/>
    <x v="0"/>
    <n v="-0.65694444444670808"/>
    <n v="32.233333333279006"/>
    <n v="12"/>
    <n v="20.233333333279006"/>
    <n v="7.710049423414441"/>
    <x v="0"/>
  </r>
  <r>
    <x v="1"/>
    <x v="0"/>
    <d v="2024-10-11T11:59:56"/>
    <s v="OMJHIM9RR"/>
    <x v="1"/>
    <s v="UBM 565R"/>
    <s v="BAZALE SAID"/>
    <s v="Boniface Harera"/>
    <n v="156"/>
    <s v="F15139"/>
    <x v="10"/>
    <x v="0"/>
    <x v="0"/>
    <x v="0"/>
    <x v="10"/>
    <x v="10"/>
    <n v="467"/>
    <n v="-3"/>
    <x v="0"/>
    <d v="2024-10-11T11:52:00"/>
    <d v="2024-10-12T01:30:00"/>
    <d v="2024-10-11T12:36:00"/>
    <n v="-757.88333333333333"/>
    <n v="43.06666666666667"/>
    <x v="1"/>
    <d v="2024-10-14T09:03:00"/>
    <d v="2024-10-14T14:24:00"/>
    <n v="314.3"/>
    <x v="0"/>
    <d v="2024-10-15T16:13:00"/>
    <d v="2024-10-15T17:03:00"/>
    <n v="48.95"/>
    <x v="0"/>
    <n v="4.1506944444408873"/>
    <x v="1"/>
    <n v="1.6506944444408873"/>
    <n v="99.616666666581295"/>
    <n v="48"/>
    <n v="51.616666666581295"/>
    <n v="3.0222796254489768"/>
    <x v="6"/>
  </r>
  <r>
    <x v="1"/>
    <x v="1"/>
    <d v="2024-10-11T12:03:07"/>
    <s v="OMZ6BADRR"/>
    <x v="0"/>
    <s v="UAT 351G"/>
    <s v="Hamudi Sesanga"/>
    <s v="Kobusinge Steven-Kamwenge"/>
    <n v="153.60000000000002"/>
    <s v="Z80534"/>
    <x v="13"/>
    <x v="1"/>
    <x v="0"/>
    <x v="1"/>
    <x v="13"/>
    <x v="13"/>
    <n v="240"/>
    <n v="10"/>
    <x v="0"/>
    <d v="2024-10-11T13:01:07"/>
    <d v="2024-10-11T12:33:07"/>
    <d v="2024-10-11T13:49:07"/>
    <n v="74.400000000000006"/>
    <n v="46.983333333333334"/>
    <x v="8"/>
    <d v="2024-10-12T14:49:07"/>
    <d v="2024-10-12T19:05:07"/>
    <n v="250.65"/>
    <x v="0"/>
    <d v="2024-10-13T15:43:31"/>
    <d v="2024-10-13T16:37:31"/>
    <n v="52.866666666666667"/>
    <x v="0"/>
    <n v="2.0794444444400142"/>
    <x v="7"/>
    <n v="0.77944444444001415"/>
    <n v="49.906666666560341"/>
    <n v="32"/>
    <n v="17.906666666560341"/>
    <n v="8.5778108712348509"/>
    <x v="0"/>
  </r>
  <r>
    <x v="1"/>
    <x v="1"/>
    <d v="2024-10-11T12:10:26"/>
    <s v="OMPS0E6RR"/>
    <x v="0"/>
    <s v="UAY 265V"/>
    <m/>
    <s v="Kabaco U Ltd-Mbarara"/>
    <n v="153.60000000000002"/>
    <s v="Z80535"/>
    <x v="8"/>
    <x v="1"/>
    <x v="0"/>
    <x v="1"/>
    <x v="8"/>
    <x v="8"/>
    <n v="11"/>
    <n v="0"/>
    <x v="0"/>
    <d v="2024-10-11T13:08:26"/>
    <d v="2024-10-11T12:40:26"/>
    <d v="2024-10-11T14:08:26"/>
    <n v="86.15"/>
    <n v="58.733333333333334"/>
    <x v="0"/>
    <d v="2024-10-11T14:39:26"/>
    <d v="2024-10-11T19:56:26"/>
    <n v="310.38333333333333"/>
    <x v="0"/>
    <d v="2024-10-11T20:27:26"/>
    <d v="2024-10-11T21:28:26"/>
    <n v="59.716666666666669"/>
    <x v="0"/>
    <n v="0.26319444443652174"/>
    <x v="5"/>
    <n v="-0.53680555556347831"/>
    <n v="6.3166666664765216"/>
    <n v="0"/>
    <n v="6.3166666664765216"/>
    <n v="24.316622692024861"/>
    <x v="0"/>
  </r>
  <r>
    <x v="1"/>
    <x v="0"/>
    <d v="2024-10-11T17:52:27"/>
    <s v="OMKU2B4RR"/>
    <x v="1"/>
    <s v="UBK 862R"/>
    <s v="SULAIMAN MUBIRU"/>
    <s v="Rugoma Traders-Rukungiri"/>
    <n v="156"/>
    <s v="Z80544"/>
    <x v="17"/>
    <x v="0"/>
    <x v="0"/>
    <x v="0"/>
    <x v="17"/>
    <x v="17"/>
    <n v="268"/>
    <n v="12"/>
    <x v="0"/>
    <d v="2024-10-11T17:39:00"/>
    <d v="2024-10-12T04:04:00"/>
    <d v="2024-10-11T18:22:00"/>
    <n v="-569.88333333333333"/>
    <n v="42.1"/>
    <x v="1"/>
    <d v="2024-10-12T07:31:00"/>
    <d v="2024-10-12T18:49:00"/>
    <n v="663.86666666666667"/>
    <x v="0"/>
    <d v="2024-10-12T21:54:00"/>
    <d v="2024-10-12T22:47:00"/>
    <n v="51.883333333333333"/>
    <x v="0"/>
    <n v="1.1472222222218988"/>
    <x v="8"/>
    <n v="0.14722222222189885"/>
    <n v="27.533333333325572"/>
    <n v="12"/>
    <n v="15.533333333325572"/>
    <n v="10.04291845494064"/>
    <x v="0"/>
  </r>
  <r>
    <x v="1"/>
    <x v="0"/>
    <d v="2024-10-11T21:26:30"/>
    <s v="OMEQWFQRR"/>
    <x v="0"/>
    <s v="UBJ 700D"/>
    <m/>
    <s v="Ntale and Sons Ltd-Kakiri"/>
    <n v="156"/>
    <s v="A17458"/>
    <x v="22"/>
    <x v="0"/>
    <x v="0"/>
    <x v="0"/>
    <x v="22"/>
    <x v="21"/>
    <n v="615"/>
    <n v="-5"/>
    <x v="0"/>
    <d v="2024-10-12T07:58:30"/>
    <d v="2024-10-12T07:30:30"/>
    <d v="2024-10-12T08:42:30"/>
    <n v="70.483333333333334"/>
    <n v="43.06666666666667"/>
    <x v="1"/>
    <d v="2024-10-12T21:12:30"/>
    <d v="2024-10-13T16:54:44"/>
    <n v="1157.5999999999999"/>
    <x v="0"/>
    <d v="2024-10-14T14:52:20"/>
    <d v="2024-10-14T15:28:20"/>
    <n v="35.25"/>
    <x v="0"/>
    <n v="2.2568333333401824"/>
    <x v="0"/>
    <n v="0.25683333334018243"/>
    <n v="54.164000000164378"/>
    <n v="24"/>
    <n v="30.164000000164378"/>
    <n v="5.1717278875198875"/>
    <x v="0"/>
  </r>
  <r>
    <x v="1"/>
    <x v="0"/>
    <d v="2024-10-11T21:39:09"/>
    <s v="OMLVQUNRR"/>
    <x v="1"/>
    <s v="UBJ 420C"/>
    <s v="ZIWA ABASI"/>
    <s v="DE PLACE INVESTMENTS LTD"/>
    <n v="156"/>
    <s v="F15147"/>
    <x v="0"/>
    <x v="0"/>
    <x v="0"/>
    <x v="0"/>
    <x v="0"/>
    <x v="0"/>
    <n v="767"/>
    <n v="7"/>
    <x v="0"/>
    <d v="2024-10-11T21:12:00"/>
    <d v="2024-10-11T21:55:00"/>
    <d v="2024-10-11T21:58:00"/>
    <n v="2.9333333333333331"/>
    <n v="45.033333333333331"/>
    <x v="1"/>
    <d v="2024-10-13T09:10:00"/>
    <d v="2024-10-13T12:08:00"/>
    <n v="174.28333333333333"/>
    <x v="0"/>
    <d v="2024-10-14T07:26:00"/>
    <d v="2024-10-14T08:20:00"/>
    <n v="52.866666666666667"/>
    <x v="0"/>
    <n v="2.3944444444423425"/>
    <x v="0"/>
    <n v="0.3944444444423425"/>
    <n v="57.46666666661622"/>
    <n v="24"/>
    <n v="33.46666666661622"/>
    <n v="4.6613545816803335"/>
    <x v="0"/>
  </r>
  <r>
    <x v="1"/>
    <x v="1"/>
    <d v="2024-10-11T21:54:48"/>
    <s v="OMAP8XLRR"/>
    <x v="0"/>
    <s v="UAV 051U"/>
    <s v="Angello Lumala"/>
    <s v="KATO INVESTMENTS LIMITED-MASAK"/>
    <n v="122.4"/>
    <s v="F15149"/>
    <x v="14"/>
    <x v="1"/>
    <x v="0"/>
    <x v="1"/>
    <x v="14"/>
    <x v="14"/>
    <n v="348"/>
    <n v="8"/>
    <x v="0"/>
    <d v="2024-10-12T07:58:48"/>
    <d v="2024-10-12T07:30:48"/>
    <d v="2024-10-12T08:47:48"/>
    <n v="75.38333333333334"/>
    <n v="47.966666666666669"/>
    <x v="1"/>
    <d v="2024-10-12T12:00:48"/>
    <d v="2024-10-12T17:11:48"/>
    <n v="304.51666666666665"/>
    <x v="0"/>
    <d v="2024-10-12T19:51:48"/>
    <d v="2024-10-12T20:39:48"/>
    <n v="46.983333333333334"/>
    <x v="0"/>
    <n v="0.46111111110803904"/>
    <x v="8"/>
    <n v="-0.53888888889196096"/>
    <n v="11.066666666592937"/>
    <n v="0"/>
    <n v="11.066666666592937"/>
    <n v="11.060240963929109"/>
    <x v="0"/>
  </r>
  <r>
    <x v="1"/>
    <x v="1"/>
    <d v="2024-10-11T21:59:35"/>
    <s v="OMWTXGTRR"/>
    <x v="1"/>
    <s v="UBE 422T"/>
    <s v="Jacob Oneka"/>
    <s v="Kabaco U Ltd-Mbarara"/>
    <n v="142.80000000000001"/>
    <s v="Z80553"/>
    <x v="8"/>
    <x v="1"/>
    <x v="0"/>
    <x v="1"/>
    <x v="8"/>
    <x v="8"/>
    <n v="14"/>
    <n v="3"/>
    <x v="0"/>
    <d v="2024-10-12T13:30:00"/>
    <d v="2024-10-12T09:00:00"/>
    <d v="2024-10-12T14:17:00"/>
    <n v="310.38333333333333"/>
    <n v="46.016666666666666"/>
    <x v="1"/>
    <d v="2024-10-12T14:52:00"/>
    <d v="2024-10-12T19:13:00"/>
    <n v="255.55"/>
    <x v="0"/>
    <d v="2024-10-13T09:13:00"/>
    <d v="2024-10-13T09:55:00"/>
    <n v="41.116666666666667"/>
    <x v="0"/>
    <n v="0.78888888889196096"/>
    <x v="5"/>
    <n v="-1.1111111108039085E-2"/>
    <n v="18.933333333407063"/>
    <n v="0"/>
    <n v="18.933333333407063"/>
    <n v="7.5422535210973907"/>
    <x v="0"/>
  </r>
  <r>
    <x v="1"/>
    <x v="0"/>
    <d v="2024-10-11T22:00:42"/>
    <s v="OMICUKNRR"/>
    <x v="0"/>
    <s v="UBE 674K"/>
    <s v="SSENOGA AMOS "/>
    <s v="Kabaco U Ltd"/>
    <n v="154.34400000000002"/>
    <s v="Z80554"/>
    <x v="6"/>
    <x v="0"/>
    <x v="0"/>
    <x v="0"/>
    <x v="6"/>
    <x v="6"/>
    <n v="331"/>
    <n v="11"/>
    <x v="0"/>
    <d v="2024-10-12T11:48:00"/>
    <d v="2024-10-12T09:00:00"/>
    <d v="2024-10-12T12:29:00"/>
    <n v="204.63333333333333"/>
    <n v="40.133333333333333"/>
    <x v="1"/>
    <d v="2024-10-12T18:29:00"/>
    <d v="2024-10-13T12:29:00"/>
    <n v="1057.5"/>
    <x v="0"/>
    <d v="2024-10-13T17:49:00"/>
    <d v="2024-10-13T18:49:00"/>
    <n v="58.733333333333334"/>
    <x v="0"/>
    <n v="1.2222222222189885"/>
    <x v="3"/>
    <n v="-0.27777777778101154"/>
    <n v="29.333333333255723"/>
    <n v="12"/>
    <n v="17.333333333255723"/>
    <n v="8.9044615385014101"/>
    <x v="0"/>
  </r>
  <r>
    <x v="1"/>
    <x v="0"/>
    <d v="2024-10-11T22:05:04"/>
    <s v="OMH59A8RR"/>
    <x v="0"/>
    <s v="UBJ 419C"/>
    <m/>
    <s v="Kobusinge Steven-FPortal"/>
    <n v="149.84"/>
    <s v="Z80556"/>
    <x v="11"/>
    <x v="0"/>
    <x v="0"/>
    <x v="0"/>
    <x v="11"/>
    <x v="11"/>
    <n v="386"/>
    <n v="-4"/>
    <x v="0"/>
    <d v="2024-10-12T07:42:04"/>
    <d v="2024-10-12T07:30:04"/>
    <d v="2024-10-12T08:38:04"/>
    <n v="66.583333333333329"/>
    <n v="54.833333333333336"/>
    <x v="3"/>
    <d v="2024-10-13T07:08:04"/>
    <d v="2024-10-13T15:37:04"/>
    <n v="498.38333333333333"/>
    <x v="0"/>
    <d v="2024-10-14T07:51:16"/>
    <d v="2024-10-14T08:46:16"/>
    <n v="53.85"/>
    <x v="0"/>
    <n v="1.9674999999988358"/>
    <x v="0"/>
    <n v="-3.2500000001164153E-2"/>
    <n v="47.21999999997206"/>
    <n v="16"/>
    <n v="31.21999999997206"/>
    <n v="4.7994875080119828"/>
    <x v="0"/>
  </r>
  <r>
    <x v="1"/>
    <x v="0"/>
    <d v="2024-10-12T00:00:00"/>
    <s v="OM02K9XM"/>
    <x v="0"/>
    <s v="UBP 312H"/>
    <m/>
    <s v="Kato Investments Ltd-Bulenga"/>
    <n v="151.68"/>
    <s v="A17475"/>
    <x v="2"/>
    <x v="0"/>
    <x v="0"/>
    <x v="0"/>
    <x v="2"/>
    <x v="2"/>
    <n v="550"/>
    <n v="-10"/>
    <x v="0"/>
    <d v="2024-10-12T07:58:00"/>
    <d v="2024-10-12T07:30:00"/>
    <d v="2024-10-12T08:42:00"/>
    <n v="70.483333333333334"/>
    <n v="43.06666666666667"/>
    <x v="1"/>
    <d v="2024-10-13T08:42:00"/>
    <d v="2024-10-13T12:17:00"/>
    <n v="210.51666666666668"/>
    <x v="0"/>
    <d v="2024-10-14T09:54:00"/>
    <d v="2024-10-14T10:39:00"/>
    <n v="44.05"/>
    <x v="0"/>
    <n v="2.0500000000029104"/>
    <x v="0"/>
    <n v="5.0000000002910383E-2"/>
    <n v="49.200000000069849"/>
    <n v="24"/>
    <n v="25.200000000069849"/>
    <n v="6.0190476190309354"/>
    <x v="0"/>
  </r>
  <r>
    <x v="1"/>
    <x v="0"/>
    <d v="2024-10-12T00:00:00"/>
    <s v="OM02K9W6"/>
    <x v="0"/>
    <s v="UBP 310H"/>
    <s v="Lule Fred"/>
    <s v="Ntale and Sons Ltd-Kakiri"/>
    <n v="156"/>
    <s v="A17469"/>
    <x v="22"/>
    <x v="0"/>
    <x v="0"/>
    <x v="0"/>
    <x v="22"/>
    <x v="21"/>
    <n v="615"/>
    <n v="-5"/>
    <x v="0"/>
    <d v="2024-10-12T07:58:00"/>
    <d v="2024-10-12T07:30:00"/>
    <d v="2024-10-12T08:58:00"/>
    <n v="86.15"/>
    <n v="58.733333333333334"/>
    <x v="0"/>
    <d v="2024-10-12T09:28:00"/>
    <d v="2024-10-12T14:05:00"/>
    <n v="271.21666666666664"/>
    <x v="0"/>
    <d v="2024-10-13T10:29:00"/>
    <d v="2024-10-13T11:21:00"/>
    <n v="50.916666666666664"/>
    <x v="0"/>
    <n v="1.0631944444467081"/>
    <x v="0"/>
    <n v="-0.93680555555329192"/>
    <n v="25.516666666720994"/>
    <n v="16"/>
    <n v="9.5166666667209938"/>
    <n v="16.392294220571923"/>
    <x v="0"/>
  </r>
  <r>
    <x v="1"/>
    <x v="0"/>
    <d v="2024-10-12T00:00:00"/>
    <s v="OM02K9YJ"/>
    <x v="0"/>
    <s v="UBJ 703D"/>
    <m/>
    <s v="KATO INVESTMENTS LTD-KATIKARA"/>
    <n v="156"/>
    <s v="A17479"/>
    <x v="5"/>
    <x v="0"/>
    <x v="0"/>
    <x v="0"/>
    <x v="5"/>
    <x v="5"/>
    <n v="825"/>
    <n v="-5"/>
    <x v="0"/>
    <d v="2024-10-12T07:58:00"/>
    <d v="2024-10-12T07:30:00"/>
    <d v="2024-10-12T08:42:00"/>
    <n v="70.483333333333334"/>
    <n v="43.06666666666667"/>
    <x v="1"/>
    <d v="2024-10-13T09:57:00"/>
    <d v="2024-10-13T14:43:00"/>
    <n v="280.03333333333336"/>
    <x v="0"/>
    <d v="2024-10-14T19:31:00"/>
    <d v="2024-10-14T20:31:00"/>
    <n v="58.733333333333334"/>
    <x v="0"/>
    <n v="2.4506944444437977"/>
    <x v="0"/>
    <n v="0.45069444444379769"/>
    <n v="58.816666666651145"/>
    <n v="24"/>
    <n v="34.816666666651145"/>
    <n v="4.4806127333672441"/>
    <x v="0"/>
  </r>
  <r>
    <x v="1"/>
    <x v="0"/>
    <d v="2024-10-12T00:00:00"/>
    <s v="OM02K9WN"/>
    <x v="0"/>
    <s v="UBP 310H"/>
    <m/>
    <s v="Kabaco U Ltd"/>
    <n v="156"/>
    <s v="Z80569"/>
    <x v="6"/>
    <x v="0"/>
    <x v="0"/>
    <x v="0"/>
    <x v="6"/>
    <x v="6"/>
    <n v="318"/>
    <n v="-2"/>
    <x v="0"/>
    <d v="2024-10-12T07:56:00"/>
    <d v="2024-10-12T07:30:00"/>
    <d v="2024-10-12T08:42:00"/>
    <n v="70.483333333333334"/>
    <n v="45.033333333333331"/>
    <x v="1"/>
    <d v="2024-10-12T14:42:00"/>
    <d v="2024-10-12T19:42:00"/>
    <n v="293.75"/>
    <x v="0"/>
    <d v="2024-10-13T09:37:12"/>
    <d v="2024-10-13T10:28:12"/>
    <n v="49.93333333333333"/>
    <x v="0"/>
    <n v="1.0383333333375049"/>
    <x v="3"/>
    <n v="-0.46166666666249512"/>
    <n v="24.920000000100117"/>
    <n v="12"/>
    <n v="12.920000000100117"/>
    <n v="12.074303405479192"/>
    <x v="0"/>
  </r>
  <r>
    <x v="1"/>
    <x v="0"/>
    <d v="2024-10-12T13:47:04"/>
    <s v="OMRD3OYRR"/>
    <x v="0"/>
    <s v="UBM 648D"/>
    <m/>
    <s v="Kabaco U Ltd"/>
    <n v="156"/>
    <s v="Z80566"/>
    <x v="6"/>
    <x v="0"/>
    <x v="0"/>
    <x v="0"/>
    <x v="6"/>
    <x v="6"/>
    <n v="318"/>
    <n v="-2"/>
    <x v="0"/>
    <d v="2024-10-12T14:45:04"/>
    <d v="2024-10-12T14:17:04"/>
    <d v="2024-10-12T15:25:04"/>
    <n v="66.583333333333329"/>
    <n v="39.166666666666664"/>
    <x v="1"/>
    <d v="2024-10-12T21:25:04"/>
    <d v="2024-10-13T11:27:28"/>
    <n v="824.83333333333337"/>
    <x v="0"/>
    <d v="2024-10-13T16:47:28"/>
    <d v="2024-10-13T17:44:28"/>
    <n v="55.8"/>
    <x v="0"/>
    <n v="1.0572222222181153"/>
    <x v="3"/>
    <n v="-0.44277777778188465"/>
    <n v="25.373333333234768"/>
    <n v="12"/>
    <n v="13.373333333234768"/>
    <n v="11.665004985130839"/>
    <x v="0"/>
  </r>
  <r>
    <x v="1"/>
    <x v="0"/>
    <d v="2024-10-12T16:07:48"/>
    <s v="OM8T72PRR"/>
    <x v="0"/>
    <s v="UBF 379L"/>
    <m/>
    <s v="Kato Investment Ltd -Mityana"/>
    <n v="156"/>
    <s v="A17474"/>
    <x v="16"/>
    <x v="0"/>
    <x v="0"/>
    <x v="0"/>
    <x v="16"/>
    <x v="16"/>
    <m/>
    <n v="-690"/>
    <x v="0"/>
    <d v="2024-10-12T17:05:48"/>
    <d v="2024-10-12T16:37:48"/>
    <d v="2024-10-12T18:00:48"/>
    <n v="81.266666666666666"/>
    <n v="53.85"/>
    <x v="7"/>
    <d v="2024-10-13T20:00:48"/>
    <d v="2024-10-14T14:44:00"/>
    <n v="1099.7833333333333"/>
    <x v="0"/>
    <d v="2024-10-15T10:00:19"/>
    <d v="2024-10-15T10:57:19"/>
    <n v="55.8"/>
    <x v="0"/>
    <n v="2.6663333333344781"/>
    <x v="0"/>
    <n v="0.66633333333447808"/>
    <n v="63.992000000027474"/>
    <n v="32"/>
    <n v="31.992000000027474"/>
    <n v="4.8762190547595035"/>
    <x v="4"/>
  </r>
  <r>
    <x v="1"/>
    <x v="1"/>
    <d v="2024-10-12T16:10:56"/>
    <s v="OMYH90MRR"/>
    <x v="0"/>
    <s v="UAY 265V"/>
    <m/>
    <s v="Kabaco U Ltd-Mbarara"/>
    <n v="153.60000000000002"/>
    <s v="Z80573"/>
    <x v="8"/>
    <x v="1"/>
    <x v="0"/>
    <x v="1"/>
    <x v="8"/>
    <x v="8"/>
    <n v="12"/>
    <n v="1"/>
    <x v="0"/>
    <d v="2024-10-12T17:08:56"/>
    <d v="2024-10-12T16:40:56"/>
    <d v="2024-10-12T17:48:56"/>
    <n v="66.583333333333329"/>
    <n v="39.166666666666664"/>
    <x v="1"/>
    <d v="2024-10-12T18:30:56"/>
    <d v="2024-10-13T10:06:56"/>
    <n v="916.5"/>
    <x v="0"/>
    <d v="2024-10-13T10:37:56"/>
    <d v="2024-10-13T11:17:56"/>
    <n v="39.166666666666664"/>
    <x v="0"/>
    <n v="0.70069444444379769"/>
    <x v="5"/>
    <n v="-9.9305555556202352E-2"/>
    <n v="16.816666666651145"/>
    <n v="0"/>
    <n v="16.816666666651145"/>
    <n v="9.1337958374712667"/>
    <x v="0"/>
  </r>
  <r>
    <x v="1"/>
    <x v="0"/>
    <d v="2024-10-12T16:58:31"/>
    <s v="OM4BCTVRR"/>
    <x v="1"/>
    <s v="UBE 680K"/>
    <s v="BYEKWASO TWAHA"/>
    <s v="Kato Investment Ltd -Kagadi"/>
    <n v="151.68"/>
    <s v="A17477"/>
    <x v="12"/>
    <x v="0"/>
    <x v="0"/>
    <x v="0"/>
    <x v="12"/>
    <x v="12"/>
    <n v="603"/>
    <n v="-9"/>
    <x v="0"/>
    <d v="2024-10-12T17:48:00"/>
    <d v="2024-10-12T17:46:00"/>
    <d v="2024-10-12T18:31:00"/>
    <n v="44.05"/>
    <n v="42.1"/>
    <x v="1"/>
    <d v="2024-10-13T16:21:00"/>
    <d v="2024-10-13T18:45:00"/>
    <n v="140.98333333333332"/>
    <x v="0"/>
    <d v="2024-10-15T14:48:00"/>
    <d v="2024-10-15T15:39:00"/>
    <n v="49.93333333333333"/>
    <x v="0"/>
    <n v="2.8451388888934162"/>
    <x v="6"/>
    <n v="0.54513888889341633"/>
    <n v="68.283333333441988"/>
    <n v="24"/>
    <n v="44.283333333441988"/>
    <n v="3.4252164094759769"/>
    <x v="7"/>
  </r>
  <r>
    <x v="1"/>
    <x v="1"/>
    <d v="2024-10-12T19:39:18"/>
    <s v="OMJF6SPRR"/>
    <x v="0"/>
    <s v="UBJ 375N"/>
    <s v="Stephen Musoke "/>
    <s v="Agaba Services"/>
    <n v="153.60000000000002"/>
    <s v="F15151"/>
    <x v="20"/>
    <x v="1"/>
    <x v="0"/>
    <x v="1"/>
    <x v="20"/>
    <x v="20"/>
    <n v="294"/>
    <n v="-8"/>
    <x v="0"/>
    <d v="2024-10-13T07:58:18"/>
    <d v="2024-10-13T07:30:18"/>
    <d v="2024-10-13T08:42:18"/>
    <n v="70.483333333333334"/>
    <n v="43.06666666666667"/>
    <x v="1"/>
    <d v="2024-10-13T14:42:18"/>
    <d v="2024-10-13T16:40:18"/>
    <n v="115.53333333333333"/>
    <x v="0"/>
    <d v="2024-10-14T07:33:06"/>
    <d v="2024-10-14T08:30:06"/>
    <n v="55.8"/>
    <x v="0"/>
    <n v="0.95194444444496185"/>
    <x v="8"/>
    <n v="-4.8055555555038154E-2"/>
    <n v="22.846666666679084"/>
    <n v="0"/>
    <n v="22.846666666679084"/>
    <n v="6.7230814123103242"/>
    <x v="0"/>
  </r>
  <r>
    <x v="1"/>
    <x v="0"/>
    <d v="2024-10-12T23:04:06"/>
    <s v="OMT73QWRR"/>
    <x v="0"/>
    <s v="UBE 687K"/>
    <m/>
    <s v="Ntale and Sons Ltd-Kakiri"/>
    <n v="156"/>
    <s v="A17487"/>
    <x v="22"/>
    <x v="0"/>
    <x v="0"/>
    <x v="0"/>
    <x v="22"/>
    <x v="21"/>
    <n v="615"/>
    <n v="-5"/>
    <x v="0"/>
    <d v="2024-10-13T07:02:06"/>
    <d v="2024-10-13T06:34:06"/>
    <d v="2024-10-13T08:02:06"/>
    <n v="86.15"/>
    <n v="58.733333333333334"/>
    <x v="0"/>
    <d v="2024-10-13T20:32:06"/>
    <d v="2024-10-14T15:58:30"/>
    <n v="1142.0833333333333"/>
    <x v="0"/>
    <d v="2024-10-15T14:46:30"/>
    <d v="2024-10-15T15:22:30"/>
    <n v="35.25"/>
    <x v="0"/>
    <n v="2.28083333333052"/>
    <x v="0"/>
    <n v="0.28083333333051996"/>
    <n v="54.739999999932479"/>
    <n v="32"/>
    <n v="22.739999999932479"/>
    <n v="6.8601583113660158"/>
    <x v="0"/>
  </r>
  <r>
    <x v="1"/>
    <x v="0"/>
    <d v="2024-10-13T00:00:00"/>
    <s v="OM02KA0M"/>
    <x v="0"/>
    <s v="UBF 374L "/>
    <m/>
    <s v="Boniface Harera"/>
    <n v="156"/>
    <s v="F15155"/>
    <x v="10"/>
    <x v="0"/>
    <x v="0"/>
    <x v="0"/>
    <x v="10"/>
    <x v="10"/>
    <n v="465"/>
    <n v="-5"/>
    <x v="0"/>
    <d v="2024-10-13T07:58:00"/>
    <d v="2024-10-13T07:30:00"/>
    <d v="2024-10-13T08:42:00"/>
    <n v="70.483333333333334"/>
    <n v="43.06666666666667"/>
    <x v="1"/>
    <d v="2024-10-14T08:42:00"/>
    <d v="2024-10-14T13:42:00"/>
    <n v="293.75"/>
    <x v="0"/>
    <d v="2024-10-15T12:30:00"/>
    <d v="2024-10-15T13:30:00"/>
    <n v="58.733333333333334"/>
    <x v="0"/>
    <n v="2.1583333333328483"/>
    <x v="1"/>
    <n v="-0.34166666666715173"/>
    <n v="51.799999999988358"/>
    <n v="24"/>
    <n v="27.799999999988358"/>
    <n v="5.6115107913692563"/>
    <x v="0"/>
  </r>
  <r>
    <x v="1"/>
    <x v="0"/>
    <d v="2024-10-13T11:37:51"/>
    <s v="OM0VJKMRR"/>
    <x v="1"/>
    <s v="UBJ 421 C"/>
    <s v="Tumwine Jimmy"/>
    <s v="Sawan Distributors Ltd-Nabingo"/>
    <n v="156"/>
    <s v="A17489"/>
    <x v="21"/>
    <x v="0"/>
    <x v="0"/>
    <x v="0"/>
    <x v="21"/>
    <x v="2"/>
    <n v="561"/>
    <n v="1"/>
    <x v="0"/>
    <d v="2024-10-13T11:36:00"/>
    <d v="2024-10-14T02:30:00"/>
    <d v="2024-10-13T12:17:00"/>
    <n v="-835.23333333333335"/>
    <n v="40.133333333333333"/>
    <x v="1"/>
    <d v="2024-10-15T07:09:00"/>
    <d v="2024-10-15T11:21:00"/>
    <n v="246.73333333333332"/>
    <x v="0"/>
    <d v="2024-10-16T14:04:00"/>
    <d v="2024-10-16T14:48:00"/>
    <n v="43.083333333333336"/>
    <x v="0"/>
    <n v="3.0743055555503815"/>
    <x v="0"/>
    <n v="1.0743055555503815"/>
    <n v="73.783333333209157"/>
    <n v="36"/>
    <n v="37.783333333209157"/>
    <n v="4.1288045875742228"/>
    <x v="0"/>
  </r>
  <r>
    <x v="1"/>
    <x v="1"/>
    <d v="2024-10-13T16:19:21"/>
    <s v="OMX0UFXRR"/>
    <x v="1"/>
    <s v="UBJ 415C"/>
    <s v="Abel Mark naffa"/>
    <s v="Rugoma Traders-Kanungu/Kihihi"/>
    <n v="153.60000000000002"/>
    <s v="F15157"/>
    <x v="23"/>
    <x v="1"/>
    <x v="0"/>
    <x v="1"/>
    <x v="23"/>
    <x v="14"/>
    <n v="338"/>
    <n v="-2"/>
    <x v="0"/>
    <d v="2024-10-13T15:56:00"/>
    <d v="2024-10-14T01:59:00"/>
    <d v="2024-10-13T16:39:00"/>
    <n v="-548.35"/>
    <n v="42.1"/>
    <x v="1"/>
    <d v="2024-10-16T07:46:00"/>
    <d v="2024-10-16T11:19:00"/>
    <n v="208.55"/>
    <x v="0"/>
    <d v="2024-10-16T15:34:00"/>
    <d v="2024-10-16T16:30:00"/>
    <n v="54.833333333333336"/>
    <x v="0"/>
    <n v="2.9548611111094942"/>
    <x v="3"/>
    <n v="1.4548611111094942"/>
    <n v="70.916666666627862"/>
    <n v="24"/>
    <n v="46.916666666627862"/>
    <n v="3.2738898756687829"/>
    <x v="0"/>
  </r>
  <r>
    <x v="1"/>
    <x v="0"/>
    <d v="2024-10-13T16:24:20"/>
    <s v="OMAV085RR"/>
    <x v="1"/>
    <s v="UBK 882R"/>
    <s v="NASASIRA STEPHENE"/>
    <s v="Kato Investment Ltd -Mityana"/>
    <n v="172.8"/>
    <s v="A17492"/>
    <x v="16"/>
    <x v="0"/>
    <x v="0"/>
    <x v="0"/>
    <x v="16"/>
    <x v="16"/>
    <n v="686"/>
    <n v="-4"/>
    <x v="0"/>
    <d v="2024-10-13T15:53:00"/>
    <d v="2024-10-13T19:35:00"/>
    <d v="2024-10-13T16:33:00"/>
    <n v="-178.21666666666667"/>
    <n v="39.166666666666664"/>
    <x v="1"/>
    <d v="2024-10-14T09:54:00"/>
    <d v="2024-10-14T15:11:00"/>
    <n v="310.38333333333333"/>
    <x v="0"/>
    <d v="2024-10-15T12:00:00"/>
    <d v="2024-10-15T12:57:00"/>
    <n v="55.8"/>
    <x v="0"/>
    <n v="1.8104166666671517"/>
    <x v="0"/>
    <n v="-0.18958333333284827"/>
    <n v="43.450000000011642"/>
    <n v="12"/>
    <n v="31.450000000011642"/>
    <n v="5.494435612080637"/>
    <x v="0"/>
  </r>
  <r>
    <x v="1"/>
    <x v="1"/>
    <d v="2024-10-13T16:37:04"/>
    <s v="OMUQX4KRR"/>
    <x v="1"/>
    <s v="UBK 881R"/>
    <s v="James  Kironde"/>
    <s v="Rugoma Traders-Kanungu/Kihihi"/>
    <n v="153.60000000000002"/>
    <s v="F15159"/>
    <x v="23"/>
    <x v="1"/>
    <x v="0"/>
    <x v="1"/>
    <x v="23"/>
    <x v="14"/>
    <n v="347"/>
    <n v="7"/>
    <x v="0"/>
    <d v="2024-10-13T17:07:00"/>
    <d v="2024-10-14T08:30:00"/>
    <d v="2024-10-13T17:50:00"/>
    <n v="-861.66666666666663"/>
    <n v="42.1"/>
    <x v="1"/>
    <d v="2024-10-14T10:17:00"/>
    <d v="2024-10-14T16:48:00"/>
    <n v="382.85"/>
    <x v="0"/>
    <d v="2024-10-15T12:19:00"/>
    <d v="2024-10-15T13:20:00"/>
    <n v="59.716666666666669"/>
    <x v="0"/>
    <n v="1.7701388888890506"/>
    <x v="3"/>
    <n v="0.27013888888905058"/>
    <n v="42.483333333337214"/>
    <n v="12"/>
    <n v="30.483333333337214"/>
    <n v="5.0388190267899553"/>
    <x v="0"/>
  </r>
  <r>
    <x v="1"/>
    <x v="1"/>
    <d v="2024-10-13T18:22:46"/>
    <s v="OMVNOF7RR"/>
    <x v="1"/>
    <s v="UBE 419T"/>
    <s v="Kilabila Ismail"/>
    <s v="Kabaco U Ltd"/>
    <n v="153.60000000000002"/>
    <s v="Z80581"/>
    <x v="6"/>
    <x v="1"/>
    <x v="0"/>
    <x v="1"/>
    <x v="6"/>
    <x v="6"/>
    <n v="324"/>
    <n v="4"/>
    <x v="0"/>
    <d v="2024-10-13T18:19:00"/>
    <d v="2024-10-14T09:30:00"/>
    <d v="2024-10-13T19:02:00"/>
    <n v="-849.93333333333328"/>
    <n v="42.1"/>
    <x v="1"/>
    <d v="2024-10-15T18:36:00"/>
    <d v="2024-10-17T12:46:00"/>
    <n v="2477.2833333333333"/>
    <x v="0"/>
    <d v="2024-10-17T18:56:00"/>
    <d v="2024-10-17T19:35:00"/>
    <n v="38.18333333333333"/>
    <x v="0"/>
    <n v="3.9958333333343035"/>
    <x v="3"/>
    <n v="2.4958333333343035"/>
    <n v="95.900000000023283"/>
    <n v="36"/>
    <n v="59.900000000023283"/>
    <n v="2.5642737896484191"/>
    <x v="8"/>
  </r>
  <r>
    <x v="1"/>
    <x v="1"/>
    <d v="2024-10-13T18:23:52"/>
    <s v="OMCPQSCRR"/>
    <x v="0"/>
    <s v="UAR 731Q"/>
    <s v="Godwin Niwensiima"/>
    <s v="Agaba Services"/>
    <n v="153.60000000000002"/>
    <s v="F15162"/>
    <x v="20"/>
    <x v="1"/>
    <x v="0"/>
    <x v="1"/>
    <x v="20"/>
    <x v="20"/>
    <n v="296"/>
    <n v="-6"/>
    <x v="0"/>
    <d v="2024-10-14T07:58:52"/>
    <d v="2024-10-14T07:30:52"/>
    <d v="2024-10-14T09:02:52"/>
    <n v="90.066666666666663"/>
    <n v="62.65"/>
    <x v="4"/>
    <d v="2024-10-14T15:02:52"/>
    <d v="2024-10-14T17:14:52"/>
    <n v="129.25"/>
    <x v="0"/>
    <d v="2024-10-15T08:07:40"/>
    <d v="2024-10-15T08:55:40"/>
    <n v="46.983333333333334"/>
    <x v="0"/>
    <n v="0.96166666666977108"/>
    <x v="8"/>
    <n v="-3.8333333330228925E-2"/>
    <n v="23.080000000074506"/>
    <n v="0"/>
    <n v="23.080000000074506"/>
    <n v="6.6551126516249646"/>
    <x v="0"/>
  </r>
  <r>
    <x v="1"/>
    <x v="0"/>
    <d v="2024-10-13T18:27:39"/>
    <s v="OMEHOEMRR"/>
    <x v="0"/>
    <s v="UBP 301H"/>
    <s v="NAMINYA SIRAJE"/>
    <s v="Kato Investment Ltd -Mityana"/>
    <n v="156"/>
    <s v="A17494"/>
    <x v="16"/>
    <x v="0"/>
    <x v="0"/>
    <x v="0"/>
    <x v="16"/>
    <x v="16"/>
    <m/>
    <n v="-690"/>
    <x v="0"/>
    <d v="2024-10-13T19:09:00"/>
    <d v="2024-10-13T20:30:00"/>
    <d v="2024-10-13T19:55:00"/>
    <n v="-34.283333333333331"/>
    <n v="45.033333333333331"/>
    <x v="1"/>
    <d v="2024-10-14T08:15:00"/>
    <d v="2024-10-14T12:21:00"/>
    <n v="240.86666666666667"/>
    <x v="0"/>
    <d v="2024-10-16T16:05:00"/>
    <d v="2024-10-16T16:55:00"/>
    <n v="48.95"/>
    <x v="0"/>
    <n v="2.8402777777810115"/>
    <x v="0"/>
    <n v="0.84027777778101154"/>
    <n v="68.166666666744277"/>
    <n v="24"/>
    <n v="44.166666666744277"/>
    <n v="3.5320754716919067"/>
    <x v="4"/>
  </r>
  <r>
    <x v="1"/>
    <x v="0"/>
    <d v="2024-10-13T20:23:21"/>
    <s v="OM8ZXVGRR"/>
    <x v="0"/>
    <s v="UBJ 700D"/>
    <m/>
    <s v="Boniface Harera"/>
    <n v="156"/>
    <s v="F15165"/>
    <x v="10"/>
    <x v="0"/>
    <x v="0"/>
    <x v="0"/>
    <x v="10"/>
    <x v="10"/>
    <n v="465"/>
    <n v="-5"/>
    <x v="0"/>
    <d v="2024-10-14T04:21:21"/>
    <d v="2024-10-14T03:53:21"/>
    <d v="2024-10-14T05:09:21"/>
    <n v="74.400000000000006"/>
    <n v="46.983333333333334"/>
    <x v="8"/>
    <d v="2024-10-15T06:39:21"/>
    <d v="2024-10-15T11:54:21"/>
    <n v="308.43333333333334"/>
    <x v="0"/>
    <d v="2024-10-15T14:39:21"/>
    <d v="2024-10-15T15:36:21"/>
    <n v="55.8"/>
    <x v="0"/>
    <n v="1.3958333333357587"/>
    <x v="1"/>
    <n v="-1.1041666666642413"/>
    <n v="33.500000000058208"/>
    <n v="16"/>
    <n v="17.500000000058208"/>
    <n v="8.9142857142560636"/>
    <x v="0"/>
  </r>
  <r>
    <x v="1"/>
    <x v="0"/>
    <d v="2024-10-14T00:00:00"/>
    <s v="OM02KA7E"/>
    <x v="0"/>
    <s v="UBF 382L"/>
    <m/>
    <s v="Ntale and Sons Ltd-Kakiri"/>
    <n v="156"/>
    <s v="A17500"/>
    <x v="22"/>
    <x v="0"/>
    <x v="0"/>
    <x v="0"/>
    <x v="22"/>
    <x v="21"/>
    <n v="615"/>
    <n v="-5"/>
    <x v="0"/>
    <d v="2024-10-14T07:58:00"/>
    <d v="2024-10-14T07:30:00"/>
    <d v="2024-10-14T08:42:00"/>
    <n v="70.483333333333334"/>
    <n v="43.06666666666667"/>
    <x v="1"/>
    <d v="2024-10-14T21:12:00"/>
    <d v="2024-10-15T17:23:02"/>
    <n v="1185.8"/>
    <x v="0"/>
    <d v="2024-10-16T13:47:02"/>
    <d v="2024-10-16T14:42:02"/>
    <n v="53.85"/>
    <x v="0"/>
    <n v="2.2118333333346527"/>
    <x v="0"/>
    <n v="0.21183333333465271"/>
    <n v="53.084000000031665"/>
    <n v="24"/>
    <n v="29.084000000031665"/>
    <n v="5.3637738962945312"/>
    <x v="0"/>
  </r>
  <r>
    <x v="1"/>
    <x v="1"/>
    <d v="2024-10-14T16:49:48"/>
    <s v="OMAPSYZRR"/>
    <x v="1"/>
    <s v="UBA 523T"/>
    <s v="Kabene John"/>
    <s v="KATO INVESTMENTS LIMITED-MASAK"/>
    <n v="153.60000000000002"/>
    <s v="F15166"/>
    <x v="14"/>
    <x v="1"/>
    <x v="0"/>
    <x v="1"/>
    <x v="14"/>
    <x v="14"/>
    <n v="297"/>
    <n v="-43"/>
    <x v="0"/>
    <d v="2024-10-15T11:15:00"/>
    <d v="2024-10-15T04:14:00"/>
    <d v="2024-10-15T12:02:00"/>
    <n v="458.23333333333335"/>
    <n v="46.016666666666666"/>
    <x v="1"/>
    <d v="2024-10-15T16:33:00"/>
    <d v="2024-10-16T11:42:00"/>
    <n v="1125.05"/>
    <x v="0"/>
    <d v="2024-10-16T16:19:00"/>
    <d v="2024-10-16T17:05:00"/>
    <n v="45.033333333333331"/>
    <x v="0"/>
    <n v="1.1784722222218988"/>
    <x v="8"/>
    <n v="0.17847222222189885"/>
    <n v="28.283333333325572"/>
    <n v="12"/>
    <n v="16.283333333325572"/>
    <n v="9.4329580348049067"/>
    <x v="0"/>
  </r>
  <r>
    <x v="1"/>
    <x v="0"/>
    <d v="2024-10-14T18:43:08"/>
    <s v="OMWID48RR"/>
    <x v="1"/>
    <s v="UBJ 420C"/>
    <s v="ZIWA ABASI"/>
    <s v="Kato Investment Ltd -Mityana"/>
    <n v="157.5"/>
    <s v="A17501"/>
    <x v="16"/>
    <x v="0"/>
    <x v="0"/>
    <x v="0"/>
    <x v="16"/>
    <x v="16"/>
    <n v="659"/>
    <n v="-31"/>
    <x v="0"/>
    <d v="2024-10-14T20:26:00"/>
    <d v="2024-10-14T19:55:00"/>
    <d v="2024-10-14T21:07:00"/>
    <n v="70.5"/>
    <n v="40.133333333333333"/>
    <x v="1"/>
    <d v="2024-10-15T18:21:00"/>
    <d v="2024-10-16T12:58:00"/>
    <n v="1093.7166666666667"/>
    <x v="0"/>
    <d v="2024-10-17T06:46:00"/>
    <d v="2024-10-17T07:42:00"/>
    <n v="54.81666666666667"/>
    <x v="0"/>
    <n v="2.4020833333343035"/>
    <x v="0"/>
    <n v="0.40208333333430346"/>
    <n v="57.650000000023283"/>
    <n v="24"/>
    <n v="33.650000000023283"/>
    <n v="4.6805349182731355"/>
    <x v="0"/>
  </r>
  <r>
    <x v="1"/>
    <x v="1"/>
    <d v="2024-10-14T18:44:17"/>
    <s v="OMLMNJ0RR"/>
    <x v="1"/>
    <s v="UBE 422T"/>
    <s v="Jacob Oneka"/>
    <s v="Kobusinge Steven-Kamwenge"/>
    <n v="153.60000000000002"/>
    <s v="Z80585"/>
    <x v="13"/>
    <x v="1"/>
    <x v="0"/>
    <x v="1"/>
    <x v="13"/>
    <x v="13"/>
    <n v="232"/>
    <n v="2"/>
    <x v="0"/>
    <d v="2024-10-15T11:38:00"/>
    <d v="2024-10-15T08:30:00"/>
    <d v="2024-10-15T12:21:00"/>
    <n v="226.18333333333334"/>
    <n v="42.1"/>
    <x v="1"/>
    <d v="2024-10-15T15:10:00"/>
    <d v="2024-10-16T14:38:00"/>
    <n v="1378.6666666666667"/>
    <x v="0"/>
    <d v="2024-10-16T17:51:00"/>
    <d v="2024-10-16T18:46:00"/>
    <n v="53.85"/>
    <x v="0"/>
    <n v="1.2291666666715173"/>
    <x v="7"/>
    <n v="-7.0833333328482739E-2"/>
    <n v="29.500000000116415"/>
    <n v="12"/>
    <n v="17.500000000116415"/>
    <n v="8.7771428570844705"/>
    <x v="0"/>
  </r>
  <r>
    <x v="1"/>
    <x v="1"/>
    <d v="2024-10-15T18:22:56"/>
    <s v="OMVWK76RR"/>
    <x v="1"/>
    <s v="UBE 287X"/>
    <s v="Isaac Tumuhimbise"/>
    <s v="Kobusinge Steven-Kamwenge"/>
    <n v="153.60000000000002"/>
    <s v="Z80594"/>
    <x v="13"/>
    <x v="1"/>
    <x v="0"/>
    <x v="1"/>
    <x v="13"/>
    <x v="13"/>
    <n v="231"/>
    <n v="1"/>
    <x v="0"/>
    <d v="2024-10-16T08:18:00"/>
    <d v="2024-10-16T08:30:00"/>
    <d v="2024-10-16T09:05:00"/>
    <n v="34.266666666666666"/>
    <n v="46.016666666666666"/>
    <x v="1"/>
    <d v="2024-10-17T09:57:00"/>
    <d v="2024-10-17T12:02:00"/>
    <n v="122.38333333333334"/>
    <x v="0"/>
    <d v="2024-10-18T07:43:00"/>
    <d v="2024-10-18T08:38:00"/>
    <n v="53.85"/>
    <x v="0"/>
    <n v="1.9430555555591127"/>
    <x v="7"/>
    <n v="0.64305555555911265"/>
    <n v="46.633333333418705"/>
    <n v="12"/>
    <n v="34.633333333418705"/>
    <n v="4.4350336862258342"/>
    <x v="0"/>
  </r>
  <r>
    <x v="1"/>
    <x v="0"/>
    <d v="2024-10-15T18:27:26"/>
    <s v="OMIH4A5RR"/>
    <x v="1"/>
    <s v="UBE 690K"/>
    <s v="MUKOSE MUZAMIRU"/>
    <s v="Kobusinge Acaali- Kyenjojo"/>
    <n v="156"/>
    <s v="Z80596"/>
    <x v="3"/>
    <x v="0"/>
    <x v="0"/>
    <x v="0"/>
    <x v="3"/>
    <x v="3"/>
    <n v="490"/>
    <n v="10"/>
    <x v="0"/>
    <d v="2024-10-16T16:52:00"/>
    <d v="2024-10-16T03:17:00"/>
    <d v="2024-10-16T17:35:00"/>
    <n v="840.11666666666667"/>
    <n v="42.1"/>
    <x v="1"/>
    <d v="2024-10-17T09:06:00"/>
    <d v="2024-10-17T15:21:00"/>
    <n v="367.18333333333334"/>
    <x v="0"/>
    <d v="2024-10-17T10:01:00"/>
    <d v="2024-10-17T10:59:00"/>
    <n v="56.783333333333331"/>
    <x v="0"/>
    <n v="0.68472222222044365"/>
    <x v="1"/>
    <n v="-1.8152777777795563"/>
    <n v="16.433333333290648"/>
    <n v="0"/>
    <n v="16.433333333290648"/>
    <n v="9.4929006085439269"/>
    <x v="0"/>
  </r>
  <r>
    <x v="1"/>
    <x v="0"/>
    <d v="2024-10-15T18:28:08"/>
    <s v="OMWEQX2RR"/>
    <x v="0"/>
    <s v="UBE 687K"/>
    <m/>
    <s v="Kobusinge Steven-FPortal"/>
    <n v="156"/>
    <s v="Z80597"/>
    <x v="11"/>
    <x v="0"/>
    <x v="0"/>
    <x v="0"/>
    <x v="11"/>
    <x v="11"/>
    <n v="386"/>
    <n v="-4"/>
    <x v="0"/>
    <d v="2024-10-16T07:58:08"/>
    <d v="2024-10-16T07:30:08"/>
    <d v="2024-10-16T08:47:08"/>
    <n v="75.38333333333334"/>
    <n v="47.966666666666669"/>
    <x v="8"/>
    <d v="2024-10-17T07:17:08"/>
    <d v="2024-10-18T13:31:32"/>
    <n v="1776.6"/>
    <x v="0"/>
    <d v="2024-10-18T05:56:30"/>
    <d v="2024-10-18T06:44:30"/>
    <n v="46.983333333333334"/>
    <x v="0"/>
    <n v="1.8815000000031432"/>
    <x v="0"/>
    <n v="-0.11849999999685679"/>
    <n v="45.156000000075437"/>
    <n v="16"/>
    <n v="29.156000000075437"/>
    <n v="5.3505281931539432"/>
    <x v="0"/>
  </r>
  <r>
    <x v="1"/>
    <x v="0"/>
    <d v="2024-10-15T18:40:53"/>
    <s v="OMCSVR4RR"/>
    <x v="0"/>
    <s v="UBF 375L"/>
    <m/>
    <s v="Kobusinge Steven-Kamwenge"/>
    <n v="156"/>
    <s v="Z80598"/>
    <x v="13"/>
    <x v="0"/>
    <x v="0"/>
    <x v="0"/>
    <x v="13"/>
    <x v="13"/>
    <n v="234"/>
    <n v="4"/>
    <x v="0"/>
    <d v="2024-10-16T07:59:53"/>
    <d v="2024-10-16T07:30:53"/>
    <d v="2024-10-16T08:45:53"/>
    <n v="73.433333333333337"/>
    <n v="45.033333333333331"/>
    <x v="1"/>
    <d v="2024-10-17T09:37:53"/>
    <d v="2024-10-17T14:18:53"/>
    <n v="275.13333333333333"/>
    <x v="0"/>
    <d v="2024-10-17T19:48:53"/>
    <d v="2024-10-17T20:48:53"/>
    <n v="58.733333333333334"/>
    <x v="0"/>
    <n v="1.4604166666686069"/>
    <x v="7"/>
    <n v="0.16041666666860688"/>
    <n v="35.050000000046566"/>
    <n v="12"/>
    <n v="23.050000000046566"/>
    <n v="6.7678958785112728"/>
    <x v="0"/>
  </r>
  <r>
    <x v="1"/>
    <x v="1"/>
    <d v="2024-10-15T21:10:31"/>
    <s v="OMUFVZARR"/>
    <x v="1"/>
    <s v="UAY 526V"/>
    <s v="Benon Ssempijja"/>
    <s v="Agaba Services"/>
    <n v="153.60000000000002"/>
    <s v="F15172"/>
    <x v="20"/>
    <x v="1"/>
    <x v="0"/>
    <x v="1"/>
    <x v="20"/>
    <x v="20"/>
    <n v="294"/>
    <n v="-8"/>
    <x v="0"/>
    <d v="2024-10-17T12:39:00"/>
    <d v="2024-10-16T10:00:00"/>
    <d v="2024-10-17T13:19:00"/>
    <n v="1604.85"/>
    <n v="39.166666666666664"/>
    <x v="1"/>
    <d v="2024-10-17T17:10:00"/>
    <d v="2024-10-17T19:14:00"/>
    <n v="121.4"/>
    <x v="0"/>
    <d v="2024-10-18T12:33:00"/>
    <d v="2024-10-18T13:28:00"/>
    <n v="53.85"/>
    <x v="0"/>
    <n v="0.96805555556056788"/>
    <x v="8"/>
    <n v="-3.1944444439432118E-2"/>
    <n v="23.233333333453629"/>
    <n v="0"/>
    <n v="23.233333333453629"/>
    <n v="6.6111908177563006"/>
    <x v="0"/>
  </r>
  <r>
    <x v="1"/>
    <x v="0"/>
    <d v="2024-10-17T00:00:00"/>
    <s v="OM02KBH7"/>
    <x v="0"/>
    <s v="UBJ 703D"/>
    <m/>
    <s v="Kabaco U Ltd"/>
    <n v="151.03200000000001"/>
    <s v="Z80656"/>
    <x v="6"/>
    <x v="0"/>
    <x v="0"/>
    <x v="0"/>
    <x v="6"/>
    <x v="6"/>
    <n v="318"/>
    <n v="-2"/>
    <x v="0"/>
    <d v="2024-10-17T07:58:00"/>
    <d v="2024-10-17T07:30:00"/>
    <d v="2024-10-17T08:58:00"/>
    <n v="86.15"/>
    <n v="58.733333333333334"/>
    <x v="0"/>
    <d v="2024-10-17T15:58:00"/>
    <d v="2024-10-17T19:58:00"/>
    <n v="234.98333333333332"/>
    <x v="0"/>
    <d v="2024-10-18T09:53:12"/>
    <d v="2024-10-18T10:38:12"/>
    <n v="44.05"/>
    <x v="0"/>
    <n v="1.0383333333302289"/>
    <x v="3"/>
    <n v="-0.46166666666977108"/>
    <n v="24.919999999925494"/>
    <n v="16"/>
    <n v="8.9199999999254942"/>
    <n v="16.931838565163847"/>
    <x v="0"/>
  </r>
  <r>
    <x v="1"/>
    <x v="1"/>
    <d v="2024-10-17T14:49:23"/>
    <s v="OMV5E5KRR"/>
    <x v="1"/>
    <s v="UBJ 415C"/>
    <s v="Abel Mark naffa"/>
    <s v="Kabaco U Ltd"/>
    <n v="150.28800000000001"/>
    <s v="Z80651"/>
    <x v="6"/>
    <x v="1"/>
    <x v="0"/>
    <x v="1"/>
    <x v="6"/>
    <x v="6"/>
    <n v="324"/>
    <n v="4"/>
    <x v="0"/>
    <d v="2024-10-17T17:15:00"/>
    <d v="2024-10-18T02:22:00"/>
    <d v="2024-10-17T17:56:00"/>
    <n v="-495.46666666666664"/>
    <n v="40.133333333333333"/>
    <x v="1"/>
    <d v="2024-10-18T19:15:00"/>
    <d v="2024-10-18T20:54:00"/>
    <n v="96.933333333333337"/>
    <x v="0"/>
    <d v="2024-10-19T09:05:00"/>
    <d v="2024-10-19T10:05:00"/>
    <n v="58.75"/>
    <x v="0"/>
    <n v="1.6312499999985448"/>
    <x v="3"/>
    <n v="0.13124999999854481"/>
    <n v="39.149999999965075"/>
    <n v="12"/>
    <n v="27.149999999965075"/>
    <n v="5.5354696132667893"/>
    <x v="0"/>
  </r>
  <r>
    <x v="1"/>
    <x v="1"/>
    <d v="2024-10-17T14:50:26"/>
    <s v="OMS30ABRR"/>
    <x v="1"/>
    <s v="UBJ 707D"/>
    <s v="Konge Husein"/>
    <s v="Kabaco U Ltd"/>
    <n v="153.60000000000002"/>
    <s v="Z80652"/>
    <x v="6"/>
    <x v="1"/>
    <x v="0"/>
    <x v="1"/>
    <x v="6"/>
    <x v="6"/>
    <n v="318"/>
    <n v="-2"/>
    <x v="0"/>
    <d v="2024-10-17T18:37:00"/>
    <d v="2024-10-18T02:22:00"/>
    <d v="2024-10-17T19:21:00"/>
    <n v="-412.23333333333335"/>
    <n v="43.06666666666667"/>
    <x v="1"/>
    <d v="2024-10-18T10:31:00"/>
    <d v="2024-10-18T14:43:00"/>
    <n v="246.73333333333332"/>
    <x v="0"/>
    <d v="2024-10-18T17:12:00"/>
    <d v="2024-10-18T18:13:00"/>
    <n v="59.716666666666669"/>
    <x v="0"/>
    <n v="0.91041666666569654"/>
    <x v="3"/>
    <n v="-0.58958333333430346"/>
    <n v="21.849999999976717"/>
    <n v="0"/>
    <n v="21.849999999976717"/>
    <n v="7.0297482837603527"/>
    <x v="0"/>
  </r>
  <r>
    <x v="1"/>
    <x v="0"/>
    <d v="2024-10-17T14:53:09"/>
    <s v="OMUNZ3HRR"/>
    <x v="1"/>
    <s v="UBM 565R"/>
    <s v="BAZALE SAID"/>
    <s v="Kabaco U Ltd"/>
    <n v="156"/>
    <s v="Z80655"/>
    <x v="6"/>
    <x v="0"/>
    <x v="0"/>
    <x v="0"/>
    <x v="6"/>
    <x v="6"/>
    <n v="338"/>
    <n v="18"/>
    <x v="0"/>
    <d v="2024-10-17T17:33:00"/>
    <d v="2024-10-18T02:22:00"/>
    <d v="2024-10-17T18:14:00"/>
    <n v="-477.83333333333331"/>
    <n v="40.133333333333333"/>
    <x v="1"/>
    <d v="2024-10-19T14:43:00"/>
    <d v="2024-10-19T16:31:00"/>
    <n v="105.75"/>
    <x v="0"/>
    <d v="2024-10-19T21:53:00"/>
    <d v="2024-10-19T22:36:00"/>
    <n v="42.1"/>
    <x v="0"/>
    <n v="2.1520833333343035"/>
    <x v="3"/>
    <n v="0.65208333333430346"/>
    <n v="51.650000000023283"/>
    <n v="24"/>
    <n v="27.650000000023283"/>
    <n v="5.641952983720385"/>
    <x v="0"/>
  </r>
  <r>
    <x v="1"/>
    <x v="1"/>
    <d v="2024-10-18T20:59:28"/>
    <s v="OMGWAYARR"/>
    <x v="1"/>
    <s v="UBE 419T"/>
    <s v="Kilabila Ismail"/>
    <s v="Rugoma Traders-Kanungu/Kihihi"/>
    <n v="153.60000000000002"/>
    <s v="F15184"/>
    <x v="23"/>
    <x v="1"/>
    <x v="0"/>
    <x v="1"/>
    <x v="23"/>
    <x v="14"/>
    <n v="338"/>
    <n v="-2"/>
    <x v="0"/>
    <d v="2024-10-19T10:31:00"/>
    <d v="2024-10-19T09:00:00"/>
    <d v="2024-10-19T11:11:00"/>
    <n v="128.26666666666668"/>
    <n v="39.166666666666664"/>
    <x v="1"/>
    <d v="2024-10-19T17:26:00"/>
    <d v="2024-10-20T14:11:00"/>
    <n v="1219.05"/>
    <x v="0"/>
    <d v="2024-10-20T19:02:00"/>
    <d v="2024-10-20T19:49:00"/>
    <n v="46.016666666666666"/>
    <x v="0"/>
    <n v="1.3270833333372138"/>
    <x v="3"/>
    <n v="-0.17291666666278616"/>
    <n v="31.850000000093132"/>
    <n v="12"/>
    <n v="19.850000000093132"/>
    <n v="7.7380352644473227"/>
    <x v="0"/>
  </r>
  <r>
    <x v="1"/>
    <x v="1"/>
    <d v="2024-10-18T21:00:45"/>
    <s v="OMAF6FZRR"/>
    <x v="1"/>
    <s v="UBK 875R"/>
    <s v="Bisaso  Ronald"/>
    <s v="Kabaco U Ltd-Mbarara"/>
    <n v="153.60000000000002"/>
    <s v="Z80676"/>
    <x v="8"/>
    <x v="1"/>
    <x v="0"/>
    <x v="1"/>
    <x v="8"/>
    <x v="8"/>
    <n v="14"/>
    <n v="3"/>
    <x v="0"/>
    <d v="2024-10-19T06:36:00"/>
    <d v="2024-10-19T08:30:00"/>
    <d v="2024-10-19T07:21:00"/>
    <n v="-67.566666666666663"/>
    <n v="44.05"/>
    <x v="1"/>
    <d v="2024-10-19T07:54:00"/>
    <d v="2024-10-19T11:55:00"/>
    <n v="235.96666666666667"/>
    <x v="0"/>
    <d v="2024-10-19T12:34:00"/>
    <d v="2024-10-19T13:22:00"/>
    <n v="46.983333333333334"/>
    <x v="0"/>
    <n v="0.21736111110658385"/>
    <x v="5"/>
    <n v="-0.5826388888934162"/>
    <n v="5.2166666665580124"/>
    <n v="0"/>
    <n v="5.2166666665580124"/>
    <n v="29.444089457482285"/>
    <x v="0"/>
  </r>
  <r>
    <x v="1"/>
    <x v="1"/>
    <d v="2024-10-18T21:05:44"/>
    <s v="OM1UPKURR"/>
    <x v="0"/>
    <s v="UAR 731Q"/>
    <s v="Godwin Niwensiima"/>
    <s v="Agaba Services"/>
    <n v="153.60000000000002"/>
    <s v="F15186"/>
    <x v="20"/>
    <x v="1"/>
    <x v="0"/>
    <x v="1"/>
    <x v="20"/>
    <x v="20"/>
    <n v="296"/>
    <n v="-6"/>
    <x v="0"/>
    <d v="2024-10-19T07:58:44"/>
    <d v="2024-10-19T07:30:44"/>
    <d v="2024-10-19T08:53:44"/>
    <n v="81.266666666666666"/>
    <n v="53.85"/>
    <x v="7"/>
    <d v="2024-10-19T14:53:44"/>
    <d v="2024-10-19T17:55:44"/>
    <n v="178.2"/>
    <x v="0"/>
    <d v="2024-10-20T08:48:32"/>
    <d v="2024-10-20T09:39:32"/>
    <n v="49.93333333333333"/>
    <x v="0"/>
    <n v="0.99638888888875954"/>
    <x v="8"/>
    <n v="-3.6111111112404615E-3"/>
    <n v="23.913333333330229"/>
    <n v="0"/>
    <n v="23.913333333330229"/>
    <n v="6.4231948703660429"/>
    <x v="0"/>
  </r>
  <r>
    <x v="1"/>
    <x v="1"/>
    <d v="2024-10-18T21:11:01"/>
    <s v="OM31WB5RR"/>
    <x v="1"/>
    <s v="UBJ 707D"/>
    <s v="Konge Husein"/>
    <s v="Kabaco U Ltd-Mbarara"/>
    <n v="153.60000000000002"/>
    <s v="Z80680"/>
    <x v="8"/>
    <x v="1"/>
    <x v="0"/>
    <x v="1"/>
    <x v="8"/>
    <x v="8"/>
    <n v="13"/>
    <n v="2"/>
    <x v="0"/>
    <d v="2024-10-19T11:46:00"/>
    <d v="2024-10-19T08:30:00"/>
    <d v="2024-10-19T12:35:00"/>
    <n v="239.88333333333333"/>
    <n v="47.966666666666669"/>
    <x v="1"/>
    <d v="2024-10-19T13:10:00"/>
    <d v="2024-10-19T19:29:00"/>
    <n v="371.1"/>
    <x v="0"/>
    <d v="2024-10-19T20:03:00"/>
    <d v="2024-10-19T20:53:00"/>
    <n v="48.95"/>
    <x v="0"/>
    <n v="0.31111111111385981"/>
    <x v="5"/>
    <n v="-0.48888888888614024"/>
    <n v="7.4666666667326353"/>
    <n v="0"/>
    <n v="7.4666666667326353"/>
    <n v="20.571428571246823"/>
    <x v="0"/>
  </r>
  <r>
    <x v="1"/>
    <x v="1"/>
    <d v="2024-10-18T21:12:40"/>
    <s v="OMANFXHRR"/>
    <x v="0"/>
    <s v="UAV 051U"/>
    <s v="Angello Lumala"/>
    <s v="RUGOMA TRADERS CO. LTD NTUNGAM"/>
    <n v="153.60000000000002"/>
    <s v="F15187"/>
    <x v="15"/>
    <x v="1"/>
    <x v="0"/>
    <x v="1"/>
    <x v="15"/>
    <x v="15"/>
    <n v="128"/>
    <n v="-2"/>
    <x v="0"/>
    <d v="2024-10-19T07:58:40"/>
    <d v="2024-10-19T07:30:40"/>
    <d v="2024-10-19T08:38:40"/>
    <n v="66.583333333333329"/>
    <n v="39.166666666666664"/>
    <x v="1"/>
    <d v="2024-10-19T11:08:40"/>
    <d v="2024-10-19T17:08:40"/>
    <n v="352.5"/>
    <x v="0"/>
    <d v="2024-10-19T19:38:40"/>
    <d v="2024-10-19T20:08:40"/>
    <n v="29.366666666666667"/>
    <x v="0"/>
    <n v="0.45833333332848269"/>
    <x v="8"/>
    <n v="-0.54166666667151731"/>
    <n v="10.999999999883585"/>
    <n v="0"/>
    <n v="10.999999999883585"/>
    <n v="13.963636363784145"/>
    <x v="0"/>
  </r>
  <r>
    <x v="1"/>
    <x v="0"/>
    <d v="2024-10-18T21:24:13"/>
    <s v="OMBEGQERR"/>
    <x v="1"/>
    <s v="UBJ 705D"/>
    <s v="KASULE JOHNBOSC"/>
    <s v="Ntale and Sons Ltd-Kakiri"/>
    <n v="156"/>
    <s v="A17623"/>
    <x v="22"/>
    <x v="0"/>
    <x v="0"/>
    <x v="0"/>
    <x v="22"/>
    <x v="21"/>
    <n v="589"/>
    <n v="-31"/>
    <x v="0"/>
    <d v="2024-10-18T21:58:00"/>
    <d v="2024-10-19T09:00:00"/>
    <d v="2024-10-18T22:44:00"/>
    <n v="-603.16666666666663"/>
    <n v="45.033333333333331"/>
    <x v="1"/>
    <d v="2024-10-19T17:04:00"/>
    <d v="2024-10-20T10:18:00"/>
    <n v="1012.45"/>
    <x v="0"/>
    <d v="2024-10-20T19:41:00"/>
    <d v="2024-10-20T20:26:00"/>
    <n v="44.05"/>
    <x v="0"/>
    <n v="1.8729166666671517"/>
    <x v="0"/>
    <n v="-0.12708333333284827"/>
    <n v="44.950000000011642"/>
    <n v="12"/>
    <n v="32.950000000011642"/>
    <n v="4.7344461304990864"/>
    <x v="0"/>
  </r>
  <r>
    <x v="1"/>
    <x v="0"/>
    <d v="2024-10-18T22:36:16"/>
    <s v="OMW7OXBRR"/>
    <x v="1"/>
    <s v="UBM 644D"/>
    <s v="KAJUBI ISMA"/>
    <s v="Kabaco U Ltd"/>
    <n v="151.03200000000001"/>
    <s v="Z80682"/>
    <x v="6"/>
    <x v="0"/>
    <x v="0"/>
    <x v="0"/>
    <x v="6"/>
    <x v="6"/>
    <n v="330"/>
    <n v="10"/>
    <x v="0"/>
    <d v="2024-10-19T10:48:00"/>
    <d v="2024-10-20T02:22:00"/>
    <d v="2024-10-19T11:31:00"/>
    <n v="-872.45"/>
    <n v="42.1"/>
    <x v="1"/>
    <d v="2024-10-19T17:48:00"/>
    <d v="2024-10-20T15:16:00"/>
    <n v="1261.1500000000001"/>
    <x v="0"/>
    <d v="2024-10-20T19:46:00"/>
    <d v="2024-10-20T20:24:00"/>
    <n v="37.200000000000003"/>
    <x v="0"/>
    <n v="1.34375"/>
    <x v="3"/>
    <n v="-0.15625"/>
    <n v="32.25"/>
    <n v="12"/>
    <n v="20.25"/>
    <n v="7.4583703703703712"/>
    <x v="0"/>
  </r>
  <r>
    <x v="1"/>
    <x v="0"/>
    <d v="2024-10-18T22:37:05"/>
    <s v="OMKKWB5RR"/>
    <x v="0"/>
    <s v="UBM 648D"/>
    <m/>
    <s v="DE PLACE INVESTMENTS LTD"/>
    <n v="156"/>
    <s v="F15189"/>
    <x v="0"/>
    <x v="0"/>
    <x v="0"/>
    <x v="0"/>
    <x v="0"/>
    <x v="0"/>
    <n v="763"/>
    <n v="3"/>
    <x v="0"/>
    <d v="2024-10-19T07:58:05"/>
    <d v="2024-10-19T07:30:05"/>
    <d v="2024-10-19T08:42:05"/>
    <n v="70.483333333333334"/>
    <n v="43.06666666666667"/>
    <x v="1"/>
    <d v="2024-10-20T08:42:05"/>
    <d v="2024-10-20T12:12:05"/>
    <n v="205.61666666666667"/>
    <x v="0"/>
    <d v="2024-10-21T13:52:53"/>
    <d v="2024-10-21T14:36:53"/>
    <n v="43.06666666666667"/>
    <x v="0"/>
    <n v="2.2158333333354676"/>
    <x v="0"/>
    <n v="0.21583333333546761"/>
    <n v="53.180000000051223"/>
    <n v="24"/>
    <n v="29.180000000051223"/>
    <n v="5.3461274845690934"/>
    <x v="0"/>
  </r>
  <r>
    <x v="1"/>
    <x v="0"/>
    <d v="2024-10-18T22:48:18"/>
    <s v="OMJMKDVRR"/>
    <x v="0"/>
    <s v="UBP 311H"/>
    <m/>
    <s v="Rugoma Traders-Rukungiri"/>
    <n v="156"/>
    <s v="Z80684"/>
    <x v="17"/>
    <x v="0"/>
    <x v="0"/>
    <x v="0"/>
    <x v="17"/>
    <x v="17"/>
    <n v="268"/>
    <n v="12"/>
    <x v="0"/>
    <d v="2024-10-19T07:58:18"/>
    <d v="2024-10-19T07:30:18"/>
    <d v="2024-10-19T08:38:18"/>
    <n v="66.583333333333329"/>
    <n v="39.166666666666664"/>
    <x v="1"/>
    <d v="2024-10-19T15:38:18"/>
    <d v="2024-10-19T20:11:54"/>
    <n v="267.89999999999998"/>
    <x v="0"/>
    <d v="2024-10-20T09:11:54"/>
    <d v="2024-10-20T09:47:54"/>
    <n v="35.25"/>
    <x v="0"/>
    <n v="1.023333333330811"/>
    <x v="8"/>
    <n v="2.3333333330811001E-2"/>
    <n v="24.559999999939464"/>
    <n v="12"/>
    <n v="12.559999999939464"/>
    <n v="12.420382165664959"/>
    <x v="0"/>
  </r>
  <r>
    <x v="1"/>
    <x v="0"/>
    <d v="2024-10-19T11:14:02"/>
    <s v="OMX2AMFRR"/>
    <x v="1"/>
    <s v="UBJ 420C"/>
    <s v="ZIWA ABASI"/>
    <s v="Boniface Harera"/>
    <n v="127.44"/>
    <s v="F15190"/>
    <x v="10"/>
    <x v="0"/>
    <x v="0"/>
    <x v="0"/>
    <x v="10"/>
    <x v="10"/>
    <n v="474"/>
    <n v="4"/>
    <x v="0"/>
    <d v="2024-10-19T14:38:00"/>
    <d v="2024-10-20T01:30:00"/>
    <d v="2024-10-19T15:18:00"/>
    <n v="-599.26666666666665"/>
    <n v="39.166666666666664"/>
    <x v="1"/>
    <d v="2024-10-20T18:55:00"/>
    <d v="2024-10-21T18:55:00"/>
    <n v="1410"/>
    <x v="0"/>
    <d v="2024-10-22T16:45:00"/>
    <d v="2024-10-22T17:45:00"/>
    <n v="58.75"/>
    <x v="0"/>
    <n v="3.0604166666671517"/>
    <x v="1"/>
    <n v="0.56041666666715173"/>
    <n v="73.450000000011642"/>
    <n v="36"/>
    <n v="37.450000000011642"/>
    <n v="3.4029372496651638"/>
    <x v="8"/>
  </r>
  <r>
    <x v="1"/>
    <x v="0"/>
    <d v="2024-10-19T11:14:53"/>
    <s v="OM5UYFFRR"/>
    <x v="1"/>
    <s v="UBE 690K"/>
    <s v="MUKOSE MUZAMIRU"/>
    <s v="Boniface Harera"/>
    <n v="156"/>
    <s v="F15191"/>
    <x v="10"/>
    <x v="0"/>
    <x v="0"/>
    <x v="0"/>
    <x v="10"/>
    <x v="10"/>
    <n v="487"/>
    <n v="17"/>
    <x v="0"/>
    <d v="2024-10-19T11:50:00"/>
    <d v="2024-10-20T01:30:00"/>
    <d v="2024-10-19T12:39:00"/>
    <n v="-754.95"/>
    <n v="47.966666666666669"/>
    <x v="1"/>
    <d v="2024-10-20T11:18:00"/>
    <d v="2024-10-21T15:28:00"/>
    <n v="1654.7833333333333"/>
    <x v="0"/>
    <d v="2024-10-21T08:02:00"/>
    <d v="2024-10-21T08:54:00"/>
    <n v="50.916666666666664"/>
    <x v="0"/>
    <n v="1.8076388888875954"/>
    <x v="1"/>
    <n v="-0.69236111111240461"/>
    <n v="43.383333333302289"/>
    <n v="12"/>
    <n v="31.383333333302289"/>
    <n v="4.9707912904988101"/>
    <x v="0"/>
  </r>
  <r>
    <x v="1"/>
    <x v="0"/>
    <d v="2024-10-21T00:00:00"/>
    <s v="OM02KD26"/>
    <x v="0"/>
    <s v="UBE 687K"/>
    <m/>
    <s v="Kato Investments Ltd- Kakumiro"/>
    <n v="156"/>
    <s v="A17679"/>
    <x v="24"/>
    <x v="0"/>
    <x v="0"/>
    <x v="0"/>
    <x v="24"/>
    <x v="22"/>
    <n v="764"/>
    <n v="-1"/>
    <x v="0"/>
    <d v="2024-10-21T07:58:00"/>
    <d v="2024-10-21T07:30:00"/>
    <d v="2024-10-21T09:02:00"/>
    <n v="90.066666666666663"/>
    <n v="62.65"/>
    <x v="3"/>
    <d v="2024-10-21T18:02:00"/>
    <d v="2024-10-22T13:01:02"/>
    <n v="1115.3"/>
    <x v="0"/>
    <d v="2024-10-22T21:31:02"/>
    <d v="2024-10-22T22:23:02"/>
    <n v="50.916666666666664"/>
    <x v="0"/>
    <n v="1.5201666666616802"/>
    <x v="3"/>
    <n v="2.016666666168021E-2"/>
    <n v="36.483999999880325"/>
    <n v="16"/>
    <n v="20.483999999880325"/>
    <n v="7.6157000586268015"/>
    <x v="0"/>
  </r>
  <r>
    <x v="1"/>
    <x v="0"/>
    <d v="2024-10-21T00:00:00"/>
    <s v="OM02KD25"/>
    <x v="0"/>
    <s v="UBF 382L"/>
    <m/>
    <s v="Kato Investment Ltd -Mityana"/>
    <n v="156"/>
    <s v="A17678"/>
    <x v="16"/>
    <x v="0"/>
    <x v="0"/>
    <x v="0"/>
    <x v="16"/>
    <x v="16"/>
    <m/>
    <n v="-690"/>
    <x v="0"/>
    <d v="2024-10-21T07:58:00"/>
    <d v="2024-10-21T07:30:00"/>
    <d v="2024-10-21T08:46:00"/>
    <n v="74.400000000000006"/>
    <n v="46.983333333333334"/>
    <x v="1"/>
    <d v="2024-10-22T10:46:00"/>
    <d v="2024-10-22T15:36:00"/>
    <n v="283.95"/>
    <x v="0"/>
    <d v="2024-10-23T13:01:55"/>
    <d v="2024-10-23T14:01:55"/>
    <n v="58.733333333333334"/>
    <x v="0"/>
    <n v="2.1777222222226555"/>
    <x v="0"/>
    <n v="0.17772222222265555"/>
    <n v="52.265333333343733"/>
    <n v="24"/>
    <n v="28.265333333343733"/>
    <n v="5.5191282607649867"/>
    <x v="0"/>
  </r>
  <r>
    <x v="1"/>
    <x v="0"/>
    <d v="2024-10-21T23:17:21"/>
    <s v="OMCSJYPRR"/>
    <x v="0"/>
    <s v="UBF 375L"/>
    <m/>
    <s v="Kato Investment Ltd -Mityana"/>
    <n v="154.34400000000002"/>
    <s v="A17675"/>
    <x v="16"/>
    <x v="0"/>
    <x v="0"/>
    <x v="0"/>
    <x v="16"/>
    <x v="16"/>
    <m/>
    <n v="-690"/>
    <x v="0"/>
    <d v="2024-10-22T07:52:21"/>
    <d v="2024-10-22T07:30:21"/>
    <d v="2024-10-22T08:38:21"/>
    <n v="66.583333333333329"/>
    <n v="45.033333333333331"/>
    <x v="1"/>
    <d v="2024-10-23T10:38:21"/>
    <d v="2024-10-23T15:40:21"/>
    <n v="295.7"/>
    <x v="0"/>
    <d v="2024-10-24T11:11:04"/>
    <d v="2024-10-24T11:49:04"/>
    <n v="37.200000000000003"/>
    <x v="0"/>
    <n v="2.1060555555595784"/>
    <x v="0"/>
    <n v="0.10605555555957835"/>
    <n v="50.54533333342988"/>
    <n v="24"/>
    <n v="26.54533333342988"/>
    <n v="5.8143553166697979"/>
    <x v="0"/>
  </r>
  <r>
    <x v="1"/>
    <x v="1"/>
    <d v="2024-10-21T23:20:38"/>
    <s v="OM595NPRR"/>
    <x v="1"/>
    <s v="UBK 881R"/>
    <s v="James  Kironde"/>
    <s v="Kato Investment Ltd -Mityana"/>
    <n v="153.60000000000002"/>
    <s v="A17676"/>
    <x v="16"/>
    <x v="1"/>
    <x v="0"/>
    <x v="1"/>
    <x v="16"/>
    <x v="16"/>
    <n v="696"/>
    <n v="6"/>
    <x v="0"/>
    <d v="2024-10-22T06:32:00"/>
    <d v="2024-10-22T19:35:00"/>
    <d v="2024-10-22T07:18:00"/>
    <n v="-721.65"/>
    <n v="45.033333333333331"/>
    <x v="1"/>
    <d v="2024-10-22T16:29:00"/>
    <d v="2024-10-23T11:40:00"/>
    <n v="1127.0166666666667"/>
    <x v="0"/>
    <d v="2024-10-26T16:11:00"/>
    <d v="2024-10-26T16:57:00"/>
    <n v="45.033333333333331"/>
    <x v="0"/>
    <n v="4.3701388888875954"/>
    <x v="0"/>
    <n v="2.3701388888875954"/>
    <n v="104.88333333330229"/>
    <n v="48"/>
    <n v="56.883333333302289"/>
    <n v="2.7002636976281953"/>
    <x v="4"/>
  </r>
  <r>
    <x v="1"/>
    <x v="1"/>
    <d v="2024-10-21T23:58:55"/>
    <s v="OM9EBUGRR"/>
    <x v="1"/>
    <s v="UBE 287X"/>
    <s v="Isaac Tumuhimbise"/>
    <s v="KATO INVESTMENTS LIMITED-MASAK"/>
    <n v="153.60000000000002"/>
    <s v="F15198"/>
    <x v="14"/>
    <x v="1"/>
    <x v="0"/>
    <x v="1"/>
    <x v="14"/>
    <x v="14"/>
    <n v="297"/>
    <n v="-43"/>
    <x v="0"/>
    <d v="2024-10-22T08:24:00"/>
    <d v="2024-10-22T09:00:00"/>
    <d v="2024-10-22T09:20:00"/>
    <n v="19.583333333333332"/>
    <n v="54.833333333333336"/>
    <x v="2"/>
    <d v="2024-10-22T15:44:00"/>
    <d v="2024-10-22T18:43:00"/>
    <n v="175.26666666666668"/>
    <x v="0"/>
    <d v="2024-10-23T09:48:00"/>
    <d v="2024-10-23T10:41:00"/>
    <n v="51.883333333333333"/>
    <x v="0"/>
    <n v="1.0194444444423425"/>
    <x v="8"/>
    <n v="1.9444444442342501E-2"/>
    <n v="24.46666666661622"/>
    <n v="16"/>
    <n v="8.46666666661622"/>
    <n v="18.141732283572662"/>
    <x v="0"/>
  </r>
  <r>
    <x v="1"/>
    <x v="1"/>
    <d v="2024-10-22T14:06:56"/>
    <s v="OMH7PRIRR"/>
    <x v="1"/>
    <s v="UAY 526V"/>
    <s v="Benon Ssempijja"/>
    <s v="Kato Investments Ltd-Bulenga"/>
    <n v="153.60000000000002"/>
    <s v="A17686"/>
    <x v="2"/>
    <x v="1"/>
    <x v="0"/>
    <x v="1"/>
    <x v="2"/>
    <x v="2"/>
    <n v="555"/>
    <n v="-5"/>
    <x v="0"/>
    <d v="2024-10-22T13:44:00"/>
    <d v="2024-10-22T20:13:00"/>
    <d v="2024-10-22T14:33:00"/>
    <n v="-332.93333333333334"/>
    <n v="47.966666666666669"/>
    <x v="1"/>
    <d v="2024-10-23T10:17:00"/>
    <d v="2024-10-23T18:12:00"/>
    <n v="465.1"/>
    <x v="0"/>
    <d v="2024-10-25T21:51:00"/>
    <d v="2024-10-25T22:39:00"/>
    <n v="46.983333333333334"/>
    <x v="0"/>
    <n v="3.3041666666686069"/>
    <x v="0"/>
    <n v="1.3041666666686069"/>
    <n v="79.300000000046566"/>
    <n v="36"/>
    <n v="43.300000000046566"/>
    <n v="3.5473441108506889"/>
    <x v="4"/>
  </r>
  <r>
    <x v="1"/>
    <x v="0"/>
    <d v="2024-10-22T16:57:01"/>
    <s v="OMQLLM7RR"/>
    <x v="1"/>
    <s v="UBE 673K"/>
    <s v="Bulega Sperito"/>
    <s v="Kato Investment Ltd -Kagadi"/>
    <n v="156"/>
    <s v="A17690"/>
    <x v="12"/>
    <x v="0"/>
    <x v="0"/>
    <x v="0"/>
    <x v="12"/>
    <x v="12"/>
    <n v="597"/>
    <n v="-15"/>
    <x v="0"/>
    <d v="2024-10-22T17:51:00"/>
    <d v="2024-10-22T17:46:00"/>
    <d v="2024-10-22T18:37:00"/>
    <n v="49.93333333333333"/>
    <n v="45.033333333333331"/>
    <x v="1"/>
    <d v="2024-10-23T21:18:00"/>
    <d v="2024-10-24T11:59:00"/>
    <n v="862.63333333333333"/>
    <x v="0"/>
    <d v="2024-10-24T09:10:00"/>
    <d v="2024-10-24T09:42:00"/>
    <n v="31.316666666666666"/>
    <x v="0"/>
    <n v="1.6062500000043656"/>
    <x v="6"/>
    <n v="-0.69374999999563425"/>
    <n v="38.550000000104774"/>
    <n v="12"/>
    <n v="26.550000000104774"/>
    <n v="5.8757062146660788"/>
    <x v="0"/>
  </r>
  <r>
    <x v="1"/>
    <x v="0"/>
    <d v="2024-10-22T16:58:51"/>
    <s v="OMUOZ0JRR"/>
    <x v="0"/>
    <s v="UBJ 700D"/>
    <m/>
    <s v="Kato Investments Ltd- Kyegegwa"/>
    <n v="156"/>
    <s v="A17692"/>
    <x v="18"/>
    <x v="0"/>
    <x v="0"/>
    <x v="0"/>
    <x v="18"/>
    <x v="18"/>
    <n v="565"/>
    <n v="0"/>
    <x v="0"/>
    <d v="2024-10-22T17:56:51"/>
    <d v="2024-10-22T17:28:51"/>
    <d v="2024-10-22T18:56:51"/>
    <n v="86.15"/>
    <n v="58.733333333333334"/>
    <x v="0"/>
    <d v="2024-10-23T20:26:51"/>
    <d v="2024-10-24T12:50:22"/>
    <n v="963.01666666666665"/>
    <x v="0"/>
    <d v="2024-10-24T19:20:22"/>
    <d v="2024-10-24T20:21:22"/>
    <n v="59.716666666666669"/>
    <x v="0"/>
    <n v="2.0163333333330229"/>
    <x v="0"/>
    <n v="1.6333333333022892E-2"/>
    <n v="48.391999999992549"/>
    <n v="32"/>
    <n v="16.391999999992549"/>
    <n v="9.5168374817027157"/>
    <x v="0"/>
  </r>
  <r>
    <x v="1"/>
    <x v="0"/>
    <d v="2024-10-22T17:03:43"/>
    <s v="OMVJ2E1RR"/>
    <x v="1"/>
    <s v="UBM 565R"/>
    <s v="BAZALE SAID"/>
    <s v="KATO INVESTMENTS LTD-KATIKARA"/>
    <n v="156"/>
    <s v="A17693"/>
    <x v="5"/>
    <x v="0"/>
    <x v="0"/>
    <x v="0"/>
    <x v="5"/>
    <x v="5"/>
    <n v="842"/>
    <n v="12"/>
    <x v="0"/>
    <d v="2024-10-22T18:20:00"/>
    <d v="2024-10-22T16:55:00"/>
    <d v="2024-10-22T19:00:00"/>
    <n v="122.38333333333334"/>
    <n v="39.166666666666664"/>
    <x v="1"/>
    <d v="2024-10-23T12:58:00"/>
    <d v="2024-10-23T16:41:00"/>
    <n v="218.35"/>
    <x v="0"/>
    <d v="2024-10-24T06:29:00"/>
    <d v="2024-10-24T07:16:00"/>
    <n v="46.016666666666666"/>
    <x v="0"/>
    <n v="1.4784722222248092"/>
    <x v="0"/>
    <n v="-0.52152777777519077"/>
    <n v="35.483333333395422"/>
    <n v="12"/>
    <n v="23.483333333395422"/>
    <n v="6.64300922638414"/>
    <x v="0"/>
  </r>
  <r>
    <x v="1"/>
    <x v="1"/>
    <d v="2024-10-22T19:57:45"/>
    <s v="OMFMU23RR"/>
    <x v="1"/>
    <s v="UBK 875R"/>
    <s v="Bisaso  Ronald"/>
    <s v="Kabaco U Ltd"/>
    <n v="151.94400000000002"/>
    <s v="Z80720"/>
    <x v="6"/>
    <x v="1"/>
    <x v="0"/>
    <x v="1"/>
    <x v="6"/>
    <x v="6"/>
    <n v="324"/>
    <n v="4"/>
    <x v="0"/>
    <d v="2024-10-23T18:00:00"/>
    <d v="2024-10-23T09:30:00"/>
    <d v="2024-10-23T18:49:00"/>
    <n v="547.35"/>
    <n v="47.966666666666669"/>
    <x v="1"/>
    <d v="2024-10-24T10:30:00"/>
    <d v="2024-10-24T16:53:00"/>
    <n v="375.01666666666665"/>
    <x v="0"/>
    <d v="2024-10-24T18:35:00"/>
    <d v="2024-10-24T19:33:00"/>
    <n v="56.783333333333331"/>
    <x v="0"/>
    <n v="0.99027777777519077"/>
    <x v="3"/>
    <n v="-0.50972222222480923"/>
    <n v="23.766666666604578"/>
    <n v="0"/>
    <n v="23.766666666604578"/>
    <n v="6.3931556802411063"/>
    <x v="0"/>
  </r>
  <r>
    <x v="1"/>
    <x v="1"/>
    <d v="2024-10-22T20:00:49"/>
    <s v="OMV6T9DRR"/>
    <x v="0"/>
    <s v="UAT 351G"/>
    <s v="Hamudi Sesanga"/>
    <s v="Kabaco U Ltd-Mbarara"/>
    <n v="153.60000000000002"/>
    <s v="Z80721"/>
    <x v="8"/>
    <x v="1"/>
    <x v="0"/>
    <x v="1"/>
    <x v="8"/>
    <x v="8"/>
    <n v="12"/>
    <n v="1"/>
    <x v="0"/>
    <d v="2024-10-23T07:58:49"/>
    <d v="2024-10-23T07:30:49"/>
    <d v="2024-10-23T08:47:49"/>
    <n v="75.38333333333334"/>
    <n v="47.966666666666669"/>
    <x v="1"/>
    <d v="2024-10-23T09:18:49"/>
    <d v="2024-10-23T13:14:49"/>
    <n v="231.08333333333334"/>
    <x v="0"/>
    <d v="2024-10-23T13:45:49"/>
    <d v="2024-10-23T14:33:49"/>
    <n v="46.983333333333334"/>
    <x v="0"/>
    <n v="0.2069444444423425"/>
    <x v="5"/>
    <n v="-0.59305555555765754"/>
    <n v="4.96666666661622"/>
    <n v="0"/>
    <n v="4.96666666661622"/>
    <n v="30.926174496958417"/>
    <x v="0"/>
  </r>
  <r>
    <x v="1"/>
    <x v="0"/>
    <d v="2024-10-22T20:07:02"/>
    <s v="OMXEHUERR"/>
    <x v="1"/>
    <s v="UBM 644D"/>
    <s v="KAJUBI ISMA"/>
    <s v="Sawan Distributors Ltd-Kayabwe"/>
    <n v="156"/>
    <s v="A17694"/>
    <x v="9"/>
    <x v="0"/>
    <x v="0"/>
    <x v="0"/>
    <x v="9"/>
    <x v="9"/>
    <n v="402"/>
    <n v="2"/>
    <x v="0"/>
    <d v="2024-10-22T20:02:00"/>
    <d v="2024-10-23T04:19:00"/>
    <d v="2024-10-22T20:48:00"/>
    <n v="-441.61666666666667"/>
    <n v="45.033333333333331"/>
    <x v="1"/>
    <d v="2024-10-23T12:15:00"/>
    <d v="2024-10-23T16:07:00"/>
    <n v="227.16666666666666"/>
    <x v="0"/>
    <d v="2024-10-23T21:11:00"/>
    <d v="2024-10-23T22:11:00"/>
    <n v="58.733333333333334"/>
    <x v="0"/>
    <n v="1.015972222223354"/>
    <x v="0"/>
    <n v="-0.98402777777664596"/>
    <n v="24.383333333360497"/>
    <n v="12"/>
    <n v="12.383333333360497"/>
    <n v="12.597577388936028"/>
    <x v="0"/>
  </r>
  <r>
    <x v="1"/>
    <x v="0"/>
    <d v="2024-10-22T20:14:26"/>
    <s v="OMZQYGPRR"/>
    <x v="0"/>
    <s v="UBP 311H"/>
    <m/>
    <s v="Sawan Distributors Ltd-Nabingo"/>
    <n v="156"/>
    <s v="A17696"/>
    <x v="21"/>
    <x v="0"/>
    <x v="0"/>
    <x v="0"/>
    <x v="21"/>
    <x v="2"/>
    <n v="561"/>
    <n v="1"/>
    <x v="0"/>
    <d v="2024-10-23T07:58:26"/>
    <d v="2024-10-23T07:30:26"/>
    <d v="2024-10-23T08:45:26"/>
    <n v="73.433333333333337"/>
    <n v="46.016666666666666"/>
    <x v="1"/>
    <d v="2024-10-24T10:00:26"/>
    <d v="2024-10-24T15:00:26"/>
    <n v="293.75"/>
    <x v="0"/>
    <d v="2024-10-25T15:00:26"/>
    <d v="2024-10-25T15:49:26"/>
    <n v="47.966666666666669"/>
    <x v="0"/>
    <n v="2.2604166666715173"/>
    <x v="0"/>
    <n v="0.26041666667151731"/>
    <n v="54.250000000116415"/>
    <n v="24"/>
    <n v="30.250000000116415"/>
    <n v="5.1570247933685831"/>
    <x v="0"/>
  </r>
  <r>
    <x v="1"/>
    <x v="1"/>
    <d v="2024-10-23T21:29:07"/>
    <s v="OM34NK8RR"/>
    <x v="1"/>
    <s v="UBE 422T"/>
    <s v="Jacob Oneka"/>
    <s v="Kabaco U Ltd"/>
    <n v="153.60000000000002"/>
    <s v="Z80728"/>
    <x v="6"/>
    <x v="1"/>
    <x v="0"/>
    <x v="1"/>
    <x v="6"/>
    <x v="6"/>
    <n v="318"/>
    <n v="-2"/>
    <x v="0"/>
    <d v="2024-10-24T17:28:00"/>
    <d v="2024-10-24T09:30:00"/>
    <d v="2024-10-24T18:07:00"/>
    <n v="506.21666666666664"/>
    <n v="38.18333333333333"/>
    <x v="1"/>
    <d v="2024-10-25T09:31:00"/>
    <d v="2024-10-25T17:21:00"/>
    <n v="460.2"/>
    <x v="0"/>
    <d v="2024-10-25T18:58:00"/>
    <d v="2024-10-25T19:58:00"/>
    <n v="58.733333333333334"/>
    <x v="0"/>
    <n v="1.0354166666656965"/>
    <x v="3"/>
    <n v="-0.46458333333430346"/>
    <n v="24.849999999976717"/>
    <n v="12"/>
    <n v="12.849999999976717"/>
    <n v="11.953307393017768"/>
    <x v="0"/>
  </r>
  <r>
    <x v="1"/>
    <x v="1"/>
    <d v="2024-10-23T21:30:12"/>
    <s v="OM0IV23RR"/>
    <x v="1"/>
    <s v="UBJ 988D"/>
    <s v="Tumusiime Robert"/>
    <s v="Kabaco U Ltd-Mbarara"/>
    <n v="153.60000000000002"/>
    <s v="Z80729"/>
    <x v="8"/>
    <x v="1"/>
    <x v="0"/>
    <x v="1"/>
    <x v="8"/>
    <x v="8"/>
    <n v="14"/>
    <n v="3"/>
    <x v="0"/>
    <d v="2024-10-24T16:35:00"/>
    <d v="2024-10-24T10:00:00"/>
    <d v="2024-10-24T17:31:00"/>
    <n v="441.6"/>
    <n v="54.833333333333336"/>
    <x v="0"/>
    <d v="2024-10-24T18:00:00"/>
    <d v="2024-10-25T13:21:00"/>
    <n v="1136.8"/>
    <x v="0"/>
    <d v="2024-10-25T14:15:00"/>
    <d v="2024-10-25T14:51:00"/>
    <n v="35.25"/>
    <x v="0"/>
    <n v="0.86388888888905058"/>
    <x v="5"/>
    <n v="6.3888888889050532E-2"/>
    <n v="20.733333333337214"/>
    <n v="0"/>
    <n v="20.733333333337214"/>
    <n v="7.4083601286159775"/>
    <x v="0"/>
  </r>
  <r>
    <x v="1"/>
    <x v="1"/>
    <d v="2024-10-23T21:30:56"/>
    <s v="OMXEYYGRR"/>
    <x v="0"/>
    <s v="UAT 351G"/>
    <s v="Hamudi Sesanga"/>
    <s v="Kabaco U Ltd-Mbarara"/>
    <n v="153.60000000000002"/>
    <s v="Z80730"/>
    <x v="8"/>
    <x v="1"/>
    <x v="0"/>
    <x v="1"/>
    <x v="8"/>
    <x v="8"/>
    <n v="12"/>
    <n v="1"/>
    <x v="0"/>
    <d v="2024-10-24T07:58:56"/>
    <d v="2024-10-24T07:30:56"/>
    <d v="2024-10-24T08:38:56"/>
    <n v="66.583333333333329"/>
    <n v="39.166666666666664"/>
    <x v="1"/>
    <d v="2024-10-24T09:14:56"/>
    <d v="2024-10-24T12:31:56"/>
    <n v="192.88333333333333"/>
    <x v="0"/>
    <d v="2024-10-24T13:02:56"/>
    <d v="2024-10-24T13:57:56"/>
    <n v="53.85"/>
    <x v="0"/>
    <n v="0.18333333333430346"/>
    <x v="5"/>
    <n v="-0.61666666666569658"/>
    <n v="4.4000000000232831"/>
    <n v="0"/>
    <n v="4.4000000000232831"/>
    <n v="34.909090908906187"/>
    <x v="0"/>
  </r>
  <r>
    <x v="1"/>
    <x v="1"/>
    <d v="2024-10-23T21:34:35"/>
    <s v="OMCGZ7TRR"/>
    <x v="1"/>
    <s v="UAV 203T"/>
    <s v="Mugisha  George"/>
    <s v="Kabaco U Ltd-Mbarara"/>
    <n v="153.60000000000002"/>
    <s v="Z80731"/>
    <x v="8"/>
    <x v="1"/>
    <x v="0"/>
    <x v="1"/>
    <x v="8"/>
    <x v="8"/>
    <n v="13"/>
    <n v="2"/>
    <x v="0"/>
    <d v="2024-10-24T08:45:00"/>
    <d v="2024-10-24T09:00:00"/>
    <d v="2024-10-24T09:31:00"/>
    <n v="30.35"/>
    <n v="45.033333333333331"/>
    <x v="1"/>
    <d v="2024-10-24T10:15:00"/>
    <d v="2024-10-24T12:36:00"/>
    <n v="138.05000000000001"/>
    <x v="0"/>
    <d v="2024-10-25T10:16:00"/>
    <d v="2024-10-25T11:12:00"/>
    <n v="54.833333333333336"/>
    <x v="0"/>
    <n v="1.03125"/>
    <x v="5"/>
    <n v="0.23124999999999996"/>
    <n v="24.75"/>
    <n v="12"/>
    <n v="12.75"/>
    <n v="12.047058823529413"/>
    <x v="0"/>
  </r>
  <r>
    <x v="1"/>
    <x v="1"/>
    <d v="2024-10-23T21:35:26"/>
    <s v="OM30D4SRR"/>
    <x v="1"/>
    <s v="UBK 881R"/>
    <s v="James  Kironde"/>
    <s v="Kabaco U Ltd-Mbarara"/>
    <n v="153.60000000000002"/>
    <s v="Z80732"/>
    <x v="8"/>
    <x v="1"/>
    <x v="0"/>
    <x v="1"/>
    <x v="8"/>
    <x v="8"/>
    <n v="15"/>
    <n v="4"/>
    <x v="0"/>
    <d v="2024-10-26T17:41:00"/>
    <d v="2024-10-24T11:00:00"/>
    <d v="2024-10-26T18:30:00"/>
    <n v="3260.6166666666668"/>
    <n v="47.966666666666669"/>
    <x v="1"/>
    <d v="2024-10-26T18:52:00"/>
    <d v="2024-10-27T17:38:00"/>
    <n v="1337.5333333333333"/>
    <x v="0"/>
    <d v="2024-10-27T17:31:00"/>
    <d v="2024-10-27T18:32:00"/>
    <n v="59.716666666666669"/>
    <x v="0"/>
    <n v="0.95902777777519077"/>
    <x v="5"/>
    <n v="0.15902777777519073"/>
    <n v="23.016666666604578"/>
    <n v="0"/>
    <n v="23.016666666604578"/>
    <n v="6.6734250543264748"/>
    <x v="0"/>
  </r>
  <r>
    <x v="1"/>
    <x v="1"/>
    <d v="2024-10-23T21:36:17"/>
    <s v="OM7SXRPRR"/>
    <x v="1"/>
    <s v="UBJ 415C"/>
    <s v="Abel Mark naffa"/>
    <s v="Sawan Distributors Ltd-Kayabwe"/>
    <n v="153.60000000000002"/>
    <s v="A17720"/>
    <x v="9"/>
    <x v="1"/>
    <x v="0"/>
    <x v="1"/>
    <x v="9"/>
    <x v="9"/>
    <n v="331"/>
    <n v="-69"/>
    <x v="0"/>
    <d v="2024-10-24T14:30:00"/>
    <d v="2024-10-24T10:00:00"/>
    <d v="2024-10-24T15:19:00"/>
    <n v="312.35000000000002"/>
    <n v="47.966666666666669"/>
    <x v="1"/>
    <d v="2024-10-25T10:43:00"/>
    <d v="2024-10-25T14:02:00"/>
    <n v="194.85"/>
    <x v="0"/>
    <d v="2024-10-26T13:35:00"/>
    <d v="2024-10-26T14:32:00"/>
    <n v="55.8"/>
    <x v="0"/>
    <n v="1.9277777777751908"/>
    <x v="0"/>
    <n v="-7.2222222224809229E-2"/>
    <n v="46.266666666604578"/>
    <n v="12"/>
    <n v="34.266666666604578"/>
    <n v="4.4824902723816633"/>
    <x v="0"/>
  </r>
  <r>
    <x v="1"/>
    <x v="1"/>
    <d v="2024-10-23T21:39:43"/>
    <s v="OMKYAQARR"/>
    <x v="0"/>
    <s v="UAR 731Q"/>
    <s v="Godwin Niwensiima"/>
    <s v="Kabaco U Ltd"/>
    <n v="153.60000000000002"/>
    <s v="Z80733"/>
    <x v="6"/>
    <x v="1"/>
    <x v="0"/>
    <x v="1"/>
    <x v="6"/>
    <x v="6"/>
    <n v="324"/>
    <n v="4"/>
    <x v="0"/>
    <d v="2024-10-24T07:58:43"/>
    <d v="2024-10-24T07:30:43"/>
    <d v="2024-10-24T08:46:43"/>
    <n v="74.400000000000006"/>
    <n v="46.983333333333334"/>
    <x v="1"/>
    <d v="2024-10-24T14:46:43"/>
    <d v="2024-10-24T19:55:43"/>
    <n v="302.55"/>
    <x v="0"/>
    <d v="2024-10-25T09:50:55"/>
    <d v="2024-10-25T10:50:55"/>
    <n v="58.733333333333334"/>
    <x v="0"/>
    <n v="1.0445833333360497"/>
    <x v="3"/>
    <n v="-0.45541666666395031"/>
    <n v="25.070000000065193"/>
    <n v="12"/>
    <n v="13.070000000065193"/>
    <n v="11.75210405502937"/>
    <x v="0"/>
  </r>
  <r>
    <x v="1"/>
    <x v="1"/>
    <d v="2024-10-25T20:30:31"/>
    <s v="OME53BDRR"/>
    <x v="1"/>
    <s v="UBJ 988D"/>
    <s v="Tumusiime Robert"/>
    <s v="Kabaco U Ltd-Mbarara"/>
    <n v="153.60000000000002"/>
    <s v="Z80768"/>
    <x v="8"/>
    <x v="1"/>
    <x v="0"/>
    <x v="1"/>
    <x v="8"/>
    <x v="8"/>
    <n v="14"/>
    <n v="3"/>
    <x v="0"/>
    <d v="2024-10-26T09:18:00"/>
    <d v="2024-10-26T08:30:00"/>
    <d v="2024-10-26T10:01:00"/>
    <n v="89.1"/>
    <n v="42.1"/>
    <x v="1"/>
    <d v="2024-10-26T10:50:00"/>
    <d v="2024-10-27T12:38:00"/>
    <n v="1515.7333333333333"/>
    <x v="0"/>
    <d v="2024-10-27T15:02:00"/>
    <d v="2024-10-27T15:39:00"/>
    <n v="36.216666666666669"/>
    <x v="0"/>
    <n v="1.2090277777751908"/>
    <x v="5"/>
    <n v="0.40902777777519073"/>
    <n v="29.016666666604578"/>
    <n v="12"/>
    <n v="17.016666666604578"/>
    <n v="9.0264446621289203"/>
    <x v="0"/>
  </r>
  <r>
    <x v="1"/>
    <x v="1"/>
    <d v="2024-10-25T20:33:30"/>
    <s v="OMQMC27RR"/>
    <x v="0"/>
    <s v="UAT 351G"/>
    <s v="Hamudi Sesanga"/>
    <s v="Kabaco U Ltd-Mbarara"/>
    <n v="156"/>
    <s v="Z80771"/>
    <x v="8"/>
    <x v="1"/>
    <x v="0"/>
    <x v="1"/>
    <x v="8"/>
    <x v="8"/>
    <n v="14"/>
    <n v="3"/>
    <x v="0"/>
    <d v="2024-10-26T07:58:30"/>
    <d v="2024-10-26T07:30:30"/>
    <d v="2024-10-26T08:42:30"/>
    <n v="70.483333333333334"/>
    <n v="43.06666666666667"/>
    <x v="1"/>
    <d v="2024-10-26T09:24:30"/>
    <d v="2024-10-26T11:42:30"/>
    <n v="135.11666666666667"/>
    <x v="0"/>
    <d v="2024-10-26T12:13:30"/>
    <d v="2024-10-26T13:10:30"/>
    <n v="55.8"/>
    <x v="0"/>
    <n v="0.14652777777519077"/>
    <x v="5"/>
    <n v="-0.65347222222480927"/>
    <n v="3.5166666666045785"/>
    <n v="0"/>
    <n v="3.5166666666045785"/>
    <n v="44.360189574242909"/>
    <x v="0"/>
  </r>
  <r>
    <x v="1"/>
    <x v="1"/>
    <d v="2024-10-25T20:38:31"/>
    <s v="OM8BH24RR"/>
    <x v="0"/>
    <s v="UAV 051U"/>
    <s v="Angello Lumala"/>
    <s v="Kabaco U Ltd"/>
    <n v="141.14400000000001"/>
    <s v="Z80772"/>
    <x v="6"/>
    <x v="1"/>
    <x v="0"/>
    <x v="1"/>
    <x v="6"/>
    <x v="6"/>
    <n v="318"/>
    <n v="-2"/>
    <x v="0"/>
    <d v="2024-10-26T07:58:31"/>
    <d v="2024-10-26T07:30:31"/>
    <d v="2024-10-26T08:53:31"/>
    <n v="81.266666666666666"/>
    <n v="53.85"/>
    <x v="7"/>
    <d v="2024-10-26T14:53:31"/>
    <d v="2024-10-26T18:53:31"/>
    <n v="234.98333333333332"/>
    <x v="0"/>
    <d v="2024-10-27T08:48:43"/>
    <d v="2024-10-27T09:28:43"/>
    <n v="39.166666666666664"/>
    <x v="0"/>
    <n v="0.99666666666598758"/>
    <x v="3"/>
    <n v="-0.50333333333401242"/>
    <n v="23.919999999983702"/>
    <n v="0"/>
    <n v="23.919999999983702"/>
    <n v="5.9006688963250911"/>
    <x v="0"/>
  </r>
  <r>
    <x v="1"/>
    <x v="1"/>
    <d v="2024-10-26T16:50:31"/>
    <s v="OMG5H94RR"/>
    <x v="0"/>
    <s v="UAR 731Q"/>
    <s v="Godwin Niwensiima"/>
    <s v="Sawan Distributors Ltd-Kayabwe"/>
    <n v="153.60000000000002"/>
    <s v="A17815"/>
    <x v="9"/>
    <x v="1"/>
    <x v="0"/>
    <x v="1"/>
    <x v="9"/>
    <x v="9"/>
    <n v="397"/>
    <n v="-3"/>
    <x v="0"/>
    <d v="2024-10-26T17:48:31"/>
    <d v="2024-10-26T17:20:31"/>
    <d v="2024-10-26T18:52:31"/>
    <n v="90.066666666666663"/>
    <n v="62.65"/>
    <x v="3"/>
    <d v="2024-10-27T13:52:31"/>
    <d v="2024-10-28T11:04:02"/>
    <n v="1245.0166666666667"/>
    <x v="0"/>
    <d v="2024-10-29T06:16:02"/>
    <d v="2024-10-29T07:13:02"/>
    <n v="55.8"/>
    <x v="0"/>
    <n v="2.4746666666687815"/>
    <x v="0"/>
    <n v="0.47466666666878155"/>
    <n v="59.392000000050757"/>
    <n v="32"/>
    <n v="27.392000000050757"/>
    <n v="5.6074766355036285"/>
    <x v="0"/>
  </r>
  <r>
    <x v="1"/>
    <x v="0"/>
    <d v="2024-10-26T21:19:16"/>
    <s v="OM3DP70RR"/>
    <x v="0"/>
    <s v="UBJ 419C"/>
    <m/>
    <s v="Ntale and Sons Ltd-Kakiri"/>
    <n v="156"/>
    <s v="A17819"/>
    <x v="22"/>
    <x v="0"/>
    <x v="0"/>
    <x v="0"/>
    <x v="22"/>
    <x v="21"/>
    <n v="615"/>
    <n v="-5"/>
    <x v="0"/>
    <d v="2024-10-27T07:58:16"/>
    <d v="2024-10-27T07:30:16"/>
    <d v="2024-10-27T08:42:16"/>
    <n v="70.483333333333334"/>
    <n v="43.06666666666667"/>
    <x v="1"/>
    <d v="2024-10-27T21:12:16"/>
    <d v="2024-10-28T16:40:06"/>
    <n v="1143.5"/>
    <x v="0"/>
    <d v="2024-10-29T12:28:06"/>
    <d v="2024-10-29T13:13:06"/>
    <n v="44.05"/>
    <x v="0"/>
    <n v="2.1568333333343617"/>
    <x v="0"/>
    <n v="0.15683333333436167"/>
    <n v="51.76400000002468"/>
    <n v="24"/>
    <n v="27.76400000002468"/>
    <n v="5.6187869183064878"/>
    <x v="0"/>
  </r>
  <r>
    <x v="1"/>
    <x v="1"/>
    <d v="2024-10-26T21:28:38"/>
    <s v="OMXLWQRRR"/>
    <x v="0"/>
    <s v="UAV 051U"/>
    <s v="Angello Lumala"/>
    <s v="KATO INVESTMENTS LIMITED-MASAK"/>
    <n v="153.60000000000002"/>
    <s v="F15205"/>
    <x v="14"/>
    <x v="1"/>
    <x v="0"/>
    <x v="1"/>
    <x v="14"/>
    <x v="14"/>
    <n v="348"/>
    <n v="8"/>
    <x v="0"/>
    <d v="2024-10-27T07:58:38"/>
    <d v="2024-10-27T07:30:38"/>
    <d v="2024-10-27T08:47:38"/>
    <n v="75.38333333333334"/>
    <n v="47.966666666666669"/>
    <x v="8"/>
    <d v="2024-10-27T12:00:38"/>
    <d v="2024-10-27T17:12:38"/>
    <n v="305.5"/>
    <x v="0"/>
    <d v="2024-10-27T19:52:38"/>
    <d v="2024-10-27T20:52:38"/>
    <n v="58.733333333333334"/>
    <x v="0"/>
    <n v="0.46180555555474712"/>
    <x v="8"/>
    <n v="-0.53819444444525288"/>
    <n v="11.083333333313931"/>
    <n v="0"/>
    <n v="11.083333333313931"/>
    <n v="13.858646616565617"/>
    <x v="0"/>
  </r>
  <r>
    <x v="1"/>
    <x v="0"/>
    <d v="2024-10-26T21:37:50"/>
    <s v="OM29FAVRR"/>
    <x v="1"/>
    <s v="UBJ 705D"/>
    <s v="KASULE JOHNBOSC"/>
    <s v="Kato Investment Ltd -Kagadi"/>
    <n v="156"/>
    <s v="A17820"/>
    <x v="12"/>
    <x v="0"/>
    <x v="0"/>
    <x v="0"/>
    <x v="12"/>
    <x v="12"/>
    <n v="596"/>
    <n v="-16"/>
    <x v="0"/>
    <d v="2024-10-27T10:24:00"/>
    <d v="2024-10-27T17:46:00"/>
    <d v="2024-10-27T11:10:00"/>
    <n v="-387.75"/>
    <n v="45.033333333333331"/>
    <x v="1"/>
    <d v="2024-10-27T22:13:00"/>
    <d v="2024-10-28T13:01:00"/>
    <n v="869.5"/>
    <x v="0"/>
    <d v="2024-10-29T06:13:00"/>
    <d v="2024-10-29T07:13:00"/>
    <n v="58.733333333333334"/>
    <x v="0"/>
    <n v="1.7937499999970896"/>
    <x v="6"/>
    <n v="-0.50625000000291021"/>
    <n v="43.049999999930151"/>
    <n v="12"/>
    <n v="31.049999999930151"/>
    <n v="5.0241545893832829"/>
    <x v="0"/>
  </r>
  <r>
    <x v="1"/>
    <x v="0"/>
    <d v="2024-10-26T21:40:33"/>
    <s v="OMLZUBIRR"/>
    <x v="0"/>
    <s v="UBJ 700D"/>
    <m/>
    <s v="Kato Investments Ltd-Bulenga"/>
    <n v="156"/>
    <s v="A17824"/>
    <x v="2"/>
    <x v="0"/>
    <x v="0"/>
    <x v="0"/>
    <x v="2"/>
    <x v="2"/>
    <n v="555"/>
    <n v="-5"/>
    <x v="0"/>
    <d v="2024-10-27T07:58:33"/>
    <d v="2024-10-27T07:30:33"/>
    <d v="2024-10-27T08:42:33"/>
    <n v="70.483333333333334"/>
    <n v="43.06666666666667"/>
    <x v="1"/>
    <d v="2024-10-28T08:42:33"/>
    <d v="2024-10-28T12:13:33"/>
    <n v="206.6"/>
    <x v="0"/>
    <d v="2024-10-29T06:18:33"/>
    <d v="2024-10-29T06:54:33"/>
    <n v="35.25"/>
    <x v="0"/>
    <n v="1.9000000000014552"/>
    <x v="0"/>
    <n v="-9.9999999998544808E-2"/>
    <n v="45.600000000034925"/>
    <n v="12"/>
    <n v="33.600000000034925"/>
    <n v="4.6428571428523169"/>
    <x v="0"/>
  </r>
  <r>
    <x v="1"/>
    <x v="1"/>
    <d v="2024-10-26T23:18:07"/>
    <s v="OMIQJSZRR"/>
    <x v="1"/>
    <s v="UBK 881R"/>
    <s v="James  Kironde"/>
    <s v="KATO INVESTMENTS LTD- KALISIZO"/>
    <n v="153.60000000000002"/>
    <s v="F15207"/>
    <x v="4"/>
    <x v="1"/>
    <x v="0"/>
    <x v="1"/>
    <x v="4"/>
    <x v="4"/>
    <n v="417"/>
    <n v="67"/>
    <x v="0"/>
    <d v="2024-10-27T19:00:00"/>
    <d v="2024-10-27T10:00:00"/>
    <d v="2024-10-27T19:49:00"/>
    <n v="576.7166666666667"/>
    <n v="47.966666666666669"/>
    <x v="1"/>
    <d v="2024-10-28T09:48:00"/>
    <d v="2024-10-28T12:12:00"/>
    <n v="140.98333333333332"/>
    <x v="0"/>
    <d v="2024-10-29T10:01:00"/>
    <d v="2024-10-29T10:32:00"/>
    <n v="30.35"/>
    <x v="0"/>
    <n v="1.5916666666671517"/>
    <x v="2"/>
    <n v="-0.10833333333284823"/>
    <n v="38.200000000011642"/>
    <n v="12"/>
    <n v="26.200000000011642"/>
    <n v="5.8625954198447241"/>
    <x v="0"/>
  </r>
  <r>
    <x v="1"/>
    <x v="0"/>
    <d v="2024-10-26T23:24:17"/>
    <s v="OMK7WTXRR"/>
    <x v="0"/>
    <s v="UBE 687K"/>
    <m/>
    <s v="Kato Investment Ltd -Mubende"/>
    <n v="156"/>
    <s v="A17830"/>
    <x v="1"/>
    <x v="0"/>
    <x v="0"/>
    <x v="0"/>
    <x v="1"/>
    <x v="1"/>
    <n v="701"/>
    <n v="21"/>
    <x v="0"/>
    <d v="2024-10-27T07:42:17"/>
    <d v="2024-10-27T07:30:17"/>
    <d v="2024-10-27T08:38:17"/>
    <n v="66.583333333333329"/>
    <n v="54.833333333333336"/>
    <x v="4"/>
    <d v="2024-10-28T10:55:17"/>
    <d v="2024-10-28T15:58:17"/>
    <n v="296.68333333333334"/>
    <x v="0"/>
    <d v="2024-10-29T16:15:34"/>
    <d v="2024-10-29T17:09:34"/>
    <n v="52.866666666666667"/>
    <x v="0"/>
    <n v="2.3175555555571918"/>
    <x v="1"/>
    <n v="-0.18244444444280816"/>
    <n v="55.621333333372604"/>
    <n v="32"/>
    <n v="23.621333333372604"/>
    <n v="6.6041995935767375"/>
    <x v="0"/>
  </r>
  <r>
    <x v="1"/>
    <x v="0"/>
    <d v="2024-10-26T23:24:44"/>
    <s v="OMXJGFRRR"/>
    <x v="0"/>
    <s v="UBM 648D"/>
    <s v="Nakalya John"/>
    <s v="Ntale and Sons Ltd-Kakiri"/>
    <n v="156"/>
    <s v="A17831"/>
    <x v="22"/>
    <x v="0"/>
    <x v="0"/>
    <x v="0"/>
    <x v="22"/>
    <x v="21"/>
    <n v="615"/>
    <n v="-5"/>
    <x v="0"/>
    <d v="2024-10-27T07:20:44"/>
    <d v="2024-10-27T07:30:44"/>
    <d v="2024-10-27T08:38:44"/>
    <n v="66.583333333333329"/>
    <n v="76.36666666666666"/>
    <x v="6"/>
    <d v="2024-10-27T21:08:44"/>
    <d v="2024-10-28T16:50:58"/>
    <n v="1157.5999999999999"/>
    <x v="0"/>
    <d v="2024-10-29T15:38:58"/>
    <d v="2024-10-29T16:29:58"/>
    <n v="49.93333333333333"/>
    <x v="0"/>
    <n v="2.2918333333363989"/>
    <x v="0"/>
    <n v="0.29183333333639894"/>
    <n v="55.004000000073574"/>
    <n v="32"/>
    <n v="23.004000000073574"/>
    <n v="6.7814293166188948"/>
    <x v="0"/>
  </r>
  <r>
    <x v="1"/>
    <x v="1"/>
    <d v="2024-10-26T23:43:39"/>
    <s v="OM0ZTXMRR"/>
    <x v="1"/>
    <s v="UAY 526V"/>
    <s v="Benon Ssempijja"/>
    <s v="KATO INVESTMENTS LIMITED-MASAK"/>
    <n v="153.60000000000002"/>
    <s v="F15209"/>
    <x v="14"/>
    <x v="1"/>
    <x v="0"/>
    <x v="1"/>
    <x v="14"/>
    <x v="14"/>
    <n v="298"/>
    <n v="-42"/>
    <x v="0"/>
    <d v="2024-10-28T07:47:00"/>
    <d v="2024-10-27T09:00:00"/>
    <d v="2024-10-28T08:32:00"/>
    <n v="1382.5833333333333"/>
    <n v="44.05"/>
    <x v="1"/>
    <d v="2024-10-28T13:08:00"/>
    <d v="2024-10-28T18:44:00"/>
    <n v="328.98333333333335"/>
    <x v="0"/>
    <d v="2024-10-29T16:25:00"/>
    <d v="2024-10-29T17:13:00"/>
    <n v="46.983333333333334"/>
    <x v="0"/>
    <n v="1.328472222223354"/>
    <x v="8"/>
    <n v="0.32847222222335404"/>
    <n v="31.883333333360497"/>
    <n v="12"/>
    <n v="19.883333333360497"/>
    <n v="7.7250628667119958"/>
    <x v="0"/>
  </r>
  <r>
    <x v="1"/>
    <x v="1"/>
    <d v="2024-10-28T22:12:42"/>
    <s v="OM12V5QRR"/>
    <x v="1"/>
    <s v="UBA 523T"/>
    <s v="Kabene John"/>
    <s v="Kabaco U Ltd-Mbarara"/>
    <n v="153.60000000000002"/>
    <s v="Z80826"/>
    <x v="8"/>
    <x v="1"/>
    <x v="0"/>
    <x v="1"/>
    <x v="8"/>
    <x v="8"/>
    <n v="12"/>
    <n v="1"/>
    <x v="0"/>
    <d v="2024-10-29T14:27:00"/>
    <d v="2024-10-29T07:42:00"/>
    <d v="2024-10-29T15:14:00"/>
    <n v="442.58333333333331"/>
    <n v="46.016666666666666"/>
    <x v="8"/>
    <d v="2024-10-29T16:06:00"/>
    <d v="2024-10-29T19:04:00"/>
    <n v="174.28333333333333"/>
    <x v="0"/>
    <d v="2024-10-29T19:59:00"/>
    <d v="2024-10-29T20:52:00"/>
    <n v="51.883333333333333"/>
    <x v="0"/>
    <n v="0.19791666666424135"/>
    <x v="5"/>
    <n v="-0.6020833333357587"/>
    <n v="4.7499999999417923"/>
    <n v="0"/>
    <n v="4.7499999999417923"/>
    <n v="32.336842105659429"/>
    <x v="0"/>
  </r>
  <r>
    <x v="1"/>
    <x v="1"/>
    <d v="2024-10-28T22:14:02"/>
    <s v="OM274Z5RR"/>
    <x v="1"/>
    <s v="UAV 203T"/>
    <s v="Mugisha  George"/>
    <s v="Kabaco U Ltd"/>
    <n v="153.60000000000002"/>
    <s v="Z80827"/>
    <x v="6"/>
    <x v="1"/>
    <x v="0"/>
    <x v="1"/>
    <x v="6"/>
    <x v="6"/>
    <n v="319"/>
    <n v="-1"/>
    <x v="0"/>
    <d v="2024-10-29T13:53:00"/>
    <d v="2024-10-29T02:22:00"/>
    <d v="2024-10-29T14:39:00"/>
    <n v="721.63333333333333"/>
    <n v="45.033333333333331"/>
    <x v="1"/>
    <d v="2024-10-29T21:04:00"/>
    <d v="2024-10-30T14:09:00"/>
    <n v="1003.6333333333333"/>
    <x v="0"/>
    <d v="2024-10-30T19:36:00"/>
    <d v="2024-10-30T20:27:00"/>
    <n v="49.93333333333333"/>
    <x v="0"/>
    <n v="1.2062499999956344"/>
    <x v="3"/>
    <n v="-0.29375000000436557"/>
    <n v="28.949999999895226"/>
    <n v="12"/>
    <n v="16.949999999895226"/>
    <n v="9.0619469027108828"/>
    <x v="0"/>
  </r>
  <r>
    <x v="1"/>
    <x v="0"/>
    <d v="2024-10-29T21:16:12"/>
    <s v="OMXLPTDRR"/>
    <x v="1"/>
    <s v="UBK 862R"/>
    <s v="SULAIMAN MUBIRU"/>
    <s v="Ntale and Sons Ltd-Kakiri"/>
    <n v="156"/>
    <s v="A17904"/>
    <x v="22"/>
    <x v="0"/>
    <x v="0"/>
    <x v="0"/>
    <x v="22"/>
    <x v="21"/>
    <n v="612"/>
    <n v="-8"/>
    <x v="0"/>
    <d v="2024-10-29T20:42:00"/>
    <d v="2024-10-30T01:59:00"/>
    <d v="2024-10-29T21:27:00"/>
    <n v="-266.33333333333331"/>
    <n v="44.05"/>
    <x v="1"/>
    <d v="2024-10-30T11:06:00"/>
    <d v="2024-10-30T16:18:00"/>
    <n v="305.5"/>
    <x v="0"/>
    <d v="2024-10-31T07:30:00"/>
    <d v="2024-10-31T08:31:00"/>
    <n v="59.716666666666669"/>
    <x v="0"/>
    <n v="1.4187499999970896"/>
    <x v="0"/>
    <n v="-0.58125000000291038"/>
    <n v="34.049999999930151"/>
    <n v="12"/>
    <n v="22.049999999930151"/>
    <n v="7.0748299319952004"/>
    <x v="0"/>
  </r>
  <r>
    <x v="1"/>
    <x v="1"/>
    <d v="2024-10-29T21:32:09"/>
    <s v="OMKYFDXRR"/>
    <x v="1"/>
    <s v="UBJ 988D"/>
    <s v="Tumusiime Robert"/>
    <s v="Kabaco U Ltd-Mbarara"/>
    <n v="100.8"/>
    <s v="Z80854"/>
    <x v="8"/>
    <x v="1"/>
    <x v="0"/>
    <x v="1"/>
    <x v="8"/>
    <x v="8"/>
    <n v="13"/>
    <n v="2"/>
    <x v="0"/>
    <d v="2024-10-31T11:05:00"/>
    <d v="2024-10-30T10:00:00"/>
    <d v="2024-10-31T12:06:00"/>
    <n v="1533.3666666666666"/>
    <n v="59.716666666666669"/>
    <x v="9"/>
    <d v="2024-10-31T12:34:00"/>
    <d v="2024-10-31T18:56:00"/>
    <n v="374.03333333333336"/>
    <x v="0"/>
    <d v="2024-10-31T19:21:00"/>
    <d v="2024-10-31T19:54:00"/>
    <n v="32.299999999999997"/>
    <x v="0"/>
    <n v="0.30208333333575865"/>
    <x v="5"/>
    <n v="-0.49791666666424139"/>
    <n v="7.2500000000582077"/>
    <n v="0"/>
    <n v="7.2500000000582077"/>
    <n v="13.903448275750442"/>
    <x v="0"/>
  </r>
  <r>
    <x v="1"/>
    <x v="0"/>
    <d v="2024-10-29T21:41:34"/>
    <s v="OM1GF20RR"/>
    <x v="0"/>
    <s v="UBP 311H"/>
    <m/>
    <s v="Kobusinge Acaali- Kyenjojo"/>
    <n v="156.4752"/>
    <s v="Z80858"/>
    <x v="3"/>
    <x v="0"/>
    <x v="0"/>
    <x v="0"/>
    <x v="3"/>
    <x v="3"/>
    <n v="481"/>
    <n v="1"/>
    <x v="0"/>
    <d v="2024-10-30T07:56:34"/>
    <d v="2024-10-30T07:30:34"/>
    <d v="2024-10-30T08:42:34"/>
    <n v="70.483333333333334"/>
    <n v="45.033333333333331"/>
    <x v="1"/>
    <d v="2024-10-31T10:42:34"/>
    <d v="2024-10-31T19:03:34"/>
    <n v="490.55"/>
    <x v="0"/>
    <d v="2024-11-01T21:40:32"/>
    <d v="2024-11-01T22:24:32"/>
    <n v="43.06666666666667"/>
    <x v="0"/>
    <n v="2.5402499999981956"/>
    <x v="1"/>
    <n v="4.0249999998195563E-2"/>
    <n v="60.965999999956694"/>
    <n v="24"/>
    <n v="36.965999999956694"/>
    <n v="4.2329491965639594"/>
    <x v="0"/>
  </r>
  <r>
    <x v="1"/>
    <x v="0"/>
    <d v="2024-10-29T21:44:56"/>
    <s v="OMX8N5RRR"/>
    <x v="1"/>
    <s v="UBM 644D"/>
    <s v="KAJUBI ISMA"/>
    <s v="Kobusinge Steven-FPortal"/>
    <n v="145.19999999999999"/>
    <s v="Z80859"/>
    <x v="11"/>
    <x v="0"/>
    <x v="0"/>
    <x v="0"/>
    <x v="11"/>
    <x v="11"/>
    <n v="400"/>
    <n v="10"/>
    <x v="0"/>
    <d v="2024-10-29T22:07:00"/>
    <d v="2024-10-29T22:00:00"/>
    <d v="2024-10-29T22:52:00"/>
    <n v="50.916666666666664"/>
    <n v="44.05"/>
    <x v="1"/>
    <d v="2024-10-30T14:50:00"/>
    <d v="2024-10-30T19:55:00"/>
    <n v="298.63333333333333"/>
    <x v="0"/>
    <d v="2024-10-31T14:03:00"/>
    <d v="2024-10-31T14:52:00"/>
    <n v="47.966666666666669"/>
    <x v="0"/>
    <n v="1.632638888891961"/>
    <x v="0"/>
    <n v="-0.36736111110803904"/>
    <n v="39.183333333407063"/>
    <n v="12"/>
    <n v="27.183333333407063"/>
    <n v="5.3415082771161062"/>
    <x v="0"/>
  </r>
  <r>
    <x v="1"/>
    <x v="0"/>
    <d v="2024-10-29T21:46:09"/>
    <s v="OMVLH4XRR"/>
    <x v="1"/>
    <s v="UBK 858R"/>
    <s v="ALIPA EREKU"/>
    <s v="Kobusinge Steven-Kamwenge"/>
    <n v="151.68"/>
    <s v="Z80860"/>
    <x v="13"/>
    <x v="0"/>
    <x v="0"/>
    <x v="0"/>
    <x v="13"/>
    <x v="13"/>
    <n v="172"/>
    <n v="-58"/>
    <x v="0"/>
    <d v="2024-10-30T12:50:00"/>
    <d v="2024-10-30T08:30:00"/>
    <d v="2024-10-30T13:35:00"/>
    <n v="298.63333333333333"/>
    <n v="44.05"/>
    <x v="1"/>
    <d v="2024-10-31T07:19:00"/>
    <d v="2024-10-31T12:26:00"/>
    <n v="300.60000000000002"/>
    <x v="0"/>
    <d v="2024-10-31T16:49:00"/>
    <d v="2024-10-31T17:40:00"/>
    <n v="49.93333333333333"/>
    <x v="0"/>
    <n v="1.1347222222248092"/>
    <x v="7"/>
    <n v="-0.16527777777519082"/>
    <n v="27.233333333395422"/>
    <n v="12"/>
    <n v="15.233333333395422"/>
    <n v="9.9571115973335971"/>
    <x v="0"/>
  </r>
  <r>
    <x v="1"/>
    <x v="0"/>
    <d v="2024-10-29T21:49:12"/>
    <s v="OMXRS0ARR"/>
    <x v="1"/>
    <s v="UBJ 417C"/>
    <s v="FARUK   ABEL"/>
    <s v="Kobusinge Steven-FPortal"/>
    <n v="156.9504"/>
    <s v="Z80862"/>
    <x v="11"/>
    <x v="0"/>
    <x v="0"/>
    <x v="0"/>
    <x v="11"/>
    <x v="11"/>
    <n v="387"/>
    <n v="-3"/>
    <x v="0"/>
    <d v="2024-10-30T12:21:00"/>
    <d v="2024-10-30T20:25:00"/>
    <d v="2024-10-30T13:11:00"/>
    <n v="-424.96666666666664"/>
    <n v="48.95"/>
    <x v="8"/>
    <d v="2024-11-01T09:46:00"/>
    <d v="2024-11-01T13:31:00"/>
    <n v="220.3"/>
    <x v="0"/>
    <d v="2024-11-01T19:57:00"/>
    <d v="2024-11-01T20:47:00"/>
    <n v="48.95"/>
    <x v="0"/>
    <n v="2.2819444444467081"/>
    <x v="0"/>
    <n v="0.28194444444670808"/>
    <n v="54.766666666720994"/>
    <n v="32"/>
    <n v="22.766666666720994"/>
    <n v="6.8938682283876487"/>
    <x v="0"/>
  </r>
  <r>
    <x v="1"/>
    <x v="1"/>
    <d v="2024-10-29T21:53:29"/>
    <s v="OMKGY64RR"/>
    <x v="1"/>
    <s v="UBE 287X"/>
    <s v="Isaac Tumuhimbise"/>
    <s v="Rugoma Traders-Kanungu/Kihihi"/>
    <n v="149.28000000000003"/>
    <s v="F15217"/>
    <x v="23"/>
    <x v="1"/>
    <x v="0"/>
    <x v="1"/>
    <x v="23"/>
    <x v="14"/>
    <n v="336"/>
    <n v="-4"/>
    <x v="0"/>
    <d v="2024-10-30T07:48:00"/>
    <d v="2024-10-30T08:30:00"/>
    <d v="2024-10-30T08:37:00"/>
    <n v="6.85"/>
    <n v="47.966666666666669"/>
    <x v="1"/>
    <d v="2024-10-31T13:11:00"/>
    <d v="2024-10-31T15:02:00"/>
    <n v="108.68333333333334"/>
    <x v="0"/>
    <d v="2024-11-01T10:32:00"/>
    <d v="2024-11-01T11:15:00"/>
    <n v="42.1"/>
    <x v="0"/>
    <n v="2.0798611111094942"/>
    <x v="3"/>
    <n v="0.57986111110949423"/>
    <n v="49.916666666627862"/>
    <n v="24"/>
    <n v="25.916666666627862"/>
    <n v="5.7600000000086258"/>
    <x v="0"/>
  </r>
  <r>
    <x v="1"/>
    <x v="0"/>
    <d v="2024-10-30T00:00:00"/>
    <s v="OM02KHKW"/>
    <x v="0"/>
    <s v="UBE 684K"/>
    <m/>
    <s v="Kobusinge Steven-FPortal"/>
    <n v="145.19999999999999"/>
    <s v="Z80897"/>
    <x v="11"/>
    <x v="0"/>
    <x v="0"/>
    <x v="0"/>
    <x v="11"/>
    <x v="11"/>
    <n v="393"/>
    <n v="3"/>
    <x v="0"/>
    <d v="2024-10-30T07:20:00"/>
    <d v="2024-10-30T07:30:00"/>
    <d v="2024-10-30T08:38:00"/>
    <n v="66.583333333333329"/>
    <n v="76.36666666666666"/>
    <x v="6"/>
    <d v="2024-10-31T07:08:00"/>
    <d v="2024-10-31T16:17:00"/>
    <n v="537.54999999999995"/>
    <x v="0"/>
    <d v="2024-11-01T06:30:34"/>
    <d v="2024-11-01T07:30:34"/>
    <n v="58.733333333333334"/>
    <x v="0"/>
    <n v="1.9115000000019791"/>
    <x v="0"/>
    <n v="-8.849999999802094E-2"/>
    <n v="45.876000000047497"/>
    <n v="16"/>
    <n v="29.876000000047497"/>
    <n v="4.8600883652352778"/>
    <x v="0"/>
  </r>
  <r>
    <x v="1"/>
    <x v="0"/>
    <d v="2024-10-30T00:00:00"/>
    <s v="OM02KHKX"/>
    <x v="0"/>
    <s v="UBE 673K"/>
    <s v="Bulega Sperito"/>
    <s v="Kato Investment Ltd -Kagadi"/>
    <n v="156"/>
    <s v="A17956"/>
    <x v="12"/>
    <x v="0"/>
    <x v="0"/>
    <x v="0"/>
    <x v="12"/>
    <x v="12"/>
    <n v="612"/>
    <n v="0"/>
    <x v="0"/>
    <d v="2024-10-30T07:58:00"/>
    <d v="2024-10-30T07:30:00"/>
    <d v="2024-10-30T08:38:00"/>
    <n v="66.583333333333329"/>
    <n v="39.166666666666664"/>
    <x v="1"/>
    <d v="2024-10-31T12:08:00"/>
    <d v="2024-10-31T17:27:00"/>
    <n v="312.35000000000002"/>
    <x v="0"/>
    <d v="2024-11-01T15:17:24"/>
    <d v="2024-11-01T16:12:24"/>
    <n v="53.85"/>
    <x v="0"/>
    <n v="2.2773611111188075"/>
    <x v="6"/>
    <n v="-2.2638888881192365E-2"/>
    <n v="54.656666666851379"/>
    <n v="24"/>
    <n v="30.656666666851379"/>
    <n v="5.0886158529648817"/>
    <x v="0"/>
  </r>
  <r>
    <x v="1"/>
    <x v="0"/>
    <d v="2024-10-30T22:34:13"/>
    <s v="OMVAUBURR"/>
    <x v="0"/>
    <s v="UBE 687K"/>
    <m/>
    <s v="Kato Investment Ltd -Kagadi"/>
    <n v="154.34400000000002"/>
    <s v="A17953"/>
    <x v="12"/>
    <x v="0"/>
    <x v="0"/>
    <x v="0"/>
    <x v="12"/>
    <x v="12"/>
    <n v="610"/>
    <n v="-2"/>
    <x v="0"/>
    <d v="2024-10-31T07:33:13"/>
    <d v="2024-10-31T07:30:13"/>
    <d v="2024-10-31T08:18:13"/>
    <n v="46.983333333333334"/>
    <n v="44.05"/>
    <x v="1"/>
    <d v="2024-11-01T09:48:13"/>
    <d v="2024-11-01T14:36:13"/>
    <n v="281.98333333333335"/>
    <x v="0"/>
    <d v="2024-11-02T12:26:37"/>
    <d v="2024-11-02T13:18:37"/>
    <n v="50.916666666666664"/>
    <x v="0"/>
    <n v="2.1725000000005821"/>
    <x v="6"/>
    <n v="-0.12749999999941775"/>
    <n v="52.14000000001397"/>
    <n v="24"/>
    <n v="28.14000000001397"/>
    <n v="5.4848614072467452"/>
    <x v="0"/>
  </r>
  <r>
    <x v="1"/>
    <x v="0"/>
    <d v="2024-10-30T22:41:59"/>
    <s v="OMMCYO3RR"/>
    <x v="0"/>
    <s v="UBM 648D"/>
    <s v="Nakalya John"/>
    <s v="Kobusinge Steven-FPortal"/>
    <n v="156.9504"/>
    <s v="Z80896"/>
    <x v="11"/>
    <x v="0"/>
    <x v="0"/>
    <x v="0"/>
    <x v="11"/>
    <x v="11"/>
    <n v="393"/>
    <n v="3"/>
    <x v="0"/>
    <d v="2024-10-31T07:58:59"/>
    <d v="2024-10-31T07:30:59"/>
    <d v="2024-10-31T08:58:59"/>
    <n v="86.15"/>
    <n v="58.733333333333334"/>
    <x v="9"/>
    <d v="2024-11-01T07:28:59"/>
    <d v="2024-11-02T08:55:23"/>
    <n v="1494.5833333333333"/>
    <x v="0"/>
    <d v="2024-11-02T08:12:11"/>
    <d v="2024-11-02T09:00:11"/>
    <n v="46.983333333333334"/>
    <x v="0"/>
    <n v="1.9674999999988358"/>
    <x v="0"/>
    <n v="-3.2500000001164153E-2"/>
    <n v="47.21999999997206"/>
    <n v="16"/>
    <n v="31.21999999997206"/>
    <n v="5.0272389493959144"/>
    <x v="0"/>
  </r>
  <r>
    <x v="1"/>
    <x v="0"/>
    <d v="2024-10-30T22:51:21"/>
    <s v="OMZMLPBRR"/>
    <x v="1"/>
    <s v="UBM 565R"/>
    <s v="BAZALE SAID"/>
    <s v="Kato Investment Ltd -Kagadi"/>
    <n v="153.84"/>
    <s v="A17954"/>
    <x v="12"/>
    <x v="0"/>
    <x v="0"/>
    <x v="0"/>
    <x v="12"/>
    <x v="12"/>
    <n v="603"/>
    <n v="-9"/>
    <x v="0"/>
    <d v="2024-10-30T22:17:00"/>
    <d v="2024-10-30T17:46:00"/>
    <d v="2024-10-30T23:02:00"/>
    <n v="309.41666666666669"/>
    <n v="44.05"/>
    <x v="1"/>
    <d v="2024-11-01T03:32:00"/>
    <d v="2024-11-01T12:26:00"/>
    <n v="522.86666666666667"/>
    <x v="0"/>
    <d v="2024-11-01T21:08:00"/>
    <d v="2024-11-01T22:07:00"/>
    <n v="57.766666666666666"/>
    <x v="0"/>
    <n v="1.9208333333372138"/>
    <x v="6"/>
    <n v="-0.37916666666278598"/>
    <n v="46.100000000093132"/>
    <n v="12"/>
    <n v="34.100000000093132"/>
    <n v="4.5114369501343061"/>
    <x v="0"/>
  </r>
  <r>
    <x v="1"/>
    <x v="0"/>
    <d v="2024-10-30T22:52:35"/>
    <s v="OMEAPW3RR"/>
    <x v="0"/>
    <s v="UBJ 419C"/>
    <m/>
    <s v="Kato Investment Ltd -Kagadi"/>
    <n v="156"/>
    <s v="A17955"/>
    <x v="12"/>
    <x v="0"/>
    <x v="0"/>
    <x v="0"/>
    <x v="12"/>
    <x v="12"/>
    <n v="612"/>
    <n v="0"/>
    <x v="0"/>
    <d v="2024-10-31T07:58:35"/>
    <d v="2024-10-31T07:30:35"/>
    <d v="2024-10-31T09:02:35"/>
    <n v="90.066666666666663"/>
    <n v="62.65"/>
    <x v="2"/>
    <d v="2024-11-01T11:02:35"/>
    <d v="2024-11-01T16:02:35"/>
    <n v="293.75"/>
    <x v="0"/>
    <d v="2024-11-02T14:04:30"/>
    <d v="2024-11-02T15:04:30"/>
    <n v="58.733333333333334"/>
    <x v="0"/>
    <n v="2.2096666666693636"/>
    <x v="6"/>
    <n v="-9.0333333330636201E-2"/>
    <n v="53.032000000064727"/>
    <n v="32"/>
    <n v="21.032000000064727"/>
    <n v="7.4172689235222471"/>
    <x v="0"/>
  </r>
  <r>
    <x v="1"/>
    <x v="0"/>
    <d v="2024-10-30T23:15:20"/>
    <s v="OMP9FBZRR"/>
    <x v="1"/>
    <s v="UBJ 705D"/>
    <s v="KASULE JOHNBOSC"/>
    <s v="Sawan Distributors Ltd-Nabingo"/>
    <n v="156"/>
    <s v="A17957"/>
    <x v="21"/>
    <x v="0"/>
    <x v="0"/>
    <x v="0"/>
    <x v="21"/>
    <x v="2"/>
    <n v="531"/>
    <n v="-29"/>
    <x v="0"/>
    <d v="2024-11-01T18:06:00"/>
    <d v="2024-10-30T08:00:00"/>
    <d v="2024-11-01T18:51:00"/>
    <n v="3457.4333333333334"/>
    <n v="44.05"/>
    <x v="1"/>
    <d v="2024-11-02T08:06:00"/>
    <d v="2024-11-02T12:10:00"/>
    <n v="238.9"/>
    <x v="0"/>
    <d v="2024-11-02T20:33:00"/>
    <d v="2024-11-02T21:05:00"/>
    <n v="31.316666666666666"/>
    <x v="0"/>
    <n v="1.0708333333313931"/>
    <x v="0"/>
    <n v="-0.92916666666860692"/>
    <n v="25.699999999953434"/>
    <n v="12"/>
    <n v="13.699999999953434"/>
    <n v="11.386861313907318"/>
    <x v="0"/>
  </r>
  <r>
    <x v="1"/>
    <x v="0"/>
    <d v="2024-10-30T23:16:18"/>
    <s v="OMK5HMARR"/>
    <x v="1"/>
    <s v="UBJ 420C"/>
    <s v="ZIWA ABASI"/>
    <s v="Sawan Distributors Ltd-Nabingo"/>
    <n v="156"/>
    <s v="A17958"/>
    <x v="21"/>
    <x v="0"/>
    <x v="0"/>
    <x v="0"/>
    <x v="21"/>
    <x v="2"/>
    <n v="529"/>
    <n v="-31"/>
    <x v="0"/>
    <d v="2024-10-31T08:40:00"/>
    <d v="2024-10-30T08:00:00"/>
    <d v="2024-10-31T09:25:00"/>
    <n v="1493.2166666666667"/>
    <n v="44.05"/>
    <x v="1"/>
    <d v="2024-10-31T21:47:00"/>
    <d v="2024-11-01T12:32:00"/>
    <n v="866.55"/>
    <x v="0"/>
    <d v="2024-11-01T21:35:00"/>
    <d v="2024-11-01T22:36:00"/>
    <n v="59.716666666666669"/>
    <x v="0"/>
    <n v="1.5069444444452529"/>
    <x v="0"/>
    <n v="-0.49305555555474712"/>
    <n v="36.166666666686069"/>
    <n v="12"/>
    <n v="24.166666666686069"/>
    <n v="6.4551724137879205"/>
    <x v="0"/>
  </r>
  <r>
    <x v="1"/>
    <x v="0"/>
    <d v="2024-10-31T00:00:00"/>
    <s v="OM02KJ98"/>
    <x v="0"/>
    <s v="UBF 375L"/>
    <m/>
    <s v="RUGOMA TRADERS CO. LTD NTUNGAM"/>
    <n v="156"/>
    <s v="F15232"/>
    <x v="15"/>
    <x v="0"/>
    <x v="0"/>
    <x v="0"/>
    <x v="15"/>
    <x v="15"/>
    <n v="128"/>
    <n v="-2"/>
    <x v="0"/>
    <d v="2024-10-31T07:58:00"/>
    <d v="2024-10-31T07:30:00"/>
    <d v="2024-10-31T08:53:00"/>
    <n v="81.266666666666666"/>
    <n v="53.85"/>
    <x v="6"/>
    <d v="2024-10-31T11:23:00"/>
    <d v="2024-10-31T14:29:00"/>
    <n v="182.11666666666667"/>
    <x v="0"/>
    <d v="2024-10-31T17:59:00"/>
    <d v="2024-10-31T18:35:00"/>
    <n v="35.25"/>
    <x v="0"/>
    <n v="0.37916666666569654"/>
    <x v="8"/>
    <n v="-0.62083333333430346"/>
    <n v="9.0999999999767169"/>
    <n v="0"/>
    <n v="9.0999999999767169"/>
    <n v="17.142857142901004"/>
    <x v="0"/>
  </r>
  <r>
    <x v="1"/>
    <x v="0"/>
    <d v="2024-10-31T00:00:00"/>
    <s v="OM02KJA3"/>
    <x v="0"/>
    <s v="UBP 312H"/>
    <s v="Byashara Hasan"/>
    <s v="Agaba Services"/>
    <n v="156"/>
    <s v="F15239"/>
    <x v="20"/>
    <x v="0"/>
    <x v="0"/>
    <x v="0"/>
    <x v="20"/>
    <x v="20"/>
    <n v="295"/>
    <n v="-7"/>
    <x v="0"/>
    <d v="2024-10-31T07:20:00"/>
    <d v="2024-10-31T07:30:00"/>
    <d v="2024-10-31T08:38:00"/>
    <n v="66.583333333333329"/>
    <n v="76.36666666666666"/>
    <x v="6"/>
    <d v="2024-10-31T14:38:00"/>
    <d v="2024-10-31T16:36:00"/>
    <n v="115.53333333333333"/>
    <x v="0"/>
    <d v="2024-11-01T07:28:48"/>
    <d v="2024-11-01T08:25:48"/>
    <n v="55.8"/>
    <x v="0"/>
    <n v="0.95194444444496185"/>
    <x v="8"/>
    <n v="-4.8055555555038154E-2"/>
    <n v="22.846666666679084"/>
    <n v="0"/>
    <n v="22.846666666679084"/>
    <n v="6.8281295593776719"/>
    <x v="0"/>
  </r>
  <r>
    <x v="1"/>
    <x v="0"/>
    <d v="2024-10-31T00:00:00"/>
    <s v="OM02KJA4"/>
    <x v="0"/>
    <s v="UBF 382L"/>
    <m/>
    <s v="Agaba Services"/>
    <n v="156"/>
    <s v="F15240"/>
    <x v="20"/>
    <x v="0"/>
    <x v="0"/>
    <x v="0"/>
    <x v="20"/>
    <x v="20"/>
    <n v="296"/>
    <n v="-6"/>
    <x v="0"/>
    <d v="2024-10-31T07:58:00"/>
    <d v="2024-10-31T07:30:00"/>
    <d v="2024-10-31T08:46:00"/>
    <n v="74.400000000000006"/>
    <n v="46.983333333333334"/>
    <x v="1"/>
    <d v="2024-10-31T14:46:00"/>
    <d v="2024-10-31T16:58:00"/>
    <n v="129.25"/>
    <x v="0"/>
    <d v="2024-11-01T07:50:48"/>
    <d v="2024-11-01T08:35:48"/>
    <n v="44.05"/>
    <x v="0"/>
    <n v="0.96166666666977108"/>
    <x v="8"/>
    <n v="-3.8333333330228925E-2"/>
    <n v="23.080000000074506"/>
    <n v="0"/>
    <n v="23.080000000074506"/>
    <n v="6.7590987868066037"/>
    <x v="0"/>
  </r>
  <r>
    <x v="1"/>
    <x v="1"/>
    <d v="2024-10-31T17:36:26"/>
    <s v="OMF889VRR"/>
    <x v="0"/>
    <s v="UAT 351G"/>
    <s v="Hamudi Sesanga"/>
    <s v="Kabaco U Ltd-Mbarara"/>
    <n v="144"/>
    <s v="Z80917"/>
    <x v="8"/>
    <x v="1"/>
    <x v="0"/>
    <x v="1"/>
    <x v="8"/>
    <x v="8"/>
    <n v="12"/>
    <n v="1"/>
    <x v="0"/>
    <d v="2024-11-01T15:52:26"/>
    <d v="2024-11-01T03:24:26"/>
    <d v="2024-11-01T16:36:26"/>
    <n v="775.48333333333335"/>
    <n v="43.06666666666667"/>
    <x v="1"/>
    <d v="2024-11-01T17:07:26"/>
    <d v="2024-11-02T11:34:48"/>
    <n v="1084.2833333333333"/>
    <x v="0"/>
    <d v="2024-11-02T12:09:48"/>
    <d v="2024-11-02T12:47:48"/>
    <n v="37.200000000000003"/>
    <x v="0"/>
    <n v="0.81483333333017072"/>
    <x v="5"/>
    <n v="1.4833333330170673E-2"/>
    <n v="19.555999999924097"/>
    <n v="0"/>
    <n v="19.555999999924097"/>
    <n v="7.3634690120964876"/>
    <x v="0"/>
  </r>
  <r>
    <x v="1"/>
    <x v="1"/>
    <d v="2024-10-31T17:41:21"/>
    <s v="OMTFI89RR"/>
    <x v="1"/>
    <s v="UBJ 988D"/>
    <s v="Tumusiime Robert"/>
    <s v="Agaba Services"/>
    <n v="153.60000000000002"/>
    <s v="F15231"/>
    <x v="20"/>
    <x v="1"/>
    <x v="0"/>
    <x v="1"/>
    <x v="20"/>
    <x v="20"/>
    <n v="289"/>
    <n v="-13"/>
    <x v="0"/>
    <d v="2024-11-01T07:00:00"/>
    <d v="2024-11-01T04:15:00"/>
    <d v="2024-11-01T07:50:00"/>
    <n v="210.51666666666668"/>
    <n v="48.95"/>
    <x v="1"/>
    <d v="2024-11-01T12:15:00"/>
    <d v="2024-11-01T15:40:00"/>
    <n v="200.71666666666667"/>
    <x v="0"/>
    <d v="2024-11-02T08:27:00"/>
    <d v="2024-11-02T09:28:00"/>
    <n v="59.716666666666669"/>
    <x v="0"/>
    <n v="1.0256944444408873"/>
    <x v="8"/>
    <n v="2.569444444088731E-2"/>
    <n v="24.616666666581295"/>
    <n v="12"/>
    <n v="12.616666666581295"/>
    <n v="12.174372523199949"/>
    <x v="0"/>
  </r>
  <r>
    <x v="1"/>
    <x v="0"/>
    <d v="2024-10-31T17:46:23"/>
    <s v="OMGFETXRR"/>
    <x v="0"/>
    <s v="UBK 862R"/>
    <m/>
    <s v="Kabaco U Ltd"/>
    <n v="156"/>
    <s v="Z80918"/>
    <x v="6"/>
    <x v="0"/>
    <x v="0"/>
    <x v="0"/>
    <x v="6"/>
    <x v="6"/>
    <n v="318"/>
    <n v="-2"/>
    <x v="0"/>
    <d v="2024-11-01T07:58:23"/>
    <d v="2024-11-01T07:30:23"/>
    <d v="2024-11-01T08:58:23"/>
    <n v="86.15"/>
    <n v="58.733333333333334"/>
    <x v="10"/>
    <d v="2024-11-01T14:58:23"/>
    <d v="2024-11-01T19:18:23"/>
    <n v="254.56666666666666"/>
    <x v="0"/>
    <d v="2024-11-02T09:13:35"/>
    <d v="2024-11-02T10:14:35"/>
    <n v="59.716666666666669"/>
    <x v="0"/>
    <n v="1.0105555555564933"/>
    <x v="3"/>
    <n v="-0.48944444444350665"/>
    <n v="24.25333333335584"/>
    <n v="16"/>
    <n v="8.2533333333558403"/>
    <n v="18.901453957945225"/>
    <x v="0"/>
  </r>
  <r>
    <x v="1"/>
    <x v="0"/>
    <d v="2024-10-31T18:00:20"/>
    <s v="OMXWXU9RR"/>
    <x v="0"/>
    <s v="UBE 680K"/>
    <s v="BYEKWASO TWAHA"/>
    <s v="Sawan Distributors Ltd-Kayabwe"/>
    <n v="147.36000000000001"/>
    <s v="A17988"/>
    <x v="9"/>
    <x v="0"/>
    <x v="0"/>
    <x v="0"/>
    <x v="9"/>
    <x v="9"/>
    <n v="400"/>
    <n v="0"/>
    <x v="0"/>
    <d v="2024-11-01T07:52:20"/>
    <d v="2024-11-01T07:30:20"/>
    <d v="2024-11-01T08:38:20"/>
    <n v="66.583333333333329"/>
    <n v="45.033333333333331"/>
    <x v="1"/>
    <d v="2024-11-01T16:38:20"/>
    <d v="2024-11-02T13:49:51"/>
    <n v="1245.0166666666667"/>
    <x v="0"/>
    <d v="2024-11-03T08:33:03"/>
    <d v="2024-11-03T09:33:03"/>
    <n v="58.733333333333334"/>
    <x v="0"/>
    <n v="1.9963333333362243"/>
    <x v="0"/>
    <n v="-3.6666666637756862E-3"/>
    <n v="47.912000000069384"/>
    <n v="12"/>
    <n v="35.912000000069384"/>
    <n v="4.1033637781163765"/>
    <x v="0"/>
  </r>
  <r>
    <x v="1"/>
    <x v="0"/>
    <d v="2024-10-31T20:13:14"/>
    <s v="OMSRHFARR"/>
    <x v="0"/>
    <s v="UBK 858R"/>
    <m/>
    <s v="KATO INVESTMENTS LIMITED-MASAK"/>
    <n v="156"/>
    <s v="F15233"/>
    <x v="14"/>
    <x v="0"/>
    <x v="0"/>
    <x v="0"/>
    <x v="14"/>
    <x v="14"/>
    <n v="151"/>
    <n v="-189"/>
    <x v="0"/>
    <d v="2024-11-01T07:58:14"/>
    <d v="2024-11-01T07:30:14"/>
    <d v="2024-11-01T08:38:14"/>
    <n v="66.583333333333329"/>
    <n v="39.166666666666664"/>
    <x v="1"/>
    <d v="2024-11-01T11:51:14"/>
    <d v="2024-11-01T16:49:14"/>
    <n v="291.78333333333336"/>
    <x v="0"/>
    <d v="2024-11-01T19:29:14"/>
    <d v="2024-11-01T19:59:14"/>
    <n v="29.366666666666667"/>
    <x v="0"/>
    <n v="0.45208333332993789"/>
    <x v="8"/>
    <n v="-0.54791666667006211"/>
    <n v="10.849999999918509"/>
    <n v="0"/>
    <n v="10.849999999918509"/>
    <n v="14.377880184439785"/>
    <x v="0"/>
  </r>
  <r>
    <x v="1"/>
    <x v="0"/>
    <d v="2024-10-31T20:20:22"/>
    <s v="OMM0AQDRR"/>
    <x v="1"/>
    <s v="UBM 644D"/>
    <s v="KAJUBI ISMA"/>
    <s v="KATO INVESTMENTS LIMITED-MASAK"/>
    <n v="156"/>
    <s v="F15234"/>
    <x v="14"/>
    <x v="0"/>
    <x v="0"/>
    <x v="0"/>
    <x v="14"/>
    <x v="14"/>
    <n v="320"/>
    <n v="-20"/>
    <x v="0"/>
    <d v="2024-10-31T19:42:00"/>
    <d v="2024-11-01T04:14:00"/>
    <d v="2024-10-31T20:29:00"/>
    <n v="-455.31666666666666"/>
    <n v="46.016666666666666"/>
    <x v="1"/>
    <d v="2024-11-02T08:49:00"/>
    <d v="2024-11-02T12:53:00"/>
    <n v="238.91666666666666"/>
    <x v="0"/>
    <d v="2024-11-02T18:24:00"/>
    <d v="2024-11-02T19:09:00"/>
    <n v="44.05"/>
    <x v="0"/>
    <n v="1.9131944444452529"/>
    <x v="8"/>
    <n v="0.91319444444525288"/>
    <n v="45.916666666686069"/>
    <n v="12"/>
    <n v="33.916666666686069"/>
    <n v="4.5995085995059686"/>
    <x v="0"/>
  </r>
  <r>
    <x v="1"/>
    <x v="1"/>
    <d v="2024-10-31T20:48:15"/>
    <s v="OMYRQEIRR"/>
    <x v="1"/>
    <s v="UBK 875R"/>
    <s v="Bisaso  Ronald"/>
    <s v="Agaba Services"/>
    <n v="153.60000000000002"/>
    <s v="F15235"/>
    <x v="20"/>
    <x v="1"/>
    <x v="0"/>
    <x v="1"/>
    <x v="20"/>
    <x v="20"/>
    <n v="307"/>
    <n v="5"/>
    <x v="0"/>
    <d v="2024-11-01T17:19:00"/>
    <d v="2024-11-01T04:15:00"/>
    <d v="2024-11-01T18:04:00"/>
    <n v="811.7166666666667"/>
    <n v="44.05"/>
    <x v="1"/>
    <d v="2024-11-02T15:12:00"/>
    <d v="2024-11-02T16:56:00"/>
    <n v="101.83333333333333"/>
    <x v="0"/>
    <d v="2024-11-03T17:57:00"/>
    <d v="2024-11-03T18:56:00"/>
    <n v="57.766666666666666"/>
    <x v="0"/>
    <n v="1.9951388888875954"/>
    <x v="8"/>
    <n v="0.99513888888759539"/>
    <n v="47.883333333302289"/>
    <n v="12"/>
    <n v="35.883333333302289"/>
    <n v="4.2805387830970618"/>
    <x v="0"/>
  </r>
  <r>
    <x v="1"/>
    <x v="1"/>
    <d v="2024-10-31T20:50:15"/>
    <s v="OMC7NC3RR"/>
    <x v="1"/>
    <s v="UBE 422T"/>
    <s v="Jacob Oneka"/>
    <s v="Agaba Services"/>
    <n v="153.60000000000002"/>
    <s v="F15236"/>
    <x v="20"/>
    <x v="1"/>
    <x v="0"/>
    <x v="1"/>
    <x v="20"/>
    <x v="20"/>
    <n v="305"/>
    <n v="3"/>
    <x v="0"/>
    <d v="2024-11-01T16:50:00"/>
    <d v="2024-11-01T04:15:00"/>
    <d v="2024-11-01T17:39:00"/>
    <n v="787.25"/>
    <n v="47.966666666666669"/>
    <x v="1"/>
    <d v="2024-11-02T08:44:00"/>
    <d v="2024-11-02T14:42:00"/>
    <n v="350.53333333333336"/>
    <x v="0"/>
    <d v="2024-11-03T17:09:00"/>
    <d v="2024-11-03T17:51:00"/>
    <n v="41.116666666666667"/>
    <x v="0"/>
    <n v="1.9791666666642413"/>
    <x v="8"/>
    <n v="0.97916666666424135"/>
    <n v="47.499999999941792"/>
    <n v="12"/>
    <n v="35.499999999941792"/>
    <n v="4.3267605633873769"/>
    <x v="0"/>
  </r>
  <r>
    <x v="1"/>
    <x v="1"/>
    <d v="2024-10-31T20:51:22"/>
    <s v="OMH8QHTRR"/>
    <x v="0"/>
    <s v="UAR 731Q"/>
    <s v="Godwin Niwensiima"/>
    <s v="KATO INVESTMENTS LIMITED-MASAK"/>
    <n v="153.60000000000002"/>
    <s v="F15237"/>
    <x v="14"/>
    <x v="1"/>
    <x v="0"/>
    <x v="1"/>
    <x v="14"/>
    <x v="14"/>
    <n v="415"/>
    <n v="75"/>
    <x v="0"/>
    <d v="2024-11-01T07:58:22"/>
    <d v="2024-11-01T07:30:22"/>
    <d v="2024-11-01T08:42:22"/>
    <n v="70.483333333333334"/>
    <n v="43.06666666666667"/>
    <x v="1"/>
    <d v="2024-11-01T11:55:22"/>
    <d v="2024-11-01T16:47:22"/>
    <n v="285.89999999999998"/>
    <x v="0"/>
    <d v="2024-11-01T19:27:22"/>
    <d v="2024-11-01T20:07:22"/>
    <n v="39.166666666666664"/>
    <x v="0"/>
    <n v="0.44791666666424135"/>
    <x v="8"/>
    <n v="-0.55208333333575865"/>
    <n v="10.749999999941792"/>
    <n v="0"/>
    <n v="10.749999999941792"/>
    <n v="14.288372093100625"/>
    <x v="0"/>
  </r>
  <r>
    <x v="1"/>
    <x v="0"/>
    <d v="2024-10-31T20:55:28"/>
    <s v="OMB1DB9RR"/>
    <x v="1"/>
    <s v="UBE 673K"/>
    <s v="Bulega Sperito"/>
    <s v="Agaba Services"/>
    <n v="156"/>
    <s v="F15238"/>
    <x v="20"/>
    <x v="0"/>
    <x v="0"/>
    <x v="0"/>
    <x v="20"/>
    <x v="20"/>
    <n v="311"/>
    <n v="9"/>
    <x v="0"/>
    <d v="2024-11-01T12:59:00"/>
    <d v="2024-11-01T04:15:00"/>
    <d v="2024-11-01T13:49:00"/>
    <n v="562.0333333333333"/>
    <n v="48.95"/>
    <x v="1"/>
    <d v="2024-11-02T07:17:00"/>
    <d v="2024-11-02T12:54:00"/>
    <n v="329.96666666666664"/>
    <x v="0"/>
    <d v="2024-11-02T17:31:00"/>
    <d v="2024-11-02T18:06:00"/>
    <n v="34.266666666666666"/>
    <x v="0"/>
    <n v="1.1541666666671517"/>
    <x v="8"/>
    <n v="0.15416666666715173"/>
    <n v="27.700000000011642"/>
    <n v="12"/>
    <n v="15.700000000011642"/>
    <n v="9.9363057324767095"/>
    <x v="0"/>
  </r>
  <r>
    <x v="2"/>
    <x v="0"/>
    <d v="2024-11-02T00:00:00"/>
    <s v="OM02KJEU"/>
    <x v="0"/>
    <s v="UBE 684K"/>
    <m/>
    <s v="Kato Investments Ltd- Kakumiro"/>
    <n v="156"/>
    <s v="A18005"/>
    <x v="24"/>
    <x v="0"/>
    <x v="0"/>
    <x v="0"/>
    <x v="24"/>
    <x v="22"/>
    <n v="764"/>
    <n v="-1"/>
    <x v="0"/>
    <d v="2024-11-02T07:58:00"/>
    <d v="2024-11-02T07:30:00"/>
    <d v="2024-11-02T08:45:00"/>
    <n v="73.433333333333337"/>
    <n v="46.016666666666666"/>
    <x v="8"/>
    <d v="2024-11-02T17:15:00"/>
    <d v="2024-11-03T14:09:14"/>
    <n v="1228.0999999999999"/>
    <x v="0"/>
    <d v="2024-11-04T07:40:26"/>
    <d v="2024-11-04T08:35:26"/>
    <n v="53.85"/>
    <x v="0"/>
    <n v="1.9551666666666279"/>
    <x v="3"/>
    <n v="0.45516666666662786"/>
    <n v="46.923999999999069"/>
    <n v="16"/>
    <n v="30.923999999999069"/>
    <n v="5.0446255335663137"/>
    <x v="0"/>
  </r>
  <r>
    <x v="2"/>
    <x v="0"/>
    <d v="2024-11-02T00:00:00"/>
    <s v="OM02KJEV"/>
    <x v="0"/>
    <s v="UBE 673K"/>
    <s v="Bulega Sperito"/>
    <s v="Kato Investment Ltd -Kagadi"/>
    <n v="156"/>
    <s v="A18006"/>
    <x v="12"/>
    <x v="0"/>
    <x v="0"/>
    <x v="0"/>
    <x v="12"/>
    <x v="12"/>
    <n v="610"/>
    <n v="-2"/>
    <x v="0"/>
    <d v="2024-11-02T07:56:00"/>
    <d v="2024-11-02T07:30:00"/>
    <d v="2024-11-02T08:42:00"/>
    <n v="70.483333333333334"/>
    <n v="45.033333333333331"/>
    <x v="1"/>
    <d v="2024-11-03T10:12:00"/>
    <d v="2024-11-03T13:51:00"/>
    <n v="214.43333333333334"/>
    <x v="0"/>
    <d v="2024-11-04T11:52:55"/>
    <d v="2024-11-04T12:52:55"/>
    <n v="58.733333333333334"/>
    <x v="0"/>
    <n v="2.1325833333321498"/>
    <x v="6"/>
    <n v="-0.16741666666785004"/>
    <n v="51.181999999971595"/>
    <n v="24"/>
    <n v="27.181999999971595"/>
    <n v="5.7390920462130461"/>
    <x v="0"/>
  </r>
  <r>
    <x v="2"/>
    <x v="0"/>
    <d v="2024-11-02T12:31:48"/>
    <s v="OMHFVZXRR"/>
    <x v="1"/>
    <s v="UBJ 420C"/>
    <s v="ZIWA ABASI"/>
    <s v="Kobusinge Acaali- Kyenjojo"/>
    <n v="156"/>
    <s v="Z80927"/>
    <x v="3"/>
    <x v="0"/>
    <x v="0"/>
    <x v="0"/>
    <x v="3"/>
    <x v="3"/>
    <n v="498"/>
    <n v="18"/>
    <x v="0"/>
    <d v="2024-11-02T13:24:00"/>
    <d v="2024-11-03T03:17:00"/>
    <d v="2024-11-02T14:09:00"/>
    <n v="-771.6"/>
    <n v="44.05"/>
    <x v="1"/>
    <d v="2024-11-03T08:26:00"/>
    <d v="2024-11-03T14:07:00"/>
    <n v="333.88333333333333"/>
    <x v="0"/>
    <d v="2024-11-04T10:59:00"/>
    <d v="2024-11-04T11:31:00"/>
    <n v="31.316666666666666"/>
    <x v="0"/>
    <n v="1.8680555555547471"/>
    <x v="1"/>
    <n v="-0.63194444444525288"/>
    <n v="44.833333333313931"/>
    <n v="12"/>
    <n v="32.833333333313931"/>
    <n v="4.7512690355358025"/>
    <x v="0"/>
  </r>
  <r>
    <x v="2"/>
    <x v="1"/>
    <d v="2024-11-02T12:35:05"/>
    <s v="OM6JUPVRR"/>
    <x v="0"/>
    <s v="UBK 875R"/>
    <m/>
    <s v="Agaba Services"/>
    <n v="153.60000000000002"/>
    <s v="F15243"/>
    <x v="20"/>
    <x v="1"/>
    <x v="0"/>
    <x v="1"/>
    <x v="20"/>
    <x v="20"/>
    <n v="297"/>
    <n v="-5"/>
    <x v="0"/>
    <d v="2024-11-03T01:03:05"/>
    <d v="2024-11-03T00:35:05"/>
    <d v="2024-11-03T01:47:05"/>
    <n v="70.483333333333334"/>
    <n v="43.06666666666667"/>
    <x v="1"/>
    <d v="2024-11-03T07:47:05"/>
    <d v="2024-11-03T09:45:05"/>
    <n v="115.53333333333333"/>
    <x v="0"/>
    <d v="2024-11-03T15:32:05"/>
    <d v="2024-11-03T16:23:05"/>
    <n v="49.93333333333333"/>
    <x v="0"/>
    <n v="0.57291666666424135"/>
    <x v="8"/>
    <n v="-0.42708333333575865"/>
    <n v="13.749999999941792"/>
    <n v="0"/>
    <n v="13.749999999941792"/>
    <n v="11.170909090956382"/>
    <x v="0"/>
  </r>
  <r>
    <x v="2"/>
    <x v="0"/>
    <d v="2024-11-02T12:35:58"/>
    <s v="OMS0AEERR"/>
    <x v="0"/>
    <s v="UBE 687K"/>
    <m/>
    <s v="Kobusinge Steven-FPortal"/>
    <n v="156"/>
    <s v="Z80928"/>
    <x v="11"/>
    <x v="0"/>
    <x v="0"/>
    <x v="0"/>
    <x v="11"/>
    <x v="11"/>
    <n v="386"/>
    <n v="-4"/>
    <x v="0"/>
    <d v="2024-11-03T01:03:58"/>
    <d v="2024-11-03T00:35:58"/>
    <d v="2024-11-03T02:03:58"/>
    <n v="86.15"/>
    <n v="58.733333333333334"/>
    <x v="11"/>
    <d v="2024-11-04T11:33:58"/>
    <d v="2024-11-04T16:22:58"/>
    <n v="282.96666666666664"/>
    <x v="0"/>
    <d v="2024-11-05T12:17:10"/>
    <d v="2024-11-05T13:05:10"/>
    <n v="46.983333333333334"/>
    <x v="0"/>
    <n v="2.4258333333345945"/>
    <x v="0"/>
    <n v="0.4258333333345945"/>
    <n v="58.220000000030268"/>
    <n v="32"/>
    <n v="26.220000000030268"/>
    <n v="5.9496567505652145"/>
    <x v="0"/>
  </r>
  <r>
    <x v="2"/>
    <x v="1"/>
    <d v="2024-11-02T12:47:01"/>
    <s v="OMAOF8FRR"/>
    <x v="1"/>
    <s v="UBE 422T"/>
    <s v="Jacob Oneka"/>
    <s v="Agaba Services"/>
    <n v="153.60000000000002"/>
    <s v="F15244"/>
    <x v="20"/>
    <x v="1"/>
    <x v="0"/>
    <x v="1"/>
    <x v="20"/>
    <x v="20"/>
    <n v="296"/>
    <n v="-6"/>
    <x v="0"/>
    <d v="2024-11-04T12:12:00"/>
    <d v="2024-11-03T04:15:00"/>
    <d v="2024-11-04T12:54:00"/>
    <n v="1918.1833333333334"/>
    <n v="41.116666666666667"/>
    <x v="1"/>
    <d v="2024-11-04T17:38:00"/>
    <d v="2024-11-05T13:23:00"/>
    <n v="1160.3"/>
    <x v="0"/>
    <d v="2024-11-05T16:02:00"/>
    <d v="2024-11-05T16:55:00"/>
    <n v="51.883333333333333"/>
    <x v="0"/>
    <n v="1.1305555555591127"/>
    <x v="8"/>
    <n v="0.13055555555911269"/>
    <n v="27.133333333418705"/>
    <n v="12"/>
    <n v="15.133333333418705"/>
    <n v="10.149779735625563"/>
    <x v="0"/>
  </r>
  <r>
    <x v="2"/>
    <x v="0"/>
    <d v="2024-11-03T00:00:00"/>
    <s v="OM02KJK9"/>
    <x v="0"/>
    <s v="UBP 311H"/>
    <m/>
    <s v="Kato Investments Ltd- Kyegegwa"/>
    <n v="156"/>
    <s v="A18015"/>
    <x v="18"/>
    <x v="0"/>
    <x v="0"/>
    <x v="0"/>
    <x v="18"/>
    <x v="18"/>
    <n v="565"/>
    <n v="0"/>
    <x v="0"/>
    <d v="2024-11-03T07:56:00"/>
    <d v="2024-11-03T07:30:00"/>
    <d v="2024-11-03T08:42:00"/>
    <n v="70.483333333333334"/>
    <n v="45.033333333333331"/>
    <x v="1"/>
    <d v="2024-11-04T10:12:00"/>
    <d v="2024-11-04T15:42:00"/>
    <n v="323.11666666666667"/>
    <x v="0"/>
    <d v="2024-11-05T10:54:00"/>
    <d v="2024-11-05T11:51:00"/>
    <n v="55.8"/>
    <x v="0"/>
    <n v="2.0916666666671517"/>
    <x v="0"/>
    <n v="9.1666666667151731E-2"/>
    <n v="50.200000000011642"/>
    <n v="24"/>
    <n v="26.200000000011642"/>
    <n v="5.9541984732797975"/>
    <x v="0"/>
  </r>
  <r>
    <x v="2"/>
    <x v="1"/>
    <d v="2024-11-03T19:50:03"/>
    <s v="OMLIW7LRR"/>
    <x v="0"/>
    <s v="UAT 351G"/>
    <s v="Hamudi Sesanga"/>
    <s v="KATO INVESTMENTS LIMITED-MASAK"/>
    <n v="153.60000000000002"/>
    <s v="F15247"/>
    <x v="14"/>
    <x v="1"/>
    <x v="0"/>
    <x v="1"/>
    <x v="14"/>
    <x v="14"/>
    <n v="328"/>
    <n v="-12"/>
    <x v="0"/>
    <d v="2024-11-04T08:18:03"/>
    <d v="2024-11-04T07:50:03"/>
    <d v="2024-11-04T08:58:03"/>
    <n v="66.583333333333329"/>
    <n v="39.166666666666664"/>
    <x v="1"/>
    <d v="2024-11-04T12:11:03"/>
    <d v="2024-11-04T17:23:03"/>
    <n v="305.5"/>
    <x v="0"/>
    <d v="2024-11-05T07:47:03"/>
    <d v="2024-11-05T08:23:03"/>
    <n v="35.25"/>
    <x v="0"/>
    <n v="0.95069444444379769"/>
    <x v="8"/>
    <n v="-4.9305555556202307E-2"/>
    <n v="22.816666666651145"/>
    <n v="0"/>
    <n v="22.816666666651145"/>
    <n v="6.7319211103040697"/>
    <x v="0"/>
  </r>
  <r>
    <x v="2"/>
    <x v="1"/>
    <d v="2024-11-03T19:55:23"/>
    <s v="OMN85UCRR"/>
    <x v="0"/>
    <s v="UAR 731Q"/>
    <s v="Godwin Niwensiima"/>
    <s v="KATO INVESTMENTS LIMITED-MASAK"/>
    <n v="153.60000000000002"/>
    <s v="F15248"/>
    <x v="14"/>
    <x v="1"/>
    <x v="0"/>
    <x v="1"/>
    <x v="14"/>
    <x v="14"/>
    <n v="151"/>
    <n v="-189"/>
    <x v="0"/>
    <d v="2024-11-04T08:23:23"/>
    <d v="2024-11-04T07:55:23"/>
    <d v="2024-11-04T09:12:23"/>
    <n v="75.38333333333334"/>
    <n v="47.966666666666669"/>
    <x v="1"/>
    <d v="2024-11-04T12:25:23"/>
    <d v="2024-11-04T17:33:23"/>
    <n v="301.56666666666666"/>
    <x v="0"/>
    <d v="2024-11-05T07:57:23"/>
    <d v="2024-11-05T08:54:23"/>
    <n v="55.8"/>
    <x v="0"/>
    <n v="0.94791666666424135"/>
    <x v="8"/>
    <n v="-5.2083333335758653E-2"/>
    <n v="22.749999999941792"/>
    <n v="0"/>
    <n v="22.749999999941792"/>
    <n v="6.7516483516656276"/>
    <x v="0"/>
  </r>
  <r>
    <x v="2"/>
    <x v="1"/>
    <d v="2024-11-03T20:01:52"/>
    <s v="OMWUQBDRR"/>
    <x v="1"/>
    <s v="UBE 422T"/>
    <s v="Jacob Oneka"/>
    <s v="KATO INVESTMENTS LIMITED-MASAK"/>
    <n v="153.60000000000002"/>
    <s v="F15249"/>
    <x v="14"/>
    <x v="1"/>
    <x v="0"/>
    <x v="1"/>
    <x v="14"/>
    <x v="14"/>
    <n v="299"/>
    <n v="-41"/>
    <x v="0"/>
    <d v="2024-11-05T17:24:00"/>
    <d v="2024-11-04T04:14:00"/>
    <d v="2024-11-05T18:09:00"/>
    <n v="2227.6"/>
    <n v="44.05"/>
    <x v="1"/>
    <d v="2024-11-06T08:16:00"/>
    <d v="2024-11-06T11:40:00"/>
    <n v="199.73333333333332"/>
    <x v="0"/>
    <d v="2024-11-06T16:30:00"/>
    <d v="2024-11-06T17:21:00"/>
    <n v="49.93333333333333"/>
    <x v="0"/>
    <n v="0.93125000000145519"/>
    <x v="8"/>
    <n v="-6.8749999998544808E-2"/>
    <n v="22.350000000034925"/>
    <n v="0"/>
    <n v="22.350000000034925"/>
    <n v="6.8724832214657718"/>
    <x v="0"/>
  </r>
  <r>
    <x v="2"/>
    <x v="1"/>
    <d v="2024-11-03T20:03:14"/>
    <s v="OMA2G56RR"/>
    <x v="0"/>
    <s v="UAV 051U"/>
    <s v="Angello Lumala"/>
    <s v="KATO INVESTMENTS LIMITED-MASAK"/>
    <n v="153.60000000000002"/>
    <s v="F15250"/>
    <x v="14"/>
    <x v="1"/>
    <x v="0"/>
    <x v="1"/>
    <x v="14"/>
    <x v="14"/>
    <n v="348"/>
    <n v="8"/>
    <x v="0"/>
    <d v="2024-11-04T08:15:14"/>
    <d v="2024-11-04T08:03:14"/>
    <d v="2024-11-04T09:11:14"/>
    <n v="66.583333333333329"/>
    <n v="54.833333333333336"/>
    <x v="7"/>
    <d v="2024-11-04T12:24:14"/>
    <d v="2024-11-04T18:16:14"/>
    <n v="344.65"/>
    <x v="0"/>
    <d v="2024-11-05T08:40:14"/>
    <d v="2024-11-05T09:40:14"/>
    <n v="58.733333333333334"/>
    <x v="0"/>
    <n v="0.97847222221753327"/>
    <x v="8"/>
    <n v="-2.1527777782466728E-2"/>
    <n v="23.483333333220799"/>
    <n v="0"/>
    <n v="23.483333333220799"/>
    <n v="6.5408090844884068"/>
    <x v="0"/>
  </r>
  <r>
    <x v="2"/>
    <x v="0"/>
    <d v="2024-11-03T20:10:30"/>
    <s v="OMCHZ5FRR"/>
    <x v="0"/>
    <s v="UBJ 419C"/>
    <m/>
    <s v="Kobusinge Steven-FPortal"/>
    <n v="156"/>
    <s v="Z80941"/>
    <x v="11"/>
    <x v="0"/>
    <x v="0"/>
    <x v="0"/>
    <x v="11"/>
    <x v="11"/>
    <n v="386"/>
    <n v="-4"/>
    <x v="0"/>
    <d v="2024-11-04T08:00:30"/>
    <d v="2024-11-04T08:10:30"/>
    <d v="2024-11-04T09:18:30"/>
    <n v="66.583333333333329"/>
    <n v="76.36666666666666"/>
    <x v="6"/>
    <d v="2024-11-05T07:48:30"/>
    <d v="2024-11-06T16:26:54"/>
    <n v="1917.6"/>
    <x v="0"/>
    <d v="2024-11-06T09:33:37"/>
    <d v="2024-11-06T10:17:37"/>
    <n v="43.06666666666667"/>
    <x v="0"/>
    <n v="2.0104999999966822"/>
    <x v="0"/>
    <n v="1.0499999996682163E-2"/>
    <n v="48.251999999920372"/>
    <n v="32"/>
    <n v="16.251999999920372"/>
    <n v="9.5988186069877148"/>
    <x v="0"/>
  </r>
  <r>
    <x v="2"/>
    <x v="0"/>
    <d v="2024-11-03T20:17:43"/>
    <s v="OMOJKTWRR"/>
    <x v="1"/>
    <s v="UBJ 705D"/>
    <s v="KASULE JOHNBOSC"/>
    <s v="Sawan Distributors Ltd-Nabingo"/>
    <n v="156"/>
    <s v="A18013"/>
    <x v="21"/>
    <x v="0"/>
    <x v="0"/>
    <x v="0"/>
    <x v="21"/>
    <x v="2"/>
    <n v="527"/>
    <n v="-33"/>
    <x v="0"/>
    <d v="2024-11-03T20:29:00"/>
    <d v="2024-11-04T02:30:00"/>
    <d v="2024-11-03T21:14:00"/>
    <n v="-309.41666666666669"/>
    <n v="44.05"/>
    <x v="1"/>
    <d v="2024-11-04T12:44:00"/>
    <d v="2024-11-05T14:18:00"/>
    <n v="1502.0333333333333"/>
    <x v="0"/>
    <d v="2024-11-05T15:48:00"/>
    <d v="2024-11-05T16:45:00"/>
    <n v="55.8"/>
    <x v="0"/>
    <n v="1.773611111108039"/>
    <x v="0"/>
    <n v="-0.22638888889196096"/>
    <n v="42.566666666592937"/>
    <n v="12"/>
    <n v="30.566666666592937"/>
    <n v="5.1035986913972611"/>
    <x v="0"/>
  </r>
  <r>
    <x v="2"/>
    <x v="1"/>
    <d v="2024-11-03T20:20:02"/>
    <s v="OMR6IM0RR"/>
    <x v="1"/>
    <s v="UBJ 375N"/>
    <s v="Stephen Musoke "/>
    <s v="Agaba Services"/>
    <n v="153.60000000000002"/>
    <s v="F15251"/>
    <x v="20"/>
    <x v="1"/>
    <x v="0"/>
    <x v="1"/>
    <x v="20"/>
    <x v="20"/>
    <n v="292"/>
    <n v="-10"/>
    <x v="0"/>
    <d v="2024-11-04T13:43:00"/>
    <d v="2024-11-04T04:15:00"/>
    <d v="2024-11-04T14:28:00"/>
    <n v="600.2166666666667"/>
    <n v="44.05"/>
    <x v="1"/>
    <d v="2024-11-04T19:50:00"/>
    <d v="2024-11-05T15:54:00"/>
    <n v="1178.9000000000001"/>
    <x v="0"/>
    <d v="2024-11-05T17:58:00"/>
    <d v="2024-11-05T18:57:00"/>
    <n v="57.766666666666666"/>
    <x v="0"/>
    <n v="1.1458333333357587"/>
    <x v="8"/>
    <n v="0.14583333333575865"/>
    <n v="27.500000000058208"/>
    <n v="12"/>
    <n v="15.500000000058208"/>
    <n v="9.9096774193176262"/>
    <x v="0"/>
  </r>
  <r>
    <x v="2"/>
    <x v="0"/>
    <d v="2024-11-03T20:35:31"/>
    <s v="OMFME2WRR"/>
    <x v="1"/>
    <s v="UBJ 420C"/>
    <s v="ZIWA ABASI"/>
    <s v="Kato Investment Ltd -Mityana"/>
    <n v="156"/>
    <s v="A18017"/>
    <x v="16"/>
    <x v="0"/>
    <x v="0"/>
    <x v="0"/>
    <x v="16"/>
    <x v="16"/>
    <n v="691"/>
    <n v="1"/>
    <x v="0"/>
    <d v="2024-11-04T15:10:00"/>
    <d v="2024-11-03T21:00:00"/>
    <d v="2024-11-04T15:53:00"/>
    <n v="1109.3833333333334"/>
    <n v="42.1"/>
    <x v="1"/>
    <d v="2024-11-05T10:00:00"/>
    <d v="2024-11-05T19:08:00"/>
    <n v="536.58333333333337"/>
    <x v="0"/>
    <d v="2024-11-06T13:33:00"/>
    <d v="2024-11-06T14:05:00"/>
    <n v="31.316666666666666"/>
    <x v="0"/>
    <n v="1.9027777777737356"/>
    <x v="0"/>
    <n v="-9.7222222226264421E-2"/>
    <n v="45.666666666569654"/>
    <n v="12"/>
    <n v="33.666666666569654"/>
    <n v="4.6336633663499862"/>
    <x v="0"/>
  </r>
  <r>
    <x v="2"/>
    <x v="0"/>
    <d v="2024-11-03T20:36:41"/>
    <s v="OMFI239RR"/>
    <x v="0"/>
    <s v="UBE 680K"/>
    <s v="BYEKWASO TWAHA"/>
    <s v="Kato Investment Ltd -Mubende"/>
    <n v="156"/>
    <s v="A18018"/>
    <x v="1"/>
    <x v="0"/>
    <x v="0"/>
    <x v="0"/>
    <x v="1"/>
    <x v="1"/>
    <n v="693"/>
    <n v="13"/>
    <x v="0"/>
    <d v="2024-11-03T20:50:00"/>
    <d v="2024-11-03T21:00:00"/>
    <d v="2024-11-03T21:39:00"/>
    <n v="38.18333333333333"/>
    <n v="47.966666666666669"/>
    <x v="1"/>
    <d v="2024-11-04T07:07:00"/>
    <d v="2024-11-04T11:15:00"/>
    <n v="242.83333333333334"/>
    <x v="0"/>
    <d v="2024-11-04T21:05:00"/>
    <d v="2024-11-04T21:51:00"/>
    <n v="45.033333333333331"/>
    <x v="0"/>
    <n v="0.976388888884685"/>
    <x v="1"/>
    <n v="-1.523611111115315"/>
    <n v="23.43333333323244"/>
    <n v="0"/>
    <n v="23.43333333323244"/>
    <n v="6.6571834993174255"/>
    <x v="0"/>
  </r>
  <r>
    <x v="2"/>
    <x v="0"/>
    <d v="2024-11-04T00:00:00"/>
    <s v="OM02KJWT"/>
    <x v="0"/>
    <s v="UBP 311H"/>
    <m/>
    <s v="Kobusinge Steven-FPortal"/>
    <n v="156"/>
    <s v="Z80950"/>
    <x v="11"/>
    <x v="0"/>
    <x v="0"/>
    <x v="0"/>
    <x v="11"/>
    <x v="11"/>
    <n v="393"/>
    <n v="3"/>
    <x v="0"/>
    <d v="2024-11-04T07:58:00"/>
    <d v="2024-11-04T07:30:00"/>
    <d v="2024-11-04T08:42:00"/>
    <n v="70.483333333333334"/>
    <n v="43.06666666666667"/>
    <x v="1"/>
    <d v="2024-11-05T07:12:00"/>
    <d v="2024-11-05T16:21:00"/>
    <n v="537.54999999999995"/>
    <x v="0"/>
    <d v="2024-11-06T06:34:34"/>
    <d v="2024-11-06T07:28:34"/>
    <n v="52.866666666666667"/>
    <x v="0"/>
    <n v="1.9115000000019791"/>
    <x v="0"/>
    <n v="-8.849999999802094E-2"/>
    <n v="45.876000000047497"/>
    <n v="12"/>
    <n v="33.876000000047497"/>
    <n v="4.6050301098058002"/>
    <x v="0"/>
  </r>
  <r>
    <x v="2"/>
    <x v="0"/>
    <d v="2024-11-04T00:00:00"/>
    <s v="OM02KJWR"/>
    <x v="0"/>
    <s v="UBF 382L"/>
    <m/>
    <s v="Ntale and Sons Ltd-Kakiri"/>
    <n v="156"/>
    <s v="A18044"/>
    <x v="22"/>
    <x v="0"/>
    <x v="0"/>
    <x v="0"/>
    <x v="22"/>
    <x v="21"/>
    <n v="615"/>
    <n v="-5"/>
    <x v="0"/>
    <d v="2024-11-04T08:00:00"/>
    <d v="2024-11-04T07:30:00"/>
    <d v="2024-11-04T08:46:00"/>
    <n v="74.400000000000006"/>
    <n v="45.033333333333331"/>
    <x v="1"/>
    <d v="2024-11-04T21:16:00"/>
    <d v="2024-11-05T15:03:02"/>
    <n v="1044.8"/>
    <x v="0"/>
    <d v="2024-11-06T13:00:38"/>
    <d v="2024-11-06T13:48:38"/>
    <n v="46.983333333333334"/>
    <x v="0"/>
    <n v="2.1768333333384362"/>
    <x v="0"/>
    <n v="0.1768333333384362"/>
    <n v="52.244000000122469"/>
    <n v="24"/>
    <n v="28.244000000122469"/>
    <n v="5.5232969834061594"/>
    <x v="0"/>
  </r>
  <r>
    <x v="2"/>
    <x v="0"/>
    <d v="2024-11-04T00:00:00"/>
    <s v="OM02KJWQ"/>
    <x v="0"/>
    <s v="UBF 375L"/>
    <m/>
    <s v="Kobusinge Steven-Kamwenge"/>
    <n v="156"/>
    <s v="Z80949"/>
    <x v="13"/>
    <x v="0"/>
    <x v="0"/>
    <x v="0"/>
    <x v="13"/>
    <x v="13"/>
    <n v="234"/>
    <n v="4"/>
    <x v="0"/>
    <d v="2024-11-04T07:58:00"/>
    <d v="2024-11-04T07:30:00"/>
    <d v="2024-11-04T08:47:00"/>
    <n v="75.38333333333334"/>
    <n v="47.966666666666669"/>
    <x v="1"/>
    <d v="2024-11-05T09:17:00"/>
    <d v="2024-11-05T11:24:00"/>
    <n v="124.35"/>
    <x v="0"/>
    <d v="2024-11-05T16:54:00"/>
    <d v="2024-11-05T17:39:00"/>
    <n v="44.05"/>
    <x v="0"/>
    <n v="1.3381944444408873"/>
    <x v="7"/>
    <n v="3.8194444440887265E-2"/>
    <n v="32.116666666581295"/>
    <n v="12"/>
    <n v="20.116666666581295"/>
    <n v="7.7547638774148488"/>
    <x v="0"/>
  </r>
  <r>
    <x v="2"/>
    <x v="0"/>
    <d v="2024-11-04T22:07:11"/>
    <s v="OMR7OBORR"/>
    <x v="1"/>
    <s v="UBE 680K"/>
    <s v="BYEKWASO TWAHA"/>
    <s v="Kobusinge Steven-FPortal"/>
    <n v="156"/>
    <s v="Z80953"/>
    <x v="11"/>
    <x v="0"/>
    <x v="0"/>
    <x v="0"/>
    <x v="11"/>
    <x v="11"/>
    <n v="387"/>
    <n v="-3"/>
    <x v="0"/>
    <d v="2024-11-04T21:31:00"/>
    <d v="2024-11-04T20:25:00"/>
    <d v="2024-11-04T22:21:00"/>
    <n v="113.58333333333333"/>
    <n v="48.95"/>
    <x v="8"/>
    <d v="2024-11-07T09:00:00"/>
    <d v="2024-11-07T17:33:00"/>
    <n v="502.3"/>
    <x v="0"/>
    <d v="2024-11-07T20:36:00"/>
    <d v="2024-11-07T21:28:00"/>
    <n v="50.916666666666664"/>
    <x v="0"/>
    <n v="2.9270833333284827"/>
    <x v="0"/>
    <n v="0.92708333332848269"/>
    <n v="70.249999999883585"/>
    <n v="32"/>
    <n v="38.249999999883585"/>
    <n v="4.0784313725614325"/>
    <x v="1"/>
  </r>
  <r>
    <x v="2"/>
    <x v="0"/>
    <d v="2024-11-04T22:10:06"/>
    <s v="OMEQE17RR"/>
    <x v="1"/>
    <s v="UBE 673K"/>
    <s v="Bulega Sperito"/>
    <s v="Kato Investment Ltd -Mubende"/>
    <n v="156"/>
    <s v="A18045"/>
    <x v="1"/>
    <x v="0"/>
    <x v="0"/>
    <x v="0"/>
    <x v="1"/>
    <x v="1"/>
    <n v="669"/>
    <n v="-11"/>
    <x v="0"/>
    <d v="2024-11-05T08:52:00"/>
    <d v="2024-11-05T19:37:00"/>
    <d v="2024-11-05T09:39:00"/>
    <n v="-585.54999999999995"/>
    <n v="46.016666666666666"/>
    <x v="1"/>
    <d v="2024-11-07T10:12:00"/>
    <d v="2024-11-07T14:43:00"/>
    <n v="265.35000000000002"/>
    <x v="0"/>
    <d v="2024-11-08T07:48:00"/>
    <d v="2024-11-08T08:31:00"/>
    <n v="42.1"/>
    <x v="0"/>
    <n v="2.9229166666627862"/>
    <x v="1"/>
    <n v="0.42291666666278616"/>
    <n v="70.149999999906868"/>
    <n v="24"/>
    <n v="46.149999999906868"/>
    <n v="3.3802816901476667"/>
    <x v="0"/>
  </r>
  <r>
    <x v="2"/>
    <x v="0"/>
    <d v="2024-11-04T22:12:07"/>
    <s v="OM12NZQRR"/>
    <x v="1"/>
    <s v="UBE 690K"/>
    <s v="MUKOSE MUZAMIRU"/>
    <s v="Ntale and Sons Ltd-Kakiri"/>
    <n v="156"/>
    <s v="A18046"/>
    <x v="22"/>
    <x v="0"/>
    <x v="0"/>
    <x v="0"/>
    <x v="22"/>
    <x v="21"/>
    <n v="593"/>
    <n v="-27"/>
    <x v="0"/>
    <d v="2024-11-05T06:06:00"/>
    <d v="2024-11-04T08:00:00"/>
    <d v="2024-11-05T06:59:00"/>
    <n v="1350.2666666666667"/>
    <n v="51.883333333333333"/>
    <x v="0"/>
    <d v="2024-11-05T17:59:00"/>
    <d v="2024-11-06T15:36:00"/>
    <n v="1269.9666666666667"/>
    <x v="0"/>
    <d v="2024-11-07T08:16:00"/>
    <d v="2024-11-07T08:57:00"/>
    <n v="40.133333333333333"/>
    <x v="0"/>
    <n v="2.0534722222218988"/>
    <x v="0"/>
    <n v="5.3472222221898846E-2"/>
    <n v="49.283333333325572"/>
    <n v="32"/>
    <n v="17.283333333325572"/>
    <n v="9.0260366441699169"/>
    <x v="0"/>
  </r>
  <r>
    <x v="2"/>
    <x v="1"/>
    <d v="2024-11-05T11:54:41"/>
    <s v="OMN2YGLRR"/>
    <x v="0"/>
    <s v="UBJ 988D"/>
    <m/>
    <s v="Ntale and Sons"/>
    <n v="153.99600000000001"/>
    <s v="A18053"/>
    <x v="19"/>
    <x v="1"/>
    <x v="0"/>
    <x v="1"/>
    <x v="19"/>
    <x v="19"/>
    <n v="800"/>
    <n v="-10"/>
    <x v="0"/>
    <d v="2024-11-06T00:22:41"/>
    <d v="2024-11-05T23:54:41"/>
    <d v="2024-11-06T01:06:41"/>
    <n v="70.483333333333334"/>
    <n v="43.06666666666667"/>
    <x v="1"/>
    <d v="2024-11-07T07:06:41"/>
    <d v="2024-11-09T11:54:41"/>
    <n v="3101.9833333333331"/>
    <x v="0"/>
    <d v="2024-11-11T02:18:41"/>
    <d v="2024-11-11T03:18:41"/>
    <n v="58.733333333333334"/>
    <x v="0"/>
    <n v="5.0499999999956344"/>
    <x v="4"/>
    <n v="2.0499999999956344"/>
    <n v="121.19999999989523"/>
    <n v="60"/>
    <n v="61.199999999895226"/>
    <n v="2.5162745098082295"/>
    <x v="8"/>
  </r>
  <r>
    <x v="2"/>
    <x v="1"/>
    <d v="2024-11-05T12:02:11"/>
    <s v="OM25BYDRR"/>
    <x v="0"/>
    <s v="UBK 875R"/>
    <m/>
    <s v="Ntale and Sons"/>
    <n v="153.60000000000002"/>
    <s v="A18054"/>
    <x v="19"/>
    <x v="1"/>
    <x v="0"/>
    <x v="1"/>
    <x v="19"/>
    <x v="19"/>
    <n v="800"/>
    <n v="-10"/>
    <x v="0"/>
    <d v="2024-11-06T00:30:11"/>
    <d v="2024-11-06T00:02:11"/>
    <d v="2024-11-06T01:30:11"/>
    <n v="86.15"/>
    <n v="58.733333333333334"/>
    <x v="11"/>
    <d v="2024-11-07T07:30:11"/>
    <d v="2024-11-07T12:12:11"/>
    <n v="276.11666666666667"/>
    <x v="0"/>
    <d v="2024-11-08T12:12:11"/>
    <d v="2024-11-08T13:09:11"/>
    <n v="55.8"/>
    <x v="0"/>
    <n v="2.4458333333313931"/>
    <x v="4"/>
    <n v="-0.55416666666860692"/>
    <n v="58.699999999953434"/>
    <n v="32"/>
    <n v="26.699999999953434"/>
    <n v="5.7528089887740794"/>
    <x v="0"/>
  </r>
  <r>
    <x v="2"/>
    <x v="0"/>
    <d v="2024-11-06T00:00:00"/>
    <s v="OM02KKJL"/>
    <x v="0"/>
    <s v="UBF 382L"/>
    <m/>
    <s v="Ntale and Sons Ltd-Kakiri"/>
    <n v="156"/>
    <s v="A18070"/>
    <x v="22"/>
    <x v="0"/>
    <x v="0"/>
    <x v="0"/>
    <x v="22"/>
    <x v="21"/>
    <m/>
    <n v="-620"/>
    <x v="0"/>
    <d v="2024-11-06T07:58:00"/>
    <d v="2024-11-06T07:30:00"/>
    <d v="2024-11-06T08:42:00"/>
    <n v="70.483333333333334"/>
    <n v="43.06666666666667"/>
    <x v="1"/>
    <d v="2024-11-06T21:12:00"/>
    <d v="2024-11-07T16:01:06"/>
    <n v="1105.5666666666666"/>
    <x v="0"/>
    <d v="2024-11-08T14:49:06"/>
    <d v="2024-11-08T15:50:06"/>
    <n v="59.716666666666669"/>
    <x v="0"/>
    <n v="2.2549333333299728"/>
    <x v="0"/>
    <n v="0.25493333332997281"/>
    <n v="54.118399999919347"/>
    <n v="24"/>
    <n v="30.118399999919347"/>
    <n v="5.1795580110635937"/>
    <x v="0"/>
  </r>
  <r>
    <x v="2"/>
    <x v="0"/>
    <d v="2024-11-06T00:00:00"/>
    <s v="OM02KKJJ"/>
    <x v="0"/>
    <s v="UBP 311H"/>
    <m/>
    <s v="Kato Investments Ltd-Bulenga"/>
    <n v="156"/>
    <s v="A18069"/>
    <x v="2"/>
    <x v="0"/>
    <x v="0"/>
    <x v="0"/>
    <x v="2"/>
    <x v="2"/>
    <n v="555"/>
    <n v="-5"/>
    <x v="0"/>
    <d v="2024-11-06T07:58:00"/>
    <d v="2024-11-06T07:30:00"/>
    <d v="2024-11-06T08:42:00"/>
    <n v="70.483333333333334"/>
    <n v="43.06666666666667"/>
    <x v="1"/>
    <d v="2024-11-07T08:42:00"/>
    <d v="2024-11-07T13:57:00"/>
    <n v="308.43333333333334"/>
    <x v="0"/>
    <d v="2024-11-08T14:13:12"/>
    <d v="2024-11-08T15:08:12"/>
    <n v="53.85"/>
    <x v="0"/>
    <n v="2.2300000000032014"/>
    <x v="0"/>
    <n v="0.23000000000320142"/>
    <n v="53.520000000076834"/>
    <n v="24"/>
    <n v="29.520000000076834"/>
    <n v="5.2845528455147006"/>
    <x v="0"/>
  </r>
  <r>
    <x v="2"/>
    <x v="0"/>
    <d v="2024-11-06T00:00:00"/>
    <s v="OM02KKLR"/>
    <x v="0"/>
    <s v="UBJ 419C"/>
    <m/>
    <s v="Ntale and Sons Ltd-Kakiri"/>
    <n v="156"/>
    <s v="A18090"/>
    <x v="22"/>
    <x v="0"/>
    <x v="0"/>
    <x v="0"/>
    <x v="22"/>
    <x v="21"/>
    <m/>
    <n v="-620"/>
    <x v="0"/>
    <d v="2024-11-06T07:58:00"/>
    <d v="2024-11-06T07:30:00"/>
    <d v="2024-11-06T08:38:00"/>
    <n v="66.583333333333329"/>
    <n v="39.166666666666664"/>
    <x v="1"/>
    <d v="2024-11-06T21:08:00"/>
    <d v="2024-11-07T17:19:02"/>
    <n v="1185.8"/>
    <x v="0"/>
    <d v="2024-11-08T15:16:38"/>
    <d v="2024-11-08T16:08:38"/>
    <n v="50.916666666666664"/>
    <x v="0"/>
    <n v="2.276833333336981"/>
    <x v="0"/>
    <n v="0.27683333333698101"/>
    <n v="54.644000000087544"/>
    <n v="24"/>
    <n v="30.644000000087544"/>
    <n v="5.0907192272403847"/>
    <x v="0"/>
  </r>
  <r>
    <x v="2"/>
    <x v="0"/>
    <d v="2024-11-06T00:00:00"/>
    <s v="OM02KKM6"/>
    <x v="0"/>
    <s v="UBE 687K"/>
    <m/>
    <s v="Rugoma Traders-Rukungiri"/>
    <n v="156"/>
    <s v="Z80970"/>
    <x v="17"/>
    <x v="0"/>
    <x v="0"/>
    <x v="0"/>
    <x v="17"/>
    <x v="17"/>
    <n v="268"/>
    <n v="12"/>
    <x v="0"/>
    <d v="2024-11-06T07:58:00"/>
    <d v="2024-11-06T07:30:00"/>
    <d v="2024-11-06T09:02:00"/>
    <n v="90.066666666666663"/>
    <n v="62.65"/>
    <x v="2"/>
    <d v="2024-11-06T16:12:00"/>
    <d v="2024-11-07T13:48:00"/>
    <n v="1269"/>
    <x v="0"/>
    <d v="2024-11-07T16:48:00"/>
    <d v="2024-11-07T17:48:00"/>
    <n v="58.733333333333334"/>
    <x v="0"/>
    <n v="1.3236111111109494"/>
    <x v="8"/>
    <n v="0.32361111111094942"/>
    <n v="31.766666666662786"/>
    <n v="16"/>
    <n v="15.766666666662786"/>
    <n v="9.8942917547593066"/>
    <x v="0"/>
  </r>
  <r>
    <x v="2"/>
    <x v="0"/>
    <d v="2024-11-06T00:00:00"/>
    <s v="OM02KKLK"/>
    <x v="0"/>
    <s v="UBE 684K"/>
    <m/>
    <s v="Kobusinge Acaali- Kyenjojo"/>
    <n v="156"/>
    <s v="Z80968"/>
    <x v="3"/>
    <x v="0"/>
    <x v="0"/>
    <x v="0"/>
    <x v="3"/>
    <x v="3"/>
    <n v="490"/>
    <n v="10"/>
    <x v="0"/>
    <d v="2024-11-06T07:58:00"/>
    <d v="2024-11-06T07:30:00"/>
    <d v="2024-11-06T08:38:00"/>
    <n v="66.583333333333329"/>
    <n v="39.166666666666664"/>
    <x v="1"/>
    <d v="2024-11-07T10:23:00"/>
    <d v="2024-11-07T14:44:00"/>
    <n v="255.55"/>
    <x v="0"/>
    <d v="2024-11-08T17:10:44"/>
    <d v="2024-11-08T18:01:44"/>
    <n v="49.93333333333333"/>
    <x v="0"/>
    <n v="2.356066666667175"/>
    <x v="1"/>
    <n v="-0.14393333333282499"/>
    <n v="56.5456000000122"/>
    <n v="24"/>
    <n v="32.5456000000122"/>
    <n v="4.7932746669270658"/>
    <x v="0"/>
  </r>
  <r>
    <x v="2"/>
    <x v="0"/>
    <d v="2024-11-06T21:33:18"/>
    <s v="OM5FFWSRR"/>
    <x v="0"/>
    <s v="UBF 379L"/>
    <m/>
    <s v="Sawan Distributors Ltd-Nabingo"/>
    <n v="156"/>
    <s v="A18077"/>
    <x v="21"/>
    <x v="0"/>
    <x v="0"/>
    <x v="0"/>
    <x v="21"/>
    <x v="2"/>
    <n v="570"/>
    <n v="10"/>
    <x v="0"/>
    <d v="2024-11-07T07:58:18"/>
    <d v="2024-11-07T07:30:18"/>
    <d v="2024-11-07T08:58:18"/>
    <n v="86.15"/>
    <n v="58.733333333333334"/>
    <x v="4"/>
    <d v="2024-11-08T10:13:18"/>
    <d v="2024-11-08T15:43:18"/>
    <n v="323.11666666666667"/>
    <x v="0"/>
    <d v="2024-11-09T17:52:54"/>
    <d v="2024-11-09T18:52:54"/>
    <n v="58.733333333333334"/>
    <x v="0"/>
    <n v="2.3712499999965075"/>
    <x v="0"/>
    <n v="0.37124999999650754"/>
    <n v="56.909999999916181"/>
    <n v="32"/>
    <n v="24.909999999916181"/>
    <n v="6.2625451626063802"/>
    <x v="0"/>
  </r>
  <r>
    <x v="2"/>
    <x v="0"/>
    <d v="2024-11-06T21:43:50"/>
    <s v="OMJBCD5RR"/>
    <x v="1"/>
    <s v="UBJ 705D"/>
    <s v="KASULE JOHNBOSC"/>
    <s v="Kabaco U Ltd"/>
    <n v="156"/>
    <s v="Z80966"/>
    <x v="6"/>
    <x v="0"/>
    <x v="0"/>
    <x v="0"/>
    <x v="6"/>
    <x v="6"/>
    <n v="340"/>
    <n v="20"/>
    <x v="0"/>
    <d v="2024-11-06T21:11:00"/>
    <d v="2024-11-07T02:22:00"/>
    <d v="2024-11-06T22:00:00"/>
    <n v="-256.55"/>
    <n v="47.966666666666669"/>
    <x v="1"/>
    <d v="2024-11-07T06:50:00"/>
    <d v="2024-11-07T17:20:00"/>
    <n v="616.86666666666667"/>
    <x v="0"/>
    <d v="2024-11-08T07:09:00"/>
    <d v="2024-11-08T07:59:00"/>
    <n v="48.95"/>
    <x v="0"/>
    <n v="1.3812500000058208"/>
    <x v="3"/>
    <n v="-0.11874999999417923"/>
    <n v="33.150000000139698"/>
    <n v="12"/>
    <n v="21.150000000139698"/>
    <n v="7.3758865247739767"/>
    <x v="0"/>
  </r>
  <r>
    <x v="2"/>
    <x v="1"/>
    <d v="2024-11-06T21:44:56"/>
    <s v="OM8KJQ6RR"/>
    <x v="1"/>
    <s v="UBE 422T"/>
    <s v="Jacob Oneka"/>
    <s v="Ntale and Sons"/>
    <n v="153.99600000000001"/>
    <s v="A18082"/>
    <x v="19"/>
    <x v="1"/>
    <x v="0"/>
    <x v="1"/>
    <x v="19"/>
    <x v="19"/>
    <n v="800"/>
    <n v="-10"/>
    <x v="0"/>
    <d v="2024-11-07T15:33:00"/>
    <d v="2024-11-06T22:00:00"/>
    <d v="2024-11-07T16:15:00"/>
    <n v="1072.1833333333334"/>
    <n v="41.116666666666667"/>
    <x v="1"/>
    <d v="2024-11-08T15:44:00"/>
    <d v="2024-11-09T08:16:00"/>
    <n v="971.33333333333337"/>
    <x v="0"/>
    <d v="2024-11-10T09:53:00"/>
    <d v="2024-11-10T10:25:00"/>
    <n v="31.316666666666666"/>
    <x v="0"/>
    <n v="2.734722222223354"/>
    <x v="4"/>
    <n v="-0.26527777777664596"/>
    <n v="65.633333333360497"/>
    <n v="24"/>
    <n v="41.633333333360497"/>
    <n v="3.6988630904699646"/>
    <x v="0"/>
  </r>
  <r>
    <x v="2"/>
    <x v="0"/>
    <d v="2024-11-06T22:37:40"/>
    <s v="OMTPW3ARR"/>
    <x v="1"/>
    <s v="UBK 862R"/>
    <s v="SULAIMAN MUBIRU"/>
    <s v="Kato Investment Ltd -Mubende"/>
    <n v="156"/>
    <s v="A18087"/>
    <x v="1"/>
    <x v="0"/>
    <x v="0"/>
    <x v="0"/>
    <x v="1"/>
    <x v="1"/>
    <n v="696"/>
    <n v="16"/>
    <x v="0"/>
    <d v="2024-11-06T21:57:00"/>
    <d v="2024-11-06T19:37:00"/>
    <d v="2024-11-06T22:47:00"/>
    <n v="186.03333333333333"/>
    <n v="48.95"/>
    <x v="8"/>
    <d v="2024-11-07T18:35:00"/>
    <d v="2024-11-08T12:31:00"/>
    <n v="1053.5666666666666"/>
    <x v="0"/>
    <d v="2024-11-08T21:43:00"/>
    <d v="2024-11-08T22:26:00"/>
    <n v="42.1"/>
    <x v="0"/>
    <n v="1.9555555555562023"/>
    <x v="1"/>
    <n v="-0.54444444444379769"/>
    <n v="46.933333333348855"/>
    <n v="16"/>
    <n v="30.933333333348855"/>
    <n v="5.0431034482733317"/>
    <x v="0"/>
  </r>
  <r>
    <x v="2"/>
    <x v="0"/>
    <d v="2024-11-06T22:38:51"/>
    <s v="OMLP4UJRR"/>
    <x v="0"/>
    <s v="UBM 648D"/>
    <s v="Nakalya John"/>
    <s v="Kato Investment Ltd -Mityana"/>
    <n v="156"/>
    <s v="A18088"/>
    <x v="16"/>
    <x v="0"/>
    <x v="0"/>
    <x v="0"/>
    <x v="16"/>
    <x v="16"/>
    <m/>
    <n v="-690"/>
    <x v="0"/>
    <d v="2024-11-07T10:28:51"/>
    <d v="2024-11-07T10:38:51"/>
    <d v="2024-11-07T11:46:51"/>
    <n v="66.583333333333329"/>
    <n v="76.36666666666666"/>
    <x v="6"/>
    <d v="2024-11-08T13:46:51"/>
    <d v="2024-11-08T19:06:51"/>
    <n v="313.31666666666666"/>
    <x v="0"/>
    <d v="2024-11-09T14:08:46"/>
    <d v="2024-11-09T14:44:46"/>
    <n v="35.25"/>
    <x v="0"/>
    <n v="2.0985555555525934"/>
    <x v="0"/>
    <n v="9.8555555552593432E-2"/>
    <n v="50.365333333262242"/>
    <n v="32"/>
    <n v="18.365333333262242"/>
    <n v="8.4942645564435093"/>
    <x v="0"/>
  </r>
  <r>
    <x v="2"/>
    <x v="1"/>
    <d v="2024-11-06T23:38:40"/>
    <s v="OM97CAQRR"/>
    <x v="0"/>
    <s v="UAV 051U"/>
    <s v="Angello Lumala"/>
    <s v="Agaba Services"/>
    <n v="153.60000000000002"/>
    <s v="F15254"/>
    <x v="20"/>
    <x v="1"/>
    <x v="0"/>
    <x v="1"/>
    <x v="20"/>
    <x v="20"/>
    <n v="296"/>
    <n v="-6"/>
    <x v="0"/>
    <d v="2024-11-07T12:06:40"/>
    <d v="2024-11-07T11:38:40"/>
    <d v="2024-11-07T12:55:40"/>
    <n v="75.38333333333334"/>
    <n v="47.966666666666669"/>
    <x v="1"/>
    <d v="2024-11-07T18:55:40"/>
    <d v="2024-11-08T14:22:04"/>
    <n v="1142.0833333333333"/>
    <x v="0"/>
    <d v="2024-11-09T05:14:52"/>
    <d v="2024-11-09T05:54:52"/>
    <n v="39.166666666666664"/>
    <x v="0"/>
    <n v="1.680000000000291"/>
    <x v="8"/>
    <n v="0.68000000000029104"/>
    <n v="40.320000000006985"/>
    <n v="12"/>
    <n v="28.320000000006985"/>
    <n v="5.4237288135579851"/>
    <x v="0"/>
  </r>
  <r>
    <x v="2"/>
    <x v="0"/>
    <d v="2024-11-07T00:00:00"/>
    <s v="OM02KL1M"/>
    <x v="0"/>
    <s v="UBF 070Q"/>
    <s v="NTUMWA SOLOMON"/>
    <s v="Kobusinge Steven-FPortal"/>
    <n v="156"/>
    <s v="Z80973"/>
    <x v="11"/>
    <x v="0"/>
    <x v="0"/>
    <x v="0"/>
    <x v="11"/>
    <x v="11"/>
    <n v="393"/>
    <n v="3"/>
    <x v="0"/>
    <d v="2024-11-07T07:42:00"/>
    <d v="2024-11-07T07:30:00"/>
    <d v="2024-11-07T08:38:00"/>
    <n v="66.583333333333329"/>
    <n v="54.833333333333336"/>
    <x v="4"/>
    <d v="2024-11-08T10:08:00"/>
    <d v="2024-11-08T13:25:00"/>
    <n v="192.88333333333333"/>
    <x v="0"/>
    <d v="2024-11-09T11:53:07"/>
    <d v="2024-11-09T12:53:07"/>
    <n v="58.733333333333334"/>
    <x v="0"/>
    <n v="2.1354999999966822"/>
    <x v="0"/>
    <n v="0.13549999999668216"/>
    <n v="51.251999999920372"/>
    <n v="32"/>
    <n v="19.251999999920372"/>
    <n v="8.1030542281656572"/>
    <x v="0"/>
  </r>
  <r>
    <x v="2"/>
    <x v="1"/>
    <d v="2024-11-07T21:34:50"/>
    <s v="OMCHCTWRR"/>
    <x v="1"/>
    <s v="UBJ 375N"/>
    <s v="Stephen Musoke "/>
    <s v="KATO INVESTMENTS LTD- KALISIZO"/>
    <n v="153.60000000000002"/>
    <s v="F15262"/>
    <x v="4"/>
    <x v="1"/>
    <x v="0"/>
    <x v="1"/>
    <x v="4"/>
    <x v="4"/>
    <n v="346"/>
    <n v="-4"/>
    <x v="0"/>
    <d v="2024-11-08T09:27:00"/>
    <d v="2024-11-07T08:00:00"/>
    <d v="2024-11-08T10:16:00"/>
    <n v="1543.15"/>
    <n v="47.966666666666669"/>
    <x v="8"/>
    <d v="2024-11-08T16:39:00"/>
    <d v="2024-11-09T12:44:00"/>
    <n v="1179.8833333333334"/>
    <x v="0"/>
    <d v="2024-11-09T18:45:00"/>
    <d v="2024-11-09T19:41:00"/>
    <n v="54.833333333333336"/>
    <x v="0"/>
    <n v="1.3534722222248092"/>
    <x v="2"/>
    <n v="-0.34652777777519073"/>
    <n v="32.483333333395422"/>
    <n v="16"/>
    <n v="16.483333333395422"/>
    <n v="9.3185035388931112"/>
    <x v="0"/>
  </r>
  <r>
    <x v="2"/>
    <x v="0"/>
    <d v="2024-11-08T20:38:25"/>
    <s v="OM4MPVWRR"/>
    <x v="0"/>
    <s v="UBM 565R"/>
    <s v="BAZALE SAID"/>
    <s v="Kato Investment Ltd -Mubende"/>
    <n v="156"/>
    <s v="A18121"/>
    <x v="1"/>
    <x v="0"/>
    <x v="0"/>
    <x v="0"/>
    <x v="1"/>
    <x v="1"/>
    <n v="665"/>
    <n v="-15"/>
    <x v="0"/>
    <d v="2024-11-08T20:59:00"/>
    <d v="2024-11-08T20:40:00"/>
    <d v="2024-11-08T22:00:00"/>
    <n v="78.316666666666663"/>
    <n v="59.716666666666669"/>
    <x v="10"/>
    <d v="2024-11-09T11:45:00"/>
    <d v="2024-11-09T14:40:00"/>
    <n v="171.35"/>
    <x v="0"/>
    <d v="2024-11-10T16:16:00"/>
    <d v="2024-11-10T17:06:00"/>
    <n v="48.95"/>
    <x v="0"/>
    <n v="1.7611111111109494"/>
    <x v="1"/>
    <n v="-0.73888888888905058"/>
    <n v="42.266666666662786"/>
    <n v="16"/>
    <n v="26.266666666662786"/>
    <n v="5.9390862944171214"/>
    <x v="0"/>
  </r>
  <r>
    <x v="2"/>
    <x v="0"/>
    <d v="2024-11-08T21:12:12"/>
    <s v="OMPVL10RR"/>
    <x v="0"/>
    <s v="UBE 687K"/>
    <m/>
    <s v="Kato Investment Ltd -Mityana"/>
    <n v="156"/>
    <s v="A18124"/>
    <x v="16"/>
    <x v="0"/>
    <x v="0"/>
    <x v="0"/>
    <x v="16"/>
    <x v="16"/>
    <m/>
    <n v="-690"/>
    <x v="0"/>
    <d v="2024-11-09T09:40:12"/>
    <d v="2024-11-09T09:12:12"/>
    <d v="2024-11-09T10:27:12"/>
    <n v="73.433333333333337"/>
    <n v="46.016666666666666"/>
    <x v="1"/>
    <d v="2024-11-10T12:27:12"/>
    <d v="2024-11-10T20:02:12"/>
    <n v="445.51666666666665"/>
    <x v="0"/>
    <d v="2024-11-11T17:28:07"/>
    <d v="2024-11-11T18:13:07"/>
    <n v="44.05"/>
    <x v="0"/>
    <n v="2.2923055555511382"/>
    <x v="0"/>
    <n v="0.29230555555113824"/>
    <n v="55.015333333227318"/>
    <n v="24"/>
    <n v="31.015333333227318"/>
    <n v="5.0297702211981141"/>
    <x v="0"/>
  </r>
  <r>
    <x v="2"/>
    <x v="1"/>
    <d v="2024-11-08T21:15:37"/>
    <s v="OMO8K85RR"/>
    <x v="1"/>
    <s v="UBK 875R"/>
    <s v="Bisaso  Ronald"/>
    <s v="Agaba Services"/>
    <n v="153.60000000000002"/>
    <s v="F15265"/>
    <x v="20"/>
    <x v="1"/>
    <x v="0"/>
    <x v="1"/>
    <x v="20"/>
    <x v="20"/>
    <n v="301"/>
    <n v="-1"/>
    <x v="0"/>
    <d v="2024-11-09T08:21:00"/>
    <d v="2024-11-09T08:30:00"/>
    <d v="2024-11-09T09:23:00"/>
    <n v="51.883333333333333"/>
    <n v="60.7"/>
    <x v="9"/>
    <d v="2024-11-09T15:02:00"/>
    <d v="2024-11-09T17:00:00"/>
    <n v="115.53333333333333"/>
    <x v="0"/>
    <d v="2024-11-10T09:30:00"/>
    <d v="2024-11-10T10:13:00"/>
    <n v="42.1"/>
    <x v="0"/>
    <n v="1.0048611111124046"/>
    <x v="8"/>
    <n v="4.8611111124046147E-3"/>
    <n v="24.116666666697711"/>
    <n v="16"/>
    <n v="8.1166666666977108"/>
    <n v="18.924024640584708"/>
    <x v="0"/>
  </r>
  <r>
    <x v="2"/>
    <x v="1"/>
    <d v="2024-11-08T21:23:24"/>
    <s v="OM3Y1PHRR"/>
    <x v="0"/>
    <s v="UBJ 988D"/>
    <s v="Tumusiime Robert"/>
    <s v="KATO INVESTMENTS LIMITED-MASAK"/>
    <n v="153.60000000000002"/>
    <s v="F15266"/>
    <x v="14"/>
    <x v="1"/>
    <x v="0"/>
    <x v="1"/>
    <x v="14"/>
    <x v="14"/>
    <n v="296"/>
    <n v="-44"/>
    <x v="0"/>
    <d v="2024-11-09T07:34:00"/>
    <d v="2024-11-09T08:30:00"/>
    <d v="2024-11-09T08:21:00"/>
    <n v="-8.8166666666666664"/>
    <n v="46.016666666666666"/>
    <x v="8"/>
    <d v="2024-11-09T10:41:00"/>
    <d v="2024-11-09T15:15:00"/>
    <n v="268.28333333333336"/>
    <x v="0"/>
    <d v="2024-11-09T17:55:00"/>
    <d v="2024-11-09T18:50:00"/>
    <n v="53.85"/>
    <x v="0"/>
    <n v="0.39861111110803904"/>
    <x v="8"/>
    <n v="-0.60138888889196096"/>
    <n v="9.566666666592937"/>
    <n v="0"/>
    <n v="9.566666666592937"/>
    <n v="16.055749129043605"/>
    <x v="0"/>
  </r>
  <r>
    <x v="2"/>
    <x v="1"/>
    <d v="2024-11-08T21:24:23"/>
    <s v="OM1D28HRR"/>
    <x v="0"/>
    <s v="UAV 051U"/>
    <s v="Angello Lumala"/>
    <s v="KATO INVESTMENTS LIMITED-MASAK"/>
    <n v="153.60000000000002"/>
    <s v="F15267"/>
    <x v="14"/>
    <x v="1"/>
    <x v="0"/>
    <x v="1"/>
    <x v="14"/>
    <x v="14"/>
    <n v="415"/>
    <n v="75"/>
    <x v="0"/>
    <d v="2024-11-09T09:52:23"/>
    <d v="2024-11-09T09:24:23"/>
    <d v="2024-11-09T10:40:23"/>
    <n v="74.400000000000006"/>
    <n v="46.983333333333334"/>
    <x v="1"/>
    <d v="2024-11-09T13:53:23"/>
    <d v="2024-11-09T21:24:23"/>
    <n v="441.6"/>
    <x v="0"/>
    <d v="2024-11-10T11:48:23"/>
    <d v="2024-11-10T12:45:23"/>
    <n v="55.8"/>
    <x v="0"/>
    <n v="1.047222222223354"/>
    <x v="8"/>
    <n v="4.7222222223354038E-2"/>
    <n v="25.133333333360497"/>
    <n v="12"/>
    <n v="13.133333333360497"/>
    <n v="11.695431472057031"/>
    <x v="0"/>
  </r>
  <r>
    <x v="2"/>
    <x v="0"/>
    <d v="2024-11-08T21:28:50"/>
    <s v="OMWU0TMRR"/>
    <x v="0"/>
    <s v="UBJ 420C"/>
    <s v="ZIWA ABASI"/>
    <s v="Kabaco U Ltd"/>
    <n v="156"/>
    <s v="Z80981"/>
    <x v="6"/>
    <x v="0"/>
    <x v="0"/>
    <x v="0"/>
    <x v="6"/>
    <x v="6"/>
    <n v="318"/>
    <n v="-2"/>
    <x v="0"/>
    <d v="2024-11-09T10:11:00"/>
    <d v="2024-11-09T02:22:00"/>
    <d v="2024-11-09T11:01:00"/>
    <n v="508.18333333333334"/>
    <n v="48.95"/>
    <x v="1"/>
    <d v="2024-11-10T08:28:00"/>
    <d v="2024-11-10T12:47:00"/>
    <n v="253.6"/>
    <x v="0"/>
    <d v="2024-11-10T16:06:00"/>
    <d v="2024-11-10T17:06:00"/>
    <n v="58.75"/>
    <x v="0"/>
    <n v="1.2118055555547471"/>
    <x v="3"/>
    <n v="-0.28819444444525288"/>
    <n v="29.083333333313931"/>
    <n v="12"/>
    <n v="17.083333333313931"/>
    <n v="9.1317073170835421"/>
    <x v="0"/>
  </r>
  <r>
    <x v="2"/>
    <x v="0"/>
    <d v="2024-11-08T21:35:21"/>
    <s v="OM85H0RRR"/>
    <x v="0"/>
    <s v="UBJ 419C"/>
    <m/>
    <s v="Boniface Harera"/>
    <n v="156"/>
    <s v="F15269"/>
    <x v="10"/>
    <x v="0"/>
    <x v="0"/>
    <x v="0"/>
    <x v="10"/>
    <x v="10"/>
    <n v="474"/>
    <n v="4"/>
    <x v="0"/>
    <d v="2024-11-09T10:03:21"/>
    <d v="2024-11-09T09:35:21"/>
    <d v="2024-11-09T10:43:21"/>
    <n v="66.583333333333329"/>
    <n v="39.166666666666664"/>
    <x v="1"/>
    <d v="2024-11-10T10:43:21"/>
    <d v="2024-11-10T15:58:21"/>
    <n v="308.43333333333334"/>
    <x v="0"/>
    <d v="2024-11-11T14:46:21"/>
    <d v="2024-11-11T15:16:21"/>
    <n v="29.366666666666667"/>
    <x v="0"/>
    <n v="2.1687499999970896"/>
    <x v="1"/>
    <n v="-0.33125000000291038"/>
    <n v="52.049999999930151"/>
    <n v="24"/>
    <n v="28.049999999930151"/>
    <n v="5.5614973262170579"/>
    <x v="0"/>
  </r>
  <r>
    <x v="2"/>
    <x v="1"/>
    <d v="2024-11-09T13:41:06"/>
    <s v="OMTJ3TVRR"/>
    <x v="0"/>
    <s v="UAR 731Q"/>
    <s v="Godwin Niwensiima"/>
    <s v="KATO INVESTMENTS LIMITED-MASAK"/>
    <n v="153.60000000000002"/>
    <s v="F15270"/>
    <x v="14"/>
    <x v="1"/>
    <x v="0"/>
    <x v="1"/>
    <x v="14"/>
    <x v="14"/>
    <n v="328"/>
    <n v="-12"/>
    <x v="0"/>
    <d v="2024-11-10T14:09:06"/>
    <d v="2024-11-10T01:41:06"/>
    <d v="2024-11-10T14:53:06"/>
    <n v="775.5"/>
    <n v="43.06666666666667"/>
    <x v="1"/>
    <d v="2024-11-10T18:06:06"/>
    <d v="2024-11-11T12:49:18"/>
    <n v="1099.7833333333333"/>
    <x v="0"/>
    <d v="2024-11-11T15:29:18"/>
    <d v="2024-11-11T16:29:18"/>
    <n v="58.733333333333334"/>
    <x v="0"/>
    <n v="1.0251388888864312"/>
    <x v="8"/>
    <n v="2.5138888886431232E-2"/>
    <n v="24.60333333327435"/>
    <n v="12"/>
    <n v="12.60333333327435"/>
    <n v="12.187252049779334"/>
    <x v="0"/>
  </r>
  <r>
    <x v="2"/>
    <x v="1"/>
    <d v="2024-11-09T13:48:36"/>
    <s v="OMZE3Q4RR"/>
    <x v="0"/>
    <s v="UAY 265V"/>
    <s v="Luyaga Isaac"/>
    <s v="KATO INVESTMENTS LIMITED-MASAK"/>
    <n v="153.60000000000002"/>
    <s v="F15271"/>
    <x v="14"/>
    <x v="1"/>
    <x v="0"/>
    <x v="1"/>
    <x v="14"/>
    <x v="14"/>
    <n v="151"/>
    <n v="-189"/>
    <x v="0"/>
    <d v="2024-11-12T09:31:00"/>
    <d v="2024-11-10T04:14:00"/>
    <d v="2024-11-12T10:21:00"/>
    <n v="3179.35"/>
    <n v="48.95"/>
    <x v="8"/>
    <d v="2024-11-12T14:33:00"/>
    <d v="2024-11-12T17:29:00"/>
    <n v="172.33333333333334"/>
    <x v="0"/>
    <d v="2024-11-13T10:06:00"/>
    <d v="2024-11-13T10:46:00"/>
    <n v="39.166666666666664"/>
    <x v="0"/>
    <n v="0.98958333332848269"/>
    <x v="8"/>
    <n v="-1.0416666671517305E-2"/>
    <n v="23.749999999883585"/>
    <n v="0"/>
    <n v="23.749999999883585"/>
    <n v="6.4673684210843332"/>
    <x v="0"/>
  </r>
  <r>
    <x v="2"/>
    <x v="0"/>
    <d v="2024-11-09T20:44:00"/>
    <s v="OMZXY1VRR"/>
    <x v="1"/>
    <s v="UBP 301H"/>
    <s v="NAMINYA SIRAJE"/>
    <s v="Kobusinge Steven-FPortal"/>
    <n v="156"/>
    <s v="Z80982"/>
    <x v="11"/>
    <x v="0"/>
    <x v="0"/>
    <x v="0"/>
    <x v="11"/>
    <x v="11"/>
    <n v="392"/>
    <n v="2"/>
    <x v="0"/>
    <d v="2024-11-09T20:52:00"/>
    <d v="2024-11-09T21:30:00"/>
    <d v="2024-11-09T21:37:00"/>
    <n v="6.85"/>
    <n v="44.05"/>
    <x v="1"/>
    <d v="2024-11-11T10:35:00"/>
    <d v="2024-11-11T17:54:00"/>
    <n v="429.85"/>
    <x v="0"/>
    <d v="2024-11-12T16:52:00"/>
    <d v="2024-11-12T17:34:00"/>
    <n v="41.116666666666667"/>
    <x v="0"/>
    <n v="2.8020833333357587"/>
    <x v="0"/>
    <n v="0.80208333333575865"/>
    <n v="67.250000000058208"/>
    <n v="24"/>
    <n v="43.250000000058208"/>
    <n v="3.6069364161801167"/>
    <x v="1"/>
  </r>
  <r>
    <x v="2"/>
    <x v="0"/>
    <d v="2024-11-09T20:50:57"/>
    <s v="OMXOGUFRR"/>
    <x v="0"/>
    <s v="UBE 684K"/>
    <m/>
    <s v="Kato Investment Ltd -Mityana"/>
    <n v="156"/>
    <s v="A18145"/>
    <x v="16"/>
    <x v="0"/>
    <x v="0"/>
    <x v="0"/>
    <x v="16"/>
    <x v="16"/>
    <m/>
    <n v="-690"/>
    <x v="0"/>
    <d v="2024-11-10T09:18:57"/>
    <d v="2024-11-10T08:50:57"/>
    <d v="2024-11-10T10:13:57"/>
    <n v="81.266666666666666"/>
    <n v="53.85"/>
    <x v="6"/>
    <d v="2024-11-11T12:13:57"/>
    <d v="2024-11-11T17:15:57"/>
    <n v="295.7"/>
    <x v="0"/>
    <d v="2024-11-12T12:32:16"/>
    <d v="2024-11-12T13:20:16"/>
    <n v="46.983333333333334"/>
    <x v="0"/>
    <n v="2.0960555555575411"/>
    <x v="0"/>
    <n v="9.6055555557541084E-2"/>
    <n v="50.305333333380986"/>
    <n v="32"/>
    <n v="18.305333333380986"/>
    <n v="8.5221064898896799"/>
    <x v="0"/>
  </r>
  <r>
    <x v="2"/>
    <x v="1"/>
    <d v="2024-11-09T21:20:46"/>
    <s v="OMJ0CBHRR"/>
    <x v="1"/>
    <s v="UBA 523T"/>
    <s v="Kabene John"/>
    <s v="Ntale and Sons"/>
    <n v="153.60000000000002"/>
    <s v="A18148"/>
    <x v="19"/>
    <x v="1"/>
    <x v="0"/>
    <x v="1"/>
    <x v="19"/>
    <x v="19"/>
    <n v="793"/>
    <n v="-17"/>
    <x v="0"/>
    <d v="2024-11-10T15:25:00"/>
    <d v="2024-11-10T16:40:00"/>
    <d v="2024-11-10T16:07:00"/>
    <n v="-32.31666666666667"/>
    <n v="41.116666666666667"/>
    <x v="1"/>
    <d v="2024-11-11T16:57:00"/>
    <d v="2024-11-12T09:36:00"/>
    <n v="978.18333333333328"/>
    <x v="0"/>
    <d v="2024-11-12T19:52:00"/>
    <d v="2024-11-12T20:32:00"/>
    <n v="39.166666666666664"/>
    <x v="0"/>
    <n v="2.15625"/>
    <x v="4"/>
    <n v="-0.84375"/>
    <n v="51.75"/>
    <n v="24"/>
    <n v="27.75"/>
    <n v="5.5351351351351363"/>
    <x v="0"/>
  </r>
  <r>
    <x v="2"/>
    <x v="1"/>
    <d v="2024-11-09T21:23:35"/>
    <s v="OMPPEPDRR"/>
    <x v="1"/>
    <s v="UBE 422T"/>
    <s v="Jacob Oneka"/>
    <s v="Rugoma Traders-Kanungu/Kihihi"/>
    <n v="153.60000000000002"/>
    <s v="F15273"/>
    <x v="23"/>
    <x v="1"/>
    <x v="0"/>
    <x v="1"/>
    <x v="23"/>
    <x v="14"/>
    <n v="339"/>
    <n v="-1"/>
    <x v="0"/>
    <d v="2024-11-10T14:21:00"/>
    <d v="2024-11-11T01:59:00"/>
    <d v="2024-11-10T15:22:00"/>
    <n v="-623.73333333333335"/>
    <n v="59.716666666666669"/>
    <x v="5"/>
    <d v="2024-11-11T10:13:00"/>
    <d v="2024-11-11T15:17:00"/>
    <n v="297.66666666666669"/>
    <x v="0"/>
    <d v="2024-11-12T09:51:00"/>
    <d v="2024-11-12T10:35:00"/>
    <n v="43.06666666666667"/>
    <x v="0"/>
    <n v="1.7701388888890506"/>
    <x v="3"/>
    <n v="0.27013888888905058"/>
    <n v="42.483333333337214"/>
    <n v="16"/>
    <n v="26.483333333337214"/>
    <n v="5.799874134675048"/>
    <x v="0"/>
  </r>
  <r>
    <x v="2"/>
    <x v="1"/>
    <d v="2024-11-09T21:47:48"/>
    <s v="OML48JNRR"/>
    <x v="1"/>
    <s v="UBJ 988D"/>
    <s v="Tumusiime Robert"/>
    <s v="KATO INVESTMENTS LIMITED-MASAK"/>
    <n v="153.60000000000002"/>
    <s v="F15274"/>
    <x v="14"/>
    <x v="1"/>
    <x v="0"/>
    <x v="1"/>
    <x v="14"/>
    <x v="14"/>
    <n v="349"/>
    <n v="9"/>
    <x v="0"/>
    <d v="2024-11-12T09:26:00"/>
    <d v="2024-11-10T08:30:00"/>
    <d v="2024-11-12T10:16:00"/>
    <n v="2923.7833333333333"/>
    <n v="48.95"/>
    <x v="1"/>
    <d v="2024-11-12T14:47:00"/>
    <d v="2024-11-12T18:43:00"/>
    <n v="231.08333333333334"/>
    <x v="0"/>
    <d v="2024-11-13T15:56:00"/>
    <d v="2024-11-13T16:45:00"/>
    <n v="47.966666666666669"/>
    <x v="0"/>
    <n v="1.2361111111167702"/>
    <x v="8"/>
    <n v="0.23611111111677019"/>
    <n v="29.666666666802485"/>
    <n v="12"/>
    <n v="17.666666666802485"/>
    <n v="8.6943396225746703"/>
    <x v="0"/>
  </r>
  <r>
    <x v="2"/>
    <x v="0"/>
    <d v="2024-11-10T00:00:00"/>
    <s v="OM02KLX3"/>
    <x v="0"/>
    <s v="UBJ 703D"/>
    <m/>
    <s v="Kobusinge Steven-FPortal"/>
    <n v="156"/>
    <s v="Z80992"/>
    <x v="11"/>
    <x v="0"/>
    <x v="0"/>
    <x v="0"/>
    <x v="11"/>
    <x v="11"/>
    <n v="370"/>
    <n v="-20"/>
    <x v="0"/>
    <d v="2024-11-10T07:58:00"/>
    <d v="2024-11-10T07:30:00"/>
    <d v="2024-11-10T08:47:00"/>
    <n v="75.38333333333334"/>
    <n v="47.966666666666669"/>
    <x v="1"/>
    <d v="2024-11-11T07:17:00"/>
    <d v="2024-11-12T18:13:38"/>
    <n v="2052.9499999999998"/>
    <x v="0"/>
    <d v="2024-11-12T08:00:12"/>
    <d v="2024-11-12T08:57:12"/>
    <n v="55.8"/>
    <x v="0"/>
    <n v="1.9674999999988358"/>
    <x v="0"/>
    <n v="-3.2500000001164153E-2"/>
    <n v="47.21999999997206"/>
    <n v="12"/>
    <n v="35.21999999997206"/>
    <n v="4.429301533223275"/>
    <x v="0"/>
  </r>
  <r>
    <x v="2"/>
    <x v="0"/>
    <d v="2024-11-10T00:00:00"/>
    <s v="OM02KLVB"/>
    <x v="0"/>
    <s v="UBP 311H"/>
    <s v="Ekwalikwa Yusuf"/>
    <s v="Kato Investment Ltd -Kagadi"/>
    <n v="156"/>
    <s v="A18161"/>
    <x v="12"/>
    <x v="0"/>
    <x v="0"/>
    <x v="0"/>
    <x v="12"/>
    <x v="12"/>
    <n v="603"/>
    <n v="-9"/>
    <x v="0"/>
    <d v="2024-11-10T07:28:00"/>
    <d v="2024-11-10T07:30:00"/>
    <d v="2024-11-10T08:08:00"/>
    <n v="37.200000000000003"/>
    <n v="39.15"/>
    <x v="4"/>
    <d v="2024-11-11T09:38:00"/>
    <d v="2024-11-11T16:28:00"/>
    <n v="401.45"/>
    <x v="0"/>
    <d v="2024-11-12T14:29:55"/>
    <d v="2024-11-12T15:13:55"/>
    <n v="43.06666666666667"/>
    <x v="0"/>
    <n v="2.2652222222168348"/>
    <x v="6"/>
    <n v="-3.4777777783165043E-2"/>
    <n v="54.365333333204035"/>
    <n v="32"/>
    <n v="22.365333333204035"/>
    <n v="6.97508048173819"/>
    <x v="0"/>
  </r>
  <r>
    <x v="2"/>
    <x v="0"/>
    <d v="2024-11-10T00:00:00"/>
    <s v="OM02KLVD"/>
    <x v="0"/>
    <s v="UBF 375L"/>
    <m/>
    <s v="Kobusinge Steven-FPortal"/>
    <n v="156"/>
    <s v="Z80988"/>
    <x v="11"/>
    <x v="0"/>
    <x v="0"/>
    <x v="0"/>
    <x v="11"/>
    <x v="11"/>
    <n v="370"/>
    <n v="-20"/>
    <x v="0"/>
    <d v="2024-11-10T07:58:00"/>
    <d v="2024-11-10T07:30:00"/>
    <d v="2024-11-10T08:58:00"/>
    <n v="86.15"/>
    <n v="58.733333333333334"/>
    <x v="4"/>
    <d v="2024-11-11T07:28:00"/>
    <d v="2024-11-11T13:01:00"/>
    <n v="326.05"/>
    <x v="0"/>
    <d v="2024-11-12T06:07:22"/>
    <d v="2024-11-12T06:58:22"/>
    <n v="49.93333333333333"/>
    <x v="0"/>
    <n v="1.8815000000031432"/>
    <x v="0"/>
    <n v="-0.11849999999685679"/>
    <n v="45.156000000075437"/>
    <n v="16"/>
    <n v="29.156000000075437"/>
    <n v="5.3505281931539432"/>
    <x v="0"/>
  </r>
  <r>
    <x v="2"/>
    <x v="0"/>
    <d v="2024-11-10T13:18:22"/>
    <s v="OMCXLWORR"/>
    <x v="1"/>
    <s v="UBF 070Q"/>
    <s v="NTUMWA SOLOMON"/>
    <s v="Sawan Distributors Ltd-Nabingo"/>
    <n v="156"/>
    <s v="A18155"/>
    <x v="21"/>
    <x v="0"/>
    <x v="0"/>
    <x v="0"/>
    <x v="21"/>
    <x v="2"/>
    <n v="522"/>
    <n v="-38"/>
    <x v="0"/>
    <d v="2024-11-10T13:31:00"/>
    <d v="2024-11-11T02:30:00"/>
    <d v="2024-11-10T14:17:00"/>
    <n v="-717.73333333333335"/>
    <n v="45.033333333333331"/>
    <x v="1"/>
    <d v="2024-11-11T06:11:00"/>
    <d v="2024-11-11T13:11:00"/>
    <n v="411.23333333333335"/>
    <x v="0"/>
    <d v="2024-11-12T08:58:00"/>
    <d v="2024-11-12T09:40:00"/>
    <n v="41.116666666666667"/>
    <x v="0"/>
    <n v="1.7784722222277196"/>
    <x v="0"/>
    <n v="-0.22152777777228039"/>
    <n v="42.683333333465271"/>
    <n v="12"/>
    <n v="30.683333333465271"/>
    <n v="5.0841933731448954"/>
    <x v="0"/>
  </r>
  <r>
    <x v="2"/>
    <x v="0"/>
    <d v="2024-11-10T13:21:10"/>
    <s v="OM4RXAQRR"/>
    <x v="1"/>
    <s v="UBK 882R"/>
    <s v="NASASIRA STEPHENE"/>
    <s v="Kato Investment Ltd -Mityana"/>
    <n v="172.8"/>
    <s v="A18156"/>
    <x v="16"/>
    <x v="0"/>
    <x v="0"/>
    <x v="0"/>
    <x v="16"/>
    <x v="16"/>
    <n v="784"/>
    <n v="94"/>
    <x v="1"/>
    <d v="2024-11-10T20:51:00"/>
    <d v="2024-11-10T19:35:00"/>
    <d v="2024-11-10T21:40:00"/>
    <n v="122.38333333333334"/>
    <n v="47.966666666666669"/>
    <x v="1"/>
    <d v="2024-11-11T19:28:00"/>
    <d v="2024-11-12T08:02:00"/>
    <n v="738.2833333333333"/>
    <x v="0"/>
    <d v="2024-11-12T21:23:00"/>
    <d v="2024-11-12T22:19:00"/>
    <n v="54.81666666666667"/>
    <x v="0"/>
    <n v="1.9881944444423425"/>
    <x v="0"/>
    <n v="-1.1805555557657499E-2"/>
    <n v="47.71666666661622"/>
    <n v="12"/>
    <n v="35.71666666661622"/>
    <n v="4.8380774615093998"/>
    <x v="0"/>
  </r>
  <r>
    <x v="2"/>
    <x v="1"/>
    <d v="2024-11-10T13:22:32"/>
    <s v="OM34JIGRR"/>
    <x v="0"/>
    <s v="UAV 051U"/>
    <s v="Angello Lumala"/>
    <s v="KATO INVESTMENTS LIMITED-MASAK"/>
    <n v="153.60000000000002"/>
    <s v="F15276"/>
    <x v="14"/>
    <x v="1"/>
    <x v="0"/>
    <x v="1"/>
    <x v="14"/>
    <x v="14"/>
    <n v="151"/>
    <n v="-189"/>
    <x v="0"/>
    <d v="2024-11-11T13:50:32"/>
    <d v="2024-11-11T01:22:32"/>
    <d v="2024-11-11T14:34:32"/>
    <n v="775.48333333333335"/>
    <n v="43.06666666666667"/>
    <x v="1"/>
    <d v="2024-11-11T17:47:32"/>
    <d v="2024-11-12T12:30:44"/>
    <n v="1099.7833333333333"/>
    <x v="0"/>
    <d v="2024-11-12T15:10:44"/>
    <d v="2024-11-12T15:46:44"/>
    <n v="35.25"/>
    <x v="0"/>
    <n v="1.0251388888864312"/>
    <x v="8"/>
    <n v="2.5138888886431232E-2"/>
    <n v="24.60333333327435"/>
    <n v="12"/>
    <n v="12.60333333327435"/>
    <n v="12.187252049779334"/>
    <x v="0"/>
  </r>
  <r>
    <x v="2"/>
    <x v="0"/>
    <d v="2024-11-10T13:25:47"/>
    <s v="OM26QI7RR"/>
    <x v="0"/>
    <s v="UBF 379L"/>
    <m/>
    <s v="KATO INVESTMENTS LTD-KATIKARA"/>
    <n v="156"/>
    <s v="A18157"/>
    <x v="5"/>
    <x v="0"/>
    <x v="0"/>
    <x v="0"/>
    <x v="5"/>
    <x v="5"/>
    <n v="796"/>
    <n v="-34"/>
    <x v="0"/>
    <d v="2024-11-11T01:53:47"/>
    <d v="2024-11-11T01:25:47"/>
    <d v="2024-11-11T02:33:47"/>
    <n v="66.583333333333329"/>
    <n v="39.166666666666664"/>
    <x v="1"/>
    <d v="2024-11-12T03:48:47"/>
    <d v="2024-11-13T03:48:38"/>
    <n v="1409.85"/>
    <x v="0"/>
    <d v="2024-11-14T08:36:38"/>
    <d v="2024-11-14T09:36:38"/>
    <n v="58.733333333333334"/>
    <x v="0"/>
    <n v="3.2519833333353745"/>
    <x v="0"/>
    <n v="1.2519833333353745"/>
    <n v="78.047600000048988"/>
    <n v="36"/>
    <n v="42.047600000048988"/>
    <n v="3.7100809558647403"/>
    <x v="9"/>
  </r>
  <r>
    <x v="2"/>
    <x v="1"/>
    <d v="2024-11-10T13:45:32"/>
    <s v="OMMGADLRR"/>
    <x v="0"/>
    <s v="UAT 351G"/>
    <s v="Hamudi Sesanga"/>
    <s v="Kabaco U Ltd-Mbarara"/>
    <n v="153.60000000000002"/>
    <s v="Z80987"/>
    <x v="8"/>
    <x v="1"/>
    <x v="0"/>
    <x v="1"/>
    <x v="8"/>
    <x v="8"/>
    <n v="14"/>
    <n v="3"/>
    <x v="0"/>
    <d v="2024-11-11T14:13:32"/>
    <d v="2024-11-11T01:45:32"/>
    <d v="2024-11-11T15:17:32"/>
    <n v="795.08333333333337"/>
    <n v="62.65"/>
    <x v="2"/>
    <d v="2024-11-11T15:59:32"/>
    <d v="2024-11-11T18:17:32"/>
    <n v="135.11666666666667"/>
    <x v="0"/>
    <d v="2024-11-11T18:52:32"/>
    <d v="2024-11-11T19:30:32"/>
    <n v="37.200000000000003"/>
    <x v="0"/>
    <n v="0.14930555555474712"/>
    <x v="5"/>
    <n v="-0.65069444444525293"/>
    <n v="3.5833333333139308"/>
    <n v="0"/>
    <n v="3.5833333333139308"/>
    <n v="42.865116279301873"/>
    <x v="0"/>
  </r>
  <r>
    <x v="2"/>
    <x v="0"/>
    <d v="2024-11-10T13:48:41"/>
    <s v="OMNLGJKRR"/>
    <x v="0"/>
    <s v="UBM 648D"/>
    <m/>
    <s v="Kato Investment Ltd -Mubende"/>
    <n v="156"/>
    <s v="A18159"/>
    <x v="1"/>
    <x v="0"/>
    <x v="0"/>
    <x v="0"/>
    <x v="1"/>
    <x v="1"/>
    <n v="701"/>
    <n v="21"/>
    <x v="0"/>
    <d v="2024-11-11T02:16:41"/>
    <d v="2024-11-11T01:48:41"/>
    <d v="2024-11-11T02:56:41"/>
    <n v="66.583333333333329"/>
    <n v="39.166666666666664"/>
    <x v="1"/>
    <d v="2024-11-12T08:13:41"/>
    <d v="2024-11-12T12:58:41"/>
    <n v="279.05"/>
    <x v="0"/>
    <d v="2024-11-13T15:51:29"/>
    <d v="2024-11-13T16:39:29"/>
    <n v="46.983333333333334"/>
    <x v="0"/>
    <n v="2.5380555555530009"/>
    <x v="1"/>
    <n v="3.8055555553000886E-2"/>
    <n v="60.913333333272021"/>
    <n v="24"/>
    <n v="36.913333333272021"/>
    <n v="4.226115224858022"/>
    <x v="0"/>
  </r>
  <r>
    <x v="2"/>
    <x v="0"/>
    <d v="2024-11-10T15:13:17"/>
    <s v="OMJ879YRR"/>
    <x v="0"/>
    <s v="UBB 115P"/>
    <s v="Kakembo Masuud"/>
    <s v="Kabaco U Ltd"/>
    <n v="156"/>
    <s v="Z80989"/>
    <x v="6"/>
    <x v="0"/>
    <x v="0"/>
    <x v="0"/>
    <x v="6"/>
    <x v="6"/>
    <n v="324"/>
    <n v="4"/>
    <x v="0"/>
    <d v="2024-11-11T03:41:17"/>
    <d v="2024-11-11T03:13:17"/>
    <d v="2024-11-11T04:36:17"/>
    <n v="81.266666666666666"/>
    <n v="53.85"/>
    <x v="3"/>
    <d v="2024-11-11T10:36:17"/>
    <d v="2024-11-11T15:56:17"/>
    <n v="313.31666666666666"/>
    <x v="0"/>
    <d v="2024-11-11T21:16:17"/>
    <d v="2024-11-11T22:08:17"/>
    <n v="50.916666666666664"/>
    <x v="0"/>
    <n v="0.69444444443797693"/>
    <x v="3"/>
    <n v="-0.80555555556202307"/>
    <n v="16.666666666511446"/>
    <n v="0"/>
    <n v="16.666666666511446"/>
    <n v="9.3600000000871724"/>
    <x v="0"/>
  </r>
  <r>
    <x v="2"/>
    <x v="0"/>
    <d v="2024-11-10T15:25:03"/>
    <s v="OML692PRR"/>
    <x v="0"/>
    <s v="UBP 298H"/>
    <s v="SENTONG DAVID"/>
    <s v="Boniface Harera"/>
    <n v="156"/>
    <s v="F15278"/>
    <x v="10"/>
    <x v="0"/>
    <x v="0"/>
    <x v="0"/>
    <x v="10"/>
    <x v="10"/>
    <n v="484"/>
    <n v="14"/>
    <x v="0"/>
    <d v="2024-11-10T16:07:00"/>
    <d v="2024-11-11T01:30:00"/>
    <d v="2024-11-10T16:49:00"/>
    <n v="-510.15"/>
    <n v="41.116666666666667"/>
    <x v="1"/>
    <d v="2024-11-11T12:41:00"/>
    <d v="2024-11-12T18:06:00"/>
    <n v="1728.2166666666667"/>
    <x v="0"/>
    <d v="2024-11-13T12:29:00"/>
    <d v="2024-11-13T13:29:00"/>
    <n v="58.733333333333334"/>
    <x v="0"/>
    <n v="2.8194444444452529"/>
    <x v="1"/>
    <n v="0.31944444444525288"/>
    <n v="67.666666666686069"/>
    <n v="24"/>
    <n v="43.666666666686069"/>
    <n v="3.5725190839678782"/>
    <x v="0"/>
  </r>
  <r>
    <x v="2"/>
    <x v="0"/>
    <d v="2024-11-10T21:57:26"/>
    <s v="OMTN2PMRR"/>
    <x v="1"/>
    <s v="UBJ 705D"/>
    <s v="KASULE JOHNBOSC"/>
    <s v="Kato Investment Ltd -Mityana"/>
    <n v="156"/>
    <s v="A18169"/>
    <x v="16"/>
    <x v="0"/>
    <x v="0"/>
    <x v="0"/>
    <x v="16"/>
    <x v="16"/>
    <n v="600"/>
    <n v="-90"/>
    <x v="0"/>
    <d v="2024-11-10T21:43:00"/>
    <d v="2024-11-10T19:35:00"/>
    <d v="2024-11-10T22:33:00"/>
    <n v="174.28333333333333"/>
    <n v="48.95"/>
    <x v="1"/>
    <d v="2024-11-12T10:35:00"/>
    <d v="2024-11-12T17:14:00"/>
    <n v="390.68333333333334"/>
    <x v="0"/>
    <d v="2024-11-13T08:44:00"/>
    <d v="2024-11-13T09:40:00"/>
    <n v="54.833333333333336"/>
    <x v="0"/>
    <n v="2.4243055555562023"/>
    <x v="0"/>
    <n v="0.42430555555620231"/>
    <n v="58.183333333348855"/>
    <n v="24"/>
    <n v="34.183333333348855"/>
    <n v="4.5636274987790104"/>
    <x v="0"/>
  </r>
  <r>
    <x v="2"/>
    <x v="0"/>
    <d v="2024-11-10T22:06:26"/>
    <s v="OMB9CMURR"/>
    <x v="1"/>
    <s v="UBM 565R"/>
    <s v="BAZALE SAID"/>
    <s v="KATO INVESTMENTS LTD-KATIKARA"/>
    <n v="156"/>
    <s v="A18171"/>
    <x v="5"/>
    <x v="0"/>
    <x v="0"/>
    <x v="0"/>
    <x v="5"/>
    <x v="5"/>
    <n v="833"/>
    <n v="3"/>
    <x v="0"/>
    <d v="2024-11-10T21:35:00"/>
    <d v="2024-11-10T15:48:00"/>
    <d v="2024-11-10T22:21:00"/>
    <n v="384.8"/>
    <n v="45.033333333333331"/>
    <x v="1"/>
    <d v="2024-11-12T08:24:00"/>
    <d v="2024-11-12T12:46:00"/>
    <n v="256.53333333333336"/>
    <x v="0"/>
    <d v="2024-11-13T07:41:00"/>
    <d v="2024-11-13T08:11:00"/>
    <n v="29.366666666666667"/>
    <x v="0"/>
    <n v="2.3888888888905058"/>
    <x v="0"/>
    <n v="0.38888888889050577"/>
    <n v="57.333333333372138"/>
    <n v="24"/>
    <n v="33.333333333372138"/>
    <n v="4.6799999999945516"/>
    <x v="0"/>
  </r>
  <r>
    <x v="2"/>
    <x v="0"/>
    <d v="2024-11-11T00:00:00"/>
    <s v="OM02KM8H"/>
    <x v="0"/>
    <s v="UBK 866R"/>
    <m/>
    <s v="Kato Investment Ltd -Mityana"/>
    <n v="156"/>
    <s v="A18203"/>
    <x v="16"/>
    <x v="0"/>
    <x v="0"/>
    <x v="0"/>
    <x v="16"/>
    <x v="16"/>
    <m/>
    <n v="-690"/>
    <x v="0"/>
    <d v="2024-11-11T07:58:00"/>
    <d v="2024-11-11T07:30:00"/>
    <d v="2024-11-11T08:38:00"/>
    <n v="66.583333333333329"/>
    <n v="39.166666666666664"/>
    <x v="1"/>
    <d v="2024-11-12T10:38:00"/>
    <d v="2024-11-12T15:38:00"/>
    <n v="293.75"/>
    <x v="0"/>
    <d v="2024-11-13T11:08:43"/>
    <d v="2024-11-13T12:05:43"/>
    <n v="55.8"/>
    <x v="0"/>
    <n v="2.1046666666734382"/>
    <x v="0"/>
    <n v="0.10466666667343816"/>
    <n v="50.512000000162516"/>
    <n v="24"/>
    <n v="26.512000000162516"/>
    <n v="5.8841279420279022"/>
    <x v="0"/>
  </r>
  <r>
    <x v="2"/>
    <x v="0"/>
    <d v="2024-11-11T00:00:00"/>
    <s v="OM02KM8G"/>
    <x v="0"/>
    <s v="UBF 374L "/>
    <m/>
    <s v="Kato Investment Ltd -Mityana"/>
    <n v="156"/>
    <s v="A18202"/>
    <x v="16"/>
    <x v="0"/>
    <x v="0"/>
    <x v="0"/>
    <x v="16"/>
    <x v="16"/>
    <m/>
    <n v="-690"/>
    <x v="0"/>
    <d v="2024-11-11T07:42:00"/>
    <d v="2024-11-11T07:30:00"/>
    <d v="2024-11-11T08:38:00"/>
    <n v="66.583333333333329"/>
    <n v="54.833333333333336"/>
    <x v="7"/>
    <d v="2024-11-12T10:38:00"/>
    <d v="2024-11-12T15:39:00"/>
    <n v="294.71666666666664"/>
    <x v="0"/>
    <d v="2024-11-13T10:40:55"/>
    <d v="2024-11-13T11:41:55"/>
    <n v="59.716666666666669"/>
    <x v="0"/>
    <n v="2.0853611111087957"/>
    <x v="0"/>
    <n v="8.536111110879574E-2"/>
    <n v="50.048666666611098"/>
    <n v="32"/>
    <n v="18.048666666611098"/>
    <n v="8.643297750552966"/>
    <x v="0"/>
  </r>
  <r>
    <x v="2"/>
    <x v="0"/>
    <d v="2024-11-11T00:00:00"/>
    <s v="OM02KM8K"/>
    <x v="0"/>
    <s v="UBP 311H"/>
    <m/>
    <s v="Kato Investments Ltd- Kyegegwa"/>
    <n v="156"/>
    <s v="A18204"/>
    <x v="18"/>
    <x v="0"/>
    <x v="0"/>
    <x v="0"/>
    <x v="18"/>
    <x v="18"/>
    <m/>
    <n v="-565"/>
    <x v="0"/>
    <d v="2024-11-11T07:58:00"/>
    <d v="2024-11-11T07:30:00"/>
    <d v="2024-11-11T08:47:00"/>
    <n v="75.38333333333334"/>
    <n v="47.966666666666669"/>
    <x v="1"/>
    <d v="2024-11-12T10:17:00"/>
    <d v="2024-11-12T13:37:00"/>
    <n v="195.83333333333334"/>
    <x v="0"/>
    <d v="2024-11-12T20:07:00"/>
    <d v="2024-11-12T21:02:00"/>
    <n v="53.85"/>
    <x v="0"/>
    <n v="1.4722222222262644"/>
    <x v="0"/>
    <n v="-0.52777777777373558"/>
    <n v="35.333333333430346"/>
    <n v="12"/>
    <n v="23.333333333430346"/>
    <n v="6.6857142856864886"/>
    <x v="0"/>
  </r>
  <r>
    <x v="2"/>
    <x v="1"/>
    <d v="2024-11-11T21:51:10"/>
    <s v="OM0Z44ZRR"/>
    <x v="1"/>
    <s v="UBJ 375N"/>
    <s v="Stephen Musoke "/>
    <s v="KATO INVESTMENTS LIMITED-MASAK"/>
    <n v="153.60000000000002"/>
    <s v="F15281"/>
    <x v="14"/>
    <x v="1"/>
    <x v="0"/>
    <x v="1"/>
    <x v="14"/>
    <x v="14"/>
    <n v="298"/>
    <n v="-42"/>
    <x v="0"/>
    <d v="2024-11-12T14:19:00"/>
    <d v="2024-11-12T08:30:00"/>
    <d v="2024-11-12T15:01:00"/>
    <n v="382.85"/>
    <n v="41.116666666666667"/>
    <x v="1"/>
    <d v="2024-11-13T11:56:00"/>
    <d v="2024-11-13T21:39:00"/>
    <n v="570.85"/>
    <x v="0"/>
    <d v="2024-11-14T17:25:00"/>
    <d v="2024-11-14T18:11:00"/>
    <n v="45.033333333333331"/>
    <x v="0"/>
    <n v="2.0999999999985448"/>
    <x v="8"/>
    <n v="1.0999999999985448"/>
    <n v="50.399999999965075"/>
    <n v="24"/>
    <n v="26.399999999965075"/>
    <n v="5.8181818181895162"/>
    <x v="0"/>
  </r>
  <r>
    <x v="2"/>
    <x v="0"/>
    <d v="2024-11-11T21:54:24"/>
    <s v="OMDMGRWRR"/>
    <x v="1"/>
    <s v="UBJ 420C"/>
    <s v="ZIWA ABASI"/>
    <s v="Kato Investment Ltd -Mubende"/>
    <n v="156"/>
    <s v="A18195"/>
    <x v="1"/>
    <x v="0"/>
    <x v="0"/>
    <x v="0"/>
    <x v="1"/>
    <x v="1"/>
    <n v="708"/>
    <n v="28"/>
    <x v="0"/>
    <d v="2024-11-11T21:32:00"/>
    <d v="2024-11-11T22:00:00"/>
    <d v="2024-11-11T22:17:00"/>
    <n v="16.633333333333333"/>
    <n v="44.05"/>
    <x v="1"/>
    <d v="2024-11-13T09:03:00"/>
    <d v="2024-11-13T13:02:00"/>
    <n v="234.01666666666668"/>
    <x v="0"/>
    <d v="2024-11-13T08:48:00"/>
    <d v="2024-11-13T09:45:00"/>
    <n v="55.8"/>
    <x v="0"/>
    <n v="1.4381944444467081"/>
    <x v="1"/>
    <n v="-1.0618055555532919"/>
    <n v="34.516666666720994"/>
    <n v="12"/>
    <n v="22.516666666720994"/>
    <n v="6.928201332329694"/>
    <x v="0"/>
  </r>
  <r>
    <x v="2"/>
    <x v="0"/>
    <d v="2024-11-11T21:56:56"/>
    <s v="OMUYG1XRR"/>
    <x v="0"/>
    <s v="UBE 687K"/>
    <m/>
    <s v="Kato Investments Ltd- Kakumiro"/>
    <n v="156"/>
    <s v="A18196"/>
    <x v="24"/>
    <x v="0"/>
    <x v="0"/>
    <x v="0"/>
    <x v="24"/>
    <x v="22"/>
    <n v="764"/>
    <n v="-1"/>
    <x v="0"/>
    <d v="2024-11-12T10:24:56"/>
    <d v="2024-11-12T09:56:56"/>
    <d v="2024-11-12T11:24:56"/>
    <n v="86.15"/>
    <n v="58.733333333333334"/>
    <x v="11"/>
    <d v="2024-11-12T19:54:56"/>
    <d v="2024-11-13T14:39:34"/>
    <n v="1101.2"/>
    <x v="0"/>
    <d v="2024-11-14T08:10:46"/>
    <d v="2024-11-14T08:55:46"/>
    <n v="44.05"/>
    <x v="0"/>
    <n v="1.8651666666701203"/>
    <x v="3"/>
    <n v="0.36516666667012032"/>
    <n v="44.764000000082888"/>
    <n v="16"/>
    <n v="28.764000000082888"/>
    <n v="5.4234459741187058"/>
    <x v="0"/>
  </r>
  <r>
    <x v="2"/>
    <x v="1"/>
    <d v="2024-11-11T22:02:35"/>
    <s v="OM3XCOPRR"/>
    <x v="1"/>
    <s v="UBE 419T"/>
    <s v="Kilabila Ismail"/>
    <s v="Ntale and Sons"/>
    <n v="153.60000000000002"/>
    <s v="A18197"/>
    <x v="19"/>
    <x v="1"/>
    <x v="0"/>
    <x v="1"/>
    <x v="19"/>
    <x v="19"/>
    <n v="803"/>
    <n v="-7"/>
    <x v="0"/>
    <d v="2024-11-12T08:50:00"/>
    <d v="2024-11-12T16:40:00"/>
    <d v="2024-11-12T09:43:00"/>
    <n v="-408.31666666666666"/>
    <n v="51.883333333333333"/>
    <x v="0"/>
    <d v="2024-11-12T22:52:00"/>
    <d v="2024-11-13T15:46:00"/>
    <n v="992.86666666666667"/>
    <x v="0"/>
    <d v="2024-11-14T14:49:00"/>
    <d v="2024-11-14T15:31:00"/>
    <n v="41.116666666666667"/>
    <x v="0"/>
    <n v="2.2124999999941792"/>
    <x v="4"/>
    <n v="-0.78750000000582077"/>
    <n v="53.099999999860302"/>
    <n v="32"/>
    <n v="21.099999999860302"/>
    <n v="7.2796208531287663"/>
    <x v="0"/>
  </r>
  <r>
    <x v="2"/>
    <x v="0"/>
    <d v="2024-11-12T00:00:00"/>
    <s v="OM02KMKP"/>
    <x v="0"/>
    <s v="UBP 311H"/>
    <m/>
    <s v="Boniface Harera"/>
    <n v="156"/>
    <s v="F15286"/>
    <x v="10"/>
    <x v="0"/>
    <x v="0"/>
    <x v="0"/>
    <x v="10"/>
    <x v="10"/>
    <n v="474"/>
    <n v="4"/>
    <x v="0"/>
    <d v="2024-11-12T07:58:00"/>
    <d v="2024-11-12T07:30:00"/>
    <d v="2024-11-12T08:45:00"/>
    <n v="73.433333333333337"/>
    <n v="46.016666666666666"/>
    <x v="1"/>
    <d v="2024-11-13T08:45:00"/>
    <d v="2024-11-13T14:20:00"/>
    <n v="328.01666666666665"/>
    <x v="0"/>
    <d v="2024-11-14T13:08:00"/>
    <d v="2024-11-14T14:02:00"/>
    <n v="52.866666666666667"/>
    <x v="0"/>
    <n v="2.1826388888875954"/>
    <x v="1"/>
    <n v="-0.31736111111240461"/>
    <n v="52.383333333302289"/>
    <n v="24"/>
    <n v="28.383333333302289"/>
    <n v="5.4961832061128817"/>
    <x v="0"/>
  </r>
  <r>
    <x v="2"/>
    <x v="0"/>
    <d v="2024-11-12T13:12:54"/>
    <s v="OMCXIZERR"/>
    <x v="0"/>
    <s v="UBB 115P"/>
    <s v="Kakembo Masuud"/>
    <s v="Kato Investments Ltd- Kakumiro"/>
    <n v="156"/>
    <s v="A18221"/>
    <x v="24"/>
    <x v="0"/>
    <x v="0"/>
    <x v="0"/>
    <x v="24"/>
    <x v="22"/>
    <n v="764"/>
    <n v="-1"/>
    <x v="0"/>
    <d v="2024-11-13T01:02:54"/>
    <d v="2024-11-13T01:12:54"/>
    <d v="2024-11-13T02:20:54"/>
    <n v="66.583333333333329"/>
    <n v="76.36666666666666"/>
    <x v="6"/>
    <d v="2024-11-13T11:20:54"/>
    <d v="2024-11-13T16:22:54"/>
    <n v="295.7"/>
    <x v="0"/>
    <d v="2024-11-14T09:54:06"/>
    <d v="2024-11-14T10:34:06"/>
    <n v="39.166666666666664"/>
    <x v="0"/>
    <n v="1.3147222222251003"/>
    <x v="3"/>
    <n v="-0.18527777777489973"/>
    <n v="31.553333333402406"/>
    <n v="16"/>
    <n v="15.553333333402406"/>
    <n v="10.030004286282074"/>
    <x v="0"/>
  </r>
  <r>
    <x v="2"/>
    <x v="1"/>
    <d v="2024-11-12T13:19:41"/>
    <s v="OMZN9DVRR"/>
    <x v="1"/>
    <s v="UBA 523T"/>
    <s v="Kabene John"/>
    <s v="Ntale and Sons"/>
    <n v="153.60000000000002"/>
    <s v="A18222"/>
    <x v="19"/>
    <x v="1"/>
    <x v="0"/>
    <x v="1"/>
    <x v="19"/>
    <x v="19"/>
    <n v="795"/>
    <n v="-15"/>
    <x v="0"/>
    <d v="2024-11-13T14:43:00"/>
    <d v="2024-11-12T16:55:00"/>
    <d v="2024-11-13T15:26:00"/>
    <n v="1322.85"/>
    <n v="42.1"/>
    <x v="1"/>
    <d v="2024-11-14T14:23:00"/>
    <d v="2024-11-15T17:08:00"/>
    <n v="1571.55"/>
    <x v="0"/>
    <d v="2024-11-16T16:26:00"/>
    <d v="2024-11-16T17:02:00"/>
    <n v="35.25"/>
    <x v="0"/>
    <n v="3.0416666666642413"/>
    <x v="4"/>
    <n v="4.1666666664241347E-2"/>
    <n v="72.999999999941792"/>
    <n v="36"/>
    <n v="36.999999999941792"/>
    <n v="4.1513513513578824"/>
    <x v="0"/>
  </r>
  <r>
    <x v="2"/>
    <x v="1"/>
    <d v="2024-11-12T13:22:01"/>
    <s v="OMKCFKORR"/>
    <x v="0"/>
    <s v="UAR 731Q"/>
    <s v="Godwin Niwensiima"/>
    <s v="RUGOMA TRADERS CO. LTD NTUNGAM"/>
    <n v="153.60000000000002"/>
    <s v="F15282"/>
    <x v="15"/>
    <x v="1"/>
    <x v="0"/>
    <x v="1"/>
    <x v="15"/>
    <x v="15"/>
    <n v="131"/>
    <n v="1"/>
    <x v="0"/>
    <d v="2024-11-13T13:50:01"/>
    <d v="2024-11-13T01:22:01"/>
    <d v="2024-11-13T14:30:01"/>
    <n v="771.58333333333337"/>
    <n v="39.166666666666664"/>
    <x v="1"/>
    <d v="2024-11-13T16:45:01"/>
    <d v="2024-11-13T21:45:01"/>
    <n v="293.75"/>
    <x v="0"/>
    <d v="2024-11-14T08:33:01"/>
    <d v="2024-11-14T09:33:01"/>
    <n v="58.733333333333334"/>
    <x v="0"/>
    <n v="0.75208333333284827"/>
    <x v="8"/>
    <n v="-0.24791666666715173"/>
    <n v="18.049999999988358"/>
    <n v="0"/>
    <n v="18.049999999988358"/>
    <n v="8.5096952908642152"/>
    <x v="0"/>
  </r>
  <r>
    <x v="2"/>
    <x v="0"/>
    <d v="2024-11-12T14:09:24"/>
    <s v="OMT95NURR"/>
    <x v="1"/>
    <s v="UBE 680K"/>
    <s v="BYEKWASO TWAHA"/>
    <s v="Kato Investment Ltd -Mityana"/>
    <n v="156"/>
    <s v="A18224"/>
    <x v="16"/>
    <x v="0"/>
    <x v="0"/>
    <x v="0"/>
    <x v="16"/>
    <x v="16"/>
    <n v="611"/>
    <n v="-79"/>
    <x v="0"/>
    <d v="2024-11-12T13:56:00"/>
    <d v="2024-11-12T19:35:00"/>
    <d v="2024-11-12T14:46:00"/>
    <n v="-282.98333333333335"/>
    <n v="48.95"/>
    <x v="1"/>
    <d v="2024-11-13T14:09:00"/>
    <d v="2024-11-13T20:28:00"/>
    <n v="371.1"/>
    <x v="0"/>
    <d v="2024-11-14T10:15:00"/>
    <d v="2024-11-14T10:51:00"/>
    <n v="35.25"/>
    <x v="0"/>
    <n v="1.8118055555605679"/>
    <x v="0"/>
    <n v="-0.18819444443943212"/>
    <n v="43.483333333453629"/>
    <n v="12"/>
    <n v="31.483333333453629"/>
    <n v="4.955002646884191"/>
    <x v="0"/>
  </r>
  <r>
    <x v="2"/>
    <x v="0"/>
    <d v="2024-11-12T14:11:57"/>
    <s v="OMD5PTHRR"/>
    <x v="1"/>
    <s v="UBE 690K"/>
    <s v="MUKOSE MUZAMIRU"/>
    <s v="Kato Investment Ltd -Kagadi"/>
    <n v="156"/>
    <s v="A18225"/>
    <x v="12"/>
    <x v="0"/>
    <x v="0"/>
    <x v="0"/>
    <x v="12"/>
    <x v="12"/>
    <n v="589"/>
    <n v="-23"/>
    <x v="0"/>
    <d v="2024-11-12T13:49:00"/>
    <d v="2024-11-12T17:46:00"/>
    <d v="2024-11-12T14:34:00"/>
    <n v="-188"/>
    <n v="44.05"/>
    <x v="1"/>
    <d v="2024-11-13T12:03:00"/>
    <d v="2024-11-13T17:10:00"/>
    <n v="300.60000000000002"/>
    <x v="0"/>
    <d v="2024-11-14T12:17:00"/>
    <d v="2024-11-14T12:58:00"/>
    <n v="40.133333333333333"/>
    <x v="0"/>
    <n v="1.9048611111138598"/>
    <x v="6"/>
    <n v="-0.39513888888614002"/>
    <n v="45.716666666732635"/>
    <n v="12"/>
    <n v="33.716666666732635"/>
    <n v="4.6267918932188268"/>
    <x v="0"/>
  </r>
  <r>
    <x v="2"/>
    <x v="0"/>
    <d v="2024-11-12T14:30:19"/>
    <s v="OM7GMZZRR"/>
    <x v="1"/>
    <s v="UBJ 417C"/>
    <s v="FARUK   ABEL"/>
    <s v="Kato Investments Ltd- Kyegegwa"/>
    <n v="156"/>
    <s v="A18229"/>
    <x v="18"/>
    <x v="0"/>
    <x v="0"/>
    <x v="0"/>
    <x v="18"/>
    <x v="18"/>
    <n v="581"/>
    <n v="16"/>
    <x v="0"/>
    <d v="2024-11-12T14:40:00"/>
    <d v="2024-11-12T20:24:00"/>
    <d v="2024-11-12T15:23:00"/>
    <n v="-294.73333333333335"/>
    <n v="42.1"/>
    <x v="1"/>
    <d v="2024-11-13T12:38:00"/>
    <d v="2024-11-13T17:41:00"/>
    <n v="296.68333333333334"/>
    <x v="0"/>
    <d v="2024-11-14T20:02:00"/>
    <d v="2024-11-14T20:37:00"/>
    <n v="34.266666666666666"/>
    <x v="0"/>
    <n v="2.1937499999985448"/>
    <x v="0"/>
    <n v="0.19374999999854481"/>
    <n v="52.649999999965075"/>
    <n v="24"/>
    <n v="28.649999999965075"/>
    <n v="5.445026178017109"/>
    <x v="0"/>
  </r>
  <r>
    <x v="2"/>
    <x v="0"/>
    <d v="2024-11-12T18:29:12"/>
    <s v="OMJRWEQRR"/>
    <x v="0"/>
    <s v="UBF 375L"/>
    <m/>
    <s v="Ntale and Sons Ltd-Kakiri"/>
    <n v="156"/>
    <s v="A18231"/>
    <x v="22"/>
    <x v="0"/>
    <x v="0"/>
    <x v="0"/>
    <x v="22"/>
    <x v="21"/>
    <m/>
    <n v="-620"/>
    <x v="0"/>
    <d v="2024-11-13T07:58:12"/>
    <d v="2024-11-13T07:30:12"/>
    <d v="2024-11-13T08:42:12"/>
    <n v="70.483333333333334"/>
    <n v="43.06666666666667"/>
    <x v="1"/>
    <d v="2024-11-13T21:12:12"/>
    <d v="2024-11-14T16:25:38"/>
    <n v="1129.4000000000001"/>
    <x v="0"/>
    <d v="2024-11-15T15:13:38"/>
    <d v="2024-11-15T16:01:38"/>
    <n v="46.983333333333334"/>
    <x v="0"/>
    <n v="2.2718333333323244"/>
    <x v="0"/>
    <n v="0.2718333333323244"/>
    <n v="54.523999999975786"/>
    <n v="24"/>
    <n v="30.523999999975786"/>
    <n v="5.1107325383345481"/>
    <x v="0"/>
  </r>
  <r>
    <x v="2"/>
    <x v="0"/>
    <d v="2024-11-12T18:34:32"/>
    <s v="OM0J4HQRR"/>
    <x v="1"/>
    <s v="UBK 858R"/>
    <s v="ALIPA EREKU"/>
    <s v="Ntale and Sons Ltd-Kakiri"/>
    <n v="156"/>
    <s v="A18232"/>
    <x v="22"/>
    <x v="0"/>
    <x v="0"/>
    <x v="0"/>
    <x v="22"/>
    <x v="21"/>
    <n v="605"/>
    <n v="-15"/>
    <x v="0"/>
    <d v="2024-11-12T18:00:00"/>
    <d v="2024-11-13T01:59:00"/>
    <d v="2024-11-12T18:50:00"/>
    <n v="-420.06666666666666"/>
    <n v="48.95"/>
    <x v="8"/>
    <d v="2024-11-14T06:32:00"/>
    <d v="2024-11-14T21:24:00"/>
    <n v="873.41666666666663"/>
    <x v="0"/>
    <d v="2024-11-19T19:32:00"/>
    <d v="2024-11-19T20:03:00"/>
    <n v="30.35"/>
    <x v="0"/>
    <n v="7.0291666666671517"/>
    <x v="0"/>
    <n v="5.0291666666671517"/>
    <n v="168.70000000001164"/>
    <n v="112"/>
    <n v="56.700000000011642"/>
    <n v="2.7513227513221863"/>
    <x v="2"/>
  </r>
  <r>
    <x v="2"/>
    <x v="0"/>
    <d v="2024-11-12T21:16:05"/>
    <s v="OM9SOQWRR"/>
    <x v="1"/>
    <s v="UBJ 421 C"/>
    <s v="Tumwine Jimmy"/>
    <s v="Kato Investment Ltd -Mityana"/>
    <n v="156"/>
    <s v="A18237"/>
    <x v="16"/>
    <x v="0"/>
    <x v="0"/>
    <x v="0"/>
    <x v="16"/>
    <x v="16"/>
    <n v="699"/>
    <n v="9"/>
    <x v="0"/>
    <d v="2024-11-12T20:50:00"/>
    <d v="2024-11-12T21:30:00"/>
    <d v="2024-11-12T21:34:00"/>
    <n v="3.9"/>
    <n v="43.06666666666667"/>
    <x v="1"/>
    <d v="2024-11-14T08:36:00"/>
    <d v="2024-11-14T13:39:00"/>
    <n v="296.68333333333334"/>
    <x v="0"/>
    <d v="2024-11-18T22:34:00"/>
    <d v="2024-11-18T23:30:00"/>
    <n v="54.81666666666667"/>
    <x v="0"/>
    <n v="6.0416666666715173"/>
    <x v="0"/>
    <n v="4.0416666666715173"/>
    <n v="145.00000000011642"/>
    <n v="72"/>
    <n v="73.000000000116415"/>
    <n v="2.1369863013664552"/>
    <x v="2"/>
  </r>
  <r>
    <x v="2"/>
    <x v="0"/>
    <d v="2024-11-12T21:34:47"/>
    <s v="OMCWKVKRR"/>
    <x v="0"/>
    <s v="UBJ 419C"/>
    <m/>
    <s v="Kato Investment Ltd -Mityana"/>
    <n v="156"/>
    <s v="A18242"/>
    <x v="16"/>
    <x v="0"/>
    <x v="0"/>
    <x v="0"/>
    <x v="16"/>
    <x v="16"/>
    <n v="678"/>
    <n v="-12"/>
    <x v="0"/>
    <d v="2024-11-13T09:24:47"/>
    <d v="2024-11-13T09:34:47"/>
    <d v="2024-11-13T10:42:47"/>
    <n v="66.583333333333329"/>
    <n v="76.36666666666666"/>
    <x v="6"/>
    <d v="2024-11-14T12:42:47"/>
    <d v="2024-11-14T17:42:47"/>
    <n v="293.75"/>
    <x v="0"/>
    <d v="2024-11-15T12:59:06"/>
    <d v="2024-11-15T13:50:06"/>
    <n v="49.93333333333333"/>
    <x v="0"/>
    <n v="2.0946666666714009"/>
    <x v="0"/>
    <n v="9.466666667140089E-2"/>
    <n v="50.272000000113621"/>
    <n v="32"/>
    <n v="18.272000000113621"/>
    <n v="8.5376532398768568"/>
    <x v="0"/>
  </r>
  <r>
    <x v="2"/>
    <x v="1"/>
    <d v="2024-11-13T13:56:10"/>
    <s v="OMKJJC7RR"/>
    <x v="1"/>
    <s v="UAY 265V"/>
    <s v="Luyaga Isaac"/>
    <s v="Ntale and Sons"/>
    <n v="153.60000000000002"/>
    <s v="A18275"/>
    <x v="19"/>
    <x v="1"/>
    <x v="0"/>
    <x v="1"/>
    <x v="19"/>
    <x v="19"/>
    <n v="834"/>
    <n v="24"/>
    <x v="0"/>
    <d v="2024-11-13T13:40:00"/>
    <d v="2024-11-13T16:40:00"/>
    <d v="2024-11-13T14:22:00"/>
    <n v="-135.13333333333333"/>
    <n v="41.116666666666667"/>
    <x v="1"/>
    <d v="2024-11-15T09:25:00"/>
    <d v="2024-11-15T13:36:00"/>
    <n v="245.76666666666668"/>
    <x v="0"/>
    <d v="2024-11-17T08:43:00"/>
    <d v="2024-11-17T09:27:00"/>
    <n v="43.083333333333336"/>
    <x v="0"/>
    <n v="3.7645833333299379"/>
    <x v="4"/>
    <n v="0.76458333332993789"/>
    <n v="90.349999999918509"/>
    <n v="36"/>
    <n v="54.349999999918509"/>
    <n v="2.8261269549260408"/>
    <x v="8"/>
  </r>
  <r>
    <x v="2"/>
    <x v="1"/>
    <d v="2024-11-13T14:02:10"/>
    <s v="OM2NJ37RR"/>
    <x v="1"/>
    <s v="UBJ 988D"/>
    <s v="Tumusiime Robert"/>
    <s v="KATO INVESTMENTS LIMITED-MASAK"/>
    <n v="153.60000000000002"/>
    <s v="F15287"/>
    <x v="14"/>
    <x v="1"/>
    <x v="0"/>
    <x v="1"/>
    <x v="14"/>
    <x v="14"/>
    <n v="260"/>
    <n v="-80"/>
    <x v="0"/>
    <d v="2024-11-14T06:09:00"/>
    <d v="2024-11-14T04:14:00"/>
    <d v="2024-11-14T06:54:00"/>
    <n v="156.65"/>
    <n v="44.05"/>
    <x v="1"/>
    <d v="2024-11-14T09:33:00"/>
    <d v="2024-11-14T13:24:00"/>
    <n v="226.18333333333334"/>
    <x v="0"/>
    <d v="2024-11-15T16:41:00"/>
    <d v="2024-11-15T17:21:00"/>
    <n v="39.15"/>
    <x v="0"/>
    <n v="1.4076388888934162"/>
    <x v="8"/>
    <n v="0.40763888889341615"/>
    <n v="33.783333333441988"/>
    <n v="12"/>
    <n v="21.783333333441988"/>
    <n v="7.0512624330176221"/>
    <x v="0"/>
  </r>
  <r>
    <x v="2"/>
    <x v="1"/>
    <d v="2024-11-13T14:07:45"/>
    <s v="OM3Z9HBRR"/>
    <x v="0"/>
    <s v="UAT 351G"/>
    <s v="Hamudi Sesanga"/>
    <s v="Kabaco U Ltd-Mbarara"/>
    <n v="153.60000000000002"/>
    <s v="Z81015"/>
    <x v="8"/>
    <x v="1"/>
    <x v="0"/>
    <x v="1"/>
    <x v="8"/>
    <x v="8"/>
    <n v="11"/>
    <n v="0"/>
    <x v="0"/>
    <d v="2024-11-14T14:35:45"/>
    <d v="2024-11-14T02:07:45"/>
    <d v="2024-11-14T15:19:45"/>
    <n v="775.48333333333335"/>
    <n v="43.06666666666667"/>
    <x v="1"/>
    <d v="2024-11-14T15:50:45"/>
    <d v="2024-11-14T19:46:45"/>
    <n v="231.08333333333334"/>
    <x v="0"/>
    <d v="2024-11-14T20:14:45"/>
    <d v="2024-11-14T20:44:45"/>
    <n v="29.366666666666667"/>
    <x v="0"/>
    <n v="0.20486111110949423"/>
    <x v="5"/>
    <n v="-0.59513888889050581"/>
    <n v="4.9166666666278616"/>
    <n v="0"/>
    <n v="4.9166666666278616"/>
    <n v="31.240677966348269"/>
    <x v="0"/>
  </r>
  <r>
    <x v="2"/>
    <x v="0"/>
    <d v="2024-11-14T00:00:00"/>
    <s v="OM02KNAC"/>
    <x v="0"/>
    <s v="UBP 311H"/>
    <s v="Ekwalikwa Yusuf"/>
    <s v="Sawan Distributors Ltd-Kayabwe"/>
    <n v="156"/>
    <s v="A18317"/>
    <x v="9"/>
    <x v="0"/>
    <x v="0"/>
    <x v="0"/>
    <x v="9"/>
    <x v="9"/>
    <n v="400"/>
    <n v="0"/>
    <x v="0"/>
    <d v="2024-11-14T07:58:00"/>
    <d v="2024-11-14T07:30:00"/>
    <d v="2024-11-14T08:58:00"/>
    <n v="86.15"/>
    <n v="58.733333333333334"/>
    <x v="5"/>
    <d v="2024-11-14T17:58:00"/>
    <d v="2024-11-15T17:33:31"/>
    <n v="1386.0166666666667"/>
    <x v="0"/>
    <d v="2024-11-16T15:09:31"/>
    <d v="2024-11-16T16:06:31"/>
    <n v="55.8"/>
    <x v="0"/>
    <n v="2.2580000000016298"/>
    <x v="0"/>
    <n v="0.25800000000162981"/>
    <n v="54.192000000039116"/>
    <n v="32"/>
    <n v="22.192000000039116"/>
    <n v="7.029560201862159"/>
    <x v="0"/>
  </r>
  <r>
    <x v="2"/>
    <x v="0"/>
    <d v="2024-11-14T00:00:00"/>
    <s v="OM02KNEB"/>
    <x v="0"/>
    <s v="UBK 866R"/>
    <m/>
    <s v="KATO INVESTMENTS LTD-KATIKARA"/>
    <n v="156"/>
    <s v="A18329"/>
    <x v="5"/>
    <x v="0"/>
    <x v="0"/>
    <x v="0"/>
    <x v="5"/>
    <x v="5"/>
    <n v="825"/>
    <n v="-5"/>
    <x v="0"/>
    <d v="2024-11-14T07:58:00"/>
    <d v="2024-11-14T07:30:00"/>
    <d v="2024-11-14T08:47:00"/>
    <n v="75.38333333333334"/>
    <n v="47.966666666666669"/>
    <x v="8"/>
    <d v="2024-11-15T11:02:00"/>
    <d v="2024-11-16T11:01:51"/>
    <n v="1409.85"/>
    <x v="0"/>
    <d v="2024-11-17T15:49:51"/>
    <d v="2024-11-17T16:49:51"/>
    <n v="58.733333333333334"/>
    <x v="0"/>
    <n v="3.2936499999996158"/>
    <x v="0"/>
    <n v="1.2936499999996158"/>
    <n v="79.04759999999078"/>
    <n v="48"/>
    <n v="31.04759999999078"/>
    <n v="5.0245429598437985"/>
    <x v="1"/>
  </r>
  <r>
    <x v="2"/>
    <x v="0"/>
    <d v="2024-11-14T00:00:00"/>
    <s v="OM02KNE8"/>
    <x v="0"/>
    <s v="UBF 375L"/>
    <m/>
    <s v="KATO INVESTMENTS LTD-KATIKARA"/>
    <n v="156"/>
    <s v="A18328"/>
    <x v="5"/>
    <x v="0"/>
    <x v="0"/>
    <x v="0"/>
    <x v="5"/>
    <x v="5"/>
    <n v="796"/>
    <n v="-34"/>
    <x v="0"/>
    <d v="2024-11-14T07:58:00"/>
    <d v="2024-11-14T07:30:00"/>
    <d v="2024-11-14T09:02:00"/>
    <n v="90.066666666666663"/>
    <n v="62.65"/>
    <x v="6"/>
    <d v="2024-11-15T10:17:00"/>
    <d v="2024-11-16T12:41:00"/>
    <n v="1550.9833333333333"/>
    <x v="0"/>
    <d v="2024-11-17T17:29:00"/>
    <d v="2024-11-17T18:14:00"/>
    <n v="44.05"/>
    <x v="0"/>
    <n v="3.3520833333313931"/>
    <x v="0"/>
    <n v="1.3520833333313931"/>
    <n v="80.449999999953434"/>
    <n v="48"/>
    <n v="32.449999999953434"/>
    <n v="4.8073959938435706"/>
    <x v="5"/>
  </r>
  <r>
    <x v="2"/>
    <x v="0"/>
    <d v="2024-11-14T00:00:00"/>
    <s v="OM02KNA2"/>
    <x v="0"/>
    <s v="UBE 681K"/>
    <s v="KYAPA AKIMU"/>
    <s v="Kobusinge Steven-FPortal"/>
    <n v="156"/>
    <s v="Z81031"/>
    <x v="11"/>
    <x v="0"/>
    <x v="0"/>
    <x v="0"/>
    <x v="11"/>
    <x v="11"/>
    <n v="370"/>
    <n v="-20"/>
    <x v="0"/>
    <d v="2024-11-14T07:58:00"/>
    <d v="2024-11-14T07:30:00"/>
    <d v="2024-11-14T08:38:00"/>
    <n v="66.583333333333329"/>
    <n v="39.166666666666664"/>
    <x v="1"/>
    <d v="2024-11-15T07:08:00"/>
    <d v="2024-11-15T15:37:00"/>
    <n v="498.38333333333333"/>
    <x v="0"/>
    <d v="2024-11-16T10:15:12"/>
    <d v="2024-11-16T10:59:12"/>
    <n v="43.06666666666667"/>
    <x v="0"/>
    <n v="2.0674999999973807"/>
    <x v="0"/>
    <n v="6.7499999997380655E-2"/>
    <n v="49.619999999937136"/>
    <n v="24"/>
    <n v="25.619999999937136"/>
    <n v="6.0889929742538165"/>
    <x v="0"/>
  </r>
  <r>
    <x v="2"/>
    <x v="0"/>
    <d v="2024-11-14T00:00:00"/>
    <s v="OM02KNAK"/>
    <x v="0"/>
    <s v="UBF 382L"/>
    <m/>
    <s v="Ntale and Sons Ltd-Kakiri"/>
    <n v="156"/>
    <s v="A18318"/>
    <x v="22"/>
    <x v="0"/>
    <x v="0"/>
    <x v="0"/>
    <x v="22"/>
    <x v="21"/>
    <n v="631"/>
    <n v="11"/>
    <x v="0"/>
    <d v="2024-11-14T07:58:00"/>
    <d v="2024-11-14T07:30:00"/>
    <d v="2024-11-14T08:46:00"/>
    <n v="74.400000000000006"/>
    <n v="46.983333333333334"/>
    <x v="1"/>
    <d v="2024-11-15T06:16:00"/>
    <d v="2024-11-15T09:53:00"/>
    <n v="212.46666666666667"/>
    <x v="0"/>
    <d v="2024-11-16T08:41:00"/>
    <d v="2024-11-16T09:42:00"/>
    <n v="59.716666666666669"/>
    <x v="0"/>
    <n v="1.9965277777737356"/>
    <x v="0"/>
    <n v="-3.4722222262644209E-3"/>
    <n v="47.916666666569654"/>
    <n v="12"/>
    <n v="35.916666666569654"/>
    <n v="4.3433874710094118"/>
    <x v="0"/>
  </r>
  <r>
    <x v="2"/>
    <x v="0"/>
    <d v="2024-11-14T00:00:00"/>
    <s v="OM02KNE6"/>
    <x v="0"/>
    <s v="UBP 311H"/>
    <m/>
    <s v="KATO INVESTMENTS LTD-KATIKARA"/>
    <n v="156"/>
    <s v="A18326"/>
    <x v="5"/>
    <x v="0"/>
    <x v="0"/>
    <x v="0"/>
    <x v="5"/>
    <x v="5"/>
    <n v="796"/>
    <n v="-34"/>
    <x v="0"/>
    <d v="2024-11-14T07:58:00"/>
    <d v="2024-11-14T07:30:00"/>
    <d v="2024-11-14T08:38:00"/>
    <n v="66.583333333333329"/>
    <n v="39.166666666666664"/>
    <x v="1"/>
    <d v="2024-11-15T09:53:00"/>
    <d v="2024-11-15T14:59:00"/>
    <n v="299.61666666666667"/>
    <x v="0"/>
    <d v="2024-11-16T19:47:00"/>
    <d v="2024-11-16T20:42:00"/>
    <n v="53.85"/>
    <x v="0"/>
    <n v="2.4645833333343035"/>
    <x v="0"/>
    <n v="0.46458333333430346"/>
    <n v="59.150000000023283"/>
    <n v="24"/>
    <n v="35.150000000023283"/>
    <n v="4.4381223328562349"/>
    <x v="0"/>
  </r>
  <r>
    <x v="2"/>
    <x v="0"/>
    <d v="2024-11-14T12:51:10"/>
    <s v="OMPT0A0RR"/>
    <x v="0"/>
    <s v="UBM 648D"/>
    <s v="Nakalya John"/>
    <s v="Boniface Harera"/>
    <n v="156"/>
    <s v="F15292"/>
    <x v="10"/>
    <x v="0"/>
    <x v="0"/>
    <x v="0"/>
    <x v="10"/>
    <x v="10"/>
    <n v="465"/>
    <n v="-5"/>
    <x v="0"/>
    <d v="2024-11-15T01:03:10"/>
    <d v="2024-11-15T00:51:10"/>
    <d v="2024-11-15T01:59:10"/>
    <n v="66.583333333333329"/>
    <n v="54.833333333333336"/>
    <x v="2"/>
    <d v="2024-11-16T03:29:10"/>
    <d v="2024-11-16T17:31:34"/>
    <n v="824.83333333333337"/>
    <x v="0"/>
    <d v="2024-11-16T20:16:34"/>
    <d v="2024-11-16T21:13:34"/>
    <n v="55.8"/>
    <x v="0"/>
    <n v="1.7620833333348855"/>
    <x v="1"/>
    <n v="-0.73791666666511446"/>
    <n v="42.290000000037253"/>
    <n v="16"/>
    <n v="26.290000000037253"/>
    <n v="5.9338151388276508"/>
    <x v="0"/>
  </r>
  <r>
    <x v="2"/>
    <x v="0"/>
    <d v="2024-11-14T13:00:40"/>
    <s v="OMV35GNRR"/>
    <x v="0"/>
    <s v="UBB 115P"/>
    <s v="Kakembo Masuud"/>
    <s v="Kobusinge Acaali- Kyenjojo"/>
    <n v="156"/>
    <s v="Z81028"/>
    <x v="3"/>
    <x v="0"/>
    <x v="0"/>
    <x v="0"/>
    <x v="3"/>
    <x v="3"/>
    <n v="490"/>
    <n v="10"/>
    <x v="0"/>
    <d v="2024-11-15T01:28:40"/>
    <d v="2024-11-15T01:00:40"/>
    <d v="2024-11-15T02:28:40"/>
    <n v="86.15"/>
    <n v="58.733333333333334"/>
    <x v="11"/>
    <d v="2024-11-16T08:28:40"/>
    <d v="2024-11-17T15:27:42"/>
    <n v="1820.3"/>
    <x v="0"/>
    <d v="2024-11-18T17:37:18"/>
    <d v="2024-11-18T18:34:18"/>
    <n v="55.8"/>
    <x v="0"/>
    <n v="3.6309999999939464"/>
    <x v="1"/>
    <n v="1.1309999999939464"/>
    <n v="87.143999999854714"/>
    <n v="48"/>
    <n v="39.143999999854714"/>
    <n v="3.9852851011797212"/>
    <x v="9"/>
  </r>
  <r>
    <x v="2"/>
    <x v="0"/>
    <d v="2024-11-14T13:05:47"/>
    <s v="OMA88FCRR"/>
    <x v="1"/>
    <s v="UBE 690K"/>
    <s v="MUKOSE MUZAMIRU"/>
    <s v="Kobusinge Steven-FPortal"/>
    <n v="156"/>
    <s v="Z81029"/>
    <x v="11"/>
    <x v="0"/>
    <x v="0"/>
    <x v="0"/>
    <x v="11"/>
    <x v="11"/>
    <n v="380"/>
    <n v="-10"/>
    <x v="0"/>
    <d v="2024-11-14T13:01:00"/>
    <d v="2024-11-14T20:25:00"/>
    <d v="2024-11-14T13:46:00"/>
    <n v="-390.7"/>
    <n v="44.05"/>
    <x v="1"/>
    <d v="2024-11-14T22:38:00"/>
    <d v="2024-11-16T11:05:00"/>
    <n v="2141.4333333333334"/>
    <x v="0"/>
    <d v="2024-11-16T17:03:00"/>
    <d v="2024-11-16T17:53:00"/>
    <n v="48.95"/>
    <x v="0"/>
    <n v="2.1368055555576575"/>
    <x v="0"/>
    <n v="0.1368055555576575"/>
    <n v="51.28333333338378"/>
    <n v="24"/>
    <n v="27.28333333338378"/>
    <n v="5.7177764202704298"/>
    <x v="0"/>
  </r>
  <r>
    <x v="2"/>
    <x v="1"/>
    <d v="2024-11-14T13:08:41"/>
    <s v="OMQZQ92RR"/>
    <x v="1"/>
    <s v="UBJ 988D"/>
    <s v="Tumusiime Robert"/>
    <s v="KATO INVESTMENTS LTD- KALISIZO"/>
    <n v="153.60000000000002"/>
    <s v="F15294"/>
    <x v="4"/>
    <x v="1"/>
    <x v="0"/>
    <x v="1"/>
    <x v="4"/>
    <x v="4"/>
    <n v="344"/>
    <n v="-6"/>
    <x v="0"/>
    <d v="2024-11-15T18:57:00"/>
    <d v="2024-11-15T03:43:00"/>
    <d v="2024-11-15T19:46:00"/>
    <n v="942.93333333333328"/>
    <n v="47.966666666666669"/>
    <x v="1"/>
    <d v="2024-11-16T11:58:00"/>
    <d v="2024-11-16T17:27:00"/>
    <n v="322.13333333333333"/>
    <x v="0"/>
    <d v="2024-11-17T14:14:00"/>
    <d v="2024-11-17T14:59:00"/>
    <n v="44.05"/>
    <x v="0"/>
    <n v="1.7694444444423425"/>
    <x v="2"/>
    <n v="6.9444444442342546E-2"/>
    <n v="42.46666666661622"/>
    <n v="12"/>
    <n v="30.46666666661622"/>
    <n v="5.0415754923497049"/>
    <x v="0"/>
  </r>
  <r>
    <x v="2"/>
    <x v="0"/>
    <d v="2024-11-14T13:09:46"/>
    <s v="OMBUJL0RR"/>
    <x v="1"/>
    <s v="UBP 301H"/>
    <s v="NAMINYA SIRAJE"/>
    <s v="KATO INVESTMENTS LTD-KATIKARA"/>
    <n v="153.84"/>
    <s v="A18311"/>
    <x v="5"/>
    <x v="0"/>
    <x v="0"/>
    <x v="0"/>
    <x v="5"/>
    <x v="5"/>
    <n v="812"/>
    <n v="-18"/>
    <x v="0"/>
    <d v="2024-11-14T18:27:00"/>
    <d v="2024-11-14T15:48:00"/>
    <d v="2024-11-14T19:14:00"/>
    <n v="201.7"/>
    <n v="46.016666666666666"/>
    <x v="8"/>
    <d v="2024-11-15T15:02:00"/>
    <d v="2024-11-15T19:04:00"/>
    <n v="236.95"/>
    <x v="0"/>
    <d v="2024-11-16T21:01:00"/>
    <d v="2024-11-16T21:57:00"/>
    <n v="54.81666666666667"/>
    <x v="0"/>
    <n v="2.0743055555576575"/>
    <x v="0"/>
    <n v="7.4305555557657499E-2"/>
    <n v="49.78333333338378"/>
    <n v="32"/>
    <n v="17.78333333338378"/>
    <n v="8.6507966260298179"/>
    <x v="0"/>
  </r>
  <r>
    <x v="2"/>
    <x v="0"/>
    <d v="2024-11-14T13:12:15"/>
    <s v="OML8RE2RR"/>
    <x v="0"/>
    <s v="UBE 687K"/>
    <m/>
    <s v="Ntale and Sons Ltd-Kakiri"/>
    <n v="156"/>
    <s v="A18313"/>
    <x v="22"/>
    <x v="0"/>
    <x v="0"/>
    <x v="0"/>
    <x v="22"/>
    <x v="21"/>
    <n v="631"/>
    <n v="11"/>
    <x v="0"/>
    <d v="2024-11-14T13:40:15"/>
    <d v="2024-11-14T13:12:15"/>
    <d v="2024-11-14T14:24:15"/>
    <n v="70.5"/>
    <n v="43.083333333333336"/>
    <x v="1"/>
    <d v="2024-11-15T09:54:15"/>
    <d v="2024-11-15T14:31:15"/>
    <n v="271.21666666666664"/>
    <x v="0"/>
    <d v="2024-11-16T10:19:15"/>
    <d v="2024-11-16T11:19:15"/>
    <n v="58.733333333333334"/>
    <x v="0"/>
    <n v="1.8298611111094942"/>
    <x v="0"/>
    <n v="-0.17013888889050577"/>
    <n v="43.916666666627862"/>
    <n v="12"/>
    <n v="31.916666666627862"/>
    <n v="4.8877284595359685"/>
    <x v="0"/>
  </r>
  <r>
    <x v="2"/>
    <x v="0"/>
    <d v="2024-11-14T13:20:14"/>
    <s v="OMTUAD7RR"/>
    <x v="1"/>
    <s v="UBJ 420C"/>
    <s v="ZIWA ABASI"/>
    <s v="Sawan Distributors Ltd-Kayabwe"/>
    <n v="156"/>
    <s v="A18315"/>
    <x v="9"/>
    <x v="0"/>
    <x v="0"/>
    <x v="0"/>
    <x v="9"/>
    <x v="9"/>
    <n v="397"/>
    <n v="-3"/>
    <x v="0"/>
    <d v="2024-11-14T13:29:00"/>
    <d v="2024-11-15T04:19:00"/>
    <d v="2024-11-14T14:15:00"/>
    <n v="-826.41666666666663"/>
    <n v="45.033333333333331"/>
    <x v="1"/>
    <d v="2024-11-14T21:59:00"/>
    <d v="2024-11-15T16:29:00"/>
    <n v="1086.8666666666666"/>
    <x v="0"/>
    <d v="2024-11-15T21:50:00"/>
    <d v="2024-11-15T22:47:00"/>
    <n v="55.8"/>
    <x v="0"/>
    <n v="1.3159722222189885"/>
    <x v="0"/>
    <n v="-0.68402777778101154"/>
    <n v="31.583333333255723"/>
    <n v="12"/>
    <n v="19.583333333255723"/>
    <n v="7.96595744684008"/>
    <x v="0"/>
  </r>
  <r>
    <x v="2"/>
    <x v="1"/>
    <d v="2024-11-14T13:24:32"/>
    <s v="OMPRBJNRR"/>
    <x v="1"/>
    <s v="UBE 419T"/>
    <s v="Kilabila Ismail"/>
    <s v="Kabaco U Ltd-Mbarara"/>
    <n v="153.60000000000002"/>
    <s v="Z81030"/>
    <x v="8"/>
    <x v="1"/>
    <x v="0"/>
    <x v="1"/>
    <x v="8"/>
    <x v="8"/>
    <n v="13"/>
    <n v="2"/>
    <x v="0"/>
    <d v="2024-11-14T15:45:00"/>
    <d v="2024-11-14T13:00:00"/>
    <d v="2024-11-14T16:35:00"/>
    <n v="210.51666666666668"/>
    <n v="48.95"/>
    <x v="1"/>
    <d v="2024-11-14T17:10:00"/>
    <d v="2024-11-15T11:44:00"/>
    <n v="1090.7833333333333"/>
    <x v="0"/>
    <d v="2024-11-15T12:32:00"/>
    <d v="2024-11-15T13:18:00"/>
    <n v="45.033333333333331"/>
    <x v="0"/>
    <n v="0.83125000000291038"/>
    <x v="5"/>
    <n v="3.1250000002910339E-2"/>
    <n v="19.950000000069849"/>
    <n v="0"/>
    <n v="19.950000000069849"/>
    <n v="7.6992481202737961"/>
    <x v="0"/>
  </r>
  <r>
    <x v="2"/>
    <x v="1"/>
    <d v="2024-11-14T19:46:12"/>
    <s v="OMN51N5RR"/>
    <x v="0"/>
    <s v="UAT 351G"/>
    <s v="Hamudi Sesanga"/>
    <s v="Kabaco U Ltd-Mbarara"/>
    <n v="153.60000000000002"/>
    <s v="Z81046"/>
    <x v="8"/>
    <x v="1"/>
    <x v="0"/>
    <x v="1"/>
    <x v="8"/>
    <x v="8"/>
    <n v="12"/>
    <n v="1"/>
    <x v="0"/>
    <d v="2024-11-15T07:36:12"/>
    <d v="2024-11-15T07:46:12"/>
    <d v="2024-11-15T08:54:12"/>
    <n v="66.583333333333329"/>
    <n v="76.36666666666666"/>
    <x v="6"/>
    <d v="2024-11-15T09:30:12"/>
    <d v="2024-11-15T15:13:12"/>
    <n v="335.85"/>
    <x v="0"/>
    <d v="2024-11-15T15:41:12"/>
    <d v="2024-11-15T16:17:12"/>
    <n v="35.25"/>
    <x v="0"/>
    <n v="0.28263888888614019"/>
    <x v="5"/>
    <n v="-0.51736111111385985"/>
    <n v="6.7833333332673647"/>
    <n v="0"/>
    <n v="6.7833333332673647"/>
    <n v="22.643734643954861"/>
    <x v="0"/>
  </r>
  <r>
    <x v="2"/>
    <x v="1"/>
    <d v="2024-11-14T20:07:31"/>
    <s v="OMK3Y71RR"/>
    <x v="1"/>
    <s v="UBE 422T"/>
    <s v="Jacob Oneka"/>
    <s v="RUGOMA TRADERS CO. LTD NTUNGAM"/>
    <n v="153.60000000000002"/>
    <s v="F15297"/>
    <x v="15"/>
    <x v="1"/>
    <x v="0"/>
    <x v="1"/>
    <x v="15"/>
    <x v="15"/>
    <n v="131"/>
    <n v="1"/>
    <x v="0"/>
    <d v="2024-11-15T09:43:00"/>
    <d v="2024-11-15T06:15:00"/>
    <d v="2024-11-15T10:44:00"/>
    <n v="263.38333333333333"/>
    <n v="59.716666666666669"/>
    <x v="9"/>
    <d v="2024-11-15T12:41:00"/>
    <d v="2024-11-15T17:45:00"/>
    <n v="297.66666666666669"/>
    <x v="0"/>
    <d v="2024-11-15T19:53:00"/>
    <d v="2024-11-15T20:24:00"/>
    <n v="30.35"/>
    <x v="0"/>
    <n v="0.38124999999854481"/>
    <x v="8"/>
    <n v="-0.61875000000145519"/>
    <n v="9.1499999999650754"/>
    <n v="0"/>
    <n v="9.1499999999650754"/>
    <n v="16.786885245965717"/>
    <x v="0"/>
  </r>
  <r>
    <x v="2"/>
    <x v="1"/>
    <d v="2024-11-14T20:08:58"/>
    <s v="OM61OPGRR"/>
    <x v="1"/>
    <s v="UBK 881R"/>
    <s v="James  Kironde"/>
    <s v="Rugoma Traders-Kanungu/Kihihi"/>
    <n v="153.60000000000002"/>
    <s v="F15298"/>
    <x v="23"/>
    <x v="1"/>
    <x v="0"/>
    <x v="1"/>
    <x v="23"/>
    <x v="14"/>
    <n v="350"/>
    <n v="10"/>
    <x v="0"/>
    <d v="2024-11-15T11:27:00"/>
    <d v="2024-11-15T01:59:00"/>
    <d v="2024-11-15T12:13:00"/>
    <n v="601.20000000000005"/>
    <n v="45.033333333333331"/>
    <x v="1"/>
    <d v="2024-11-15T18:07:00"/>
    <d v="2024-11-16T14:36:00"/>
    <n v="1203.3833333333334"/>
    <x v="0"/>
    <d v="2024-11-16T20:25:00"/>
    <d v="2024-11-16T21:11:00"/>
    <n v="45.033333333333331"/>
    <x v="0"/>
    <n v="1.3416666666671517"/>
    <x v="3"/>
    <n v="-0.15833333333284827"/>
    <n v="32.200000000011642"/>
    <n v="12"/>
    <n v="20.200000000011642"/>
    <n v="7.6039603960352231"/>
    <x v="0"/>
  </r>
  <r>
    <x v="2"/>
    <x v="0"/>
    <d v="2024-11-14T20:10:09"/>
    <s v="OMAFQ0BRR"/>
    <x v="0"/>
    <s v="UBJ 419C"/>
    <m/>
    <s v="Kabaco U Ltd"/>
    <n v="156"/>
    <s v="Z81049"/>
    <x v="6"/>
    <x v="0"/>
    <x v="0"/>
    <x v="0"/>
    <x v="6"/>
    <x v="6"/>
    <n v="324"/>
    <n v="4"/>
    <x v="0"/>
    <d v="2024-11-15T08:38:09"/>
    <d v="2024-11-15T08:10:09"/>
    <d v="2024-11-15T09:33:09"/>
    <n v="81.266666666666666"/>
    <n v="53.85"/>
    <x v="7"/>
    <d v="2024-11-15T15:33:09"/>
    <d v="2024-11-15T20:13:09"/>
    <n v="274.16666666666669"/>
    <x v="0"/>
    <d v="2024-11-16T10:08:21"/>
    <d v="2024-11-16T11:00:21"/>
    <n v="50.916666666666664"/>
    <x v="0"/>
    <n v="1.0244444444469991"/>
    <x v="3"/>
    <n v="-0.47555555555300089"/>
    <n v="24.586666666727979"/>
    <n v="16"/>
    <n v="8.5866666667279787"/>
    <n v="18.167701863224313"/>
    <x v="0"/>
  </r>
  <r>
    <x v="2"/>
    <x v="0"/>
    <d v="2024-11-14T20:14:07"/>
    <s v="OMY7055RR"/>
    <x v="1"/>
    <s v="UBP 298H"/>
    <s v="SENTONG DAVID"/>
    <s v="KATO INVESTMENTS LTD-KATIKARA"/>
    <n v="156"/>
    <s v="A18335"/>
    <x v="5"/>
    <x v="0"/>
    <x v="0"/>
    <x v="0"/>
    <x v="5"/>
    <x v="5"/>
    <n v="817"/>
    <n v="-13"/>
    <x v="0"/>
    <d v="2024-11-14T21:57:00"/>
    <d v="2024-11-14T20:30:00"/>
    <d v="2024-11-14T22:47:00"/>
    <n v="134.13333333333333"/>
    <n v="48.95"/>
    <x v="1"/>
    <d v="2024-11-16T07:58:00"/>
    <d v="2024-11-17T12:23:00"/>
    <n v="1669.4666666666667"/>
    <x v="0"/>
    <d v="2024-11-18T18:18:00"/>
    <d v="2024-11-18T19:08:00"/>
    <n v="48.95"/>
    <x v="0"/>
    <n v="3.8131944444394321"/>
    <x v="0"/>
    <n v="1.8131944444394321"/>
    <n v="91.516666666546371"/>
    <n v="36"/>
    <n v="55.516666666546371"/>
    <n v="2.8099669768899074"/>
    <x v="9"/>
  </r>
  <r>
    <x v="2"/>
    <x v="0"/>
    <d v="2024-11-15T00:00:00"/>
    <s v="OM02KNX3"/>
    <x v="0"/>
    <s v="UBP 311H"/>
    <m/>
    <s v="Kabaco U Ltd"/>
    <n v="156"/>
    <s v="Z81062"/>
    <x v="6"/>
    <x v="0"/>
    <x v="0"/>
    <x v="0"/>
    <x v="6"/>
    <x v="6"/>
    <n v="324"/>
    <n v="4"/>
    <x v="0"/>
    <d v="2024-11-15T07:58:00"/>
    <d v="2024-11-15T07:30:00"/>
    <d v="2024-11-15T08:38:00"/>
    <n v="66.583333333333329"/>
    <n v="39.166666666666664"/>
    <x v="1"/>
    <d v="2024-11-15T14:38:00"/>
    <d v="2024-11-15T18:58:00"/>
    <n v="254.56666666666666"/>
    <x v="0"/>
    <d v="2024-11-16T08:53:12"/>
    <d v="2024-11-16T09:41:12"/>
    <n v="46.983333333333334"/>
    <x v="0"/>
    <n v="1.0105555555564933"/>
    <x v="3"/>
    <n v="-0.48944444444350665"/>
    <n v="24.25333333335584"/>
    <n v="12"/>
    <n v="12.25333333335584"/>
    <n v="12.731229597365081"/>
    <x v="0"/>
  </r>
  <r>
    <x v="2"/>
    <x v="0"/>
    <d v="2024-11-15T21:48:48"/>
    <s v="OMH1EFDRR"/>
    <x v="1"/>
    <s v="UBM 644D"/>
    <s v="KAJUBI ISMA"/>
    <s v="Kabaco U Ltd"/>
    <n v="156"/>
    <s v="Z81058"/>
    <x v="6"/>
    <x v="0"/>
    <x v="0"/>
    <x v="0"/>
    <x v="6"/>
    <x v="6"/>
    <n v="324"/>
    <n v="4"/>
    <x v="0"/>
    <d v="2024-11-15T21:27:00"/>
    <d v="2024-11-16T02:22:00"/>
    <d v="2024-11-15T22:09:00"/>
    <n v="-247.73333333333332"/>
    <n v="41.116666666666667"/>
    <x v="1"/>
    <d v="2024-11-17T12:34:00"/>
    <d v="2024-11-17T17:42:00"/>
    <n v="301.58333333333331"/>
    <x v="0"/>
    <d v="2024-11-17T18:41:00"/>
    <d v="2024-11-17T19:25:00"/>
    <n v="43.083333333333336"/>
    <x v="0"/>
    <n v="1.8555555555503815"/>
    <x v="3"/>
    <n v="0.35555555555038154"/>
    <n v="44.533333333209157"/>
    <n v="12"/>
    <n v="32.533333333209157"/>
    <n v="4.7950819672314173"/>
    <x v="0"/>
  </r>
  <r>
    <x v="2"/>
    <x v="1"/>
    <d v="2024-11-15T21:55:36"/>
    <s v="OMV56TNRR"/>
    <x v="1"/>
    <s v="UBE 419T"/>
    <s v="Kilabila Ismail"/>
    <s v="Rugoma Traders-Kanungu/Kihihi"/>
    <n v="153.60000000000002"/>
    <s v="F15299"/>
    <x v="23"/>
    <x v="1"/>
    <x v="0"/>
    <x v="1"/>
    <x v="23"/>
    <x v="14"/>
    <n v="339"/>
    <n v="-1"/>
    <x v="0"/>
    <d v="2024-11-16T19:13:00"/>
    <d v="2024-11-16T01:59:00"/>
    <d v="2024-11-16T19:58:00"/>
    <n v="1056.5166666666667"/>
    <n v="44.05"/>
    <x v="1"/>
    <d v="2024-11-17T10:22:00"/>
    <d v="2024-11-17T15:40:00"/>
    <n v="311.36666666666667"/>
    <x v="0"/>
    <d v="2024-11-18T12:02:00"/>
    <d v="2024-11-18T13:03:00"/>
    <n v="59.716666666666669"/>
    <x v="0"/>
    <n v="1.6694444444437977"/>
    <x v="3"/>
    <n v="0.16944444444379769"/>
    <n v="40.066666666651145"/>
    <n v="12"/>
    <n v="28.066666666651145"/>
    <n v="5.4726840855137162"/>
    <x v="0"/>
  </r>
  <r>
    <x v="2"/>
    <x v="1"/>
    <d v="2024-11-15T21:59:48"/>
    <s v="OMY7E6YRR"/>
    <x v="0"/>
    <s v="UBE 287X"/>
    <s v="Isaac Tumuhimbise"/>
    <s v="Kabaco U Ltd-Mbarara"/>
    <n v="153.60000000000002"/>
    <s v="Z81061"/>
    <x v="8"/>
    <x v="1"/>
    <x v="0"/>
    <x v="1"/>
    <x v="8"/>
    <x v="8"/>
    <n v="12"/>
    <n v="1"/>
    <x v="0"/>
    <d v="2024-11-16T13:55:00"/>
    <d v="2024-11-16T07:42:00"/>
    <d v="2024-11-16T14:42:00"/>
    <n v="411.25"/>
    <n v="46.016666666666666"/>
    <x v="8"/>
    <d v="2024-11-16T15:36:00"/>
    <d v="2024-11-16T18:44:00"/>
    <n v="184.06666666666666"/>
    <x v="0"/>
    <d v="2024-11-16T19:12:00"/>
    <d v="2024-11-16T20:02:00"/>
    <n v="48.95"/>
    <x v="0"/>
    <n v="0.1875"/>
    <x v="5"/>
    <n v="-0.61250000000000004"/>
    <n v="4.5"/>
    <n v="0"/>
    <n v="4.5"/>
    <n v="34.13333333333334"/>
    <x v="0"/>
  </r>
  <r>
    <x v="2"/>
    <x v="0"/>
    <d v="2024-11-16T00:00:00"/>
    <s v="OM02KP2J"/>
    <x v="0"/>
    <s v="UBE 684K"/>
    <m/>
    <s v="Kato Investments Ltd- Kyegegwa"/>
    <n v="153.84"/>
    <s v="A18375"/>
    <x v="18"/>
    <x v="0"/>
    <x v="0"/>
    <x v="0"/>
    <x v="18"/>
    <x v="18"/>
    <n v="581"/>
    <n v="16"/>
    <x v="0"/>
    <d v="2024-11-16T07:58:00"/>
    <d v="2024-11-16T07:30:00"/>
    <d v="2024-11-16T08:47:00"/>
    <n v="75.38333333333334"/>
    <n v="47.966666666666669"/>
    <x v="1"/>
    <d v="2024-11-17T11:07:00"/>
    <d v="2024-11-17T14:26:00"/>
    <n v="194.85"/>
    <x v="0"/>
    <d v="2024-11-17T21:16:00"/>
    <d v="2024-11-17T22:07:00"/>
    <n v="49.93333333333333"/>
    <x v="0"/>
    <n v="1.5201388888817746"/>
    <x v="0"/>
    <n v="-0.47986111111822538"/>
    <n v="36.483333333162591"/>
    <n v="12"/>
    <n v="24.483333333162591"/>
    <n v="6.2834581348293881"/>
    <x v="0"/>
  </r>
  <r>
    <x v="2"/>
    <x v="0"/>
    <d v="2024-11-16T13:00:45"/>
    <s v="OM4XOBARR"/>
    <x v="0"/>
    <s v="UBB 115P"/>
    <s v="Kakembo Masuud"/>
    <s v="Kato Investment Ltd -Mityana"/>
    <n v="156"/>
    <s v="A18359"/>
    <x v="16"/>
    <x v="0"/>
    <x v="0"/>
    <x v="0"/>
    <x v="16"/>
    <x v="16"/>
    <m/>
    <n v="-690"/>
    <x v="0"/>
    <d v="2024-11-17T01:28:45"/>
    <d v="2024-11-17T01:00:45"/>
    <d v="2024-11-17T02:08:45"/>
    <n v="66.583333333333329"/>
    <n v="39.166666666666664"/>
    <x v="1"/>
    <d v="2024-11-18T04:08:45"/>
    <d v="2024-11-18T08:58:45"/>
    <n v="283.95"/>
    <x v="0"/>
    <d v="2024-11-18T21:03:04"/>
    <d v="2024-11-18T22:00:04"/>
    <n v="55.8"/>
    <x v="0"/>
    <n v="1.7877222222232376"/>
    <x v="0"/>
    <n v="-0.21227777777676238"/>
    <n v="42.905333333357703"/>
    <n v="12"/>
    <n v="30.905333333357703"/>
    <n v="5.0476724621384763"/>
    <x v="0"/>
  </r>
  <r>
    <x v="2"/>
    <x v="0"/>
    <d v="2024-11-16T13:15:37"/>
    <s v="OM8SI75RR"/>
    <x v="1"/>
    <s v="UBE 673K"/>
    <s v="Bulega Sperito"/>
    <s v="Kato Investments Ltd-Bulenga"/>
    <n v="156"/>
    <s v="A18360"/>
    <x v="2"/>
    <x v="0"/>
    <x v="0"/>
    <x v="0"/>
    <x v="2"/>
    <x v="2"/>
    <n v="562"/>
    <n v="2"/>
    <x v="0"/>
    <d v="2024-11-16T15:34:00"/>
    <d v="2024-11-16T20:13:00"/>
    <d v="2024-11-16T16:19:00"/>
    <n v="-229.13333333333333"/>
    <n v="44.05"/>
    <x v="1"/>
    <d v="2024-11-17T10:16:00"/>
    <d v="2024-11-17T15:48:00"/>
    <n v="325.08333333333331"/>
    <x v="0"/>
    <d v="2024-11-21T14:51:00"/>
    <d v="2024-11-21T15:36:00"/>
    <n v="44.05"/>
    <x v="0"/>
    <n v="4.9388888888934162"/>
    <x v="0"/>
    <n v="2.9388888888934162"/>
    <n v="118.53333333344199"/>
    <n v="48"/>
    <n v="70.533333333441988"/>
    <n v="2.2117202268396929"/>
    <x v="4"/>
  </r>
  <r>
    <x v="2"/>
    <x v="1"/>
    <d v="2024-11-16T13:20:05"/>
    <s v="OMVR7X7RR"/>
    <x v="1"/>
    <s v="UBE 422T"/>
    <s v="Jacob Oneka"/>
    <s v="KATO INVESTMENTS LIMITED-MASAK"/>
    <n v="153.60000000000002"/>
    <s v="F15302"/>
    <x v="14"/>
    <x v="1"/>
    <x v="0"/>
    <x v="1"/>
    <x v="14"/>
    <x v="14"/>
    <n v="151"/>
    <n v="-189"/>
    <x v="2"/>
    <d v="2024-11-16T13:39:00"/>
    <d v="2024-11-17T04:14:00"/>
    <d v="2024-11-16T14:22:00"/>
    <n v="-814.66666666666663"/>
    <n v="42.1"/>
    <x v="1"/>
    <d v="2024-11-17T11:46:00"/>
    <d v="2024-11-17T15:43:00"/>
    <n v="232.05"/>
    <x v="0"/>
    <d v="2024-11-17T18:35:00"/>
    <d v="2024-11-17T19:36:00"/>
    <n v="59.716666666666669"/>
    <x v="0"/>
    <n v="1.1756944444423425"/>
    <x v="8"/>
    <n v="0.1756944444423425"/>
    <n v="28.21666666661622"/>
    <n v="12"/>
    <n v="16.21666666661622"/>
    <n v="9.471736896226794"/>
    <x v="0"/>
  </r>
  <r>
    <x v="2"/>
    <x v="0"/>
    <d v="2024-11-16T13:21:02"/>
    <s v="OMONMHVRR"/>
    <x v="1"/>
    <s v="UBF 070Q"/>
    <s v="NTUMWA SOLOMON"/>
    <s v="Kato Investments Ltd-Bulenga"/>
    <n v="156"/>
    <s v="A18361"/>
    <x v="2"/>
    <x v="0"/>
    <x v="0"/>
    <x v="0"/>
    <x v="2"/>
    <x v="2"/>
    <n v="564"/>
    <n v="4"/>
    <x v="0"/>
    <d v="2024-11-16T14:30:00"/>
    <d v="2024-11-16T20:13:00"/>
    <d v="2024-11-16T15:23:00"/>
    <n v="-283.96666666666664"/>
    <n v="51.883333333333333"/>
    <x v="0"/>
    <d v="2024-11-17T13:24:00"/>
    <d v="2024-11-17T19:34:00"/>
    <n v="362.28333333333336"/>
    <x v="0"/>
    <d v="2024-11-23T14:45:00"/>
    <d v="2024-11-23T15:45:00"/>
    <n v="58.733333333333334"/>
    <x v="0"/>
    <n v="6.9736111111124046"/>
    <x v="0"/>
    <n v="4.9736111111124046"/>
    <n v="167.36666666669771"/>
    <n v="96"/>
    <n v="71.366666666697711"/>
    <n v="2.1858944418486521"/>
    <x v="2"/>
  </r>
  <r>
    <x v="2"/>
    <x v="0"/>
    <d v="2024-11-16T13:22:42"/>
    <s v="OML1UZRRR"/>
    <x v="0"/>
    <s v="UBF 379L"/>
    <m/>
    <s v="Kato Investments Ltd-Bulenga"/>
    <n v="156"/>
    <s v="A18362"/>
    <x v="2"/>
    <x v="0"/>
    <x v="0"/>
    <x v="0"/>
    <x v="2"/>
    <x v="2"/>
    <n v="550"/>
    <n v="-10"/>
    <x v="0"/>
    <d v="2024-11-17T01:50:42"/>
    <d v="2024-11-17T01:22:42"/>
    <d v="2024-11-17T02:37:42"/>
    <n v="73.433333333333337"/>
    <n v="46.016666666666666"/>
    <x v="1"/>
    <d v="2024-11-19T08:37:42"/>
    <d v="2024-11-19T13:12:42"/>
    <n v="269.26666666666665"/>
    <x v="0"/>
    <d v="2024-11-20T07:06:59"/>
    <d v="2024-11-20T08:06:59"/>
    <n v="58.733333333333334"/>
    <x v="0"/>
    <n v="3.1870000000053551"/>
    <x v="0"/>
    <n v="1.1870000000053551"/>
    <n v="76.488000000128523"/>
    <n v="36"/>
    <n v="40.488000000128523"/>
    <n v="3.8529934795372656"/>
    <x v="4"/>
  </r>
  <r>
    <x v="2"/>
    <x v="0"/>
    <d v="2024-11-16T13:26:24"/>
    <s v="OMYJUD0RR"/>
    <x v="1"/>
    <s v="UBK 882R"/>
    <s v="NASASIRA STEPHENE"/>
    <s v="Kato Investment Ltd -Mityana"/>
    <n v="172.8"/>
    <s v="A18363"/>
    <x v="16"/>
    <x v="0"/>
    <x v="0"/>
    <x v="0"/>
    <x v="16"/>
    <x v="16"/>
    <n v="777"/>
    <n v="87"/>
    <x v="1"/>
    <d v="2024-11-16T13:14:00"/>
    <d v="2024-11-16T19:35:00"/>
    <d v="2024-11-16T14:15:00"/>
    <n v="-313.33333333333331"/>
    <n v="59.716666666666669"/>
    <x v="10"/>
    <d v="2024-11-17T08:17:00"/>
    <d v="2024-11-17T11:54:00"/>
    <n v="212.46666666666667"/>
    <x v="0"/>
    <d v="2024-11-18T08:58:00"/>
    <d v="2024-11-18T09:58:00"/>
    <n v="58.733333333333334"/>
    <x v="0"/>
    <n v="1.7798611111138598"/>
    <x v="0"/>
    <n v="-0.22013888888614019"/>
    <n v="42.716666666732635"/>
    <n v="16"/>
    <n v="26.716666666732635"/>
    <n v="6.4678727385991266"/>
    <x v="0"/>
  </r>
  <r>
    <x v="2"/>
    <x v="0"/>
    <d v="2024-11-16T13:41:02"/>
    <s v="OMO12GXRR"/>
    <x v="0"/>
    <s v="UBJ 419C"/>
    <m/>
    <s v="Kato Investment Ltd -Mubende"/>
    <n v="151.68"/>
    <s v="A18365"/>
    <x v="1"/>
    <x v="0"/>
    <x v="0"/>
    <x v="0"/>
    <x v="1"/>
    <x v="1"/>
    <n v="693"/>
    <n v="13"/>
    <x v="0"/>
    <d v="2024-11-17T02:09:02"/>
    <d v="2024-11-17T01:41:02"/>
    <d v="2024-11-17T02:53:02"/>
    <n v="70.483333333333334"/>
    <n v="43.06666666666667"/>
    <x v="1"/>
    <d v="2024-11-18T09:10:02"/>
    <d v="2024-11-18T15:15:02"/>
    <n v="357.38333333333333"/>
    <x v="0"/>
    <d v="2024-11-19T18:07:50"/>
    <d v="2024-11-19T18:52:50"/>
    <n v="44.05"/>
    <x v="0"/>
    <n v="2.6352777777792653"/>
    <x v="1"/>
    <n v="0.13527777777926531"/>
    <n v="63.246666666702367"/>
    <n v="24"/>
    <n v="39.246666666702367"/>
    <n v="3.8647868184099381"/>
    <x v="0"/>
  </r>
  <r>
    <x v="2"/>
    <x v="0"/>
    <d v="2024-11-16T13:45:58"/>
    <s v="OMYZSLSRR"/>
    <x v="1"/>
    <s v="UBJ 420C"/>
    <s v="ZIWA ABASI"/>
    <s v="Kato Investment Ltd -Kagadi"/>
    <n v="156"/>
    <s v="A18366"/>
    <x v="12"/>
    <x v="0"/>
    <x v="0"/>
    <x v="0"/>
    <x v="12"/>
    <x v="12"/>
    <n v="589"/>
    <n v="-23"/>
    <x v="0"/>
    <d v="2024-11-16T16:08:00"/>
    <d v="2024-11-16T17:46:00"/>
    <d v="2024-11-16T17:13:00"/>
    <n v="-32.31666666666667"/>
    <n v="63.633333333333333"/>
    <x v="6"/>
    <d v="2024-11-17T14:05:00"/>
    <d v="2024-11-17T18:52:00"/>
    <n v="281.01666666666665"/>
    <x v="0"/>
    <d v="2024-11-18T21:52:00"/>
    <d v="2024-11-18T22:48:00"/>
    <n v="54.81666666666667"/>
    <x v="0"/>
    <n v="2.1937499999985448"/>
    <x v="6"/>
    <n v="-0.10625000000145501"/>
    <n v="52.649999999965075"/>
    <n v="32"/>
    <n v="20.649999999965075"/>
    <n v="7.5544794188989748"/>
    <x v="0"/>
  </r>
  <r>
    <x v="2"/>
    <x v="0"/>
    <d v="2024-11-16T14:51:15"/>
    <s v="OMKA2MARR"/>
    <x v="1"/>
    <s v="UBE 680K"/>
    <s v="BYEKWASO TWAHA"/>
    <s v="Kato Investment Ltd -Kagadi"/>
    <n v="151.68"/>
    <s v="A18371"/>
    <x v="12"/>
    <x v="0"/>
    <x v="0"/>
    <x v="0"/>
    <x v="12"/>
    <x v="12"/>
    <n v="583"/>
    <n v="-29"/>
    <x v="0"/>
    <d v="2024-11-16T20:11:00"/>
    <d v="2024-11-16T17:46:00"/>
    <d v="2024-11-16T20:53:00"/>
    <n v="183.1"/>
    <n v="41.116666666666667"/>
    <x v="1"/>
    <d v="2024-11-17T11:51:00"/>
    <d v="2024-11-17T16:02:00"/>
    <n v="245.76666666666668"/>
    <x v="0"/>
    <d v="2024-11-18T13:32:00"/>
    <d v="2024-11-18T14:31:00"/>
    <n v="57.766666666666666"/>
    <x v="0"/>
    <n v="1.6937499999985448"/>
    <x v="6"/>
    <n v="-0.60625000000145501"/>
    <n v="40.649999999965075"/>
    <n v="12"/>
    <n v="28.649999999965075"/>
    <n v="5.2942408377027892"/>
    <x v="0"/>
  </r>
  <r>
    <x v="2"/>
    <x v="1"/>
    <d v="2024-11-16T15:16:34"/>
    <s v="OMR8XB4RR"/>
    <x v="0"/>
    <s v="UAT 351G"/>
    <s v="Hamudi Sesanga"/>
    <s v="Kabaco U Ltd-Mbarara"/>
    <n v="156.97500000000002"/>
    <s v="Z81073"/>
    <x v="8"/>
    <x v="1"/>
    <x v="0"/>
    <x v="1"/>
    <x v="8"/>
    <x v="8"/>
    <n v="13"/>
    <n v="2"/>
    <x v="0"/>
    <d v="2024-11-17T15:44:34"/>
    <d v="2024-11-17T03:16:34"/>
    <d v="2024-11-17T16:24:34"/>
    <n v="771.58333333333337"/>
    <n v="39.15"/>
    <x v="1"/>
    <d v="2024-11-17T16:55:34"/>
    <d v="2024-11-18T11:22:56"/>
    <n v="1084.2833333333333"/>
    <x v="0"/>
    <d v="2024-11-18T11:50:56"/>
    <d v="2024-11-18T12:30:56"/>
    <n v="39.166666666666664"/>
    <x v="0"/>
    <n v="0.8099722222177661"/>
    <x v="5"/>
    <n v="9.972222217766058E-3"/>
    <n v="19.439333333226386"/>
    <n v="0"/>
    <n v="19.439333333226386"/>
    <n v="8.0751226037002457"/>
    <x v="0"/>
  </r>
  <r>
    <x v="2"/>
    <x v="1"/>
    <d v="2024-11-16T20:14:07"/>
    <s v="OMD1006RR"/>
    <x v="1"/>
    <s v="UBK 881R"/>
    <s v="James  Kironde"/>
    <s v="Kabaco U Ltd"/>
    <n v="153.60000000000002"/>
    <s v="Z81078"/>
    <x v="6"/>
    <x v="1"/>
    <x v="0"/>
    <x v="1"/>
    <x v="6"/>
    <x v="6"/>
    <n v="324"/>
    <n v="4"/>
    <x v="0"/>
    <d v="2024-11-17T11:58:00"/>
    <d v="2024-11-16T08:00:00"/>
    <d v="2024-11-17T12:47:00"/>
    <n v="1691.0166666666667"/>
    <n v="47.966666666666669"/>
    <x v="1"/>
    <d v="2024-11-17T14:37:00"/>
    <d v="2024-11-18T19:02:00"/>
    <n v="1669.4666666666667"/>
    <x v="0"/>
    <d v="2024-11-18T20:44:00"/>
    <d v="2024-11-18T21:17:00"/>
    <n v="32.299999999999997"/>
    <x v="0"/>
    <n v="1.3312500000029104"/>
    <x v="3"/>
    <n v="-0.16874999999708962"/>
    <n v="31.950000000069849"/>
    <n v="12"/>
    <n v="19.950000000069849"/>
    <n v="7.6992481202737961"/>
    <x v="0"/>
  </r>
  <r>
    <x v="2"/>
    <x v="1"/>
    <d v="2024-11-16T20:15:25"/>
    <s v="OMJCDFARR"/>
    <x v="1"/>
    <s v="UBK 875R"/>
    <s v="Bisaso  Ronald"/>
    <s v="Kabaco U Ltd-Mbarara"/>
    <n v="153.60000000000002"/>
    <s v="Z81080"/>
    <x v="8"/>
    <x v="1"/>
    <x v="0"/>
    <x v="1"/>
    <x v="8"/>
    <x v="8"/>
    <n v="14"/>
    <n v="3"/>
    <x v="0"/>
    <d v="2024-11-17T08:26:00"/>
    <d v="2024-11-16T08:00:00"/>
    <d v="2024-11-17T09:12:00"/>
    <n v="1480.4833333333333"/>
    <n v="45.033333333333331"/>
    <x v="1"/>
    <d v="2024-11-17T09:50:00"/>
    <d v="2024-11-17T17:28:00"/>
    <n v="448.45"/>
    <x v="0"/>
    <d v="2024-11-17T18:14:00"/>
    <d v="2024-11-17T18:56:00"/>
    <n v="41.116666666666667"/>
    <x v="0"/>
    <n v="0.37638888889341615"/>
    <x v="5"/>
    <n v="-0.42361111110658389"/>
    <n v="9.0333333334419876"/>
    <n v="0"/>
    <n v="9.0333333334419876"/>
    <n v="17.003690036695847"/>
    <x v="0"/>
  </r>
  <r>
    <x v="2"/>
    <x v="0"/>
    <d v="2024-11-16T20:16:30"/>
    <s v="OMEUKUARR"/>
    <x v="1"/>
    <s v="UBE 690K"/>
    <s v="MUKOSE MUZAMIRU"/>
    <s v="Sawan Distributors Ltd-Nabingo"/>
    <n v="156"/>
    <s v="A18376"/>
    <x v="21"/>
    <x v="0"/>
    <x v="0"/>
    <x v="0"/>
    <x v="21"/>
    <x v="2"/>
    <n v="546"/>
    <n v="-14"/>
    <x v="0"/>
    <d v="2024-11-16T20:36:00"/>
    <d v="2024-11-16T08:00:00"/>
    <d v="2024-11-16T21:26:00"/>
    <n v="789.2"/>
    <n v="48.95"/>
    <x v="1"/>
    <d v="2024-11-17T16:14:00"/>
    <d v="2024-11-18T11:30:00"/>
    <n v="1131.9000000000001"/>
    <x v="0"/>
    <d v="2024-11-23T08:53:00"/>
    <d v="2024-11-23T09:52:00"/>
    <n v="57.766666666666666"/>
    <x v="0"/>
    <n v="6.4770833333313931"/>
    <x v="0"/>
    <n v="4.4770833333313931"/>
    <n v="155.44999999995343"/>
    <n v="72"/>
    <n v="83.449999999953434"/>
    <n v="1.8693828639914565"/>
    <x v="2"/>
  </r>
  <r>
    <x v="2"/>
    <x v="0"/>
    <d v="2024-11-16T20:17:28"/>
    <s v="OM7AEFMRR"/>
    <x v="1"/>
    <s v="UBP 301H"/>
    <s v="NAMINYA SIRAJE"/>
    <s v="Sawan Distributors Ltd-Nabingo"/>
    <n v="156"/>
    <s v="A18377"/>
    <x v="21"/>
    <x v="0"/>
    <x v="0"/>
    <x v="0"/>
    <x v="21"/>
    <x v="2"/>
    <n v="557"/>
    <n v="-3"/>
    <x v="0"/>
    <d v="2024-11-16T21:54:00"/>
    <d v="2024-11-16T08:00:00"/>
    <d v="2024-11-16T22:39:00"/>
    <n v="860.68333333333328"/>
    <n v="44.05"/>
    <x v="1"/>
    <d v="2024-11-18T09:30:00"/>
    <d v="2024-11-18T13:37:00"/>
    <n v="241.85"/>
    <x v="0"/>
    <d v="2024-11-19T20:15:00"/>
    <d v="2024-11-19T21:11:00"/>
    <n v="54.833333333333336"/>
    <x v="0"/>
    <n v="2.9000000000014552"/>
    <x v="0"/>
    <n v="0.90000000000145519"/>
    <n v="69.600000000034925"/>
    <n v="24"/>
    <n v="45.600000000034925"/>
    <n v="3.4210526315763272"/>
    <x v="0"/>
  </r>
  <r>
    <x v="2"/>
    <x v="1"/>
    <d v="2024-11-17T21:28:34"/>
    <s v="OM2V7MRRR"/>
    <x v="1"/>
    <s v="UBJ 415C"/>
    <s v="Abel Mark naffa"/>
    <s v="Kabaco U Ltd-Mbarara"/>
    <n v="153.60000000000002"/>
    <s v="Z81090"/>
    <x v="8"/>
    <x v="1"/>
    <x v="0"/>
    <x v="1"/>
    <x v="8"/>
    <x v="8"/>
    <n v="13"/>
    <n v="2"/>
    <x v="0"/>
    <d v="2024-11-18T10:08:00"/>
    <d v="2024-11-17T08:00:00"/>
    <d v="2024-11-18T11:10:00"/>
    <n v="1596.0333333333333"/>
    <n v="60.7"/>
    <x v="12"/>
    <d v="2024-11-18T11:16:00"/>
    <d v="2024-11-18T17:35:00"/>
    <n v="371.1"/>
    <x v="0"/>
    <d v="2024-11-18T19:09:00"/>
    <d v="2024-11-18T19:43:00"/>
    <n v="33.283333333333331"/>
    <x v="0"/>
    <n v="0.33263888888905058"/>
    <x v="5"/>
    <n v="-0.46736111111094947"/>
    <n v="7.9833333333372138"/>
    <n v="0"/>
    <n v="7.9833333333372138"/>
    <n v="19.240083507297541"/>
    <x v="0"/>
  </r>
  <r>
    <x v="2"/>
    <x v="0"/>
    <d v="2024-11-18T00:00:00"/>
    <s v="OM02KPNA"/>
    <x v="0"/>
    <s v="UBP 311H"/>
    <s v="Ekwalikwa Yusuf"/>
    <s v="KATO INVESTMENTS LTD-KATIKARA"/>
    <n v="151.80000000000001"/>
    <s v="A18426"/>
    <x v="5"/>
    <x v="0"/>
    <x v="0"/>
    <x v="0"/>
    <x v="5"/>
    <x v="5"/>
    <n v="825"/>
    <n v="-5"/>
    <x v="0"/>
    <d v="2024-11-18T07:20:00"/>
    <d v="2024-11-18T07:30:00"/>
    <d v="2024-11-18T08:38:00"/>
    <n v="66.583333333333329"/>
    <n v="76.36666666666666"/>
    <x v="6"/>
    <d v="2024-11-19T09:53:00"/>
    <d v="2024-11-19T13:14:00"/>
    <n v="196.8"/>
    <x v="0"/>
    <d v="2024-11-20T18:02:00"/>
    <d v="2024-11-20T18:57:00"/>
    <n v="53.85"/>
    <x v="0"/>
    <n v="2.3916666666627862"/>
    <x v="0"/>
    <n v="0.39166666666278616"/>
    <n v="57.399999999906868"/>
    <n v="32"/>
    <n v="25.399999999906868"/>
    <n v="5.9763779527778187"/>
    <x v="0"/>
  </r>
  <r>
    <x v="2"/>
    <x v="0"/>
    <d v="2024-11-18T00:00:00"/>
    <s v="OM02KPNC"/>
    <x v="0"/>
    <s v="UBF 374L "/>
    <m/>
    <s v="Sawan Distributors Ltd-Kayabwe"/>
    <n v="156"/>
    <s v="A18427"/>
    <x v="9"/>
    <x v="0"/>
    <x v="0"/>
    <x v="0"/>
    <x v="9"/>
    <x v="9"/>
    <n v="397"/>
    <n v="-3"/>
    <x v="0"/>
    <d v="2024-11-18T07:58:00"/>
    <d v="2024-11-18T07:30:00"/>
    <d v="2024-11-18T09:02:00"/>
    <n v="90.066666666666663"/>
    <n v="62.65"/>
    <x v="5"/>
    <d v="2024-11-18T18:02:00"/>
    <d v="2024-11-19T17:37:31"/>
    <n v="1386.0166666666667"/>
    <x v="0"/>
    <d v="2024-11-20T12:49:31"/>
    <d v="2024-11-20T13:43:31"/>
    <n v="52.866666666666667"/>
    <x v="0"/>
    <n v="2.158000000003085"/>
    <x v="0"/>
    <n v="0.15800000000308501"/>
    <n v="51.79200000007404"/>
    <n v="32"/>
    <n v="19.79200000007404"/>
    <n v="7.8819725141176447"/>
    <x v="0"/>
  </r>
  <r>
    <x v="2"/>
    <x v="0"/>
    <d v="2024-11-18T00:00:00"/>
    <s v="OM02KPQ1"/>
    <x v="0"/>
    <s v="UBE 684K"/>
    <m/>
    <s v="Sawan Distributors Ltd-Kayabwe"/>
    <n v="156"/>
    <s v="A18432"/>
    <x v="9"/>
    <x v="0"/>
    <x v="0"/>
    <x v="0"/>
    <x v="9"/>
    <x v="9"/>
    <n v="397"/>
    <n v="-3"/>
    <x v="0"/>
    <d v="2024-11-18T07:58:00"/>
    <d v="2024-11-18T07:30:00"/>
    <d v="2024-11-18T08:38:00"/>
    <n v="66.583333333333329"/>
    <n v="39.166666666666664"/>
    <x v="1"/>
    <d v="2024-11-18T17:38:00"/>
    <d v="2024-11-19T17:13:31"/>
    <n v="1386.0166666666667"/>
    <x v="0"/>
    <d v="2024-11-20T12:25:31"/>
    <d v="2024-11-20T13:25:31"/>
    <n v="58.733333333333334"/>
    <x v="0"/>
    <n v="2.158000000003085"/>
    <x v="0"/>
    <n v="0.15800000000308501"/>
    <n v="51.79200000007404"/>
    <n v="24"/>
    <n v="27.79200000007404"/>
    <n v="5.6131260794323694"/>
    <x v="0"/>
  </r>
  <r>
    <x v="2"/>
    <x v="0"/>
    <d v="2024-11-18T00:00:00"/>
    <s v="OM02KPQN"/>
    <x v="0"/>
    <s v="UBP 311H"/>
    <m/>
    <s v="Kato Investments Ltd- Kakumiro"/>
    <n v="156"/>
    <s v="A18440"/>
    <x v="24"/>
    <x v="0"/>
    <x v="0"/>
    <x v="0"/>
    <x v="24"/>
    <x v="22"/>
    <n v="771"/>
    <n v="6"/>
    <x v="0"/>
    <d v="2024-11-18T07:58:00"/>
    <d v="2024-11-18T07:30:00"/>
    <d v="2024-11-18T08:42:00"/>
    <n v="70.483333333333334"/>
    <n v="43.06666666666667"/>
    <x v="1"/>
    <d v="2024-11-18T17:42:00"/>
    <d v="2024-11-19T13:24:14"/>
    <n v="1157.5999999999999"/>
    <x v="0"/>
    <d v="2024-11-20T07:42:58"/>
    <d v="2024-11-20T08:43:58"/>
    <n v="59.716666666666669"/>
    <x v="0"/>
    <n v="1.9590000000025611"/>
    <x v="3"/>
    <n v="0.45900000000256114"/>
    <n v="47.016000000061467"/>
    <n v="12"/>
    <n v="35.016000000061467"/>
    <n v="4.4551062371409111"/>
    <x v="0"/>
  </r>
  <r>
    <x v="2"/>
    <x v="0"/>
    <d v="2024-11-18T00:00:00"/>
    <s v="OM02KPPZ"/>
    <x v="0"/>
    <s v="UBK 866R"/>
    <m/>
    <s v="Kato Investment Ltd -Kagadi"/>
    <n v="156"/>
    <s v="A18431"/>
    <x v="12"/>
    <x v="0"/>
    <x v="0"/>
    <x v="0"/>
    <x v="12"/>
    <x v="12"/>
    <n v="603"/>
    <n v="-9"/>
    <x v="0"/>
    <d v="2024-11-18T07:38:00"/>
    <d v="2024-11-18T07:30:00"/>
    <d v="2024-11-18T08:13:00"/>
    <n v="42.1"/>
    <n v="34.266666666666666"/>
    <x v="1"/>
    <d v="2024-11-19T11:43:00"/>
    <d v="2024-11-19T16:20:00"/>
    <n v="271.21666666666664"/>
    <x v="0"/>
    <d v="2024-11-20T11:57:55"/>
    <d v="2024-11-20T12:33:55"/>
    <n v="35.25"/>
    <x v="0"/>
    <n v="2.1561944444474648"/>
    <x v="6"/>
    <n v="-0.14380555555253505"/>
    <n v="51.748666666739155"/>
    <n v="24"/>
    <n v="27.748666666739155"/>
    <n v="5.6218917425315027"/>
    <x v="0"/>
  </r>
  <r>
    <x v="2"/>
    <x v="0"/>
    <d v="2024-11-18T20:58:24"/>
    <s v="OMGNCCARR"/>
    <x v="1"/>
    <s v="UBJ 417C"/>
    <s v="FARUK   ABEL"/>
    <s v="Kato Investment Ltd -Mubende"/>
    <n v="156"/>
    <s v="A18417"/>
    <x v="1"/>
    <x v="0"/>
    <x v="0"/>
    <x v="0"/>
    <x v="1"/>
    <x v="1"/>
    <n v="665"/>
    <n v="-15"/>
    <x v="0"/>
    <d v="2024-11-19T06:34:00"/>
    <d v="2024-11-18T21:55:00"/>
    <d v="2024-11-19T07:23:00"/>
    <n v="556.15"/>
    <n v="47.966666666666669"/>
    <x v="8"/>
    <d v="2024-11-20T11:58:00"/>
    <d v="2024-11-20T15:17:00"/>
    <n v="194.85"/>
    <x v="0"/>
    <d v="2024-11-20T09:56:00"/>
    <d v="2024-11-20T10:27:00"/>
    <n v="30.35"/>
    <x v="0"/>
    <n v="1.1062500000043656"/>
    <x v="1"/>
    <n v="-1.3937499999956344"/>
    <n v="26.550000000104774"/>
    <n v="16"/>
    <n v="10.550000000104774"/>
    <n v="14.786729857673055"/>
    <x v="0"/>
  </r>
  <r>
    <x v="2"/>
    <x v="0"/>
    <d v="2024-11-18T20:59:27"/>
    <s v="OMV3I3RRR"/>
    <x v="0"/>
    <s v="UBM 648D"/>
    <s v="Nakalya John"/>
    <s v="Kobusinge Steven-FPortal"/>
    <n v="156"/>
    <s v="Z81107"/>
    <x v="11"/>
    <x v="0"/>
    <x v="0"/>
    <x v="0"/>
    <x v="11"/>
    <x v="11"/>
    <n v="393"/>
    <n v="3"/>
    <x v="0"/>
    <d v="2024-11-19T07:58:27"/>
    <d v="2024-11-19T07:30:27"/>
    <d v="2024-11-19T08:53:27"/>
    <n v="81.266666666666666"/>
    <n v="53.85"/>
    <x v="3"/>
    <d v="2024-11-20T07:23:27"/>
    <d v="2024-11-20T12:56:27"/>
    <n v="326.05"/>
    <x v="0"/>
    <d v="2024-11-21T06:02:49"/>
    <d v="2024-11-21T06:46:49"/>
    <n v="43.06666666666667"/>
    <x v="0"/>
    <n v="1.8815000000031432"/>
    <x v="0"/>
    <n v="-0.11849999999685679"/>
    <n v="45.156000000075437"/>
    <n v="16"/>
    <n v="29.156000000075437"/>
    <n v="5.3505281931539432"/>
    <x v="0"/>
  </r>
  <r>
    <x v="2"/>
    <x v="0"/>
    <d v="2024-11-18T23:04:13"/>
    <s v="OMA1JSARR"/>
    <x v="1"/>
    <s v="UBM 565R"/>
    <s v="BAZALE SAID"/>
    <s v="Kato Investment Ltd -Mityana"/>
    <n v="150.07499999999999"/>
    <s v="A18433"/>
    <x v="16"/>
    <x v="0"/>
    <x v="0"/>
    <x v="0"/>
    <x v="16"/>
    <x v="16"/>
    <n v="687"/>
    <n v="-3"/>
    <x v="0"/>
    <d v="2024-11-19T15:04:00"/>
    <d v="2024-11-18T19:35:00"/>
    <d v="2024-11-19T16:05:00"/>
    <n v="1204.3666666666666"/>
    <n v="59.716666666666669"/>
    <x v="11"/>
    <d v="2024-11-20T12:27:00"/>
    <d v="2024-11-20T16:42:00"/>
    <n v="249.68333333333334"/>
    <x v="0"/>
    <d v="2024-11-21T07:55:00"/>
    <d v="2024-11-21T08:18:00"/>
    <n v="22.516666666666666"/>
    <x v="0"/>
    <n v="1.6597222222189885"/>
    <x v="0"/>
    <n v="-0.34027777778101154"/>
    <n v="39.833333333255723"/>
    <n v="16"/>
    <n v="23.833333333255723"/>
    <n v="6.2968531468736515"/>
    <x v="0"/>
  </r>
  <r>
    <x v="2"/>
    <x v="0"/>
    <d v="2024-11-18T23:29:49"/>
    <s v="OMMDA59RR"/>
    <x v="1"/>
    <s v="UBM 644D"/>
    <s v="KAJUBI ISMA"/>
    <s v="KATO INVESTMENTS LTD-KATIKARA"/>
    <n v="156"/>
    <s v="A18439"/>
    <x v="5"/>
    <x v="0"/>
    <x v="0"/>
    <x v="0"/>
    <x v="5"/>
    <x v="5"/>
    <n v="858"/>
    <n v="28"/>
    <x v="0"/>
    <d v="2024-11-19T12:49:00"/>
    <d v="2024-11-18T15:48:00"/>
    <d v="2024-11-19T13:38:00"/>
    <n v="1282.7"/>
    <n v="47.966666666666669"/>
    <x v="1"/>
    <d v="2024-11-21T08:55:00"/>
    <d v="2024-11-21T13:58:00"/>
    <n v="296.68333333333334"/>
    <x v="0"/>
    <d v="2024-11-22T09:15:00"/>
    <d v="2024-11-22T10:05:00"/>
    <n v="48.95"/>
    <x v="0"/>
    <n v="2.8173611111051287"/>
    <x v="0"/>
    <n v="0.81736111110512866"/>
    <n v="67.616666666523088"/>
    <n v="24"/>
    <n v="43.616666666523088"/>
    <n v="3.5766144440316436"/>
    <x v="1"/>
  </r>
  <r>
    <x v="2"/>
    <x v="0"/>
    <d v="2024-11-19T00:00:00"/>
    <s v="OM02KQ66"/>
    <x v="0"/>
    <s v="UBP 311H"/>
    <s v="Ekwalikwa Yusuf"/>
    <s v="Ntale and Sons Ltd-Kakiri"/>
    <n v="156"/>
    <s v="A18462"/>
    <x v="22"/>
    <x v="0"/>
    <x v="0"/>
    <x v="0"/>
    <x v="22"/>
    <x v="21"/>
    <n v="631"/>
    <n v="11"/>
    <x v="0"/>
    <d v="2024-11-19T07:58:00"/>
    <d v="2024-11-19T07:30:00"/>
    <d v="2024-11-19T08:58:00"/>
    <n v="86.15"/>
    <n v="58.733333333333334"/>
    <x v="9"/>
    <d v="2024-11-20T07:48:00"/>
    <d v="2024-11-20T14:05:00"/>
    <n v="369.13333333333333"/>
    <x v="0"/>
    <d v="2024-11-21T12:53:00"/>
    <d v="2024-11-21T13:31:00"/>
    <n v="37.200000000000003"/>
    <x v="0"/>
    <n v="2.1631944444452529"/>
    <x v="0"/>
    <n v="0.16319444444525288"/>
    <n v="51.916666666686069"/>
    <n v="32"/>
    <n v="19.916666666686069"/>
    <n v="7.832635983255968"/>
    <x v="0"/>
  </r>
  <r>
    <x v="2"/>
    <x v="0"/>
    <d v="2024-11-19T00:00:00"/>
    <s v="OM02KPY9"/>
    <x v="0"/>
    <s v="UBP 311H"/>
    <s v="Ekwalikwa Yusuf"/>
    <s v="Kobusinge Steven-FPortal"/>
    <n v="156"/>
    <s v="Z81119"/>
    <x v="11"/>
    <x v="0"/>
    <x v="0"/>
    <x v="0"/>
    <x v="11"/>
    <x v="11"/>
    <n v="393"/>
    <n v="3"/>
    <x v="0"/>
    <d v="2024-11-19T07:20:00"/>
    <d v="2024-11-19T07:30:00"/>
    <d v="2024-11-19T08:38:00"/>
    <n v="66.583333333333329"/>
    <n v="76.36666666666666"/>
    <x v="6"/>
    <d v="2024-11-20T07:08:00"/>
    <d v="2024-11-20T10:25:00"/>
    <n v="192.88333333333333"/>
    <x v="0"/>
    <d v="2024-11-21T07:51:12"/>
    <d v="2024-11-21T08:39:12"/>
    <n v="46.983333333333334"/>
    <x v="0"/>
    <n v="1.9674999999988358"/>
    <x v="0"/>
    <n v="-3.2500000001164153E-2"/>
    <n v="47.21999999997206"/>
    <n v="16"/>
    <n v="31.21999999997206"/>
    <n v="4.9967969250525179"/>
    <x v="0"/>
  </r>
  <r>
    <x v="2"/>
    <x v="0"/>
    <d v="2024-11-19T00:00:00"/>
    <s v="OM02KQ81"/>
    <x v="0"/>
    <s v="UBE 678K"/>
    <m/>
    <s v="Kato Investment Ltd -Mubende"/>
    <n v="156"/>
    <s v="A18486"/>
    <x v="1"/>
    <x v="0"/>
    <x v="0"/>
    <x v="0"/>
    <x v="1"/>
    <x v="1"/>
    <n v="665"/>
    <n v="-15"/>
    <x v="0"/>
    <d v="2024-11-19T07:58:00"/>
    <d v="2024-11-19T07:30:00"/>
    <d v="2024-11-19T08:46:00"/>
    <n v="74.400000000000006"/>
    <n v="46.983333333333334"/>
    <x v="1"/>
    <d v="2024-11-20T11:03:00"/>
    <d v="2024-11-20T15:41:00"/>
    <n v="272.2"/>
    <x v="0"/>
    <d v="2024-11-21T18:33:48"/>
    <d v="2024-11-21T19:03:48"/>
    <n v="29.366666666666667"/>
    <x v="0"/>
    <n v="2.4081944444478722"/>
    <x v="1"/>
    <n v="-9.1805555552127771E-2"/>
    <n v="57.796666666748933"/>
    <n v="24"/>
    <n v="33.796666666748933"/>
    <n v="4.6158398264016256"/>
    <x v="0"/>
  </r>
  <r>
    <x v="2"/>
    <x v="0"/>
    <d v="2024-11-19T00:00:00"/>
    <s v="OM02KQ8B"/>
    <x v="0"/>
    <s v="UBE 681K"/>
    <s v="KYAPA AKIMU"/>
    <s v="Kato Investment Ltd -Mityana"/>
    <n v="156"/>
    <s v="A18490"/>
    <x v="16"/>
    <x v="0"/>
    <x v="0"/>
    <x v="0"/>
    <x v="16"/>
    <x v="16"/>
    <m/>
    <n v="-690"/>
    <x v="0"/>
    <d v="2024-11-19T07:42:00"/>
    <d v="2024-11-19T07:30:00"/>
    <d v="2024-11-19T08:38:00"/>
    <n v="66.583333333333329"/>
    <n v="54.833333333333336"/>
    <x v="4"/>
    <d v="2024-11-20T10:38:00"/>
    <d v="2024-11-20T15:40:00"/>
    <n v="295.7"/>
    <x v="0"/>
    <d v="2024-11-21T13:05:55"/>
    <d v="2024-11-21T13:56:55"/>
    <n v="49.93333333333333"/>
    <x v="0"/>
    <n v="2.1860555555540486"/>
    <x v="0"/>
    <n v="0.18605555555404862"/>
    <n v="52.465333333297167"/>
    <n v="32"/>
    <n v="20.465333333297167"/>
    <n v="7.6226464264907658"/>
    <x v="0"/>
  </r>
  <r>
    <x v="2"/>
    <x v="0"/>
    <d v="2024-11-19T00:00:00"/>
    <s v="OM02KQ6S"/>
    <x v="0"/>
    <s v="UBK 866R"/>
    <m/>
    <s v="Ntale and Sons Ltd-Kakiri"/>
    <n v="156"/>
    <s v="A18473"/>
    <x v="22"/>
    <x v="0"/>
    <x v="0"/>
    <x v="0"/>
    <x v="22"/>
    <x v="21"/>
    <n v="631"/>
    <n v="11"/>
    <x v="0"/>
    <d v="2024-11-19T07:58:00"/>
    <d v="2024-11-19T07:30:00"/>
    <d v="2024-11-19T08:42:00"/>
    <n v="70.483333333333334"/>
    <n v="43.06666666666667"/>
    <x v="1"/>
    <d v="2024-11-19T21:12:00"/>
    <d v="2024-11-20T17:23:02"/>
    <n v="1185.8"/>
    <x v="0"/>
    <d v="2024-11-21T15:20:38"/>
    <d v="2024-11-21T16:15:38"/>
    <n v="53.85"/>
    <x v="0"/>
    <n v="2.276833333336981"/>
    <x v="0"/>
    <n v="0.27683333333698101"/>
    <n v="54.644000000087544"/>
    <n v="24"/>
    <n v="30.644000000087544"/>
    <n v="5.0907192272403847"/>
    <x v="0"/>
  </r>
  <r>
    <x v="2"/>
    <x v="0"/>
    <d v="2024-11-19T12:53:50"/>
    <s v="OM9Z7URRR"/>
    <x v="0"/>
    <s v="UBJ 419C"/>
    <m/>
    <s v="Ntale and Sons Ltd-Kakiri"/>
    <n v="156"/>
    <s v="A18457"/>
    <x v="22"/>
    <x v="0"/>
    <x v="0"/>
    <x v="0"/>
    <x v="22"/>
    <x v="21"/>
    <n v="631"/>
    <n v="11"/>
    <x v="0"/>
    <d v="2024-11-20T01:21:50"/>
    <d v="2024-11-20T00:53:50"/>
    <d v="2024-11-20T02:01:50"/>
    <n v="66.583333333333329"/>
    <n v="39.166666666666664"/>
    <x v="1"/>
    <d v="2024-11-20T14:31:50"/>
    <d v="2024-11-20T18:08:50"/>
    <n v="212.46666666666667"/>
    <x v="0"/>
    <d v="2024-11-21T14:32:50"/>
    <d v="2024-11-21T15:32:50"/>
    <n v="58.733333333333334"/>
    <x v="0"/>
    <n v="1.5215277777751908"/>
    <x v="0"/>
    <n v="-0.47847222222480923"/>
    <n v="36.516666666604578"/>
    <n v="12"/>
    <n v="24.516666666604578"/>
    <n v="6.3630183548767532"/>
    <x v="0"/>
  </r>
  <r>
    <x v="2"/>
    <x v="1"/>
    <d v="2024-11-19T18:07:32"/>
    <s v="OMR6MV7RR"/>
    <x v="0"/>
    <s v="UAT 351G"/>
    <s v="Hamudi Sesanga"/>
    <s v="Kabaco U Ltd-Mbarara"/>
    <n v="145.5"/>
    <s v="Z81130"/>
    <x v="8"/>
    <x v="1"/>
    <x v="0"/>
    <x v="1"/>
    <x v="8"/>
    <x v="8"/>
    <n v="12"/>
    <n v="1"/>
    <x v="0"/>
    <d v="2024-11-20T07:58:32"/>
    <d v="2024-11-20T07:30:32"/>
    <d v="2024-11-20T08:47:32"/>
    <n v="75.38333333333334"/>
    <n v="47.966666666666669"/>
    <x v="8"/>
    <d v="2024-11-20T09:14:32"/>
    <d v="2024-11-20T12:31:32"/>
    <n v="192.88333333333333"/>
    <x v="0"/>
    <d v="2024-11-20T13:01:32"/>
    <d v="2024-11-20T13:46:32"/>
    <n v="44.05"/>
    <x v="0"/>
    <n v="0.17638888889632653"/>
    <x v="5"/>
    <n v="-0.62361111110367351"/>
    <n v="4.2333333335118368"/>
    <n v="0"/>
    <n v="4.2333333335118368"/>
    <n v="34.370078738708223"/>
    <x v="0"/>
  </r>
  <r>
    <x v="2"/>
    <x v="1"/>
    <d v="2024-11-19T18:11:55"/>
    <s v="OM0I22LRR"/>
    <x v="0"/>
    <s v="UAR 731Q"/>
    <s v="Godwin Niwensiima"/>
    <s v="RUGOMA TRADERS CO. LTD NTUNGAM"/>
    <n v="150.74400000000003"/>
    <s v="F15309"/>
    <x v="15"/>
    <x v="1"/>
    <x v="0"/>
    <x v="1"/>
    <x v="15"/>
    <x v="15"/>
    <n v="131"/>
    <n v="1"/>
    <x v="0"/>
    <d v="2024-11-20T08:00:55"/>
    <d v="2024-11-20T07:32:55"/>
    <d v="2024-11-20T08:40:55"/>
    <n v="66.583333333333329"/>
    <n v="39.166666666666664"/>
    <x v="1"/>
    <d v="2024-11-20T10:50:55"/>
    <d v="2024-11-20T15:30:55"/>
    <n v="274.16666666666669"/>
    <x v="0"/>
    <d v="2024-11-20T17:40:55"/>
    <d v="2024-11-20T18:28:55"/>
    <n v="46.983333333333334"/>
    <x v="0"/>
    <n v="0.37500000000727596"/>
    <x v="8"/>
    <n v="-0.62499999999272404"/>
    <n v="9.000000000174623"/>
    <n v="0"/>
    <n v="9.000000000174623"/>
    <n v="16.749333333008355"/>
    <x v="0"/>
  </r>
  <r>
    <x v="2"/>
    <x v="0"/>
    <d v="2024-11-19T20:43:07"/>
    <s v="OMXHWHORR"/>
    <x v="1"/>
    <s v="UBP 298H"/>
    <s v="SENTONG DAVID"/>
    <s v="Ntale and Sons Ltd-Kakiri"/>
    <n v="156"/>
    <s v="A18482"/>
    <x v="22"/>
    <x v="0"/>
    <x v="0"/>
    <x v="0"/>
    <x v="22"/>
    <x v="21"/>
    <n v="609"/>
    <n v="-11"/>
    <x v="0"/>
    <d v="2024-11-19T20:23:00"/>
    <d v="2024-11-20T01:59:00"/>
    <d v="2024-11-19T21:13:00"/>
    <n v="-280.05"/>
    <n v="48.95"/>
    <x v="1"/>
    <d v="2024-11-20T14:11:00"/>
    <d v="2024-11-21T15:16:00"/>
    <n v="1473.6333333333334"/>
    <x v="0"/>
    <d v="2024-11-22T09:19:00"/>
    <d v="2024-11-22T10:07:00"/>
    <n v="46.983333333333334"/>
    <x v="0"/>
    <n v="2.5041666666656965"/>
    <x v="0"/>
    <n v="0.50416666666569654"/>
    <n v="60.099999999976717"/>
    <n v="24"/>
    <n v="36.099999999976717"/>
    <n v="4.3213296398919834"/>
    <x v="0"/>
  </r>
  <r>
    <x v="2"/>
    <x v="0"/>
    <d v="2024-11-19T20:44:11"/>
    <s v="OMXGTO6RR"/>
    <x v="0"/>
    <s v="UBB 115P"/>
    <s v="Kakembo Masuud"/>
    <s v="Kato Investments Ltd-Bulenga"/>
    <n v="153.14400000000001"/>
    <s v="A18483"/>
    <x v="2"/>
    <x v="0"/>
    <x v="0"/>
    <x v="0"/>
    <x v="2"/>
    <x v="2"/>
    <n v="550"/>
    <n v="-10"/>
    <x v="0"/>
    <d v="2024-11-20T09:12:11"/>
    <d v="2024-11-20T08:44:11"/>
    <d v="2024-11-20T10:16:11"/>
    <n v="90.066666666666663"/>
    <n v="62.65"/>
    <x v="6"/>
    <d v="2024-11-21T10:16:11"/>
    <d v="2024-11-21T16:56:11"/>
    <n v="391.66666666666669"/>
    <x v="0"/>
    <d v="2024-11-22T10:16:11"/>
    <d v="2024-11-22T11:13:11"/>
    <n v="55.8"/>
    <x v="0"/>
    <n v="2"/>
    <x v="0"/>
    <n v="0"/>
    <n v="48"/>
    <n v="32"/>
    <n v="16"/>
    <n v="9.5715000000000003"/>
    <x v="0"/>
  </r>
  <r>
    <x v="2"/>
    <x v="1"/>
    <d v="2024-11-19T20:50:59"/>
    <s v="OMDTTQ7RR"/>
    <x v="0"/>
    <s v="UAV 051U"/>
    <s v="Angello Lumala"/>
    <s v="KATO INVESTMENTS LIMITED-MASAK"/>
    <n v="153.60000000000002"/>
    <s v="F15311"/>
    <x v="14"/>
    <x v="1"/>
    <x v="0"/>
    <x v="1"/>
    <x v="14"/>
    <x v="14"/>
    <n v="348"/>
    <n v="8"/>
    <x v="0"/>
    <d v="2024-11-20T09:18:59"/>
    <d v="2024-11-20T08:50:59"/>
    <d v="2024-11-20T09:58:59"/>
    <n v="66.583333333333329"/>
    <n v="39.166666666666664"/>
    <x v="1"/>
    <d v="2024-11-20T13:11:59"/>
    <d v="2024-11-20T19:03:59"/>
    <n v="344.65"/>
    <x v="0"/>
    <d v="2024-11-21T09:27:59"/>
    <d v="2024-11-21T10:19:59"/>
    <n v="50.916666666666664"/>
    <x v="0"/>
    <n v="0.97847222221753327"/>
    <x v="8"/>
    <n v="-2.1527777782466728E-2"/>
    <n v="23.483333333220799"/>
    <n v="0"/>
    <n v="23.483333333220799"/>
    <n v="6.5408090844884068"/>
    <x v="0"/>
  </r>
  <r>
    <x v="2"/>
    <x v="0"/>
    <d v="2024-11-20T00:00:00"/>
    <s v="OM02KQHD"/>
    <x v="0"/>
    <s v="UBF 375L"/>
    <m/>
    <s v="Kato Investments Ltd-Bulenga"/>
    <n v="156"/>
    <s v="A18493"/>
    <x v="2"/>
    <x v="0"/>
    <x v="0"/>
    <x v="0"/>
    <x v="2"/>
    <x v="2"/>
    <n v="550"/>
    <n v="-10"/>
    <x v="0"/>
    <d v="2024-11-20T07:58:00"/>
    <d v="2024-11-20T07:30:00"/>
    <d v="2024-11-20T08:45:00"/>
    <n v="73.433333333333337"/>
    <n v="46.016666666666666"/>
    <x v="1"/>
    <d v="2024-11-21T08:45:00"/>
    <d v="2024-11-21T13:44:00"/>
    <n v="292.76666666666665"/>
    <x v="0"/>
    <d v="2024-11-22T09:57:00"/>
    <d v="2024-11-22T10:33:00"/>
    <n v="35.25"/>
    <x v="0"/>
    <n v="2.0500000000029104"/>
    <x v="0"/>
    <n v="5.0000000002910383E-2"/>
    <n v="49.200000000069849"/>
    <n v="24"/>
    <n v="25.200000000069849"/>
    <n v="6.190476190459032"/>
    <x v="0"/>
  </r>
  <r>
    <x v="2"/>
    <x v="0"/>
    <d v="2024-11-20T00:00:00"/>
    <s v="OM02KQSR"/>
    <x v="0"/>
    <s v="UBP 311H"/>
    <s v="Ekwalikwa Yusuf"/>
    <s v="Ntale and Sons Ltd-Kakiri"/>
    <n v="156"/>
    <s v="A18515"/>
    <x v="22"/>
    <x v="0"/>
    <x v="0"/>
    <x v="0"/>
    <x v="22"/>
    <x v="21"/>
    <n v="616"/>
    <n v="-4"/>
    <x v="0"/>
    <d v="2024-11-20T07:58:00"/>
    <d v="2024-11-20T07:30:00"/>
    <d v="2024-11-20T08:53:00"/>
    <n v="81.266666666666666"/>
    <n v="53.85"/>
    <x v="7"/>
    <d v="2024-11-21T08:23:00"/>
    <d v="2024-11-21T13:00:00"/>
    <n v="271.21666666666664"/>
    <x v="0"/>
    <d v="2024-11-22T11:48:00"/>
    <d v="2024-11-22T12:32:00"/>
    <n v="43.06666666666667"/>
    <x v="0"/>
    <n v="2.1215277777737356"/>
    <x v="0"/>
    <n v="0.12152777777373558"/>
    <n v="50.916666666569654"/>
    <n v="32"/>
    <n v="18.916666666569654"/>
    <n v="8.2466960352845842"/>
    <x v="0"/>
  </r>
  <r>
    <x v="2"/>
    <x v="1"/>
    <d v="2024-11-20T21:01:29"/>
    <s v="OMYOY7SRR"/>
    <x v="1"/>
    <s v="UBJ 707D"/>
    <s v="Konge Husein"/>
    <s v="Ntale and Sons"/>
    <n v="153.60000000000002"/>
    <s v="A18504"/>
    <x v="19"/>
    <x v="1"/>
    <x v="0"/>
    <x v="1"/>
    <x v="19"/>
    <x v="19"/>
    <n v="811"/>
    <n v="1"/>
    <x v="0"/>
    <d v="2024-11-22T06:29:00"/>
    <d v="2024-11-20T16:40:00"/>
    <d v="2024-11-22T07:18:00"/>
    <n v="2269.6999999999998"/>
    <n v="47.966666666666669"/>
    <x v="1"/>
    <d v="2024-11-23T07:39:00"/>
    <d v="2024-11-24T19:46:00"/>
    <n v="2121.85"/>
    <x v="0"/>
    <d v="2024-11-24T19:49:00"/>
    <d v="2024-11-24T20:48:00"/>
    <n v="57.766666666666666"/>
    <x v="0"/>
    <n v="2.5215277777751908"/>
    <x v="4"/>
    <n v="-0.47847222222480923"/>
    <n v="60.516666666604578"/>
    <n v="24"/>
    <n v="36.516666666604578"/>
    <n v="4.2062984938455825"/>
    <x v="0"/>
  </r>
  <r>
    <x v="2"/>
    <x v="1"/>
    <d v="2024-11-20T21:02:53"/>
    <s v="OMJPLEORR"/>
    <x v="1"/>
    <s v="UAY 526V"/>
    <s v="Benon Ssempijja"/>
    <s v="Ntale and Sons"/>
    <n v="153.60000000000002"/>
    <s v="A18505"/>
    <x v="19"/>
    <x v="1"/>
    <x v="0"/>
    <x v="1"/>
    <x v="19"/>
    <x v="19"/>
    <n v="797"/>
    <n v="-13"/>
    <x v="0"/>
    <d v="2024-11-20T20:36:00"/>
    <d v="2024-11-20T16:40:00"/>
    <d v="2024-11-20T21:21:00"/>
    <n v="275.13333333333333"/>
    <n v="44.05"/>
    <x v="1"/>
    <d v="2024-11-21T15:23:00"/>
    <d v="2024-11-22T08:51:00"/>
    <n v="1026.1666666666667"/>
    <x v="0"/>
    <d v="2024-11-23T17:22:00"/>
    <d v="2024-11-23T18:22:00"/>
    <n v="58.733333333333334"/>
    <x v="0"/>
    <n v="2.8340277777824667"/>
    <x v="4"/>
    <n v="-0.16597222221753327"/>
    <n v="68.016666666779201"/>
    <n v="24"/>
    <n v="44.016666666779201"/>
    <n v="3.489587277537463"/>
    <x v="0"/>
  </r>
  <r>
    <x v="2"/>
    <x v="1"/>
    <d v="2024-11-20T21:05:16"/>
    <s v="OMH63IARR"/>
    <x v="1"/>
    <s v="UBK 881R"/>
    <s v="James  Kironde"/>
    <s v="Ntale and Sons"/>
    <n v="153.60000000000002"/>
    <s v="A18507"/>
    <x v="19"/>
    <x v="1"/>
    <x v="0"/>
    <x v="1"/>
    <x v="19"/>
    <x v="19"/>
    <n v="824"/>
    <n v="14"/>
    <x v="0"/>
    <d v="2024-11-21T17:47:00"/>
    <d v="2024-11-20T16:40:00"/>
    <d v="2024-11-21T18:33:00"/>
    <n v="1520.6333333333334"/>
    <n v="45.033333333333331"/>
    <x v="1"/>
    <d v="2024-11-22T17:25:00"/>
    <d v="2024-11-23T17:14:00"/>
    <n v="1399.2166666666667"/>
    <x v="0"/>
    <d v="2024-11-24T14:20:00"/>
    <d v="2024-11-24T15:19:00"/>
    <n v="57.766666666666666"/>
    <x v="0"/>
    <n v="2.8243055555503815"/>
    <x v="4"/>
    <n v="-0.17569444444961846"/>
    <n v="67.783333333209157"/>
    <n v="24"/>
    <n v="43.783333333209157"/>
    <n v="3.508184240588557"/>
    <x v="0"/>
  </r>
  <r>
    <x v="2"/>
    <x v="0"/>
    <d v="2024-11-20T21:11:37"/>
    <s v="OMNAT8ORR"/>
    <x v="0"/>
    <s v="UBM 648D"/>
    <m/>
    <s v="Ntale and Sons Ltd-Kakiri"/>
    <n v="156"/>
    <s v="A18509"/>
    <x v="22"/>
    <x v="0"/>
    <x v="0"/>
    <x v="0"/>
    <x v="22"/>
    <x v="21"/>
    <n v="616"/>
    <n v="-4"/>
    <x v="0"/>
    <d v="2024-11-21T09:39:37"/>
    <d v="2024-11-21T09:11:37"/>
    <d v="2024-11-21T10:19:37"/>
    <n v="66.583333333333329"/>
    <n v="39.166666666666664"/>
    <x v="1"/>
    <d v="2024-11-22T08:49:37"/>
    <d v="2024-11-22T12:26:37"/>
    <n v="212.46666666666667"/>
    <x v="0"/>
    <d v="2024-11-23T10:24:13"/>
    <d v="2024-11-23T11:21:13"/>
    <n v="55.8"/>
    <x v="0"/>
    <n v="2.0031944444417604"/>
    <x v="0"/>
    <n v="3.1944444417604245E-3"/>
    <n v="48.07666666660225"/>
    <n v="24"/>
    <n v="24.07666666660225"/>
    <n v="6.4793022290080593"/>
    <x v="0"/>
  </r>
  <r>
    <x v="2"/>
    <x v="1"/>
    <d v="2024-11-20T21:16:56"/>
    <s v="OM1P23PRR"/>
    <x v="1"/>
    <s v="UAV 203T"/>
    <s v="Mugisha  George"/>
    <s v="Ntale and Sons Ltd-Kakiri"/>
    <n v="153.60000000000002"/>
    <s v="A18510"/>
    <x v="22"/>
    <x v="1"/>
    <x v="0"/>
    <x v="1"/>
    <x v="22"/>
    <x v="21"/>
    <n v="598"/>
    <n v="-22"/>
    <x v="0"/>
    <d v="2024-11-21T15:40:00"/>
    <d v="2024-11-20T09:00:00"/>
    <d v="2024-11-21T16:25:00"/>
    <n v="1845.7166666666667"/>
    <n v="44.05"/>
    <x v="1"/>
    <d v="2024-11-22T12:32:00"/>
    <d v="2024-11-24T07:30:00"/>
    <n v="2524.2833333333333"/>
    <x v="0"/>
    <d v="2024-11-24T15:11:00"/>
    <d v="2024-11-24T16:00:00"/>
    <n v="47.966666666666669"/>
    <x v="0"/>
    <n v="2.9486111111109494"/>
    <x v="0"/>
    <n v="0.94861111111094942"/>
    <n v="70.766666666662786"/>
    <n v="24"/>
    <n v="46.766666666662786"/>
    <n v="3.284390591589724"/>
    <x v="0"/>
  </r>
  <r>
    <x v="2"/>
    <x v="1"/>
    <d v="2024-11-20T21:18:01"/>
    <s v="OMDZYJURR"/>
    <x v="1"/>
    <s v="UBJ 415C"/>
    <s v="Abel Mark naffa"/>
    <s v="Ntale and Sons Ltd-Kakiri"/>
    <n v="153.60000000000002"/>
    <s v="A18511"/>
    <x v="22"/>
    <x v="1"/>
    <x v="0"/>
    <x v="1"/>
    <x v="22"/>
    <x v="21"/>
    <n v="603"/>
    <n v="-17"/>
    <x v="0"/>
    <d v="2024-11-21T16:34:00"/>
    <d v="2024-11-20T08:00:00"/>
    <d v="2024-11-21T17:24:00"/>
    <n v="1962.2333333333333"/>
    <n v="48.95"/>
    <x v="8"/>
    <d v="2024-11-23T12:08:00"/>
    <d v="2024-11-23T16:12:00"/>
    <n v="238.9"/>
    <x v="0"/>
    <d v="2024-11-24T11:31:00"/>
    <d v="2024-11-24T12:15:00"/>
    <n v="43.06666666666667"/>
    <x v="0"/>
    <n v="2.7548611111124046"/>
    <x v="0"/>
    <n v="0.75486111111240461"/>
    <n v="66.116666666697711"/>
    <n v="32"/>
    <n v="34.116666666697711"/>
    <n v="4.5021983390286344"/>
    <x v="0"/>
  </r>
  <r>
    <x v="2"/>
    <x v="1"/>
    <d v="2024-11-20T21:21:16"/>
    <s v="OMQVHD7RR"/>
    <x v="1"/>
    <s v="UBE 419T"/>
    <s v="Kilabila Ismail"/>
    <s v="Sawan Distributors Ltd-Nabingo"/>
    <n v="153.60000000000002"/>
    <s v="A18514"/>
    <x v="21"/>
    <x v="1"/>
    <x v="0"/>
    <x v="1"/>
    <x v="21"/>
    <x v="2"/>
    <n v="539"/>
    <n v="-21"/>
    <x v="0"/>
    <d v="2024-11-22T06:14:00"/>
    <d v="2024-11-20T08:00:00"/>
    <d v="2024-11-22T07:03:00"/>
    <n v="2764.1833333333334"/>
    <n v="47.966666666666669"/>
    <x v="1"/>
    <d v="2024-11-22T14:03:00"/>
    <d v="2024-11-22T16:21:00"/>
    <n v="135.11666666666667"/>
    <x v="0"/>
    <d v="2024-11-23T11:31:00"/>
    <d v="2024-11-23T12:30:00"/>
    <n v="57.766666666666666"/>
    <x v="0"/>
    <n v="1.1861111111138598"/>
    <x v="0"/>
    <n v="-0.81388888888614019"/>
    <n v="28.466666666732635"/>
    <n v="12"/>
    <n v="16.466666666732635"/>
    <n v="9.3279352226346965"/>
    <x v="0"/>
  </r>
  <r>
    <x v="2"/>
    <x v="0"/>
    <d v="2024-11-21T00:00:00"/>
    <s v="OM02KR48"/>
    <x v="0"/>
    <s v="UBP 311H"/>
    <s v="Ekwalikwa Yusuf"/>
    <s v="Kobusinge Acaali- Kyenjojo"/>
    <n v="156"/>
    <s v="Z81191"/>
    <x v="3"/>
    <x v="0"/>
    <x v="0"/>
    <x v="0"/>
    <x v="3"/>
    <x v="3"/>
    <n v="481"/>
    <n v="1"/>
    <x v="0"/>
    <d v="2024-11-21T07:20:00"/>
    <d v="2024-11-21T07:30:00"/>
    <d v="2024-11-21T08:38:00"/>
    <n v="66.583333333333329"/>
    <n v="76.36666666666666"/>
    <x v="6"/>
    <d v="2024-11-22T10:23:00"/>
    <d v="2024-11-22T15:45:00"/>
    <n v="315.28333333333336"/>
    <x v="0"/>
    <d v="2024-11-23T17:54:36"/>
    <d v="2024-11-23T18:42:36"/>
    <n v="46.983333333333334"/>
    <x v="0"/>
    <n v="2.3865277777731535"/>
    <x v="1"/>
    <n v="-0.1134722222268465"/>
    <n v="57.276666666555684"/>
    <n v="32"/>
    <n v="25.276666666555684"/>
    <n v="6.1716998549657767"/>
    <x v="0"/>
  </r>
  <r>
    <x v="2"/>
    <x v="0"/>
    <d v="2024-11-21T00:00:00"/>
    <s v="OM02KR4J"/>
    <x v="0"/>
    <s v="UBE 684K"/>
    <m/>
    <s v="Kobusinge Acaali- Kyenjojo"/>
    <n v="151.68"/>
    <s v="Z81194"/>
    <x v="3"/>
    <x v="0"/>
    <x v="0"/>
    <x v="0"/>
    <x v="3"/>
    <x v="3"/>
    <n v="481"/>
    <n v="1"/>
    <x v="0"/>
    <d v="2024-11-21T07:58:00"/>
    <d v="2024-11-21T07:30:00"/>
    <d v="2024-11-21T08:42:00"/>
    <n v="70.483333333333334"/>
    <n v="43.06666666666667"/>
    <x v="1"/>
    <d v="2024-11-22T11:07:00"/>
    <d v="2024-11-22T19:28:00"/>
    <n v="490.55"/>
    <x v="0"/>
    <d v="2024-11-23T21:54:44"/>
    <d v="2024-11-23T22:54:44"/>
    <n v="58.733333333333334"/>
    <x v="0"/>
    <n v="2.5505111111124279"/>
    <x v="1"/>
    <n v="5.0511111112427898E-2"/>
    <n v="61.21226666669827"/>
    <n v="24"/>
    <n v="37.21226666669827"/>
    <n v="4.0760752726664826"/>
    <x v="0"/>
  </r>
  <r>
    <x v="2"/>
    <x v="0"/>
    <d v="2024-11-21T00:00:00"/>
    <s v="OM02KR5Z"/>
    <x v="0"/>
    <s v="UBE 681K"/>
    <s v="KYAPA AKIMU"/>
    <s v="Kobusinge Steven-Kamwenge"/>
    <n v="156"/>
    <s v="Z81206"/>
    <x v="13"/>
    <x v="0"/>
    <x v="0"/>
    <x v="0"/>
    <x v="13"/>
    <x v="13"/>
    <n v="240"/>
    <n v="10"/>
    <x v="0"/>
    <d v="2024-11-21T07:58:00"/>
    <d v="2024-11-21T07:30:00"/>
    <d v="2024-11-21T08:38:00"/>
    <n v="66.583333333333329"/>
    <n v="39.166666666666664"/>
    <x v="1"/>
    <d v="2024-11-22T10:08:00"/>
    <d v="2024-11-23T13:44:00"/>
    <n v="1621.5"/>
    <x v="0"/>
    <d v="2024-11-23T19:14:00"/>
    <d v="2024-11-23T20:11:00"/>
    <n v="55.8"/>
    <x v="0"/>
    <n v="2.4416666666656965"/>
    <x v="7"/>
    <n v="1.1416666666656965"/>
    <n v="58.599999999976717"/>
    <n v="24"/>
    <n v="34.599999999976717"/>
    <n v="4.5086705202342481"/>
    <x v="0"/>
  </r>
  <r>
    <x v="2"/>
    <x v="0"/>
    <d v="2024-11-21T00:00:00"/>
    <s v="OM02KR49"/>
    <x v="0"/>
    <s v="UBE 690K"/>
    <s v="MUKOSE MUZAMIRU"/>
    <s v="Sawan Distributors Ltd-Nabingo"/>
    <n v="156"/>
    <s v="A18575"/>
    <x v="21"/>
    <x v="0"/>
    <x v="0"/>
    <x v="0"/>
    <x v="21"/>
    <x v="2"/>
    <m/>
    <n v="-560"/>
    <x v="0"/>
    <d v="2024-11-21T07:20:00"/>
    <d v="2024-11-21T07:30:00"/>
    <d v="2024-11-21T08:38:00"/>
    <n v="66.583333333333329"/>
    <n v="76.36666666666666"/>
    <x v="6"/>
    <d v="2024-11-22T09:38:00"/>
    <d v="2024-11-22T14:38:00"/>
    <n v="293.75"/>
    <x v="0"/>
    <d v="2024-11-23T12:14:00"/>
    <d v="2024-11-23T13:14:00"/>
    <n v="58.733333333333334"/>
    <x v="0"/>
    <n v="2.1500000000014552"/>
    <x v="0"/>
    <n v="0.15000000000145519"/>
    <n v="51.600000000034925"/>
    <n v="32"/>
    <n v="19.600000000034925"/>
    <n v="7.9591836734552057"/>
    <x v="0"/>
  </r>
  <r>
    <x v="2"/>
    <x v="0"/>
    <d v="2024-11-21T00:00:00"/>
    <s v="OM02KR4S"/>
    <x v="0"/>
    <s v="UBK 866R"/>
    <m/>
    <s v="Kobusinge Steven-FPortal"/>
    <n v="154.34400000000002"/>
    <s v="Z81196"/>
    <x v="11"/>
    <x v="0"/>
    <x v="0"/>
    <x v="0"/>
    <x v="11"/>
    <x v="11"/>
    <n v="393"/>
    <n v="3"/>
    <x v="0"/>
    <d v="2024-11-21T07:42:00"/>
    <d v="2024-11-21T07:30:00"/>
    <d v="2024-11-21T08:38:00"/>
    <n v="66.583333333333329"/>
    <n v="54.833333333333336"/>
    <x v="2"/>
    <d v="2024-11-22T07:08:00"/>
    <d v="2024-11-22T16:17:00"/>
    <n v="537.54999999999995"/>
    <x v="0"/>
    <d v="2024-11-23T08:53:07"/>
    <d v="2024-11-23T09:38:07"/>
    <n v="44.05"/>
    <x v="0"/>
    <n v="2.0104999999966822"/>
    <x v="0"/>
    <n v="1.0499999996682163E-2"/>
    <n v="48.251999999920372"/>
    <n v="32"/>
    <n v="16.251999999920372"/>
    <n v="9.4969234556212303"/>
    <x v="0"/>
  </r>
  <r>
    <x v="2"/>
    <x v="1"/>
    <d v="2024-11-21T00:00:00"/>
    <s v="OM02KR60"/>
    <x v="0"/>
    <s v="UAY 265V"/>
    <m/>
    <s v="KATO INVESTMENTS LTD- KALISIZO"/>
    <n v="153.60000000000002"/>
    <s v="F15342"/>
    <x v="4"/>
    <x v="1"/>
    <x v="0"/>
    <x v="1"/>
    <x v="4"/>
    <x v="4"/>
    <n v="351"/>
    <n v="1"/>
    <x v="0"/>
    <d v="2024-11-21T07:58:00"/>
    <d v="2024-11-21T07:30:00"/>
    <d v="2024-11-21T08:58:00"/>
    <n v="86.15"/>
    <n v="58.733333333333334"/>
    <x v="10"/>
    <d v="2024-11-21T15:58:00"/>
    <d v="2024-11-21T19:29:00"/>
    <n v="206.6"/>
    <x v="0"/>
    <d v="2024-11-22T19:29:00"/>
    <d v="2024-11-22T20:24:00"/>
    <n v="53.85"/>
    <x v="0"/>
    <n v="1.4381944444394321"/>
    <x v="2"/>
    <n v="-0.26180555556056784"/>
    <n v="34.516666666546371"/>
    <n v="16"/>
    <n v="18.516666666546371"/>
    <n v="8.2952295230061868"/>
    <x v="0"/>
  </r>
  <r>
    <x v="2"/>
    <x v="1"/>
    <d v="2024-11-21T00:00:00"/>
    <s v="OM02KR61"/>
    <x v="0"/>
    <s v="UAR 731Q"/>
    <s v="Godwin Niwensiima"/>
    <s v="KATO INVESTMENTS LTD- KALISIZO"/>
    <n v="153.60000000000002"/>
    <s v="F15341"/>
    <x v="4"/>
    <x v="1"/>
    <x v="0"/>
    <x v="1"/>
    <x v="4"/>
    <x v="4"/>
    <n v="351"/>
    <n v="1"/>
    <x v="0"/>
    <d v="2024-11-21T07:58:00"/>
    <d v="2024-11-21T07:30:00"/>
    <d v="2024-11-21T08:42:00"/>
    <n v="70.483333333333334"/>
    <n v="43.06666666666667"/>
    <x v="1"/>
    <d v="2024-11-21T15:42:00"/>
    <d v="2024-11-21T19:20:00"/>
    <n v="213.45"/>
    <x v="0"/>
    <d v="2024-11-22T02:50:00"/>
    <d v="2024-11-22T03:41:00"/>
    <n v="49.93333333333333"/>
    <x v="0"/>
    <n v="0.75555555555183673"/>
    <x v="2"/>
    <n v="-0.94444444444816322"/>
    <n v="18.133333333244082"/>
    <n v="0"/>
    <n v="18.133333333244082"/>
    <n v="8.4705882353358106"/>
    <x v="0"/>
  </r>
  <r>
    <x v="2"/>
    <x v="0"/>
    <d v="2024-11-21T22:27:21"/>
    <s v="OMDPJMERR"/>
    <x v="1"/>
    <s v="UBJ 705D"/>
    <s v="KASULE JOHNBOSC"/>
    <s v="Kobusinge Steven-FPortal"/>
    <n v="156"/>
    <s v="Z81197"/>
    <x v="11"/>
    <x v="0"/>
    <x v="0"/>
    <x v="0"/>
    <x v="11"/>
    <x v="11"/>
    <n v="389"/>
    <n v="-1"/>
    <x v="0"/>
    <d v="2024-11-22T08:20:00"/>
    <d v="2024-11-21T20:25:00"/>
    <d v="2024-11-22T09:02:00"/>
    <n v="741.2166666666667"/>
    <n v="41.116666666666667"/>
    <x v="1"/>
    <d v="2024-11-23T08:47:00"/>
    <d v="2024-11-23T13:12:00"/>
    <n v="259.46666666666664"/>
    <x v="0"/>
    <d v="2024-11-23T13:41:00"/>
    <d v="2024-11-23T14:38:00"/>
    <n v="55.8"/>
    <x v="0"/>
    <n v="1.1937500000058208"/>
    <x v="0"/>
    <n v="-0.80624999999417923"/>
    <n v="28.650000000139698"/>
    <n v="12"/>
    <n v="16.650000000139698"/>
    <n v="9.3693693692907569"/>
    <x v="0"/>
  </r>
  <r>
    <x v="2"/>
    <x v="0"/>
    <d v="2024-11-21T22:32:07"/>
    <s v="OM48JY5RR"/>
    <x v="1"/>
    <s v="UBJ 420C"/>
    <s v="ZIWA ABASI"/>
    <s v="Kobusinge Steven-FPortal"/>
    <n v="156"/>
    <s v="Z81200"/>
    <x v="11"/>
    <x v="0"/>
    <x v="0"/>
    <x v="0"/>
    <x v="11"/>
    <x v="11"/>
    <n v="385"/>
    <n v="-5"/>
    <x v="0"/>
    <d v="2024-11-22T07:32:00"/>
    <d v="2024-11-21T20:25:00"/>
    <d v="2024-11-22T08:33:00"/>
    <n v="712.81666666666672"/>
    <n v="59.716666666666669"/>
    <x v="5"/>
    <d v="2024-11-22T19:41:00"/>
    <d v="2024-11-24T14:45:00"/>
    <n v="2530.15"/>
    <x v="0"/>
    <d v="2024-11-24T21:41:00"/>
    <d v="2024-11-24T22:41:00"/>
    <n v="58.75"/>
    <x v="0"/>
    <n v="2.547222222223354"/>
    <x v="0"/>
    <n v="0.54722222222335404"/>
    <n v="61.133333333360497"/>
    <n v="32"/>
    <n v="29.133333333360497"/>
    <n v="5.3546910755098818"/>
    <x v="1"/>
  </r>
  <r>
    <x v="2"/>
    <x v="1"/>
    <d v="2024-11-21T23:02:32"/>
    <s v="OMPKM06RR"/>
    <x v="0"/>
    <s v="UAV 051U"/>
    <s v="Angello Lumala"/>
    <s v="Kabaco U Ltd"/>
    <n v="151.44"/>
    <s v="Z81201"/>
    <x v="6"/>
    <x v="1"/>
    <x v="0"/>
    <x v="1"/>
    <x v="6"/>
    <x v="6"/>
    <n v="318"/>
    <n v="-2"/>
    <x v="0"/>
    <d v="2024-11-22T11:30:32"/>
    <d v="2024-11-22T11:02:32"/>
    <d v="2024-11-22T12:17:32"/>
    <n v="73.433333333333337"/>
    <n v="46.016666666666666"/>
    <x v="8"/>
    <d v="2024-11-22T18:17:32"/>
    <d v="2024-11-23T13:43:56"/>
    <n v="1142.0833333333333"/>
    <x v="0"/>
    <d v="2024-11-23T19:03:56"/>
    <d v="2024-11-23T19:39:56"/>
    <n v="35.25"/>
    <x v="0"/>
    <n v="1.2822222222166602"/>
    <x v="3"/>
    <n v="-0.21777777778333984"/>
    <n v="30.773333333199844"/>
    <n v="16"/>
    <n v="14.773333333199844"/>
    <n v="10.250902527168437"/>
    <x v="0"/>
  </r>
  <r>
    <x v="2"/>
    <x v="0"/>
    <d v="2024-11-21T23:32:04"/>
    <s v="OMRG6G2RR"/>
    <x v="1"/>
    <s v="UBM 565R"/>
    <s v="BAZALE SAID"/>
    <s v="Kobusinge Steven-Kamwenge"/>
    <n v="156"/>
    <s v="Z81203"/>
    <x v="13"/>
    <x v="0"/>
    <x v="0"/>
    <x v="0"/>
    <x v="13"/>
    <x v="13"/>
    <n v="234"/>
    <n v="4"/>
    <x v="0"/>
    <d v="2024-11-22T05:45:00"/>
    <d v="2024-11-21T08:00:00"/>
    <d v="2024-11-22T06:30:00"/>
    <n v="1321.8666666666666"/>
    <n v="44.05"/>
    <x v="1"/>
    <d v="2024-11-22T13:58:00"/>
    <d v="2024-11-22T19:21:00"/>
    <n v="316.26666666666665"/>
    <x v="0"/>
    <d v="2024-11-22T21:27:00"/>
    <d v="2024-11-22T22:04:00"/>
    <n v="36.216666666666669"/>
    <x v="0"/>
    <n v="0.62291666666715173"/>
    <x v="7"/>
    <n v="-0.67708333333284831"/>
    <n v="14.950000000011642"/>
    <n v="0"/>
    <n v="14.950000000011642"/>
    <n v="10.434782608687527"/>
    <x v="0"/>
  </r>
  <r>
    <x v="2"/>
    <x v="0"/>
    <d v="2024-11-21T23:33:08"/>
    <s v="OM961AORR"/>
    <x v="1"/>
    <s v="UBJ 417C"/>
    <s v="FARUK   ABEL"/>
    <s v="Sawan Distributors Ltd-Kayabwe"/>
    <n v="156"/>
    <s v="A18582"/>
    <x v="9"/>
    <x v="0"/>
    <x v="0"/>
    <x v="0"/>
    <x v="9"/>
    <x v="9"/>
    <n v="391"/>
    <n v="-9"/>
    <x v="0"/>
    <d v="2024-11-22T10:48:00"/>
    <d v="2024-11-21T08:00:00"/>
    <d v="2024-11-22T11:34:00"/>
    <n v="1619.5333333333333"/>
    <n v="45.033333333333331"/>
    <x v="1"/>
    <d v="2024-11-23T08:37:00"/>
    <d v="2024-11-23T13:57:00"/>
    <n v="313.33333333333331"/>
    <x v="0"/>
    <d v="2024-11-23T21:43:00"/>
    <d v="2024-11-23T22:26:00"/>
    <n v="42.1"/>
    <x v="0"/>
    <n v="1.4229166666700621"/>
    <x v="0"/>
    <n v="-0.57708333332993789"/>
    <n v="34.150000000081491"/>
    <n v="12"/>
    <n v="22.150000000081491"/>
    <n v="7.0428893904932766"/>
    <x v="0"/>
  </r>
  <r>
    <x v="2"/>
    <x v="1"/>
    <d v="2024-11-21T23:34:13"/>
    <s v="OMLCGKGRR"/>
    <x v="0"/>
    <s v="UAT 351G"/>
    <s v="Hamudi Sesanga"/>
    <s v="Kabaco U Ltd-Mbarara"/>
    <n v="153.60000000000002"/>
    <s v="Z81204"/>
    <x v="8"/>
    <x v="1"/>
    <x v="0"/>
    <x v="1"/>
    <x v="8"/>
    <x v="8"/>
    <n v="13"/>
    <n v="2"/>
    <x v="0"/>
    <d v="2024-11-22T12:02:13"/>
    <d v="2024-11-22T11:34:13"/>
    <d v="2024-11-22T12:46:13"/>
    <n v="70.483333333333334"/>
    <n v="43.06666666666667"/>
    <x v="1"/>
    <d v="2024-11-22T13:22:13"/>
    <d v="2024-11-22T15:40:13"/>
    <n v="135.11666666666667"/>
    <x v="0"/>
    <d v="2024-11-22T16:10:13"/>
    <d v="2024-11-22T17:11:13"/>
    <n v="59.716666666666669"/>
    <x v="0"/>
    <n v="0.14166666667006211"/>
    <x v="5"/>
    <n v="-0.65833333332993793"/>
    <n v="3.4000000000814907"/>
    <n v="0"/>
    <n v="3.4000000000814907"/>
    <n v="45.176470587152515"/>
    <x v="0"/>
  </r>
  <r>
    <x v="2"/>
    <x v="1"/>
    <d v="2024-11-21T23:39:22"/>
    <s v="OM7HOYYRR"/>
    <x v="0"/>
    <s v="UBJ 988D"/>
    <m/>
    <s v="Kabaco U Ltd"/>
    <n v="154.34400000000002"/>
    <s v="Z81205"/>
    <x v="6"/>
    <x v="1"/>
    <x v="0"/>
    <x v="1"/>
    <x v="6"/>
    <x v="6"/>
    <n v="318"/>
    <n v="-2"/>
    <x v="0"/>
    <d v="2024-11-22T12:07:22"/>
    <d v="2024-11-22T11:39:22"/>
    <d v="2024-11-22T13:02:22"/>
    <n v="81.266666666666666"/>
    <n v="53.85"/>
    <x v="3"/>
    <d v="2024-11-22T19:02:22"/>
    <d v="2024-11-23T11:47:29"/>
    <n v="984.16666666666663"/>
    <x v="0"/>
    <d v="2024-11-23T17:07:29"/>
    <d v="2024-11-23T17:47:29"/>
    <n v="39.166666666666664"/>
    <x v="0"/>
    <n v="1.1702222222156706"/>
    <x v="3"/>
    <n v="-0.32977777778432937"/>
    <n v="28.085333333176095"/>
    <n v="16"/>
    <n v="12.085333333176095"/>
    <n v="12.771182700960514"/>
    <x v="0"/>
  </r>
  <r>
    <x v="2"/>
    <x v="0"/>
    <d v="2024-11-21T23:42:26"/>
    <s v="OMY4VNXRR"/>
    <x v="1"/>
    <s v="UBM 644D"/>
    <s v="KAJUBI ISMA"/>
    <s v="Kato Investments Ltd- Kakumiro"/>
    <n v="156"/>
    <s v="A18583"/>
    <x v="24"/>
    <x v="0"/>
    <x v="0"/>
    <x v="0"/>
    <x v="24"/>
    <x v="22"/>
    <n v="806"/>
    <n v="41"/>
    <x v="0"/>
    <d v="2024-11-22T13:03:00"/>
    <d v="2024-11-21T18:06:00"/>
    <d v="2024-11-22T13:48:00"/>
    <n v="1157.3666666666666"/>
    <n v="44.05"/>
    <x v="1"/>
    <d v="2024-11-23T07:11:00"/>
    <d v="2024-11-23T11:35:00"/>
    <n v="258.5"/>
    <x v="0"/>
    <d v="2024-11-24T17:40:00"/>
    <d v="2024-11-24T18:25:00"/>
    <n v="44.05"/>
    <x v="0"/>
    <n v="2.1611111111124046"/>
    <x v="3"/>
    <n v="0.66111111111240461"/>
    <n v="51.866666666697711"/>
    <n v="24"/>
    <n v="27.866666666697711"/>
    <n v="5.5980861243956772"/>
    <x v="0"/>
  </r>
  <r>
    <x v="2"/>
    <x v="0"/>
    <d v="2024-11-22T00:00:00"/>
    <s v="OM02KRC4"/>
    <x v="0"/>
    <s v="UBP 311H"/>
    <m/>
    <s v="Boniface Harera"/>
    <n v="151.80000000000001"/>
    <s v="F15350"/>
    <x v="10"/>
    <x v="0"/>
    <x v="0"/>
    <x v="0"/>
    <x v="10"/>
    <x v="10"/>
    <n v="474"/>
    <n v="4"/>
    <x v="0"/>
    <d v="2024-11-22T07:58:00"/>
    <d v="2024-11-22T07:30:00"/>
    <d v="2024-11-22T08:38:00"/>
    <n v="66.583333333333329"/>
    <n v="39.166666666666664"/>
    <x v="1"/>
    <d v="2024-11-23T10:38:00"/>
    <d v="2024-11-23T15:53:00"/>
    <n v="308.43333333333334"/>
    <x v="0"/>
    <d v="2024-11-24T14:41:00"/>
    <d v="2024-11-24T15:33:00"/>
    <n v="50.916666666666664"/>
    <x v="0"/>
    <n v="2.2520833333328483"/>
    <x v="1"/>
    <n v="-0.24791666666715173"/>
    <n v="54.049999999988358"/>
    <n v="24"/>
    <n v="30.049999999988358"/>
    <n v="5.051580698837232"/>
    <x v="0"/>
  </r>
  <r>
    <x v="2"/>
    <x v="0"/>
    <d v="2024-11-22T00:00:00"/>
    <s v="OM02KR9U"/>
    <x v="0"/>
    <s v="UBP 311H"/>
    <m/>
    <s v="Ntale and Sons Ltd-Kakiri"/>
    <n v="156"/>
    <s v="A18608"/>
    <x v="22"/>
    <x v="0"/>
    <x v="0"/>
    <x v="0"/>
    <x v="22"/>
    <x v="21"/>
    <n v="612"/>
    <n v="-8"/>
    <x v="0"/>
    <d v="2024-11-22T07:58:00"/>
    <d v="2024-11-22T07:30:00"/>
    <d v="2024-11-22T08:42:00"/>
    <n v="70.483333333333334"/>
    <n v="43.06666666666667"/>
    <x v="1"/>
    <d v="2024-11-22T21:12:00"/>
    <d v="2024-11-23T16:44:18"/>
    <n v="1147.8666666666666"/>
    <x v="0"/>
    <d v="2024-11-24T15:32:18"/>
    <d v="2024-11-24T16:16:18"/>
    <n v="43.06666666666667"/>
    <x v="0"/>
    <n v="2.2849333333360846"/>
    <x v="0"/>
    <n v="0.28493333333608462"/>
    <n v="54.838400000066031"/>
    <n v="24"/>
    <n v="30.838400000066031"/>
    <n v="5.0586282037870314"/>
    <x v="0"/>
  </r>
  <r>
    <x v="2"/>
    <x v="0"/>
    <d v="2024-11-22T00:00:00"/>
    <s v="OM02KRH9"/>
    <x v="0"/>
    <s v="UBE 680K"/>
    <s v="BYEKWASO TWAHA"/>
    <s v="Kato Investments Ltd- Kakumiro"/>
    <n v="156"/>
    <s v="A18641"/>
    <x v="24"/>
    <x v="0"/>
    <x v="0"/>
    <x v="0"/>
    <x v="24"/>
    <x v="22"/>
    <n v="771"/>
    <n v="6"/>
    <x v="0"/>
    <d v="2024-11-22T07:58:00"/>
    <d v="2024-11-22T07:30:00"/>
    <d v="2024-11-22T08:47:00"/>
    <n v="75.38333333333334"/>
    <n v="47.966666666666669"/>
    <x v="1"/>
    <d v="2024-11-22T17:47:00"/>
    <d v="2024-11-23T14:26:50"/>
    <n v="1214"/>
    <x v="0"/>
    <d v="2024-11-24T07:58:02"/>
    <d v="2024-11-24T08:52:02"/>
    <n v="52.866666666666667"/>
    <x v="0"/>
    <n v="1.9660000000003492"/>
    <x v="3"/>
    <n v="0.46600000000034925"/>
    <n v="47.184000000008382"/>
    <n v="12"/>
    <n v="35.184000000008382"/>
    <n v="4.433833560708357"/>
    <x v="0"/>
  </r>
  <r>
    <x v="2"/>
    <x v="0"/>
    <d v="2024-11-22T00:00:00"/>
    <s v="OM02KRGW"/>
    <x v="0"/>
    <s v="UBF 070Q"/>
    <s v="NTUMWA SOLOMON"/>
    <s v="Kato Investment Ltd -Kagadi"/>
    <n v="156"/>
    <s v="A18637"/>
    <x v="12"/>
    <x v="0"/>
    <x v="0"/>
    <x v="0"/>
    <x v="12"/>
    <x v="12"/>
    <n v="612"/>
    <n v="0"/>
    <x v="0"/>
    <d v="2024-11-22T07:20:00"/>
    <d v="2024-11-22T07:30:00"/>
    <d v="2024-11-22T08:38:00"/>
    <n v="66.583333333333329"/>
    <n v="76.36666666666666"/>
    <x v="6"/>
    <d v="2024-11-23T10:38:00"/>
    <d v="2024-11-23T15:26:00"/>
    <n v="281.98333333333335"/>
    <x v="0"/>
    <d v="2024-11-24T11:03:55"/>
    <d v="2024-11-24T12:03:55"/>
    <n v="58.733333333333334"/>
    <x v="0"/>
    <n v="2.1013333333321498"/>
    <x v="6"/>
    <n v="-0.19866666666785004"/>
    <n v="50.431999999971595"/>
    <n v="32"/>
    <n v="18.431999999971595"/>
    <n v="8.4635416666797099"/>
    <x v="0"/>
  </r>
  <r>
    <x v="2"/>
    <x v="0"/>
    <d v="2024-11-22T00:00:00"/>
    <s v="OM02KRGY"/>
    <x v="0"/>
    <s v="UBK 866R"/>
    <m/>
    <s v="KATO INVESTMENTS LTD-KATIKARA"/>
    <n v="156"/>
    <s v="A18638"/>
    <x v="5"/>
    <x v="0"/>
    <x v="0"/>
    <x v="0"/>
    <x v="5"/>
    <x v="5"/>
    <n v="821"/>
    <n v="-9"/>
    <x v="0"/>
    <d v="2024-11-22T07:58:00"/>
    <d v="2024-11-22T07:30:00"/>
    <d v="2024-11-22T08:38:00"/>
    <n v="66.583333333333329"/>
    <n v="39.166666666666664"/>
    <x v="1"/>
    <d v="2024-11-23T09:53:00"/>
    <d v="2024-11-23T16:39:00"/>
    <n v="397.53333333333336"/>
    <x v="0"/>
    <d v="2024-11-24T21:54:22"/>
    <d v="2024-11-24T22:24:22"/>
    <n v="29.366666666666667"/>
    <x v="0"/>
    <n v="2.5530277777797892"/>
    <x v="0"/>
    <n v="0.55302777777978918"/>
    <n v="61.27266666671494"/>
    <n v="24"/>
    <n v="37.27266666671494"/>
    <n v="4.1853726591371148"/>
    <x v="5"/>
  </r>
  <r>
    <x v="2"/>
    <x v="1"/>
    <d v="2024-11-22T12:55:22"/>
    <s v="OMHNE32RR"/>
    <x v="0"/>
    <s v="UAV 051U"/>
    <s v="Angello Lumala"/>
    <s v="Kabaco U Ltd-Mbarara"/>
    <n v="143.10000000000002"/>
    <s v="Z81215"/>
    <x v="8"/>
    <x v="1"/>
    <x v="0"/>
    <x v="1"/>
    <x v="8"/>
    <x v="8"/>
    <n v="12"/>
    <n v="1"/>
    <x v="0"/>
    <d v="2024-11-23T13:23:22"/>
    <d v="2024-11-23T00:55:22"/>
    <d v="2024-11-23T14:07:22"/>
    <n v="775.48333333333335"/>
    <n v="43.06666666666667"/>
    <x v="1"/>
    <d v="2024-11-23T14:34:22"/>
    <d v="2024-11-23T18:11:22"/>
    <n v="212.46666666666667"/>
    <x v="0"/>
    <d v="2024-11-23T18:41:22"/>
    <d v="2024-11-23T19:29:22"/>
    <n v="46.983333333333334"/>
    <x v="0"/>
    <n v="0.19027777777955635"/>
    <x v="5"/>
    <n v="-0.6097222222204437"/>
    <n v="4.5666666667093523"/>
    <n v="0"/>
    <n v="4.5666666667093523"/>
    <n v="31.335766423064769"/>
    <x v="0"/>
  </r>
  <r>
    <x v="2"/>
    <x v="0"/>
    <d v="2024-11-23T00:00:00"/>
    <s v="OM02KRMG"/>
    <x v="0"/>
    <s v="UBE 673K"/>
    <s v="Bulega Sperito"/>
    <s v="KATO INVESTMENTS LTD-KATIKARA"/>
    <n v="151.68"/>
    <s v="A18665"/>
    <x v="5"/>
    <x v="0"/>
    <x v="0"/>
    <x v="0"/>
    <x v="5"/>
    <x v="5"/>
    <n v="821"/>
    <n v="-9"/>
    <x v="0"/>
    <d v="2024-11-23T07:58:00"/>
    <d v="2024-11-23T07:30:00"/>
    <d v="2024-11-23T09:02:00"/>
    <n v="90.066666666666663"/>
    <n v="62.65"/>
    <x v="6"/>
    <d v="2024-11-24T10:17:00"/>
    <d v="2024-11-25T17:00:12"/>
    <n v="1804.7833333333333"/>
    <x v="0"/>
    <d v="2024-11-26T21:48:12"/>
    <d v="2024-11-26T22:24:12"/>
    <n v="35.25"/>
    <x v="0"/>
    <n v="3.5320833333316841"/>
    <x v="0"/>
    <n v="1.5320833333316841"/>
    <n v="84.769999999960419"/>
    <n v="48"/>
    <n v="36.769999999960419"/>
    <n v="4.1251019853185555"/>
    <x v="9"/>
  </r>
  <r>
    <x v="2"/>
    <x v="0"/>
    <d v="2024-11-23T00:00:00"/>
    <s v="OM02KRMJ"/>
    <x v="0"/>
    <s v="UBE 673K"/>
    <s v="Bulega Sperito"/>
    <s v="Kato Investments Ltd-Bulenga"/>
    <n v="156"/>
    <s v="A18666"/>
    <x v="2"/>
    <x v="0"/>
    <x v="0"/>
    <x v="0"/>
    <x v="2"/>
    <x v="2"/>
    <n v="571"/>
    <n v="11"/>
    <x v="0"/>
    <d v="2024-11-23T07:58:00"/>
    <d v="2024-11-23T07:30:00"/>
    <d v="2024-11-23T08:38:00"/>
    <n v="66.583333333333329"/>
    <n v="39.166666666666664"/>
    <x v="1"/>
    <d v="2024-11-24T08:38:00"/>
    <d v="2024-11-24T14:11:00"/>
    <n v="326.05"/>
    <x v="0"/>
    <d v="2024-11-25T08:38:00"/>
    <d v="2024-11-25T09:35:00"/>
    <n v="55.8"/>
    <x v="0"/>
    <n v="2"/>
    <x v="0"/>
    <n v="0"/>
    <n v="48"/>
    <n v="24"/>
    <n v="24"/>
    <n v="6.5"/>
    <x v="0"/>
  </r>
  <r>
    <x v="2"/>
    <x v="0"/>
    <d v="2024-11-23T00:00:00"/>
    <s v="OM02KRMC"/>
    <x v="0"/>
    <s v="UBE 684K"/>
    <m/>
    <s v="Kato Investment Ltd -Kagadi"/>
    <n v="156"/>
    <s v="A18663"/>
    <x v="12"/>
    <x v="0"/>
    <x v="0"/>
    <x v="0"/>
    <x v="12"/>
    <x v="12"/>
    <n v="610"/>
    <n v="-2"/>
    <x v="0"/>
    <d v="2024-11-23T07:16:00"/>
    <d v="2024-11-23T07:30:00"/>
    <d v="2024-11-23T08:47:00"/>
    <n v="75.38333333333334"/>
    <n v="89.1"/>
    <x v="1"/>
    <d v="2024-11-24T10:17:00"/>
    <d v="2024-11-24T15:17:00"/>
    <n v="293.75"/>
    <x v="0"/>
    <d v="2024-11-25T10:54:55"/>
    <d v="2024-11-25T11:45:55"/>
    <n v="49.93333333333333"/>
    <x v="0"/>
    <n v="2.0888333333350602"/>
    <x v="6"/>
    <n v="-0.21116666666493966"/>
    <n v="50.132000000041444"/>
    <n v="24"/>
    <n v="26.132000000041444"/>
    <n v="5.9696923312319221"/>
    <x v="0"/>
  </r>
  <r>
    <x v="2"/>
    <x v="0"/>
    <d v="2024-11-23T00:00:00"/>
    <s v="OM02KRMD"/>
    <x v="0"/>
    <s v="UBE 673K"/>
    <s v="Bulega Sperito"/>
    <s v="Sawan Distributors Ltd-Nabingo"/>
    <n v="151.80000000000001"/>
    <s v="A18664"/>
    <x v="21"/>
    <x v="0"/>
    <x v="0"/>
    <x v="0"/>
    <x v="21"/>
    <x v="2"/>
    <n v="553"/>
    <n v="-7"/>
    <x v="0"/>
    <d v="2024-11-23T07:58:00"/>
    <d v="2024-11-23T07:30:00"/>
    <d v="2024-11-23T08:42:00"/>
    <n v="70.483333333333334"/>
    <n v="43.06666666666667"/>
    <x v="1"/>
    <d v="2024-11-24T10:42:00"/>
    <d v="2024-11-24T14:22:00"/>
    <n v="215.41666666666666"/>
    <x v="0"/>
    <d v="2024-11-25T14:22:00"/>
    <d v="2024-11-25T15:11:00"/>
    <n v="47.966666666666669"/>
    <x v="0"/>
    <n v="2.2361111111167702"/>
    <x v="0"/>
    <n v="0.23611111111677019"/>
    <n v="53.666666666802485"/>
    <n v="24"/>
    <n v="29.666666666802485"/>
    <n v="5.1168539325608444"/>
    <x v="0"/>
  </r>
  <r>
    <x v="2"/>
    <x v="0"/>
    <d v="2024-11-23T00:00:00"/>
    <s v="OM02KRMB"/>
    <x v="0"/>
    <s v="UBE 690K"/>
    <s v="MUKOSE MUZAMIRU"/>
    <s v="Kabaco U Ltd"/>
    <n v="156"/>
    <s v="Z81243"/>
    <x v="6"/>
    <x v="0"/>
    <x v="0"/>
    <x v="0"/>
    <x v="6"/>
    <x v="6"/>
    <n v="324"/>
    <n v="4"/>
    <x v="0"/>
    <d v="2024-11-23T07:20:00"/>
    <d v="2024-11-23T07:30:00"/>
    <d v="2024-11-23T08:38:00"/>
    <n v="66.583333333333329"/>
    <n v="76.36666666666666"/>
    <x v="6"/>
    <d v="2024-11-23T14:38:00"/>
    <d v="2024-11-23T19:53:00"/>
    <n v="308.43333333333334"/>
    <x v="0"/>
    <d v="2024-11-24T01:13:00"/>
    <d v="2024-11-24T01:58:00"/>
    <n v="44.05"/>
    <x v="0"/>
    <n v="0.69097222221898846"/>
    <x v="3"/>
    <n v="-0.80902777778101154"/>
    <n v="16.583333333255723"/>
    <n v="0"/>
    <n v="16.583333333255723"/>
    <n v="9.4070351759234221"/>
    <x v="0"/>
  </r>
  <r>
    <x v="2"/>
    <x v="1"/>
    <d v="2024-11-23T15:07:59"/>
    <s v="OM98BI8RR"/>
    <x v="1"/>
    <s v="UBE 422T"/>
    <s v="Jacob Oneka"/>
    <s v="KATO INVESTMENTS LIMITED-MASAK"/>
    <n v="153.60000000000002"/>
    <s v="F15361"/>
    <x v="14"/>
    <x v="1"/>
    <x v="0"/>
    <x v="1"/>
    <x v="14"/>
    <x v="14"/>
    <n v="314"/>
    <n v="-26"/>
    <x v="0"/>
    <d v="2024-11-24T10:27:00"/>
    <d v="2024-11-24T04:14:00"/>
    <d v="2024-11-24T11:16:00"/>
    <n v="413.2"/>
    <n v="47.966666666666669"/>
    <x v="8"/>
    <d v="2024-11-24T15:17:00"/>
    <d v="2024-11-24T18:19:00"/>
    <n v="178.2"/>
    <x v="0"/>
    <d v="2024-11-25T12:54:00"/>
    <d v="2024-11-25T13:53:00"/>
    <n v="57.766666666666666"/>
    <x v="0"/>
    <n v="1.0680555555518367"/>
    <x v="8"/>
    <n v="6.8055555551836733E-2"/>
    <n v="25.633333333244082"/>
    <n v="16"/>
    <n v="9.6333333332440816"/>
    <n v="15.94463667834842"/>
    <x v="0"/>
  </r>
  <r>
    <x v="2"/>
    <x v="1"/>
    <d v="2024-11-23T15:09:30"/>
    <s v="OM3QP63RR"/>
    <x v="1"/>
    <s v="UBE 419T"/>
    <s v="Kilabila Ismail"/>
    <s v="Ntale and Sons"/>
    <n v="153.60000000000002"/>
    <s v="A18660"/>
    <x v="19"/>
    <x v="1"/>
    <x v="0"/>
    <x v="1"/>
    <x v="19"/>
    <x v="19"/>
    <n v="804"/>
    <n v="-6"/>
    <x v="0"/>
    <d v="2024-11-23T15:11:00"/>
    <d v="2024-11-23T17:30:00"/>
    <d v="2024-11-23T15:55:00"/>
    <n v="-93.033333333333331"/>
    <n v="43.06666666666667"/>
    <x v="1"/>
    <d v="2024-11-24T12:36:00"/>
    <d v="2024-11-24T19:26:00"/>
    <n v="401.45"/>
    <x v="0"/>
    <d v="2024-11-26T09:44:00"/>
    <d v="2024-11-26T10:39:00"/>
    <n v="53.85"/>
    <x v="0"/>
    <n v="2.742361111108039"/>
    <x v="4"/>
    <n v="-0.25763888889196096"/>
    <n v="65.816666666592937"/>
    <n v="24"/>
    <n v="41.816666666592937"/>
    <n v="3.6731765643747512"/>
    <x v="0"/>
  </r>
  <r>
    <x v="2"/>
    <x v="0"/>
    <d v="2024-11-23T15:20:44"/>
    <s v="OMV30R3RR"/>
    <x v="0"/>
    <s v="UBF 375L"/>
    <m/>
    <s v="Sawan Distributors Ltd-Kayabwe"/>
    <n v="151.80000000000001"/>
    <s v="A18661"/>
    <x v="9"/>
    <x v="0"/>
    <x v="0"/>
    <x v="0"/>
    <x v="9"/>
    <x v="9"/>
    <n v="402"/>
    <n v="2"/>
    <x v="0"/>
    <d v="2024-11-24T03:48:44"/>
    <d v="2024-11-24T03:20:44"/>
    <d v="2024-11-24T04:43:44"/>
    <n v="81.266666666666666"/>
    <n v="53.85"/>
    <x v="3"/>
    <d v="2024-11-24T13:43:44"/>
    <d v="2024-11-24T18:12:44"/>
    <n v="263.38333333333333"/>
    <x v="0"/>
    <d v="2024-11-25T14:36:44"/>
    <d v="2024-11-25T15:24:44"/>
    <n v="46.983333333333334"/>
    <x v="0"/>
    <n v="1.4118055555518367"/>
    <x v="0"/>
    <n v="-0.58819444444816327"/>
    <n v="33.883333333244082"/>
    <n v="16"/>
    <n v="17.883333333244082"/>
    <n v="8.4883504194272668"/>
    <x v="0"/>
  </r>
  <r>
    <x v="2"/>
    <x v="0"/>
    <d v="2024-11-23T15:36:00"/>
    <s v="OMU0G72RR"/>
    <x v="0"/>
    <s v="UBM 648D"/>
    <m/>
    <s v="KATO INVESTMENTS LTD-KATIKARA"/>
    <n v="152.68799999999999"/>
    <s v="A18662"/>
    <x v="5"/>
    <x v="0"/>
    <x v="0"/>
    <x v="0"/>
    <x v="5"/>
    <x v="5"/>
    <n v="821"/>
    <n v="-9"/>
    <x v="0"/>
    <d v="2024-11-24T04:04:00"/>
    <d v="2024-11-24T03:36:00"/>
    <d v="2024-11-24T04:44:00"/>
    <n v="66.583333333333329"/>
    <n v="39.166666666666664"/>
    <x v="1"/>
    <d v="2024-11-25T10:59:00"/>
    <d v="2024-11-25T15:58:00"/>
    <n v="292.76666666666665"/>
    <x v="0"/>
    <d v="2024-11-26T20:46:00"/>
    <d v="2024-11-26T21:46:00"/>
    <n v="58.733333333333334"/>
    <x v="0"/>
    <n v="2.6680555555503815"/>
    <x v="0"/>
    <n v="0.66805555555038154"/>
    <n v="64.033333333209157"/>
    <n v="24"/>
    <n v="40.033333333209157"/>
    <n v="3.8140216486379752"/>
    <x v="0"/>
  </r>
  <r>
    <x v="2"/>
    <x v="0"/>
    <d v="2024-11-23T19:10:50"/>
    <s v="OMWAPEJRR"/>
    <x v="1"/>
    <s v="UBK 858R"/>
    <s v="ALIPA EREKU"/>
    <s v="Kobusinge Steven-FPortal"/>
    <n v="152.68799999999999"/>
    <s v="Z81246"/>
    <x v="11"/>
    <x v="0"/>
    <x v="0"/>
    <x v="0"/>
    <x v="11"/>
    <x v="11"/>
    <n v="399"/>
    <n v="9"/>
    <x v="0"/>
    <d v="2024-11-23T22:01:00"/>
    <d v="2024-11-23T21:00:00"/>
    <d v="2024-11-23T22:46:00"/>
    <n v="103.78333333333333"/>
    <n v="44.05"/>
    <x v="1"/>
    <d v="2024-11-25T19:19:00"/>
    <d v="2024-11-26T10:24:00"/>
    <n v="886.13333333333333"/>
    <x v="0"/>
    <d v="2024-11-26T21:04:00"/>
    <d v="2024-11-26T21:58:00"/>
    <n v="52.866666666666667"/>
    <x v="0"/>
    <n v="2.9291666666686069"/>
    <x v="0"/>
    <n v="0.92916666666860692"/>
    <n v="70.300000000046566"/>
    <n v="24"/>
    <n v="46.300000000046566"/>
    <n v="3.2977969762385837"/>
    <x v="1"/>
  </r>
  <r>
    <x v="2"/>
    <x v="0"/>
    <d v="2024-11-23T19:15:35"/>
    <s v="OMJP9BTRR"/>
    <x v="0"/>
    <s v="UBP 298H"/>
    <s v="SENTONG DAVID"/>
    <s v="Kobusinge Steven-FPortal"/>
    <n v="156"/>
    <s v="Z81248"/>
    <x v="11"/>
    <x v="0"/>
    <x v="0"/>
    <x v="0"/>
    <x v="11"/>
    <x v="11"/>
    <n v="380"/>
    <n v="-10"/>
    <x v="0"/>
    <d v="2024-11-24T11:17:00"/>
    <d v="2024-11-23T21:00:00"/>
    <d v="2024-11-24T12:10:00"/>
    <n v="891.0333333333333"/>
    <n v="51.883333333333333"/>
    <x v="7"/>
    <d v="2024-11-25T07:48:00"/>
    <d v="2024-11-27T18:55:00"/>
    <n v="3473.1"/>
    <x v="0"/>
    <d v="2024-11-29T09:27:00"/>
    <d v="2024-11-29T10:17:00"/>
    <n v="48.95"/>
    <x v="0"/>
    <n v="4.8868055555576575"/>
    <x v="0"/>
    <n v="2.8868055555576575"/>
    <n v="117.28333333338378"/>
    <n v="64"/>
    <n v="53.28333333338378"/>
    <n v="2.9277447607103966"/>
    <x v="1"/>
  </r>
  <r>
    <x v="2"/>
    <x v="1"/>
    <d v="2024-11-23T20:05:54"/>
    <s v="OMAIJYBRR"/>
    <x v="1"/>
    <s v="UAV 203T"/>
    <s v="Mugisha  George"/>
    <s v="Kabaco U Ltd-Mbarara"/>
    <n v="153.60000000000002"/>
    <s v="Z81251"/>
    <x v="8"/>
    <x v="1"/>
    <x v="0"/>
    <x v="1"/>
    <x v="8"/>
    <x v="8"/>
    <n v="13"/>
    <n v="2"/>
    <x v="0"/>
    <d v="2024-11-25T12:32:00"/>
    <d v="2024-11-24T07:42:00"/>
    <d v="2024-11-25T13:19:00"/>
    <n v="1739.9666666666667"/>
    <n v="46.016666666666666"/>
    <x v="1"/>
    <d v="2024-11-25T14:02:00"/>
    <d v="2024-11-25T17:49:00"/>
    <n v="222.26666666666668"/>
    <x v="0"/>
    <d v="2024-11-25T18:46:00"/>
    <d v="2024-11-25T19:23:00"/>
    <n v="36.216666666666669"/>
    <x v="0"/>
    <n v="0.22708333333866904"/>
    <x v="5"/>
    <n v="-0.57291666666133101"/>
    <n v="5.4500000001280569"/>
    <n v="0"/>
    <n v="5.4500000001280569"/>
    <n v="28.183486237869896"/>
    <x v="0"/>
  </r>
  <r>
    <x v="2"/>
    <x v="1"/>
    <d v="2024-11-23T20:07:29"/>
    <s v="OMKQJEWRR"/>
    <x v="1"/>
    <s v="UAV 203T"/>
    <s v="Mugisha  George"/>
    <s v="Kabaco U Ltd-Mbarara"/>
    <n v="139.32000000000002"/>
    <s v="Z81252"/>
    <x v="8"/>
    <x v="1"/>
    <x v="0"/>
    <x v="1"/>
    <x v="8"/>
    <x v="8"/>
    <n v="13"/>
    <n v="2"/>
    <x v="0"/>
    <d v="2024-11-24T16:57:00"/>
    <d v="2024-11-24T11:52:00"/>
    <d v="2024-11-24T17:39:00"/>
    <n v="339.76666666666665"/>
    <n v="41.116666666666667"/>
    <x v="1"/>
    <d v="2024-11-24T18:17:00"/>
    <d v="2024-11-25T11:05:00"/>
    <n v="986.98333333333335"/>
    <x v="0"/>
    <d v="2024-11-25T11:40:00"/>
    <d v="2024-11-25T12:22:00"/>
    <n v="41.116666666666667"/>
    <x v="0"/>
    <n v="0.75069444443943212"/>
    <x v="5"/>
    <n v="-4.9305555560567926E-2"/>
    <n v="18.016666666546371"/>
    <n v="0"/>
    <n v="18.016666666546371"/>
    <n v="7.7328399630488578"/>
    <x v="0"/>
  </r>
  <r>
    <x v="2"/>
    <x v="1"/>
    <d v="2024-11-23T20:09:38"/>
    <s v="OMYFYD0RR"/>
    <x v="1"/>
    <s v="UBE 287X"/>
    <s v="Isaac Tumuhimbise"/>
    <s v="KATO INVESTMENTS LTD- KALISIZO"/>
    <n v="153.60000000000002"/>
    <s v="F15366"/>
    <x v="4"/>
    <x v="1"/>
    <x v="0"/>
    <x v="1"/>
    <x v="4"/>
    <x v="4"/>
    <n v="353"/>
    <n v="3"/>
    <x v="0"/>
    <d v="2024-11-24T12:27:00"/>
    <d v="2024-11-24T03:43:00"/>
    <d v="2024-11-24T13:12:00"/>
    <n v="557.13333333333333"/>
    <n v="44.05"/>
    <x v="1"/>
    <d v="2024-11-25T12:17:00"/>
    <d v="2024-11-25T17:19:00"/>
    <n v="295.7"/>
    <x v="0"/>
    <d v="2024-11-26T12:22:00"/>
    <d v="2024-11-26T13:07:00"/>
    <n v="44.05"/>
    <x v="0"/>
    <n v="1.9652777777737356"/>
    <x v="2"/>
    <n v="0.26527777777373562"/>
    <n v="47.166666666569654"/>
    <n v="12"/>
    <n v="35.166666666569654"/>
    <n v="4.3677725118603909"/>
    <x v="0"/>
  </r>
  <r>
    <x v="2"/>
    <x v="0"/>
    <d v="2024-11-23T20:12:02"/>
    <s v="OM6Z7X0RR"/>
    <x v="1"/>
    <s v="UBJ 417C"/>
    <s v="FARUK   ABEL"/>
    <s v="Kobusinge Steven-FPortal"/>
    <n v="156"/>
    <s v="Z81253"/>
    <x v="11"/>
    <x v="0"/>
    <x v="0"/>
    <x v="0"/>
    <x v="11"/>
    <x v="11"/>
    <n v="394"/>
    <n v="4"/>
    <x v="0"/>
    <d v="2024-11-24T10:18:00"/>
    <d v="2024-11-23T22:30:00"/>
    <d v="2024-11-24T11:23:00"/>
    <n v="756.88333333333333"/>
    <n v="63.633333333333333"/>
    <x v="6"/>
    <d v="2024-11-25T08:34:00"/>
    <d v="2024-11-27T13:37:00"/>
    <n v="3116.6833333333334"/>
    <x v="0"/>
    <d v="2024-11-28T19:38:00"/>
    <d v="2024-11-28T20:21:00"/>
    <n v="42.1"/>
    <x v="0"/>
    <n v="4.34375"/>
    <x v="0"/>
    <n v="2.34375"/>
    <n v="104.25"/>
    <n v="64"/>
    <n v="40.25"/>
    <n v="3.8757763975155282"/>
    <x v="1"/>
  </r>
  <r>
    <x v="2"/>
    <x v="0"/>
    <d v="2024-11-24T00:00:00"/>
    <s v="OM02KRSK"/>
    <x v="0"/>
    <s v="UBF 374L "/>
    <m/>
    <s v="KATO INVESTMENTS LTD-KATIKARA"/>
    <n v="156"/>
    <s v="A18692"/>
    <x v="5"/>
    <x v="0"/>
    <x v="0"/>
    <x v="0"/>
    <x v="5"/>
    <x v="5"/>
    <n v="821"/>
    <n v="-9"/>
    <x v="0"/>
    <d v="2024-11-24T07:58:00"/>
    <d v="2024-11-24T07:30:00"/>
    <d v="2024-11-24T08:58:00"/>
    <n v="86.15"/>
    <n v="58.733333333333334"/>
    <x v="4"/>
    <d v="2024-11-25T11:13:00"/>
    <d v="2024-11-25T16:19:00"/>
    <n v="299.61666666666667"/>
    <x v="0"/>
    <d v="2024-11-26T17:45:24"/>
    <d v="2024-11-26T18:46:24"/>
    <n v="59.716666666666669"/>
    <x v="0"/>
    <n v="2.3662499999991269"/>
    <x v="0"/>
    <n v="0.36624999999912689"/>
    <n v="56.789999999979045"/>
    <n v="32"/>
    <n v="24.789999999979045"/>
    <n v="6.2928600242086272"/>
    <x v="0"/>
  </r>
  <r>
    <x v="2"/>
    <x v="0"/>
    <d v="2024-11-24T00:00:00"/>
    <s v="OM02KRSH"/>
    <x v="0"/>
    <s v="UBP 311H"/>
    <m/>
    <s v="Kabaco U Ltd"/>
    <n v="156"/>
    <s v="Z81266"/>
    <x v="6"/>
    <x v="0"/>
    <x v="0"/>
    <x v="0"/>
    <x v="6"/>
    <x v="6"/>
    <n v="318"/>
    <n v="-2"/>
    <x v="0"/>
    <d v="2024-11-24T07:58:00"/>
    <d v="2024-11-24T07:30:00"/>
    <d v="2024-11-24T08:42:00"/>
    <n v="70.483333333333334"/>
    <n v="43.06666666666667"/>
    <x v="1"/>
    <d v="2024-11-24T14:42:00"/>
    <d v="2024-11-24T18:51:00"/>
    <n v="243.8"/>
    <x v="0"/>
    <d v="2024-11-25T00:11:00"/>
    <d v="2024-11-25T01:08:00"/>
    <n v="55.8"/>
    <x v="0"/>
    <n v="0.64513888888905058"/>
    <x v="3"/>
    <n v="-0.85486111111094942"/>
    <n v="15.483333333337214"/>
    <n v="0"/>
    <n v="15.483333333337214"/>
    <n v="10.075349838533535"/>
    <x v="0"/>
  </r>
  <r>
    <x v="2"/>
    <x v="1"/>
    <d v="2024-11-24T18:19:26"/>
    <s v="OMH4QY6RR"/>
    <x v="1"/>
    <s v="UBK 881R"/>
    <s v="James  Kironde"/>
    <s v="KATO INVESTMENTS LIMITED-MASAK"/>
    <n v="153.60000000000002"/>
    <s v="F15368"/>
    <x v="14"/>
    <x v="1"/>
    <x v="0"/>
    <x v="1"/>
    <x v="14"/>
    <x v="14"/>
    <n v="313"/>
    <n v="-27"/>
    <x v="0"/>
    <d v="2024-11-24T17:49:00"/>
    <d v="2024-11-25T04:14:00"/>
    <d v="2024-11-24T18:35:00"/>
    <n v="-566.95000000000005"/>
    <n v="45.033333333333331"/>
    <x v="1"/>
    <d v="2024-11-25T11:17:00"/>
    <d v="2024-11-25T13:54:00"/>
    <n v="153.71666666666667"/>
    <x v="0"/>
    <d v="2024-11-26T14:17:00"/>
    <d v="2024-11-26T15:04:00"/>
    <n v="46.016666666666666"/>
    <x v="0"/>
    <n v="1.8208333333313931"/>
    <x v="8"/>
    <n v="0.82083333333139308"/>
    <n v="43.699999999953434"/>
    <n v="12"/>
    <n v="31.699999999953434"/>
    <n v="4.8454258675150053"/>
    <x v="0"/>
  </r>
  <r>
    <x v="2"/>
    <x v="0"/>
    <d v="2024-11-25T00:00:00"/>
    <s v="OM02KSAQ"/>
    <x v="0"/>
    <s v="UBE 690K"/>
    <s v="MUKOSE MUZAMIRU"/>
    <s v="Kato Investment Ltd -Mubende"/>
    <n v="132.66"/>
    <s v="A18741"/>
    <x v="1"/>
    <x v="0"/>
    <x v="0"/>
    <x v="0"/>
    <x v="1"/>
    <x v="1"/>
    <n v="682"/>
    <n v="2"/>
    <x v="0"/>
    <d v="2024-11-25T07:42:00"/>
    <d v="2024-11-25T07:30:00"/>
    <d v="2024-11-25T08:38:00"/>
    <n v="66.583333333333329"/>
    <n v="54.833333333333336"/>
    <x v="4"/>
    <d v="2024-11-26T10:55:00"/>
    <d v="2024-11-26T17:00:00"/>
    <n v="357.38333333333333"/>
    <x v="0"/>
    <d v="2024-11-27T19:52:48"/>
    <d v="2024-11-27T20:44:48"/>
    <n v="50.916666666666664"/>
    <x v="0"/>
    <n v="2.468611111107748"/>
    <x v="1"/>
    <n v="-3.1388888892251998E-2"/>
    <n v="59.246666666585952"/>
    <n v="32"/>
    <n v="27.246666666585952"/>
    <n v="4.8688524590308164"/>
    <x v="0"/>
  </r>
  <r>
    <x v="2"/>
    <x v="0"/>
    <d v="2024-11-25T00:00:00"/>
    <s v="OM02KSA2"/>
    <x v="0"/>
    <s v="UBP 311H"/>
    <m/>
    <s v="KATO INVESTMENTS LTD-KATIKARA"/>
    <n v="156"/>
    <s v="A18734"/>
    <x v="5"/>
    <x v="0"/>
    <x v="0"/>
    <x v="0"/>
    <x v="5"/>
    <x v="5"/>
    <n v="821"/>
    <n v="-9"/>
    <x v="0"/>
    <d v="2024-11-25T07:58:00"/>
    <d v="2024-11-25T07:30:00"/>
    <d v="2024-11-25T08:47:00"/>
    <n v="75.38333333333334"/>
    <n v="47.966666666666669"/>
    <x v="1"/>
    <d v="2024-11-26T10:02:00"/>
    <d v="2024-11-27T14:50:00"/>
    <n v="1691.9833333333333"/>
    <x v="0"/>
    <d v="2024-11-28T19:38:00"/>
    <d v="2024-11-28T20:35:00"/>
    <n v="55.8"/>
    <x v="0"/>
    <n v="3.4520833333299379"/>
    <x v="0"/>
    <n v="1.4520833333299379"/>
    <n v="82.849999999918509"/>
    <n v="36"/>
    <n v="46.849999999918509"/>
    <n v="3.3297758804753754"/>
    <x v="1"/>
  </r>
  <r>
    <x v="2"/>
    <x v="0"/>
    <d v="2024-11-25T00:00:00"/>
    <s v="OM02KSA1"/>
    <x v="0"/>
    <s v="UBP 311H"/>
    <m/>
    <s v="KATO INVESTMENTS LTD-KATIKARA"/>
    <n v="156"/>
    <s v="A18735"/>
    <x v="5"/>
    <x v="0"/>
    <x v="0"/>
    <x v="0"/>
    <x v="5"/>
    <x v="5"/>
    <n v="825"/>
    <n v="-5"/>
    <x v="0"/>
    <d v="2024-11-25T07:58:00"/>
    <d v="2024-11-25T07:30:00"/>
    <d v="2024-11-25T08:42:00"/>
    <n v="70.483333333333334"/>
    <n v="43.06666666666667"/>
    <x v="1"/>
    <d v="2024-11-26T09:57:00"/>
    <d v="2024-11-26T16:43:00"/>
    <n v="397.53333333333336"/>
    <x v="0"/>
    <d v="2024-11-27T17:11:48"/>
    <d v="2024-11-27T17:59:48"/>
    <n v="46.983333333333334"/>
    <x v="0"/>
    <n v="2.3540277777792653"/>
    <x v="0"/>
    <n v="0.35402777777926531"/>
    <n v="56.496666666702367"/>
    <n v="24"/>
    <n v="32.496666666702367"/>
    <n v="4.8004923581853101"/>
    <x v="0"/>
  </r>
  <r>
    <x v="2"/>
    <x v="0"/>
    <d v="2024-11-25T00:00:00"/>
    <s v="OM02KS92"/>
    <x v="0"/>
    <s v="UBP 311H"/>
    <s v="Ekwalikwa Yusuf"/>
    <s v="KATO INVESTMENTS LTD-KATIKARA"/>
    <n v="156"/>
    <s v="A18725"/>
    <x v="5"/>
    <x v="0"/>
    <x v="0"/>
    <x v="0"/>
    <x v="5"/>
    <x v="5"/>
    <n v="825"/>
    <n v="-5"/>
    <x v="0"/>
    <d v="2024-11-25T07:58:00"/>
    <d v="2024-11-25T07:30:00"/>
    <d v="2024-11-25T09:02:00"/>
    <n v="90.066666666666663"/>
    <n v="62.65"/>
    <x v="7"/>
    <d v="2024-11-26T10:17:00"/>
    <d v="2024-11-26T18:43:00"/>
    <n v="495.45"/>
    <x v="0"/>
    <d v="2024-11-27T21:07:00"/>
    <d v="2024-11-27T21:47:00"/>
    <n v="39.166666666666664"/>
    <x v="0"/>
    <n v="2.5034722222262644"/>
    <x v="0"/>
    <n v="0.50347222222626442"/>
    <n v="60.083333333430346"/>
    <n v="32"/>
    <n v="28.083333333430346"/>
    <n v="5.5548961424140453"/>
    <x v="9"/>
  </r>
  <r>
    <x v="2"/>
    <x v="0"/>
    <d v="2024-11-25T00:00:00"/>
    <s v="OM02KSAJ"/>
    <x v="0"/>
    <s v="UBP 311H"/>
    <m/>
    <s v="Kato Investments Ltd-Bulenga"/>
    <n v="156"/>
    <s v="A18740"/>
    <x v="2"/>
    <x v="0"/>
    <x v="0"/>
    <x v="0"/>
    <x v="2"/>
    <x v="2"/>
    <n v="547"/>
    <n v="-13"/>
    <x v="0"/>
    <d v="2024-11-25T07:58:00"/>
    <d v="2024-11-25T07:30:00"/>
    <d v="2024-11-25T08:38:00"/>
    <n v="66.583333333333329"/>
    <n v="39.166666666666664"/>
    <x v="1"/>
    <d v="2024-11-26T08:38:00"/>
    <d v="2024-11-26T13:42:00"/>
    <n v="297.64999999999998"/>
    <x v="0"/>
    <d v="2024-11-27T06:14:00"/>
    <d v="2024-11-27T07:05:00"/>
    <n v="49.93333333333333"/>
    <x v="0"/>
    <n v="1.9000000000014552"/>
    <x v="0"/>
    <n v="-9.9999999998544808E-2"/>
    <n v="45.600000000034925"/>
    <n v="12"/>
    <n v="33.600000000034925"/>
    <n v="4.6428571428523169"/>
    <x v="0"/>
  </r>
  <r>
    <x v="2"/>
    <x v="0"/>
    <d v="2024-11-25T00:00:00"/>
    <s v="OM02KSB3"/>
    <x v="0"/>
    <s v="UBP 311H"/>
    <s v="Ekwalikwa Yusuf"/>
    <s v="Sawan Distributors Ltd-Nabingo"/>
    <n v="156"/>
    <s v="A18744"/>
    <x v="21"/>
    <x v="0"/>
    <x v="0"/>
    <x v="0"/>
    <x v="21"/>
    <x v="2"/>
    <n v="557"/>
    <n v="-3"/>
    <x v="0"/>
    <d v="2024-11-25T07:58:00"/>
    <d v="2024-11-25T07:30:00"/>
    <d v="2024-11-25T08:45:00"/>
    <n v="73.433333333333337"/>
    <n v="46.016666666666666"/>
    <x v="8"/>
    <d v="2024-11-26T10:00:00"/>
    <d v="2024-11-26T15:00:00"/>
    <n v="293.75"/>
    <x v="0"/>
    <d v="2024-11-27T17:24:00"/>
    <d v="2024-11-27T18:18:00"/>
    <n v="52.866666666666667"/>
    <x v="0"/>
    <n v="2.3604166666700621"/>
    <x v="0"/>
    <n v="0.36041666667006211"/>
    <n v="56.650000000081491"/>
    <n v="32"/>
    <n v="24.650000000081491"/>
    <n v="6.3286004056585918"/>
    <x v="0"/>
  </r>
  <r>
    <x v="2"/>
    <x v="0"/>
    <d v="2024-11-25T00:00:00"/>
    <s v="OM02KS99"/>
    <x v="0"/>
    <s v="UBE 687K"/>
    <m/>
    <s v="Rugoma Traders-Rukungiri"/>
    <n v="142.19999999999999"/>
    <s v="Z81278"/>
    <x v="17"/>
    <x v="0"/>
    <x v="0"/>
    <x v="0"/>
    <x v="17"/>
    <x v="17"/>
    <n v="248"/>
    <n v="-8"/>
    <x v="0"/>
    <d v="2024-11-25T07:58:00"/>
    <d v="2024-11-25T07:30:00"/>
    <d v="2024-11-25T08:42:00"/>
    <n v="70.483333333333334"/>
    <n v="43.06666666666667"/>
    <x v="1"/>
    <d v="2024-11-25T15:42:00"/>
    <d v="2024-11-25T19:32:24"/>
    <n v="225.6"/>
    <x v="0"/>
    <d v="2024-11-26T08:32:24"/>
    <d v="2024-11-26T09:17:24"/>
    <n v="44.05"/>
    <x v="0"/>
    <n v="0.99333333333197515"/>
    <x v="8"/>
    <n v="-6.6666666680248454E-3"/>
    <n v="23.839999999967404"/>
    <n v="0"/>
    <n v="23.839999999967404"/>
    <n v="5.9647651006792959"/>
    <x v="0"/>
  </r>
  <r>
    <x v="2"/>
    <x v="1"/>
    <d v="2024-11-25T13:54:21"/>
    <s v="OMZEI0KRR"/>
    <x v="0"/>
    <s v="UAR 731Q"/>
    <s v="Godwin Niwensiima"/>
    <s v="KATO INVESTMENTS LIMITED-MASAK"/>
    <n v="153.60000000000002"/>
    <s v="F15371"/>
    <x v="14"/>
    <x v="1"/>
    <x v="0"/>
    <x v="1"/>
    <x v="14"/>
    <x v="14"/>
    <n v="415"/>
    <n v="75"/>
    <x v="0"/>
    <d v="2024-11-26T14:22:21"/>
    <d v="2024-11-26T01:54:21"/>
    <d v="2024-11-26T15:17:21"/>
    <n v="786.26666666666665"/>
    <n v="53.85"/>
    <x v="2"/>
    <d v="2024-11-26T18:30:21"/>
    <d v="2024-11-27T13:13:33"/>
    <n v="1099.7833333333333"/>
    <x v="0"/>
    <d v="2024-11-27T15:53:33"/>
    <d v="2024-11-27T16:29:33"/>
    <n v="35.25"/>
    <x v="0"/>
    <n v="1.0251388888864312"/>
    <x v="8"/>
    <n v="2.5138888886431232E-2"/>
    <n v="24.60333333327435"/>
    <n v="16"/>
    <n v="8.6033333332743496"/>
    <n v="17.853545137665993"/>
    <x v="0"/>
  </r>
  <r>
    <x v="2"/>
    <x v="1"/>
    <d v="2024-11-25T14:00:16"/>
    <s v="OM2P9XRRR"/>
    <x v="1"/>
    <s v="UBJ 988D"/>
    <s v="Tumusiime Robert"/>
    <s v="RUGOMA TRADERS CO. LTD NTUNGAM"/>
    <n v="153.60000000000002"/>
    <s v="F15374"/>
    <x v="15"/>
    <x v="1"/>
    <x v="0"/>
    <x v="1"/>
    <x v="15"/>
    <x v="15"/>
    <n v="136"/>
    <n v="6"/>
    <x v="0"/>
    <d v="2024-11-26T17:07:00"/>
    <d v="2024-11-26T06:15:00"/>
    <d v="2024-11-26T18:08:00"/>
    <n v="698.13333333333333"/>
    <n v="59.716666666666669"/>
    <x v="11"/>
    <d v="2024-11-27T14:11:00"/>
    <d v="2024-11-27T18:16:00"/>
    <n v="239.88333333333333"/>
    <x v="0"/>
    <d v="2024-11-28T06:25:00"/>
    <d v="2024-11-28T06:57:00"/>
    <n v="31.316666666666666"/>
    <x v="0"/>
    <n v="1.5118055555503815"/>
    <x v="8"/>
    <n v="0.51180555555038154"/>
    <n v="36.283333333209157"/>
    <n v="16"/>
    <n v="20.283333333209157"/>
    <n v="7.5727198028401173"/>
    <x v="0"/>
  </r>
  <r>
    <x v="2"/>
    <x v="1"/>
    <d v="2024-11-25T14:01:34"/>
    <s v="OM0RUSSRR"/>
    <x v="1"/>
    <s v="UBK 875R"/>
    <s v="Bisaso  Ronald"/>
    <s v="Rugoma Traders-Kanungu/Kihihi"/>
    <n v="153.60000000000002"/>
    <s v="F15375"/>
    <x v="23"/>
    <x v="1"/>
    <x v="0"/>
    <x v="1"/>
    <x v="23"/>
    <x v="14"/>
    <n v="345"/>
    <n v="5"/>
    <x v="0"/>
    <d v="2024-11-25T14:05:00"/>
    <d v="2024-11-26T01:59:00"/>
    <d v="2024-11-25T14:50:00"/>
    <n v="-655.06666666666672"/>
    <n v="44.05"/>
    <x v="1"/>
    <d v="2024-11-26T10:26:00"/>
    <d v="2024-11-26T19:12:00"/>
    <n v="515.0333333333333"/>
    <x v="0"/>
    <d v="2024-11-27T15:25:00"/>
    <d v="2024-11-27T16:23:00"/>
    <n v="56.783333333333331"/>
    <x v="0"/>
    <n v="2.0243055555547471"/>
    <x v="3"/>
    <n v="0.52430555555474712"/>
    <n v="48.583333333313931"/>
    <n v="24"/>
    <n v="24.583333333313931"/>
    <n v="6.2481355932252711"/>
    <x v="0"/>
  </r>
  <r>
    <x v="2"/>
    <x v="1"/>
    <d v="2024-11-25T14:02:23"/>
    <s v="OMVMFR1RR"/>
    <x v="0"/>
    <s v="UAT 351G"/>
    <s v="Hamudi Sesanga"/>
    <s v="Kabaco U Ltd-Mbarara"/>
    <n v="153.60000000000002"/>
    <s v="Z81274"/>
    <x v="8"/>
    <x v="1"/>
    <x v="0"/>
    <x v="1"/>
    <x v="8"/>
    <x v="8"/>
    <n v="12"/>
    <n v="1"/>
    <x v="0"/>
    <d v="2024-11-26T14:30:23"/>
    <d v="2024-11-26T02:02:23"/>
    <d v="2024-11-26T15:30:23"/>
    <n v="791.16666666666663"/>
    <n v="58.733333333333334"/>
    <x v="5"/>
    <d v="2024-11-26T16:12:23"/>
    <d v="2024-11-26T19:29:23"/>
    <n v="192.88333333333333"/>
    <x v="0"/>
    <d v="2024-11-26T19:59:23"/>
    <d v="2024-11-26T20:43:23"/>
    <n v="43.06666666666667"/>
    <x v="0"/>
    <n v="0.18680555556056788"/>
    <x v="5"/>
    <n v="-0.61319444443943216"/>
    <n v="4.4833333334536292"/>
    <n v="0"/>
    <n v="4.4833333334536292"/>
    <n v="34.260223047407877"/>
    <x v="0"/>
  </r>
  <r>
    <x v="2"/>
    <x v="1"/>
    <d v="2024-11-25T17:35:04"/>
    <s v="OMRN6JERR"/>
    <x v="1"/>
    <s v="UBJ 375N"/>
    <s v="Stephen Musoke "/>
    <s v="Kabaco U Ltd-Mbarara"/>
    <n v="153.60000000000002"/>
    <s v="Z81277"/>
    <x v="8"/>
    <x v="1"/>
    <x v="0"/>
    <x v="1"/>
    <x v="8"/>
    <x v="8"/>
    <n v="14"/>
    <n v="3"/>
    <x v="0"/>
    <d v="2024-11-29T10:39:00"/>
    <d v="2024-11-26T07:42:00"/>
    <d v="2024-11-29T11:39:00"/>
    <n v="4462.05"/>
    <n v="58.733333333333334"/>
    <x v="9"/>
    <d v="2024-11-29T11:43:00"/>
    <d v="2024-11-30T11:00:00"/>
    <n v="1367.8833333333334"/>
    <x v="0"/>
    <d v="2024-11-30T11:03:00"/>
    <d v="2024-11-30T11:53:00"/>
    <n v="48.95"/>
    <x v="0"/>
    <n v="0.97499999999854481"/>
    <x v="5"/>
    <n v="0.17499999999854476"/>
    <n v="23.399999999965075"/>
    <n v="0"/>
    <n v="23.399999999965075"/>
    <n v="6.5641025641123623"/>
    <x v="0"/>
  </r>
  <r>
    <x v="2"/>
    <x v="0"/>
    <d v="2024-11-25T21:05:46"/>
    <s v="OMDHO7NRR"/>
    <x v="1"/>
    <s v="UBE 680K"/>
    <s v="BYEKWASO TWAHA"/>
    <s v="Kato Investment Ltd -Mityana"/>
    <n v="156"/>
    <s v="A18731"/>
    <x v="16"/>
    <x v="0"/>
    <x v="0"/>
    <x v="0"/>
    <x v="16"/>
    <x v="16"/>
    <n v="611"/>
    <n v="-79"/>
    <x v="0"/>
    <d v="2024-11-25T20:48:00"/>
    <d v="2024-11-25T21:30:00"/>
    <d v="2024-11-25T21:33:00"/>
    <n v="2.9333333333333331"/>
    <n v="44.05"/>
    <x v="1"/>
    <d v="2024-11-26T13:16:00"/>
    <d v="2024-11-26T16:10:00"/>
    <n v="170.36666666666667"/>
    <x v="0"/>
    <d v="2024-11-26T21:30:00"/>
    <d v="2024-11-26T22:19:00"/>
    <n v="47.966666666666669"/>
    <x v="0"/>
    <n v="0.99791666666715173"/>
    <x v="0"/>
    <n v="-1.0020833333328483"/>
    <n v="23.950000000011642"/>
    <n v="0"/>
    <n v="23.950000000011642"/>
    <n v="6.5135699373663538"/>
    <x v="0"/>
  </r>
  <r>
    <x v="2"/>
    <x v="1"/>
    <d v="2024-11-25T22:13:07"/>
    <s v="OMR3T7KRR"/>
    <x v="1"/>
    <s v="UAY 526V"/>
    <s v="Benon Ssempijja"/>
    <s v="KATO INVESTMENTS LIMITED-MASAK"/>
    <n v="153.60000000000002"/>
    <s v="F15379"/>
    <x v="14"/>
    <x v="1"/>
    <x v="0"/>
    <x v="1"/>
    <x v="14"/>
    <x v="14"/>
    <n v="242"/>
    <n v="-98"/>
    <x v="0"/>
    <d v="2024-11-26T19:12:00"/>
    <d v="2024-11-26T04:14:00"/>
    <d v="2024-11-26T20:02:00"/>
    <n v="928.23333333333335"/>
    <n v="48.95"/>
    <x v="1"/>
    <d v="2024-11-27T14:04:00"/>
    <d v="2024-11-29T08:05:00"/>
    <n v="2468.4666666666667"/>
    <x v="0"/>
    <d v="2024-11-29T20:06:00"/>
    <d v="2024-11-29T21:06:00"/>
    <n v="58.733333333333334"/>
    <x v="0"/>
    <n v="3.0027777777795563"/>
    <x v="8"/>
    <n v="2.0027777777795563"/>
    <n v="72.066666666709352"/>
    <n v="36"/>
    <n v="36.066666666709352"/>
    <n v="4.2587800369635369"/>
    <x v="10"/>
  </r>
  <r>
    <x v="2"/>
    <x v="0"/>
    <d v="2024-11-25T22:17:39"/>
    <s v="OMUZM0NRR"/>
    <x v="0"/>
    <s v="UBF 379L"/>
    <m/>
    <s v="Kabaco U Ltd"/>
    <n v="156"/>
    <s v="Z81283"/>
    <x v="6"/>
    <x v="0"/>
    <x v="0"/>
    <x v="0"/>
    <x v="6"/>
    <x v="6"/>
    <n v="324"/>
    <n v="4"/>
    <x v="0"/>
    <d v="2024-11-26T10:45:39"/>
    <d v="2024-11-26T10:17:39"/>
    <d v="2024-11-26T11:25:39"/>
    <n v="66.583333333333329"/>
    <n v="39.166666666666664"/>
    <x v="1"/>
    <d v="2024-11-26T17:25:39"/>
    <d v="2024-11-27T14:47:15"/>
    <n v="1254.8833333333334"/>
    <x v="0"/>
    <d v="2024-11-27T20:07:15"/>
    <d v="2024-11-27T20:45:15"/>
    <n v="37.200000000000003"/>
    <x v="0"/>
    <n v="1.3622222222184064"/>
    <x v="3"/>
    <n v="-0.13777777778159361"/>
    <n v="32.693333333241753"/>
    <n v="12"/>
    <n v="20.693333333241753"/>
    <n v="7.5386597938477964"/>
    <x v="0"/>
  </r>
  <r>
    <x v="2"/>
    <x v="1"/>
    <d v="2024-11-25T23:20:41"/>
    <s v="OMY5I7ARR"/>
    <x v="1"/>
    <s v="UBK 881R"/>
    <s v="James  Kironde"/>
    <s v="KATO INVESTMENTS LIMITED-MASAK"/>
    <n v="153.60000000000002"/>
    <s v="F15380"/>
    <x v="14"/>
    <x v="1"/>
    <x v="0"/>
    <x v="1"/>
    <x v="14"/>
    <x v="14"/>
    <n v="317"/>
    <n v="-23"/>
    <x v="0"/>
    <d v="2024-11-26T14:39:00"/>
    <d v="2024-11-26T08:30:00"/>
    <d v="2024-11-26T15:41:00"/>
    <n v="422.01666666666665"/>
    <n v="60.7"/>
    <x v="11"/>
    <d v="2024-11-27T15:44:00"/>
    <d v="2024-11-28T06:57:00"/>
    <n v="893.9666666666667"/>
    <x v="0"/>
    <d v="2024-11-28T16:21:00"/>
    <d v="2024-11-28T17:14:00"/>
    <n v="51.883333333333333"/>
    <x v="0"/>
    <n v="2.0277777777810115"/>
    <x v="8"/>
    <n v="1.0277777777810115"/>
    <n v="48.666666666744277"/>
    <n v="32"/>
    <n v="16.666666666744277"/>
    <n v="9.2159999999570861"/>
    <x v="0"/>
  </r>
  <r>
    <x v="2"/>
    <x v="0"/>
    <d v="2024-11-25T23:22:42"/>
    <s v="OMNV6HIRR"/>
    <x v="0"/>
    <s v="UBF 375L"/>
    <m/>
    <s v="Sawan Distributors Ltd-Kayabwe"/>
    <n v="156"/>
    <s v="A18746"/>
    <x v="9"/>
    <x v="0"/>
    <x v="0"/>
    <x v="0"/>
    <x v="9"/>
    <x v="9"/>
    <n v="397"/>
    <n v="-3"/>
    <x v="0"/>
    <d v="2024-11-26T11:50:42"/>
    <d v="2024-11-26T11:22:42"/>
    <d v="2024-11-26T12:39:42"/>
    <n v="75.38333333333334"/>
    <n v="47.966666666666669"/>
    <x v="1"/>
    <d v="2024-11-26T21:39:42"/>
    <d v="2024-11-27T21:15:13"/>
    <n v="1386.0166666666667"/>
    <x v="0"/>
    <d v="2024-11-28T16:27:13"/>
    <d v="2024-11-28T17:28:13"/>
    <n v="59.716666666666669"/>
    <x v="0"/>
    <n v="2.158000000003085"/>
    <x v="0"/>
    <n v="0.15800000000308501"/>
    <n v="51.79200000007404"/>
    <n v="24"/>
    <n v="27.79200000007404"/>
    <n v="5.6131260794323694"/>
    <x v="0"/>
  </r>
  <r>
    <x v="2"/>
    <x v="1"/>
    <d v="2024-11-25T23:26:07"/>
    <s v="OMWURMYRR"/>
    <x v="0"/>
    <s v="UAV 051U"/>
    <s v="Angello Lumala"/>
    <s v="RUGOMA TRADERS CO. LTD NTUNGAM"/>
    <n v="153.60000000000002"/>
    <s v="F15381"/>
    <x v="15"/>
    <x v="1"/>
    <x v="0"/>
    <x v="1"/>
    <x v="15"/>
    <x v="15"/>
    <n v="131"/>
    <n v="1"/>
    <x v="0"/>
    <d v="2024-11-26T11:54:07"/>
    <d v="2024-11-26T11:26:07"/>
    <d v="2024-11-26T12:34:07"/>
    <n v="66.583333333333329"/>
    <n v="39.166666666666664"/>
    <x v="1"/>
    <d v="2024-11-26T14:39:07"/>
    <d v="2024-11-26T19:25:07"/>
    <n v="280.03333333333336"/>
    <x v="0"/>
    <d v="2024-11-27T07:39:31"/>
    <d v="2024-11-27T08:39:31"/>
    <n v="58.733333333333334"/>
    <x v="0"/>
    <n v="0.79541666666773381"/>
    <x v="8"/>
    <n v="-0.20458333333226619"/>
    <n v="19.090000000025611"/>
    <n v="0"/>
    <n v="19.090000000025611"/>
    <n v="8.0460974332003126"/>
    <x v="0"/>
  </r>
  <r>
    <x v="2"/>
    <x v="0"/>
    <d v="2024-11-26T00:00:00"/>
    <s v="OM02KT2B"/>
    <x v="0"/>
    <s v="UBE 678K"/>
    <m/>
    <s v="Kato Investments Ltd-Bulenga"/>
    <n v="156"/>
    <s v="A18795"/>
    <x v="2"/>
    <x v="0"/>
    <x v="0"/>
    <x v="0"/>
    <x v="2"/>
    <x v="2"/>
    <n v="547"/>
    <n v="-13"/>
    <x v="0"/>
    <d v="2024-11-26T07:20:00"/>
    <d v="2024-11-26T07:30:00"/>
    <d v="2024-11-26T08:38:00"/>
    <n v="66.583333333333329"/>
    <n v="76.36666666666666"/>
    <x v="6"/>
    <d v="2024-11-27T08:38:00"/>
    <d v="2024-11-27T13:53:00"/>
    <n v="308.43333333333334"/>
    <x v="0"/>
    <d v="2024-11-28T09:50:00"/>
    <d v="2024-11-28T10:45:00"/>
    <n v="53.85"/>
    <x v="0"/>
    <n v="2.0500000000029104"/>
    <x v="0"/>
    <n v="5.0000000002910383E-2"/>
    <n v="49.200000000069849"/>
    <n v="32"/>
    <n v="17.200000000069849"/>
    <n v="9.0697674418236325"/>
    <x v="0"/>
  </r>
  <r>
    <x v="2"/>
    <x v="0"/>
    <d v="2024-11-26T22:02:21"/>
    <s v="OMFUES4RR"/>
    <x v="1"/>
    <s v="UBK 862R"/>
    <s v="SULAIMAN MUBIRU"/>
    <s v="Kobusinge Steven-FPortal"/>
    <n v="156"/>
    <s v="Z81306"/>
    <x v="11"/>
    <x v="0"/>
    <x v="0"/>
    <x v="0"/>
    <x v="11"/>
    <x v="11"/>
    <n v="397"/>
    <n v="7"/>
    <x v="0"/>
    <d v="2024-11-27T21:50:00"/>
    <d v="2024-11-26T22:00:00"/>
    <d v="2024-11-27T22:32:00"/>
    <n v="1441.3166666666666"/>
    <n v="41.116666666666667"/>
    <x v="1"/>
    <d v="2024-11-28T12:34:00"/>
    <d v="2024-11-28T18:36:00"/>
    <n v="354.45"/>
    <x v="0"/>
    <d v="2024-11-29T21:57:00"/>
    <d v="2024-11-29T22:43:00"/>
    <n v="45.033333333333331"/>
    <x v="0"/>
    <n v="1.9756944444452529"/>
    <x v="0"/>
    <n v="-2.4305555554747116E-2"/>
    <n v="47.416666666686069"/>
    <n v="12"/>
    <n v="35.416666666686069"/>
    <n v="4.4047058823505285"/>
    <x v="0"/>
  </r>
  <r>
    <x v="2"/>
    <x v="1"/>
    <d v="2024-11-26T22:08:13"/>
    <s v="OM9GRCORR"/>
    <x v="1"/>
    <s v="UBA 523T"/>
    <s v="Kabene John"/>
    <s v="Kobusinge Steven-FPortal"/>
    <n v="153.60000000000002"/>
    <s v="Z81308"/>
    <x v="11"/>
    <x v="1"/>
    <x v="0"/>
    <x v="1"/>
    <x v="11"/>
    <x v="11"/>
    <n v="367"/>
    <n v="-23"/>
    <x v="0"/>
    <d v="2024-11-29T11:17:00"/>
    <d v="2024-11-26T22:00:00"/>
    <d v="2024-11-29T12:07:00"/>
    <n v="3649.35"/>
    <n v="48.95"/>
    <x v="1"/>
    <d v="2024-11-29T12:10:00"/>
    <d v="2024-11-30T09:14:00"/>
    <n v="1237.6666666666667"/>
    <x v="0"/>
    <d v="2024-11-30T08:41:00"/>
    <d v="2024-11-30T09:39:00"/>
    <n v="56.783333333333331"/>
    <x v="0"/>
    <n v="0.85694444444379769"/>
    <x v="0"/>
    <n v="-1.1430555555562023"/>
    <n v="20.566666666651145"/>
    <n v="0"/>
    <n v="20.566666666651145"/>
    <n v="7.4683954619181172"/>
    <x v="0"/>
  </r>
  <r>
    <x v="2"/>
    <x v="0"/>
    <d v="2024-11-26T22:10:29"/>
    <s v="OMQRK9ERR"/>
    <x v="1"/>
    <s v="UBE 680K"/>
    <s v="BYEKWASO TWAHA"/>
    <s v="Kato Investment Ltd -Mubende"/>
    <n v="154.34400000000002"/>
    <s v="A18787"/>
    <x v="1"/>
    <x v="0"/>
    <x v="0"/>
    <x v="0"/>
    <x v="1"/>
    <x v="1"/>
    <n v="686"/>
    <n v="6"/>
    <x v="0"/>
    <d v="2024-11-27T06:24:00"/>
    <d v="2024-11-26T22:00:00"/>
    <d v="2024-11-27T07:24:00"/>
    <n v="552.25"/>
    <n v="58.733333333333334"/>
    <x v="11"/>
    <d v="2024-11-28T13:28:00"/>
    <d v="2024-11-28T19:30:00"/>
    <n v="354.45"/>
    <x v="0"/>
    <d v="2024-11-29T18:51:00"/>
    <d v="2024-11-29T19:48:00"/>
    <n v="55.8"/>
    <x v="0"/>
    <n v="2.4770833333313931"/>
    <x v="1"/>
    <n v="-2.2916666668606922E-2"/>
    <n v="59.449999999953434"/>
    <n v="32"/>
    <n v="27.449999999953434"/>
    <n v="5.6227322404466973"/>
    <x v="0"/>
  </r>
  <r>
    <x v="2"/>
    <x v="0"/>
    <d v="2024-11-27T00:00:00"/>
    <s v="OM02KTHT"/>
    <x v="0"/>
    <s v="UBE 690K"/>
    <s v="MUKOSE MUZAMIRU"/>
    <s v="Sawan Distributors Ltd-Nabingo"/>
    <n v="156"/>
    <s v="A18812"/>
    <x v="21"/>
    <x v="0"/>
    <x v="0"/>
    <x v="0"/>
    <x v="21"/>
    <x v="2"/>
    <n v="558"/>
    <n v="-2"/>
    <x v="0"/>
    <d v="2024-11-27T07:58:00"/>
    <d v="2024-11-27T07:30:00"/>
    <d v="2024-11-27T08:42:00"/>
    <n v="70.483333333333334"/>
    <n v="43.06666666666667"/>
    <x v="1"/>
    <d v="2024-11-28T09:42:00"/>
    <d v="2024-11-28T13:42:00"/>
    <n v="234.98333333333332"/>
    <x v="0"/>
    <d v="2024-11-29T13:42:00"/>
    <d v="2024-11-29T14:42:00"/>
    <n v="58.733333333333334"/>
    <x v="0"/>
    <n v="2.2083333333284827"/>
    <x v="0"/>
    <n v="0.20833333332848269"/>
    <n v="52.999999999883585"/>
    <n v="24"/>
    <n v="28.999999999883585"/>
    <n v="5.3793103448491806"/>
    <x v="0"/>
  </r>
  <r>
    <x v="2"/>
    <x v="1"/>
    <d v="2024-11-27T20:15:00"/>
    <s v="OMCHHTKRR"/>
    <x v="0"/>
    <s v="UBK 875R"/>
    <m/>
    <s v="Sawan Distributors Ltd-Kayabwe"/>
    <n v="153.60000000000002"/>
    <s v="A18814"/>
    <x v="9"/>
    <x v="1"/>
    <x v="0"/>
    <x v="1"/>
    <x v="9"/>
    <x v="9"/>
    <n v="397"/>
    <n v="-3"/>
    <x v="0"/>
    <d v="2024-11-28T08:43:00"/>
    <d v="2024-11-28T08:15:00"/>
    <d v="2024-11-28T09:23:00"/>
    <n v="66.583333333333329"/>
    <n v="39.166666666666664"/>
    <x v="1"/>
    <d v="2024-11-28T18:43:00"/>
    <d v="2024-11-29T18:18:31"/>
    <n v="1386.0166666666667"/>
    <x v="0"/>
    <d v="2024-11-30T15:54:31"/>
    <d v="2024-11-30T16:24:31"/>
    <n v="29.366666666666667"/>
    <x v="0"/>
    <n v="2.2718888888921356"/>
    <x v="0"/>
    <n v="0.27188888889213558"/>
    <n v="54.525333333411254"/>
    <n v="24"/>
    <n v="30.525333333411254"/>
    <n v="5.0318860836772057"/>
    <x v="0"/>
  </r>
  <r>
    <x v="2"/>
    <x v="1"/>
    <d v="2024-11-27T20:39:39"/>
    <s v="OMU2KJERR"/>
    <x v="0"/>
    <s v="UBJ 375N"/>
    <s v="Stephen Musoke "/>
    <s v="Kabaco U Ltd"/>
    <n v="153.60000000000002"/>
    <s v="Z81328"/>
    <x v="6"/>
    <x v="1"/>
    <x v="0"/>
    <x v="1"/>
    <x v="6"/>
    <x v="6"/>
    <n v="318"/>
    <n v="-2"/>
    <x v="0"/>
    <d v="2024-11-28T09:07:39"/>
    <d v="2024-11-28T08:39:39"/>
    <d v="2024-11-28T10:11:39"/>
    <n v="90.066666666666663"/>
    <n v="62.65"/>
    <x v="3"/>
    <d v="2024-11-28T16:11:39"/>
    <d v="2024-11-29T10:33:15"/>
    <n v="1078.6333333333334"/>
    <x v="0"/>
    <d v="2024-11-29T15:53:15"/>
    <d v="2024-11-29T16:50:15"/>
    <n v="55.8"/>
    <x v="0"/>
    <n v="1.2372222222184064"/>
    <x v="3"/>
    <n v="-0.26277777778159361"/>
    <n v="29.693333333241753"/>
    <n v="16"/>
    <n v="13.693333333241753"/>
    <n v="11.217137293161681"/>
    <x v="0"/>
  </r>
  <r>
    <x v="2"/>
    <x v="1"/>
    <d v="2024-11-28T19:06:47"/>
    <s v="OMFHLBXRR"/>
    <x v="0"/>
    <s v="UAV 051U"/>
    <s v="Angello Lumala"/>
    <s v="Kabaco U Ltd-Mbarara"/>
    <n v="153.60000000000002"/>
    <s v="Z81361"/>
    <x v="8"/>
    <x v="1"/>
    <x v="0"/>
    <x v="1"/>
    <x v="8"/>
    <x v="8"/>
    <n v="11"/>
    <n v="0"/>
    <x v="0"/>
    <d v="2024-11-29T07:34:47"/>
    <d v="2024-11-29T07:06:47"/>
    <d v="2024-11-29T08:21:47"/>
    <n v="73.433333333333337"/>
    <n v="46.016666666666666"/>
    <x v="1"/>
    <d v="2024-11-29T08:57:47"/>
    <d v="2024-11-29T12:34:47"/>
    <n v="212.46666666666667"/>
    <x v="0"/>
    <d v="2024-11-29T13:07:47"/>
    <d v="2024-11-29T13:59:47"/>
    <n v="50.916666666666664"/>
    <x v="0"/>
    <n v="0.19861111111094942"/>
    <x v="5"/>
    <n v="-0.60138888888905062"/>
    <n v="4.7666666666627862"/>
    <n v="0"/>
    <n v="4.7666666666627862"/>
    <n v="32.22377622380246"/>
    <x v="0"/>
  </r>
  <r>
    <x v="2"/>
    <x v="1"/>
    <d v="2024-11-28T19:11:35"/>
    <s v="OMOWEBERR"/>
    <x v="1"/>
    <s v="UBK 881R"/>
    <s v="James  Kironde"/>
    <s v="Sawan Distributors Ltd-Kayabwe"/>
    <n v="153.60000000000002"/>
    <s v="A18848"/>
    <x v="9"/>
    <x v="1"/>
    <x v="0"/>
    <x v="1"/>
    <x v="9"/>
    <x v="9"/>
    <n v="426"/>
    <n v="26"/>
    <x v="0"/>
    <d v="2024-11-28T18:53:00"/>
    <d v="2024-11-29T04:19:00"/>
    <d v="2024-11-28T19:38:00"/>
    <n v="-510.15"/>
    <n v="44.05"/>
    <x v="1"/>
    <d v="2024-11-29T11:31:00"/>
    <d v="2024-12-01T11:50:00"/>
    <n v="2838.6"/>
    <x v="0"/>
    <d v="2024-12-01T17:17:00"/>
    <d v="2024-12-01T18:18:00"/>
    <n v="59.716666666666669"/>
    <x v="0"/>
    <n v="2.9020833333270275"/>
    <x v="0"/>
    <n v="0.9020833333270275"/>
    <n v="69.64999999984866"/>
    <n v="24"/>
    <n v="45.64999999984866"/>
    <n v="3.3647316538994358"/>
    <x v="0"/>
  </r>
  <r>
    <x v="2"/>
    <x v="1"/>
    <d v="2024-11-28T19:22:15"/>
    <s v="OM2JO7RRR"/>
    <x v="1"/>
    <s v="UBE 287X"/>
    <s v="Isaac Tumuhimbise"/>
    <s v="Sawan Distributors Ltd-Nabingo"/>
    <n v="151.94400000000002"/>
    <s v="A18849"/>
    <x v="21"/>
    <x v="1"/>
    <x v="0"/>
    <x v="1"/>
    <x v="21"/>
    <x v="2"/>
    <n v="534"/>
    <n v="-26"/>
    <x v="0"/>
    <d v="2024-11-28T19:25:00"/>
    <d v="2024-11-29T02:30:00"/>
    <d v="2024-11-28T20:10:00"/>
    <n v="-372.08333333333331"/>
    <n v="44.05"/>
    <x v="1"/>
    <d v="2024-11-30T09:33:00"/>
    <d v="2024-11-30T13:17:00"/>
    <n v="219.31666666666666"/>
    <x v="0"/>
    <d v="2024-12-01T08:49:00"/>
    <d v="2024-12-01T09:20:00"/>
    <n v="30.35"/>
    <x v="0"/>
    <n v="2.5270833333270275"/>
    <x v="0"/>
    <n v="0.5270833333270275"/>
    <n v="60.64999999984866"/>
    <n v="24"/>
    <n v="36.64999999984866"/>
    <n v="4.1458117326228496"/>
    <x v="0"/>
  </r>
  <r>
    <x v="2"/>
    <x v="0"/>
    <d v="2024-11-29T00:00:00"/>
    <s v="OM02KV5U"/>
    <x v="0"/>
    <s v="UBE 681K"/>
    <s v="KYAPA AKIMU"/>
    <s v="KATO INVESTMENTS LTD-KATIKARA"/>
    <n v="156"/>
    <s v="A18919"/>
    <x v="5"/>
    <x v="0"/>
    <x v="0"/>
    <x v="0"/>
    <x v="5"/>
    <x v="5"/>
    <n v="825"/>
    <n v="-5"/>
    <x v="0"/>
    <d v="2024-11-29T07:58:00"/>
    <d v="2024-11-29T07:30:00"/>
    <d v="2024-11-29T08:47:00"/>
    <n v="75.38333333333334"/>
    <n v="47.966666666666669"/>
    <x v="1"/>
    <d v="2024-11-30T11:02:00"/>
    <d v="2024-11-30T16:08:00"/>
    <n v="299.61666666666667"/>
    <x v="0"/>
    <d v="2024-12-01T20:56:00"/>
    <d v="2024-12-01T21:53:00"/>
    <n v="55.8"/>
    <x v="0"/>
    <n v="2.5062499999985448"/>
    <x v="0"/>
    <n v="0.50624999999854481"/>
    <n v="60.149999999965075"/>
    <n v="24"/>
    <n v="36.149999999965075"/>
    <n v="4.3153526970996046"/>
    <x v="5"/>
  </r>
  <r>
    <x v="2"/>
    <x v="0"/>
    <d v="2024-11-29T00:00:00"/>
    <s v="OM02KV5A"/>
    <x v="0"/>
    <s v="UBP 311H"/>
    <m/>
    <s v="Kato Investment Ltd -Mubende"/>
    <n v="156"/>
    <s v="A18912"/>
    <x v="1"/>
    <x v="0"/>
    <x v="0"/>
    <x v="0"/>
    <x v="1"/>
    <x v="1"/>
    <n v="693"/>
    <n v="13"/>
    <x v="0"/>
    <d v="2024-11-29T07:58:00"/>
    <d v="2024-11-29T07:30:00"/>
    <d v="2024-11-29T08:46:00"/>
    <n v="74.400000000000006"/>
    <n v="46.983333333333334"/>
    <x v="1"/>
    <d v="2024-11-30T11:03:00"/>
    <d v="2024-11-30T15:48:00"/>
    <n v="279.05"/>
    <x v="0"/>
    <d v="2024-12-01T18:40:48"/>
    <d v="2024-12-01T19:28:48"/>
    <n v="46.983333333333334"/>
    <x v="0"/>
    <n v="2.4130555555530009"/>
    <x v="1"/>
    <n v="-8.6944444446999114E-2"/>
    <n v="57.913333333272021"/>
    <n v="24"/>
    <n v="33.913333333272021"/>
    <n v="4.5999606841050333"/>
    <x v="0"/>
  </r>
  <r>
    <x v="2"/>
    <x v="0"/>
    <d v="2024-11-29T00:00:00"/>
    <s v="OM02KV5M"/>
    <x v="0"/>
    <s v="UBE 690K"/>
    <s v="MUKOSE MUZAMIRU"/>
    <s v="Boniface Harera"/>
    <n v="156"/>
    <s v="F15410"/>
    <x v="10"/>
    <x v="0"/>
    <x v="0"/>
    <x v="0"/>
    <x v="10"/>
    <x v="10"/>
    <n v="484"/>
    <n v="14"/>
    <x v="0"/>
    <d v="2024-11-29T07:58:00"/>
    <d v="2024-11-29T07:30:00"/>
    <d v="2024-11-29T08:42:00"/>
    <n v="70.483333333333334"/>
    <n v="43.06666666666667"/>
    <x v="1"/>
    <d v="2024-11-30T08:42:00"/>
    <d v="2024-11-30T14:06:00"/>
    <n v="317.23333333333335"/>
    <x v="0"/>
    <d v="2024-12-01T12:54:00"/>
    <d v="2024-12-01T13:48:00"/>
    <n v="52.866666666666667"/>
    <x v="0"/>
    <n v="2.1749999999956344"/>
    <x v="1"/>
    <n v="-0.32500000000436557"/>
    <n v="52.199999999895226"/>
    <n v="24"/>
    <n v="28.199999999895226"/>
    <n v="5.5319148936375742"/>
    <x v="0"/>
  </r>
  <r>
    <x v="2"/>
    <x v="0"/>
    <d v="2024-11-29T00:00:00"/>
    <s v="OM02KV5Q"/>
    <x v="0"/>
    <s v="UBE 684K"/>
    <m/>
    <s v="Ntale and Sons Ltd-Kakiri"/>
    <n v="156"/>
    <s v="A18915"/>
    <x v="22"/>
    <x v="0"/>
    <x v="0"/>
    <x v="0"/>
    <x v="22"/>
    <x v="21"/>
    <n v="612"/>
    <n v="-8"/>
    <x v="0"/>
    <d v="2024-11-29T07:20:00"/>
    <d v="2024-11-29T07:30:00"/>
    <d v="2024-11-29T08:38:00"/>
    <n v="66.583333333333329"/>
    <n v="76.36666666666666"/>
    <x v="6"/>
    <d v="2024-11-29T21:08:00"/>
    <d v="2024-11-30T16:54:42"/>
    <n v="1161.9666666666667"/>
    <x v="0"/>
    <d v="2024-12-01T15:42:42"/>
    <d v="2024-12-01T16:42:42"/>
    <n v="58.733333333333334"/>
    <x v="0"/>
    <n v="2.2949333333308459"/>
    <x v="0"/>
    <n v="0.29493333333084593"/>
    <n v="55.078399999940302"/>
    <n v="32"/>
    <n v="23.078399999940302"/>
    <n v="6.7595673877046734"/>
    <x v="0"/>
  </r>
  <r>
    <x v="2"/>
    <x v="0"/>
    <d v="2024-11-29T00:00:00"/>
    <s v="OM02KV5S"/>
    <x v="0"/>
    <s v="UBE 678K"/>
    <m/>
    <s v="KATO INVESTMENTS LTD-KATIKARA"/>
    <n v="156"/>
    <s v="A18917"/>
    <x v="5"/>
    <x v="0"/>
    <x v="0"/>
    <x v="0"/>
    <x v="5"/>
    <x v="5"/>
    <n v="821"/>
    <n v="-9"/>
    <x v="0"/>
    <d v="2024-11-29T07:58:00"/>
    <d v="2024-11-29T07:30:00"/>
    <d v="2024-11-29T08:53:00"/>
    <n v="81.266666666666666"/>
    <n v="53.85"/>
    <x v="7"/>
    <d v="2024-11-30T10:08:00"/>
    <d v="2024-12-01T10:07:51"/>
    <n v="1409.85"/>
    <x v="0"/>
    <d v="2024-12-02T14:55:51"/>
    <d v="2024-12-02T15:31:51"/>
    <n v="35.25"/>
    <x v="0"/>
    <n v="3.2519833333353745"/>
    <x v="0"/>
    <n v="1.2519833333353745"/>
    <n v="78.047600000048988"/>
    <n v="48"/>
    <n v="30.047600000048988"/>
    <n v="5.1917624036444066"/>
    <x v="1"/>
  </r>
  <r>
    <x v="2"/>
    <x v="0"/>
    <d v="2024-11-29T00:00:00"/>
    <s v="OM02KV5C"/>
    <x v="0"/>
    <s v="UBP 311H"/>
    <m/>
    <s v="Kato Investment Ltd -Kagadi"/>
    <n v="156"/>
    <s v="A18913"/>
    <x v="12"/>
    <x v="0"/>
    <x v="0"/>
    <x v="0"/>
    <x v="12"/>
    <x v="12"/>
    <n v="612"/>
    <n v="0"/>
    <x v="0"/>
    <d v="2024-11-29T07:58:00"/>
    <d v="2024-11-29T07:30:00"/>
    <d v="2024-11-29T08:38:00"/>
    <n v="66.583333333333329"/>
    <n v="39.166666666666664"/>
    <x v="1"/>
    <d v="2024-11-30T12:08:00"/>
    <d v="2024-11-30T17:27:00"/>
    <n v="312.35000000000002"/>
    <x v="0"/>
    <d v="2024-12-01T13:04:55"/>
    <d v="2024-12-01T13:55:55"/>
    <n v="49.93333333333333"/>
    <x v="0"/>
    <n v="2.1853611111146165"/>
    <x v="6"/>
    <n v="-0.11463888888538332"/>
    <n v="52.448666666750796"/>
    <n v="24"/>
    <n v="28.448666666750796"/>
    <n v="5.4835610338928129"/>
    <x v="0"/>
  </r>
  <r>
    <x v="2"/>
    <x v="0"/>
    <d v="2024-11-29T00:00:00"/>
    <s v="OM02KV5J"/>
    <x v="0"/>
    <s v="UBE 690K"/>
    <s v="MUKOSE MUZAMIRU"/>
    <s v="Boniface Harera"/>
    <n v="156"/>
    <s v="F15409"/>
    <x v="10"/>
    <x v="0"/>
    <x v="0"/>
    <x v="0"/>
    <x v="10"/>
    <x v="10"/>
    <n v="474"/>
    <n v="4"/>
    <x v="0"/>
    <d v="2024-11-29T07:58:00"/>
    <d v="2024-11-29T07:30:00"/>
    <d v="2024-11-29T09:02:00"/>
    <n v="90.066666666666663"/>
    <n v="62.65"/>
    <x v="3"/>
    <d v="2024-11-30T10:32:00"/>
    <d v="2024-11-30T16:07:00"/>
    <n v="328.01666666666665"/>
    <x v="0"/>
    <d v="2024-12-01T14:55:00"/>
    <d v="2024-12-01T15:40:00"/>
    <n v="44.05"/>
    <x v="0"/>
    <n v="2.2451388888875954"/>
    <x v="1"/>
    <n v="-0.25486111111240461"/>
    <n v="53.883333333302289"/>
    <n v="32"/>
    <n v="21.883333333302289"/>
    <n v="7.1287128712972416"/>
    <x v="0"/>
  </r>
  <r>
    <x v="2"/>
    <x v="0"/>
    <d v="2024-11-29T00:00:00"/>
    <s v="OM02KV4Z"/>
    <x v="0"/>
    <s v="UBP 311H"/>
    <s v="Ekwalikwa Yusuf"/>
    <s v="Kabaco U Ltd"/>
    <n v="156"/>
    <s v="Z81391"/>
    <x v="6"/>
    <x v="0"/>
    <x v="0"/>
    <x v="0"/>
    <x v="6"/>
    <x v="6"/>
    <n v="324"/>
    <n v="4"/>
    <x v="0"/>
    <d v="2024-11-29T07:42:00"/>
    <d v="2024-11-29T07:30:00"/>
    <d v="2024-11-29T08:38:00"/>
    <n v="66.583333333333329"/>
    <n v="54.833333333333336"/>
    <x v="6"/>
    <d v="2024-11-29T14:38:00"/>
    <d v="2024-11-29T20:15:00"/>
    <n v="329.96666666666664"/>
    <x v="0"/>
    <d v="2024-11-30T01:35:00"/>
    <d v="2024-11-30T02:30:00"/>
    <n v="53.85"/>
    <x v="0"/>
    <n v="0.70624999999563443"/>
    <x v="3"/>
    <n v="-0.79375000000436557"/>
    <n v="16.949999999895226"/>
    <n v="0"/>
    <n v="16.949999999895226"/>
    <n v="9.2035398230657393"/>
    <x v="0"/>
  </r>
  <r>
    <x v="2"/>
    <x v="0"/>
    <d v="2024-11-29T19:44:22"/>
    <s v="OMIT142RR"/>
    <x v="1"/>
    <s v="UBP 298H"/>
    <s v="SENTONG DAVID"/>
    <s v="Kato Investment Ltd -Mubende"/>
    <n v="156"/>
    <s v="A18894"/>
    <x v="1"/>
    <x v="0"/>
    <x v="0"/>
    <x v="0"/>
    <x v="1"/>
    <x v="1"/>
    <n v="650"/>
    <n v="-30"/>
    <x v="0"/>
    <d v="2024-11-29T19:51:00"/>
    <d v="2024-11-29T20:00:00"/>
    <d v="2024-11-29T20:36:00"/>
    <n v="35.233333333333334"/>
    <n v="44.05"/>
    <x v="1"/>
    <d v="2024-12-01T09:07:00"/>
    <d v="2024-12-01T17:23:00"/>
    <n v="485.66666666666669"/>
    <x v="0"/>
    <d v="2024-12-02T08:19:00"/>
    <d v="2024-12-02T09:06:00"/>
    <n v="46.016666666666666"/>
    <x v="0"/>
    <n v="2.4881944444496185"/>
    <x v="1"/>
    <n v="-1.1805555550381541E-2"/>
    <n v="59.716666666790843"/>
    <n v="24"/>
    <n v="35.716666666790843"/>
    <n v="4.3677088193968538"/>
    <x v="0"/>
  </r>
  <r>
    <x v="2"/>
    <x v="1"/>
    <d v="2024-11-29T19:47:07"/>
    <s v="OM5BFS0RR"/>
    <x v="0"/>
    <s v="UBE 419T"/>
    <s v="Kilabila Ismail"/>
    <s v="Agaba Services"/>
    <n v="153.60000000000002"/>
    <s v="F15401"/>
    <x v="20"/>
    <x v="1"/>
    <x v="0"/>
    <x v="1"/>
    <x v="20"/>
    <x v="20"/>
    <n v="295"/>
    <n v="-7"/>
    <x v="0"/>
    <d v="2024-11-30T08:15:07"/>
    <d v="2024-11-30T07:47:07"/>
    <d v="2024-11-30T08:55:07"/>
    <n v="66.583333333333329"/>
    <n v="39.166666666666664"/>
    <x v="1"/>
    <d v="2024-11-30T14:55:07"/>
    <d v="2024-11-30T17:57:07"/>
    <n v="178.2"/>
    <x v="0"/>
    <d v="2024-12-01T08:49:55"/>
    <d v="2024-12-01T09:33:55"/>
    <n v="43.06666666666667"/>
    <x v="0"/>
    <n v="0.99638888888875954"/>
    <x v="8"/>
    <n v="-3.6111111112404615E-3"/>
    <n v="23.913333333330229"/>
    <n v="0"/>
    <n v="23.913333333330229"/>
    <n v="6.4231948703660429"/>
    <x v="0"/>
  </r>
  <r>
    <x v="2"/>
    <x v="1"/>
    <d v="2024-11-29T20:11:29"/>
    <s v="OMZ32OERR"/>
    <x v="1"/>
    <s v="UAY 526V"/>
    <s v="Benon Ssempijja"/>
    <s v="Ntale and Sons"/>
    <n v="153.60000000000002"/>
    <s v="A18899"/>
    <x v="19"/>
    <x v="1"/>
    <x v="0"/>
    <x v="1"/>
    <x v="19"/>
    <x v="19"/>
    <n v="799"/>
    <n v="-11"/>
    <x v="0"/>
    <d v="2024-11-30T08:21:00"/>
    <d v="2024-11-29T20:30:00"/>
    <d v="2024-11-30T09:10:00"/>
    <n v="744.16666666666663"/>
    <n v="47.966666666666669"/>
    <x v="1"/>
    <d v="2024-12-01T11:20:00"/>
    <d v="2024-12-02T14:22:00"/>
    <n v="1588.2"/>
    <x v="0"/>
    <d v="2024-12-04T08:53:00"/>
    <d v="2024-12-04T09:21:00"/>
    <n v="27.4"/>
    <x v="0"/>
    <n v="3.9881944444423425"/>
    <x v="4"/>
    <n v="0.9881944444423425"/>
    <n v="95.71666666661622"/>
    <n v="36"/>
    <n v="59.71666666661622"/>
    <n v="2.572146246164607"/>
    <x v="0"/>
  </r>
  <r>
    <x v="2"/>
    <x v="0"/>
    <d v="2024-11-29T20:12:16"/>
    <s v="OMD80BKRR"/>
    <x v="1"/>
    <s v="UBE 680K"/>
    <s v="BYEKWASO TWAHA"/>
    <s v="Rugoma Traders-Rukungiri"/>
    <n v="156"/>
    <s v="Z81388"/>
    <x v="17"/>
    <x v="0"/>
    <x v="0"/>
    <x v="0"/>
    <x v="17"/>
    <x v="17"/>
    <n v="233"/>
    <n v="-23"/>
    <x v="0"/>
    <d v="2024-11-29T19:23:00"/>
    <d v="2024-11-30T04:04:00"/>
    <d v="2024-11-29T20:24:00"/>
    <n v="-450.43333333333334"/>
    <n v="59.716666666666669"/>
    <x v="9"/>
    <d v="2024-11-30T09:33:00"/>
    <d v="2024-11-30T14:37:00"/>
    <n v="297.64999999999998"/>
    <x v="0"/>
    <d v="2024-11-30T16:21:00"/>
    <d v="2024-11-30T16:59:00"/>
    <n v="37.200000000000003"/>
    <x v="0"/>
    <n v="0.83125000000291038"/>
    <x v="8"/>
    <n v="-0.16874999999708962"/>
    <n v="19.950000000069849"/>
    <n v="0"/>
    <n v="19.950000000069849"/>
    <n v="7.8195488721530735"/>
    <x v="0"/>
  </r>
  <r>
    <x v="2"/>
    <x v="0"/>
    <d v="2024-11-29T20:13:14"/>
    <s v="OM5O7D2RR"/>
    <x v="0"/>
    <s v="UBP 301H"/>
    <s v="NAMINYA SIRAJE"/>
    <s v="KATO INVESTMENTS LTD-KATIKARA"/>
    <n v="156"/>
    <s v="A18901"/>
    <x v="5"/>
    <x v="0"/>
    <x v="0"/>
    <x v="0"/>
    <x v="5"/>
    <x v="5"/>
    <n v="821"/>
    <n v="-9"/>
    <x v="0"/>
    <d v="2024-11-29T19:51:00"/>
    <d v="2024-11-29T20:30:00"/>
    <d v="2024-11-29T20:41:00"/>
    <n v="10.766666666666667"/>
    <n v="48.95"/>
    <x v="1"/>
    <d v="2024-12-01T12:26:00"/>
    <d v="2024-12-01T16:39:00"/>
    <n v="247.71666666666667"/>
    <x v="0"/>
    <d v="2024-12-02T14:44:00"/>
    <d v="2024-12-02T15:42:00"/>
    <n v="56.783333333333331"/>
    <x v="0"/>
    <n v="2.7520833333328483"/>
    <x v="0"/>
    <n v="0.75208333333284827"/>
    <n v="66.049999999988358"/>
    <n v="24"/>
    <n v="42.049999999988358"/>
    <n v="3.7098692033303968"/>
    <x v="9"/>
  </r>
  <r>
    <x v="2"/>
    <x v="1"/>
    <d v="2024-11-29T20:49:39"/>
    <s v="OM2ODOMRR"/>
    <x v="0"/>
    <s v="UAT 351G"/>
    <s v="Hamudi Sesanga"/>
    <s v="Kabaco U Ltd-Mbarara"/>
    <n v="153.60000000000002"/>
    <s v="Z81390"/>
    <x v="8"/>
    <x v="1"/>
    <x v="0"/>
    <x v="1"/>
    <x v="8"/>
    <x v="8"/>
    <n v="12"/>
    <n v="1"/>
    <x v="0"/>
    <d v="2024-11-30T09:17:39"/>
    <d v="2024-11-30T08:49:39"/>
    <d v="2024-11-30T10:01:39"/>
    <n v="70.483333333333334"/>
    <n v="43.06666666666667"/>
    <x v="1"/>
    <d v="2024-11-30T10:43:39"/>
    <d v="2024-11-30T14:39:39"/>
    <n v="231.08333333333334"/>
    <x v="0"/>
    <d v="2024-11-30T15:12:39"/>
    <d v="2024-11-30T16:00:39"/>
    <n v="46.983333333333334"/>
    <x v="0"/>
    <n v="0.21597222222771961"/>
    <x v="5"/>
    <n v="-0.58402777777228043"/>
    <n v="5.1833333334652707"/>
    <n v="0"/>
    <n v="5.1833333334652707"/>
    <n v="29.633440513715165"/>
    <x v="0"/>
  </r>
  <r>
    <x v="2"/>
    <x v="0"/>
    <d v="2024-11-30T00:00:00"/>
    <s v="OM02KVUY"/>
    <x v="0"/>
    <s v="UBE 673K"/>
    <s v="Bulega Sperito"/>
    <s v="Kobusinge Acaali- Kyenjojo"/>
    <n v="156"/>
    <s v="Z81428"/>
    <x v="3"/>
    <x v="0"/>
    <x v="0"/>
    <x v="0"/>
    <x v="3"/>
    <x v="3"/>
    <n v="490"/>
    <n v="10"/>
    <x v="0"/>
    <d v="2024-11-30T07:58:00"/>
    <d v="2024-11-30T07:30:00"/>
    <d v="2024-11-30T08:58:00"/>
    <n v="86.15"/>
    <n v="58.733333333333334"/>
    <x v="9"/>
    <d v="2024-12-01T10:58:00"/>
    <d v="2024-12-02T16:00:24"/>
    <n v="1706.0833333333333"/>
    <x v="0"/>
    <d v="2024-12-03T18:27:08"/>
    <d v="2024-12-03T19:27:08"/>
    <n v="58.733333333333334"/>
    <x v="0"/>
    <n v="3.395233333336364"/>
    <x v="1"/>
    <n v="0.89523333333636401"/>
    <n v="81.485600000072736"/>
    <n v="48"/>
    <n v="33.485600000072736"/>
    <n v="4.6587189717269855"/>
    <x v="0"/>
  </r>
  <r>
    <x v="2"/>
    <x v="0"/>
    <d v="2024-11-30T00:00:00"/>
    <s v="OM02KVUC"/>
    <x v="0"/>
    <s v="UBE 690K"/>
    <s v="MUKOSE MUZAMIRU"/>
    <s v="Kobusinge Steven-FPortal"/>
    <n v="156"/>
    <s v="Z81418"/>
    <x v="11"/>
    <x v="0"/>
    <x v="0"/>
    <x v="0"/>
    <x v="11"/>
    <x v="11"/>
    <n v="380"/>
    <n v="-10"/>
    <x v="0"/>
    <d v="2024-11-30T07:58:00"/>
    <d v="2024-11-30T07:30:00"/>
    <d v="2024-11-30T08:46:00"/>
    <n v="74.400000000000006"/>
    <n v="46.983333333333334"/>
    <x v="1"/>
    <d v="2024-12-01T07:16:00"/>
    <d v="2024-12-01T10:33:00"/>
    <n v="192.88333333333333"/>
    <x v="0"/>
    <d v="2024-12-02T10:23:12"/>
    <d v="2024-12-02T11:03:12"/>
    <n v="39.166666666666664"/>
    <x v="0"/>
    <n v="2.0674999999973807"/>
    <x v="0"/>
    <n v="6.7499999997380655E-2"/>
    <n v="49.619999999937136"/>
    <n v="24"/>
    <n v="25.619999999937136"/>
    <n v="6.0889929742538165"/>
    <x v="0"/>
  </r>
  <r>
    <x v="2"/>
    <x v="0"/>
    <d v="2024-11-30T00:00:00"/>
    <s v="OM02KVSU"/>
    <x v="0"/>
    <s v="UBP 311H"/>
    <s v="Ekwalikwa Yusuf"/>
    <s v="Kato Investments Ltd- Kakumiro"/>
    <n v="156"/>
    <s v="A18952"/>
    <x v="24"/>
    <x v="0"/>
    <x v="0"/>
    <x v="0"/>
    <x v="24"/>
    <x v="22"/>
    <n v="771"/>
    <n v="6"/>
    <x v="0"/>
    <d v="2024-11-30T07:58:00"/>
    <d v="2024-11-30T07:30:00"/>
    <d v="2024-11-30T08:45:00"/>
    <n v="73.433333333333337"/>
    <n v="46.016666666666666"/>
    <x v="8"/>
    <d v="2024-11-30T17:45:00"/>
    <d v="2024-12-01T12:29:38"/>
    <n v="1101.2"/>
    <x v="0"/>
    <d v="2024-12-01T20:59:38"/>
    <d v="2024-12-01T21:35:38"/>
    <n v="35.25"/>
    <x v="0"/>
    <n v="1.5101666666669189"/>
    <x v="3"/>
    <n v="1.01666666669189E-2"/>
    <n v="36.244000000006054"/>
    <n v="16"/>
    <n v="20.244000000006054"/>
    <n v="7.7059869590966876"/>
    <x v="0"/>
  </r>
  <r>
    <x v="2"/>
    <x v="0"/>
    <d v="2024-11-30T00:00:00"/>
    <s v="OM02KVSZ"/>
    <x v="0"/>
    <s v="UBE 681K"/>
    <s v="KYAPA AKIMU"/>
    <s v="Kato Investments Ltd-Bulenga"/>
    <n v="156"/>
    <s v="A18973"/>
    <x v="2"/>
    <x v="0"/>
    <x v="0"/>
    <x v="0"/>
    <x v="2"/>
    <x v="2"/>
    <n v="593"/>
    <n v="33"/>
    <x v="0"/>
    <d v="2024-11-30T07:58:00"/>
    <d v="2024-11-30T07:30:00"/>
    <d v="2024-11-30T09:02:00"/>
    <n v="90.066666666666663"/>
    <n v="62.65"/>
    <x v="5"/>
    <d v="2024-12-01T09:02:00"/>
    <d v="2024-12-01T12:37:00"/>
    <n v="210.51666666666668"/>
    <x v="0"/>
    <d v="2024-12-02T09:02:00"/>
    <d v="2024-12-02T09:59:00"/>
    <n v="55.8"/>
    <x v="0"/>
    <n v="2"/>
    <x v="0"/>
    <n v="0"/>
    <n v="48"/>
    <n v="32"/>
    <n v="16"/>
    <n v="9.75"/>
    <x v="0"/>
  </r>
  <r>
    <x v="2"/>
    <x v="0"/>
    <d v="2024-11-30T21:34:31"/>
    <s v="OM0TD0NRR"/>
    <x v="0"/>
    <s v="UBM 648D"/>
    <s v="Nakalya John"/>
    <s v="Ntale and Sons Ltd-Kakiri"/>
    <n v="156"/>
    <s v="A18959"/>
    <x v="22"/>
    <x v="0"/>
    <x v="0"/>
    <x v="0"/>
    <x v="22"/>
    <x v="21"/>
    <n v="612"/>
    <n v="-8"/>
    <x v="0"/>
    <d v="2024-12-01T10:02:31"/>
    <d v="2024-12-01T09:34:31"/>
    <d v="2024-12-01T10:57:31"/>
    <n v="81.266666666666666"/>
    <n v="53.85"/>
    <x v="4"/>
    <d v="2024-12-02T08:27:31"/>
    <d v="2024-12-02T13:04:31"/>
    <n v="271.21666666666664"/>
    <x v="0"/>
    <d v="2024-12-03T11:52:31"/>
    <d v="2024-12-03T12:49:31"/>
    <n v="55.8"/>
    <x v="0"/>
    <n v="2.0381944444452529"/>
    <x v="0"/>
    <n v="3.8194444445252884E-2"/>
    <n v="48.916666666686069"/>
    <n v="32"/>
    <n v="16.916666666686069"/>
    <n v="9.2216748768367136"/>
    <x v="0"/>
  </r>
  <r>
    <x v="2"/>
    <x v="1"/>
    <d v="2024-11-30T21:48:05"/>
    <s v="OML01JHRR"/>
    <x v="0"/>
    <s v="UAV 051U"/>
    <s v="Angello Lumala"/>
    <s v="KATO INVESTMENTS LIMITED-MASAK"/>
    <n v="153.20000000000002"/>
    <s v="F15423"/>
    <x v="14"/>
    <x v="1"/>
    <x v="0"/>
    <x v="1"/>
    <x v="14"/>
    <x v="14"/>
    <n v="415"/>
    <n v="75"/>
    <x v="0"/>
    <d v="2024-12-01T10:16:05"/>
    <d v="2024-12-01T09:48:05"/>
    <d v="2024-12-01T10:56:05"/>
    <n v="66.583333333333329"/>
    <n v="39.166666666666664"/>
    <x v="1"/>
    <d v="2024-12-01T14:09:05"/>
    <d v="2024-12-01T20:01:05"/>
    <n v="344.65"/>
    <x v="0"/>
    <d v="2024-12-02T10:25:05"/>
    <d v="2024-12-02T11:26:05"/>
    <n v="59.716666666666669"/>
    <x v="0"/>
    <n v="0.97847222221753327"/>
    <x v="8"/>
    <n v="-2.1527777782466728E-2"/>
    <n v="23.483333333220799"/>
    <n v="0"/>
    <n v="23.483333333220799"/>
    <n v="6.5237757274975516"/>
    <x v="0"/>
  </r>
  <r>
    <x v="2"/>
    <x v="1"/>
    <d v="2024-11-30T21:52:31"/>
    <s v="OMDVHR1RR"/>
    <x v="1"/>
    <s v="UBK 875R"/>
    <s v="Bisaso  Ronald"/>
    <s v="Ntale and Sons"/>
    <n v="153.60000000000002"/>
    <s v="A18965"/>
    <x v="19"/>
    <x v="1"/>
    <x v="0"/>
    <x v="1"/>
    <x v="19"/>
    <x v="19"/>
    <n v="817"/>
    <n v="7"/>
    <x v="0"/>
    <d v="2024-11-30T21:15:00"/>
    <d v="2024-11-30T21:55:00"/>
    <d v="2024-11-30T22:02:00"/>
    <n v="6.85"/>
    <n v="46.016666666666666"/>
    <x v="1"/>
    <d v="2024-12-01T19:02:00"/>
    <d v="2024-12-02T19:43:00"/>
    <n v="1450.1333333333334"/>
    <x v="0"/>
    <d v="2024-12-03T20:54:00"/>
    <d v="2024-12-03T21:40:00"/>
    <n v="45.033333333333331"/>
    <x v="0"/>
    <n v="2.952777777776646"/>
    <x v="4"/>
    <n v="-4.7222222223354038E-2"/>
    <n v="70.866666666639503"/>
    <n v="24"/>
    <n v="46.866666666639503"/>
    <n v="3.2773826458055986"/>
    <x v="0"/>
  </r>
  <r>
    <x v="2"/>
    <x v="0"/>
    <d v="2024-11-30T21:57:20"/>
    <s v="OMM5RJZRR"/>
    <x v="1"/>
    <s v="UBK 862R"/>
    <s v="SULAIMAN MUBIRU"/>
    <s v="Kato Investment Ltd -Mityana"/>
    <n v="153.20000000000002"/>
    <s v="A18968"/>
    <x v="16"/>
    <x v="0"/>
    <x v="0"/>
    <x v="0"/>
    <x v="16"/>
    <x v="16"/>
    <n v="681"/>
    <n v="-9"/>
    <x v="0"/>
    <d v="2024-11-30T21:40:00"/>
    <d v="2024-11-30T21:55:00"/>
    <d v="2024-11-30T22:25:00"/>
    <n v="29.366666666666667"/>
    <n v="44.05"/>
    <x v="1"/>
    <d v="2024-12-01T18:17:00"/>
    <d v="2024-12-02T15:54:00"/>
    <n v="1269.9666666666667"/>
    <x v="0"/>
    <d v="2024-12-03T18:52:00"/>
    <d v="2024-12-03T19:28:00"/>
    <n v="35.25"/>
    <x v="0"/>
    <n v="2.8520833333313931"/>
    <x v="0"/>
    <n v="0.85208333333139308"/>
    <n v="68.449999999953434"/>
    <n v="24"/>
    <n v="44.449999999953434"/>
    <n v="3.4465691788562545"/>
    <x v="4"/>
  </r>
  <r>
    <x v="3"/>
    <x v="0"/>
    <d v="2024-12-01T00:00:00"/>
    <s v="OM02KVW6"/>
    <x v="0"/>
    <s v="UBP 311H"/>
    <m/>
    <s v="Kobusinge Steven-FPortal"/>
    <n v="156"/>
    <s v="Z81431"/>
    <x v="11"/>
    <x v="0"/>
    <x v="0"/>
    <x v="0"/>
    <x v="11"/>
    <x v="11"/>
    <n v="380"/>
    <n v="-10"/>
    <x v="0"/>
    <d v="2024-12-01T12:28:00"/>
    <d v="2024-12-01T12:00:00"/>
    <d v="2024-12-01T13:17:00"/>
    <n v="75.38333333333334"/>
    <n v="47.966666666666669"/>
    <x v="1"/>
    <d v="2024-12-02T11:47:00"/>
    <d v="2024-12-02T20:16:00"/>
    <n v="498.38333333333333"/>
    <x v="0"/>
    <d v="2024-12-03T12:30:12"/>
    <d v="2024-12-03T13:22:12"/>
    <n v="50.916666666666664"/>
    <x v="0"/>
    <n v="1.9674999999988358"/>
    <x v="0"/>
    <n v="-3.2500000001164153E-2"/>
    <n v="47.21999999997206"/>
    <n v="12"/>
    <n v="35.21999999997206"/>
    <n v="4.429301533223275"/>
    <x v="0"/>
  </r>
  <r>
    <x v="3"/>
    <x v="0"/>
    <d v="2024-12-01T00:00:00"/>
    <s v="OM02KVVZ"/>
    <x v="0"/>
    <s v="UBP 311H"/>
    <s v="Ekwalikwa Yusuf"/>
    <s v="Kobusinge Steven-FPortal"/>
    <n v="156"/>
    <s v="Z81429"/>
    <x v="11"/>
    <x v="0"/>
    <x v="0"/>
    <x v="0"/>
    <x v="11"/>
    <x v="11"/>
    <n v="380"/>
    <n v="-10"/>
    <x v="0"/>
    <d v="2024-12-01T07:58:00"/>
    <d v="2024-12-01T07:30:00"/>
    <d v="2024-12-01T08:58:00"/>
    <n v="86.15"/>
    <n v="58.733333333333334"/>
    <x v="9"/>
    <d v="2024-12-02T07:28:00"/>
    <d v="2024-12-03T11:47:12"/>
    <n v="1663.8"/>
    <x v="0"/>
    <d v="2024-12-03T09:13:07"/>
    <d v="2024-12-03T10:08:07"/>
    <n v="53.85"/>
    <x v="0"/>
    <n v="2.0104999999966822"/>
    <x v="0"/>
    <n v="1.0499999996682163E-2"/>
    <n v="48.251999999920372"/>
    <n v="32"/>
    <n v="16.251999999920372"/>
    <n v="9.5988186069877148"/>
    <x v="0"/>
  </r>
  <r>
    <x v="3"/>
    <x v="1"/>
    <d v="2024-12-01T18:47:16"/>
    <s v="OMHTYJORR"/>
    <x v="0"/>
    <s v="UAT 351G"/>
    <s v="Hamudi Sesanga"/>
    <s v="Kabaco U Ltd-Mbarara"/>
    <n v="153.60000000000002"/>
    <s v="Z81430"/>
    <x v="8"/>
    <x v="1"/>
    <x v="0"/>
    <x v="1"/>
    <x v="8"/>
    <x v="8"/>
    <n v="13"/>
    <n v="2"/>
    <x v="0"/>
    <d v="2024-12-02T07:58:16"/>
    <d v="2024-12-02T07:30:16"/>
    <d v="2024-12-02T08:42:16"/>
    <n v="70.483333333333334"/>
    <n v="43.06666666666667"/>
    <x v="1"/>
    <d v="2024-12-02T09:09:16"/>
    <d v="2024-12-02T12:26:16"/>
    <n v="192.88333333333333"/>
    <x v="0"/>
    <d v="2024-12-02T12:59:16"/>
    <d v="2024-12-02T13:59:16"/>
    <n v="58.733333333333334"/>
    <x v="0"/>
    <n v="0.1784722222291748"/>
    <x v="5"/>
    <n v="-0.62152777777082524"/>
    <n v="4.2833333335001953"/>
    <n v="0"/>
    <n v="4.2833333335001953"/>
    <n v="35.859922177591372"/>
    <x v="0"/>
  </r>
  <r>
    <x v="3"/>
    <x v="1"/>
    <d v="2024-12-01T18:56:18"/>
    <s v="OMO6XDXRR"/>
    <x v="1"/>
    <s v="UBE 287X"/>
    <s v="Isaac Tumuhimbise"/>
    <s v="KATO INVESTMENTS LIMITED-MASAK"/>
    <n v="153.60000000000002"/>
    <s v="F15426"/>
    <x v="14"/>
    <x v="1"/>
    <x v="0"/>
    <x v="1"/>
    <x v="14"/>
    <x v="14"/>
    <n v="298"/>
    <n v="-42"/>
    <x v="0"/>
    <d v="2024-12-02T17:34:00"/>
    <d v="2024-12-02T04:14:00"/>
    <d v="2024-12-02T18:24:00"/>
    <n v="832.2833333333333"/>
    <n v="48.95"/>
    <x v="1"/>
    <d v="2024-12-03T10:35:00"/>
    <d v="2024-12-03T13:33:00"/>
    <n v="174.28333333333333"/>
    <x v="0"/>
    <d v="2024-12-04T11:20:00"/>
    <d v="2024-12-04T12:06:00"/>
    <n v="45.033333333333331"/>
    <x v="0"/>
    <n v="1.7055555555489263"/>
    <x v="8"/>
    <n v="0.70555555554892635"/>
    <n v="40.933333333174232"/>
    <n v="12"/>
    <n v="28.933333333174232"/>
    <n v="5.3087557603978563"/>
    <x v="0"/>
  </r>
  <r>
    <x v="3"/>
    <x v="1"/>
    <d v="2024-12-01T18:57:22"/>
    <s v="OMU4OKCRR"/>
    <x v="0"/>
    <s v="UAY 265V"/>
    <s v="Luyaga Isaac"/>
    <s v="Agaba Services"/>
    <n v="153.60000000000002"/>
    <s v="F15427"/>
    <x v="20"/>
    <x v="1"/>
    <x v="0"/>
    <x v="1"/>
    <x v="20"/>
    <x v="20"/>
    <n v="294"/>
    <n v="-8"/>
    <x v="0"/>
    <d v="2024-12-02T17:36:00"/>
    <d v="2024-12-02T04:15:00"/>
    <d v="2024-12-02T18:23:00"/>
    <n v="830.31666666666672"/>
    <n v="46.016666666666666"/>
    <x v="8"/>
    <d v="2024-12-03T09:54:00"/>
    <d v="2024-12-03T15:29:00"/>
    <n v="328.01666666666665"/>
    <x v="0"/>
    <d v="2024-12-04T21:14:00"/>
    <d v="2024-12-04T22:04:00"/>
    <n v="48.95"/>
    <x v="0"/>
    <n v="2.1187500000014552"/>
    <x v="8"/>
    <n v="1.1187500000014552"/>
    <n v="50.850000000034925"/>
    <n v="32"/>
    <n v="18.850000000034925"/>
    <n v="8.14854111404326"/>
    <x v="0"/>
  </r>
  <r>
    <x v="3"/>
    <x v="0"/>
    <d v="2024-12-02T00:00:00"/>
    <s v="OM02KW0S"/>
    <x v="0"/>
    <s v="UBF 382L"/>
    <m/>
    <s v="Kabaco U Ltd"/>
    <n v="156"/>
    <s v="Z81436"/>
    <x v="6"/>
    <x v="0"/>
    <x v="0"/>
    <x v="0"/>
    <x v="6"/>
    <x v="6"/>
    <n v="324"/>
    <n v="4"/>
    <x v="0"/>
    <d v="2024-12-02T07:58:00"/>
    <d v="2024-12-02T07:30:00"/>
    <d v="2024-12-02T08:38:00"/>
    <n v="66.583333333333329"/>
    <n v="39.166666666666664"/>
    <x v="1"/>
    <d v="2024-12-02T14:38:00"/>
    <d v="2024-12-02T19:35:00"/>
    <n v="290.8"/>
    <x v="0"/>
    <d v="2024-12-03T09:30:12"/>
    <d v="2024-12-03T10:15:12"/>
    <n v="44.05"/>
    <x v="0"/>
    <n v="1.0362500000046566"/>
    <x v="3"/>
    <n v="-0.46374999999534339"/>
    <n v="24.870000000111759"/>
    <n v="12"/>
    <n v="12.870000000111759"/>
    <n v="12.121212121106865"/>
    <x v="0"/>
  </r>
  <r>
    <x v="3"/>
    <x v="0"/>
    <d v="2024-12-02T00:00:00"/>
    <s v="OM02KW0R"/>
    <x v="0"/>
    <s v="UBE 678K"/>
    <m/>
    <s v="Kabaco U Ltd"/>
    <n v="156"/>
    <s v="Z81435"/>
    <x v="6"/>
    <x v="0"/>
    <x v="0"/>
    <x v="0"/>
    <x v="6"/>
    <x v="6"/>
    <n v="324"/>
    <n v="4"/>
    <x v="0"/>
    <d v="2024-12-02T07:20:00"/>
    <d v="2024-12-02T07:30:00"/>
    <d v="2024-12-02T08:31:00"/>
    <n v="59.716666666666669"/>
    <n v="69.516666666666666"/>
    <x v="6"/>
    <d v="2024-12-02T14:38:00"/>
    <d v="2024-12-02T21:46:00"/>
    <n v="419.08333333333331"/>
    <x v="0"/>
    <d v="2024-12-03T11:41:12"/>
    <d v="2024-12-03T12:32:12"/>
    <n v="49.93333333333333"/>
    <x v="0"/>
    <n v="1.1320833333375049"/>
    <x v="3"/>
    <n v="-0.36791666666249512"/>
    <n v="27.170000000100117"/>
    <n v="16"/>
    <n v="11.170000000100117"/>
    <n v="13.965980304261572"/>
    <x v="0"/>
  </r>
  <r>
    <x v="3"/>
    <x v="0"/>
    <d v="2024-12-02T18:37:28"/>
    <s v="OM4QCG8RR"/>
    <x v="0"/>
    <s v="UBF 379L"/>
    <m/>
    <s v="Kabaco U Ltd-Mbarara"/>
    <n v="153.84"/>
    <s v="Z81437"/>
    <x v="8"/>
    <x v="0"/>
    <x v="0"/>
    <x v="0"/>
    <x v="8"/>
    <x v="8"/>
    <n v="12"/>
    <n v="1"/>
    <x v="0"/>
    <d v="2024-12-03T07:58:28"/>
    <d v="2024-12-03T07:30:28"/>
    <d v="2024-12-03T08:38:28"/>
    <n v="66.583333333333329"/>
    <n v="39.166666666666664"/>
    <x v="1"/>
    <d v="2024-12-03T09:20:28"/>
    <d v="2024-12-03T12:57:28"/>
    <n v="212.46666666666667"/>
    <x v="0"/>
    <d v="2024-12-03T13:30:28"/>
    <d v="2024-12-03T14:18:28"/>
    <n v="46.983333333333334"/>
    <x v="0"/>
    <n v="0.20277777777664596"/>
    <x v="5"/>
    <n v="-0.59722222222335408"/>
    <n v="4.8666666666395031"/>
    <n v="0"/>
    <n v="4.8666666666395031"/>
    <n v="31.610958904286029"/>
    <x v="0"/>
  </r>
  <r>
    <x v="3"/>
    <x v="1"/>
    <d v="2024-12-03T19:42:05"/>
    <s v="OMBIY38RR"/>
    <x v="1"/>
    <s v="UBA 523T"/>
    <s v="Kabene John"/>
    <s v="Kabaco U Ltd-Mbarara"/>
    <n v="153.60000000000002"/>
    <s v="Z81469"/>
    <x v="8"/>
    <x v="1"/>
    <x v="0"/>
    <x v="1"/>
    <x v="8"/>
    <x v="8"/>
    <n v="14"/>
    <n v="3"/>
    <x v="0"/>
    <d v="2024-12-04T08:19:00"/>
    <d v="2024-12-04T07:42:00"/>
    <d v="2024-12-04T09:04:00"/>
    <n v="80.283333333333331"/>
    <n v="44.05"/>
    <x v="1"/>
    <d v="2024-12-04T09:43:00"/>
    <d v="2024-12-04T14:33:00"/>
    <n v="283.95"/>
    <x v="0"/>
    <d v="2024-12-04T15:02:00"/>
    <d v="2024-12-04T15:37:00"/>
    <n v="34.266666666666666"/>
    <x v="0"/>
    <n v="0.24861111110658385"/>
    <x v="5"/>
    <n v="-0.5513888888934162"/>
    <n v="5.9666666665580124"/>
    <n v="0"/>
    <n v="5.9666666665580124"/>
    <n v="25.743016760245325"/>
    <x v="0"/>
  </r>
  <r>
    <x v="3"/>
    <x v="1"/>
    <d v="2024-12-03T19:47:11"/>
    <s v="OM6234ERR"/>
    <x v="1"/>
    <s v="UBJ 988D"/>
    <s v="Tumusiime Robert"/>
    <s v="Agaba Services"/>
    <n v="153.60000000000002"/>
    <s v="F15429"/>
    <x v="20"/>
    <x v="1"/>
    <x v="0"/>
    <x v="1"/>
    <x v="20"/>
    <x v="20"/>
    <n v="291"/>
    <n v="-11"/>
    <x v="0"/>
    <d v="2024-12-04T06:18:00"/>
    <d v="2024-12-04T04:15:00"/>
    <d v="2024-12-04T07:04:00"/>
    <n v="165.46666666666667"/>
    <n v="45.033333333333331"/>
    <x v="1"/>
    <d v="2024-12-04T13:17:00"/>
    <d v="2024-12-04T18:25:00"/>
    <n v="301.56666666666666"/>
    <x v="0"/>
    <d v="2024-12-05T15:27:00"/>
    <d v="2024-12-05T16:09:00"/>
    <n v="41.116666666666667"/>
    <x v="0"/>
    <n v="1.3493055555591127"/>
    <x v="8"/>
    <n v="0.34930555555911269"/>
    <n v="32.383333333418705"/>
    <n v="12"/>
    <n v="20.383333333418705"/>
    <n v="7.5355682747027002"/>
    <x v="0"/>
  </r>
  <r>
    <x v="3"/>
    <x v="1"/>
    <d v="2024-12-03T19:52:30"/>
    <s v="OMKM84DRR"/>
    <x v="1"/>
    <s v="UAV 203T"/>
    <s v="Mugisha  George"/>
    <s v="Rugoma Traders-Kanungu/Kihihi"/>
    <n v="153.60000000000002"/>
    <s v="F15430"/>
    <x v="23"/>
    <x v="1"/>
    <x v="0"/>
    <x v="1"/>
    <x v="23"/>
    <x v="14"/>
    <n v="335"/>
    <n v="-5"/>
    <x v="0"/>
    <d v="2024-12-04T11:50:00"/>
    <d v="2024-12-03T08:00:00"/>
    <d v="2024-12-04T12:40:00"/>
    <n v="1684.1666666666667"/>
    <n v="48.95"/>
    <x v="1"/>
    <d v="2024-12-05T09:30:00"/>
    <d v="2024-12-05T17:34:00"/>
    <n v="473.9"/>
    <x v="0"/>
    <d v="2024-12-06T11:55:00"/>
    <d v="2024-12-06T12:29:00"/>
    <n v="33.283333333333331"/>
    <x v="0"/>
    <n v="1.96875"/>
    <x v="3"/>
    <n v="0.46875"/>
    <n v="47.25"/>
    <n v="12"/>
    <n v="35.25"/>
    <n v="4.3574468085106393"/>
    <x v="0"/>
  </r>
  <r>
    <x v="3"/>
    <x v="1"/>
    <d v="2024-12-03T19:53:50"/>
    <s v="OMEE8JQRR"/>
    <x v="1"/>
    <s v="UBJ 415C"/>
    <s v="Abel Mark naffa"/>
    <s v="Rugoma Traders-Kanungu/Kihihi"/>
    <n v="153.60000000000002"/>
    <s v="F15431"/>
    <x v="23"/>
    <x v="1"/>
    <x v="0"/>
    <x v="1"/>
    <x v="23"/>
    <x v="14"/>
    <n v="280"/>
    <n v="-60"/>
    <x v="0"/>
    <d v="2024-12-03T19:38:00"/>
    <d v="2024-12-03T08:00:00"/>
    <d v="2024-12-03T20:22:00"/>
    <n v="726.5333333333333"/>
    <n v="43.06666666666667"/>
    <x v="1"/>
    <d v="2024-12-04T13:22:00"/>
    <d v="2024-12-04T16:53:00"/>
    <n v="206.6"/>
    <x v="0"/>
    <d v="2024-12-05T09:36:00"/>
    <d v="2024-12-05T10:34:00"/>
    <n v="56.783333333333331"/>
    <x v="0"/>
    <n v="1.5513888888890506"/>
    <x v="3"/>
    <n v="5.1388888889050577E-2"/>
    <n v="37.233333333337214"/>
    <n v="12"/>
    <n v="25.233333333337214"/>
    <n v="6.0871862615578491"/>
    <x v="0"/>
  </r>
  <r>
    <x v="3"/>
    <x v="0"/>
    <d v="2024-12-04T00:00:00"/>
    <s v="OM02KWK5"/>
    <x v="0"/>
    <s v="UBE 681K"/>
    <s v="KYAPA AKIMU"/>
    <s v="Kabaco U Ltd"/>
    <n v="156"/>
    <s v="Z81488"/>
    <x v="6"/>
    <x v="0"/>
    <x v="0"/>
    <x v="0"/>
    <x v="6"/>
    <x v="6"/>
    <n v="324"/>
    <n v="4"/>
    <x v="0"/>
    <d v="2024-12-04T07:58:00"/>
    <d v="2024-12-04T07:30:00"/>
    <d v="2024-12-04T09:02:00"/>
    <n v="90.066666666666663"/>
    <n v="62.65"/>
    <x v="7"/>
    <d v="2024-12-04T15:02:00"/>
    <d v="2024-12-04T19:58:00"/>
    <n v="289.83333333333331"/>
    <x v="0"/>
    <d v="2024-12-05T09:53:12"/>
    <d v="2024-12-05T10:37:12"/>
    <n v="43.06666666666667"/>
    <x v="0"/>
    <n v="1.0355555555579485"/>
    <x v="3"/>
    <n v="-0.46444444444205146"/>
    <n v="24.853333333390765"/>
    <n v="16"/>
    <n v="8.8533333333907649"/>
    <n v="17.62048192759654"/>
    <x v="0"/>
  </r>
  <r>
    <x v="3"/>
    <x v="0"/>
    <d v="2024-12-04T00:00:00"/>
    <s v="OM02KWKU"/>
    <x v="0"/>
    <s v="UBP 311H"/>
    <m/>
    <s v="Kobusinge Steven-FPortal"/>
    <n v="156"/>
    <s v="Z81489"/>
    <x v="11"/>
    <x v="0"/>
    <x v="0"/>
    <x v="0"/>
    <x v="11"/>
    <x v="11"/>
    <n v="380"/>
    <n v="-10"/>
    <x v="0"/>
    <d v="2024-12-04T07:58:00"/>
    <d v="2024-12-04T07:30:00"/>
    <d v="2024-12-04T08:46:00"/>
    <n v="74.400000000000006"/>
    <n v="46.983333333333334"/>
    <x v="1"/>
    <d v="2024-12-05T10:16:00"/>
    <d v="2024-12-05T15:05:00"/>
    <n v="282.96666666666664"/>
    <x v="0"/>
    <d v="2024-12-06T10:59:12"/>
    <d v="2024-12-06T11:35:12"/>
    <n v="35.25"/>
    <x v="0"/>
    <n v="2.0924999999988358"/>
    <x v="0"/>
    <n v="9.2499999998835847E-2"/>
    <n v="50.21999999997206"/>
    <n v="24"/>
    <n v="26.21999999997206"/>
    <n v="5.9496567505784226"/>
    <x v="0"/>
  </r>
  <r>
    <x v="3"/>
    <x v="0"/>
    <d v="2024-12-04T17:18:49"/>
    <s v="OMI6P2BRR"/>
    <x v="1"/>
    <s v="UBK 862R"/>
    <s v="SULAIMAN MUBIRU"/>
    <s v="Kobusinge Steven-FPortal"/>
    <n v="156"/>
    <s v="Z81480"/>
    <x v="11"/>
    <x v="0"/>
    <x v="0"/>
    <x v="0"/>
    <x v="11"/>
    <x v="11"/>
    <n v="394"/>
    <n v="4"/>
    <x v="0"/>
    <d v="2024-12-04T20:16:00"/>
    <d v="2024-12-04T20:25:00"/>
    <d v="2024-12-04T20:58:00"/>
    <n v="32.299999999999997"/>
    <n v="41.116666666666667"/>
    <x v="1"/>
    <d v="2024-12-05T08:54:00"/>
    <d v="2024-12-05T17:02:00"/>
    <n v="477.81666666666666"/>
    <x v="0"/>
    <d v="2024-12-06T07:33:00"/>
    <d v="2024-12-06T08:32:00"/>
    <n v="57.766666666666666"/>
    <x v="0"/>
    <n v="1.4409722222189885"/>
    <x v="0"/>
    <n v="-0.55902777778101154"/>
    <n v="34.583333333255723"/>
    <n v="12"/>
    <n v="22.583333333255723"/>
    <n v="6.9077490775145138"/>
    <x v="0"/>
  </r>
  <r>
    <x v="3"/>
    <x v="1"/>
    <d v="2024-12-04T17:20:11"/>
    <s v="OM5YMRCRR"/>
    <x v="1"/>
    <s v="UAY 526V"/>
    <s v="Benon Ssempijja"/>
    <s v="Rugoma Traders-Kanungu/Kihihi"/>
    <n v="153.60000000000002"/>
    <s v="F15432"/>
    <x v="23"/>
    <x v="1"/>
    <x v="0"/>
    <x v="1"/>
    <x v="23"/>
    <x v="14"/>
    <n v="337"/>
    <n v="-3"/>
    <x v="0"/>
    <d v="2024-12-05T12:06:00"/>
    <d v="2024-12-05T01:59:00"/>
    <d v="2024-12-05T12:52:00"/>
    <n v="639.38333333333333"/>
    <n v="45.033333333333331"/>
    <x v="1"/>
    <d v="2024-12-05T18:39:00"/>
    <d v="2024-12-06T11:56:00"/>
    <n v="1015.3833333333333"/>
    <x v="0"/>
    <d v="2024-12-06T19:50:00"/>
    <d v="2024-12-06T20:29:00"/>
    <n v="38.18333333333333"/>
    <x v="0"/>
    <n v="1.2902777777781012"/>
    <x v="3"/>
    <n v="-0.20972222222189885"/>
    <n v="30.966666666674428"/>
    <n v="12"/>
    <n v="18.966666666674428"/>
    <n v="8.0984182776768279"/>
    <x v="0"/>
  </r>
  <r>
    <x v="3"/>
    <x v="0"/>
    <d v="2024-12-04T17:23:33"/>
    <s v="OMYJDEHRR"/>
    <x v="0"/>
    <s v="UBM 644D"/>
    <s v="KAJUBI ISMA"/>
    <s v="Kobusinge Acaali- Kyenjojo"/>
    <n v="156"/>
    <s v="Z81483"/>
    <x v="3"/>
    <x v="0"/>
    <x v="0"/>
    <x v="0"/>
    <x v="3"/>
    <x v="3"/>
    <n v="490"/>
    <n v="10"/>
    <x v="0"/>
    <d v="2024-12-04T20:05:00"/>
    <d v="2024-12-05T03:17:00"/>
    <d v="2024-12-04T20:47:00"/>
    <n v="-381.88333333333333"/>
    <n v="41.116666666666667"/>
    <x v="1"/>
    <d v="2024-12-05T07:05:00"/>
    <d v="2024-12-05T14:16:00"/>
    <n v="422.01666666666665"/>
    <x v="0"/>
    <d v="2024-12-06T09:40:00"/>
    <d v="2024-12-06T10:40:00"/>
    <n v="58.733333333333334"/>
    <x v="0"/>
    <n v="1.5368055555591127"/>
    <x v="1"/>
    <n v="-0.96319444444088731"/>
    <n v="36.883333333418705"/>
    <n v="12"/>
    <n v="24.883333333418705"/>
    <n v="6.2692565304540437"/>
    <x v="0"/>
  </r>
  <r>
    <x v="3"/>
    <x v="1"/>
    <d v="2024-12-04T20:18:59"/>
    <s v="OMSVOTXRR"/>
    <x v="1"/>
    <s v="UBJ 415C"/>
    <s v="Abel Mark naffa"/>
    <s v="Kabaco U Ltd-Mbarara"/>
    <n v="153.60000000000002"/>
    <s v="Z81485"/>
    <x v="8"/>
    <x v="1"/>
    <x v="0"/>
    <x v="1"/>
    <x v="8"/>
    <x v="8"/>
    <n v="11"/>
    <n v="0"/>
    <x v="0"/>
    <d v="2024-12-05T13:49:00"/>
    <d v="2024-12-04T08:00:00"/>
    <d v="2024-12-05T14:54:00"/>
    <n v="1815.3666666666666"/>
    <n v="63.633333333333333"/>
    <x v="6"/>
    <d v="2024-12-05T14:01:00"/>
    <d v="2024-12-06T11:22:36"/>
    <n v="1254.8833333333334"/>
    <x v="0"/>
    <d v="2024-12-06T07:48:00"/>
    <d v="2024-12-06T08:18:00"/>
    <n v="29.366666666666667"/>
    <x v="0"/>
    <n v="0.70416666666278616"/>
    <x v="5"/>
    <n v="-9.5833333337213888E-2"/>
    <n v="16.899999999906868"/>
    <n v="0"/>
    <n v="16.899999999906868"/>
    <n v="9.0887573964997923"/>
    <x v="0"/>
  </r>
  <r>
    <x v="3"/>
    <x v="1"/>
    <d v="2024-12-04T20:24:49"/>
    <s v="OM3ESCMRR"/>
    <x v="0"/>
    <s v="UAT 351G"/>
    <s v="Hamudi Sesanga"/>
    <s v="Kabaco U Ltd"/>
    <n v="153.60000000000002"/>
    <s v="Z81487"/>
    <x v="6"/>
    <x v="1"/>
    <x v="0"/>
    <x v="1"/>
    <x v="6"/>
    <x v="6"/>
    <n v="323"/>
    <n v="3"/>
    <x v="0"/>
    <d v="2024-12-05T08:52:49"/>
    <d v="2024-12-05T08:24:49"/>
    <d v="2024-12-05T09:41:49"/>
    <n v="75.38333333333334"/>
    <n v="47.966666666666669"/>
    <x v="1"/>
    <d v="2024-12-05T15:41:49"/>
    <d v="2024-12-06T11:15:25"/>
    <n v="1149.1500000000001"/>
    <x v="0"/>
    <d v="2024-12-06T16:35:25"/>
    <d v="2024-12-06T17:30:25"/>
    <n v="53.85"/>
    <x v="0"/>
    <n v="1.2872222222213168"/>
    <x v="3"/>
    <n v="-0.21277777777868323"/>
    <n v="30.893333333311602"/>
    <n v="12"/>
    <n v="18.893333333311602"/>
    <n v="8.1298517995859214"/>
    <x v="0"/>
  </r>
  <r>
    <x v="3"/>
    <x v="0"/>
    <d v="2024-12-05T00:00:00"/>
    <s v="OM02KWUH"/>
    <x v="0"/>
    <s v="UBE 681K"/>
    <s v="KYAPA AKIMU"/>
    <s v="Kato Investments Ltd-Bulenga"/>
    <n v="156"/>
    <s v="A19035"/>
    <x v="2"/>
    <x v="0"/>
    <x v="0"/>
    <x v="0"/>
    <x v="2"/>
    <x v="2"/>
    <n v="550"/>
    <n v="-10"/>
    <x v="0"/>
    <d v="2024-12-05T07:58:00"/>
    <d v="2024-12-05T07:30:00"/>
    <d v="2024-12-05T08:45:00"/>
    <n v="73.433333333333337"/>
    <n v="46.016666666666666"/>
    <x v="1"/>
    <d v="2024-12-06T08:45:00"/>
    <d v="2024-12-06T14:00:00"/>
    <n v="308.43333333333334"/>
    <x v="0"/>
    <d v="2024-12-07T14:16:12"/>
    <d v="2024-12-07T15:10:12"/>
    <n v="52.866666666666667"/>
    <x v="0"/>
    <n v="2.2300000000032014"/>
    <x v="0"/>
    <n v="0.23000000000320142"/>
    <n v="53.520000000076834"/>
    <n v="24"/>
    <n v="29.520000000076834"/>
    <n v="5.2845528455147006"/>
    <x v="0"/>
  </r>
  <r>
    <x v="3"/>
    <x v="0"/>
    <d v="2024-12-05T00:00:00"/>
    <s v="OM02KWUJ"/>
    <x v="0"/>
    <s v="UBF 379L"/>
    <m/>
    <s v="Kato Investments Ltd- Kyegegwa"/>
    <n v="156"/>
    <s v="A19036"/>
    <x v="18"/>
    <x v="0"/>
    <x v="0"/>
    <x v="0"/>
    <x v="18"/>
    <x v="18"/>
    <n v="546"/>
    <n v="-19"/>
    <x v="0"/>
    <d v="2024-12-05T07:58:00"/>
    <d v="2024-12-05T07:30:00"/>
    <d v="2024-12-05T08:58:00"/>
    <n v="86.15"/>
    <n v="58.733333333333334"/>
    <x v="10"/>
    <d v="2024-12-06T07:28:00"/>
    <d v="2024-12-06T10:48:00"/>
    <n v="195.83333333333334"/>
    <x v="0"/>
    <d v="2024-12-06T17:18:00"/>
    <d v="2024-12-06T18:15:00"/>
    <n v="55.8"/>
    <x v="0"/>
    <n v="1.3472222222262644"/>
    <x v="0"/>
    <n v="-0.65277777777373558"/>
    <n v="32.333333333430346"/>
    <n v="16"/>
    <n v="16.333333333430346"/>
    <n v="9.5510204081065364"/>
    <x v="0"/>
  </r>
  <r>
    <x v="3"/>
    <x v="0"/>
    <d v="2024-12-05T00:00:00"/>
    <s v="OM02KWU5"/>
    <x v="0"/>
    <s v="UBE 673K"/>
    <s v="Bulega Sperito"/>
    <s v="Kato Investment Ltd -Kagadi"/>
    <n v="156"/>
    <s v="A19029"/>
    <x v="12"/>
    <x v="0"/>
    <x v="0"/>
    <x v="0"/>
    <x v="12"/>
    <x v="12"/>
    <n v="607"/>
    <n v="-5"/>
    <x v="0"/>
    <d v="2024-12-05T07:58:00"/>
    <d v="2024-12-05T07:30:00"/>
    <d v="2024-12-05T09:02:00"/>
    <n v="90.066666666666663"/>
    <n v="62.65"/>
    <x v="3"/>
    <d v="2024-12-06T10:32:00"/>
    <d v="2024-12-06T17:22:00"/>
    <n v="401.45"/>
    <x v="0"/>
    <d v="2024-12-07T12:59:55"/>
    <d v="2024-12-07T13:44:55"/>
    <n v="44.05"/>
    <x v="0"/>
    <n v="2.16522222221829"/>
    <x v="6"/>
    <n v="-0.13477777778170985"/>
    <n v="51.965333333238959"/>
    <n v="32"/>
    <n v="19.965333333238959"/>
    <n v="7.8135434753942201"/>
    <x v="0"/>
  </r>
  <r>
    <x v="3"/>
    <x v="0"/>
    <d v="2024-12-05T00:00:00"/>
    <s v="OM02KWUL"/>
    <x v="0"/>
    <s v="UBE 681K"/>
    <s v="KYAPA AKIMU"/>
    <s v="Kato Investments Ltd- Kyegegwa"/>
    <n v="156"/>
    <s v="A19038"/>
    <x v="18"/>
    <x v="0"/>
    <x v="0"/>
    <x v="0"/>
    <x v="18"/>
    <x v="18"/>
    <n v="565"/>
    <n v="0"/>
    <x v="0"/>
    <d v="2024-12-05T07:20:00"/>
    <d v="2024-12-05T07:30:00"/>
    <d v="2024-12-05T08:27:00"/>
    <n v="55.8"/>
    <n v="65.599999999999994"/>
    <x v="1"/>
    <d v="2024-12-06T10:08:00"/>
    <d v="2024-12-06T15:38:00"/>
    <n v="323.11666666666667"/>
    <x v="0"/>
    <d v="2024-12-07T11:18:48"/>
    <d v="2024-12-07T11:56:48"/>
    <n v="37.200000000000003"/>
    <x v="0"/>
    <n v="2.1193055555559113"/>
    <x v="0"/>
    <n v="0.11930555555591127"/>
    <n v="50.86333333334187"/>
    <n v="24"/>
    <n v="26.86333333334187"/>
    <n v="5.8071721057184673"/>
    <x v="0"/>
  </r>
  <r>
    <x v="3"/>
    <x v="0"/>
    <d v="2024-12-05T00:00:00"/>
    <s v="OM02KWU9"/>
    <x v="0"/>
    <s v="UBK 866R"/>
    <m/>
    <s v="KATO INVESTMENTS LTD-KATIKARA"/>
    <n v="156"/>
    <s v="A19030"/>
    <x v="5"/>
    <x v="0"/>
    <x v="0"/>
    <x v="0"/>
    <x v="5"/>
    <x v="5"/>
    <n v="821"/>
    <n v="-9"/>
    <x v="0"/>
    <d v="2024-12-05T07:58:00"/>
    <d v="2024-12-05T07:30:00"/>
    <d v="2024-12-05T08:38:00"/>
    <n v="66.583333333333329"/>
    <n v="39.166666666666664"/>
    <x v="1"/>
    <d v="2024-12-06T10:53:00"/>
    <d v="2024-12-06T14:14:00"/>
    <n v="196.8"/>
    <x v="0"/>
    <d v="2024-12-07T19:02:00"/>
    <d v="2024-12-07T19:53:00"/>
    <n v="49.93333333333333"/>
    <x v="0"/>
    <n v="2.4333333333270275"/>
    <x v="0"/>
    <n v="0.4333333333270275"/>
    <n v="58.39999999984866"/>
    <n v="24"/>
    <n v="34.39999999984866"/>
    <n v="4.5348837209501838"/>
    <x v="0"/>
  </r>
  <r>
    <x v="3"/>
    <x v="0"/>
    <d v="2024-12-05T00:00:00"/>
    <s v="OM02KWUE"/>
    <x v="0"/>
    <s v="UBE 684K"/>
    <m/>
    <s v="Kato Investments Ltd-Bulenga"/>
    <n v="156"/>
    <s v="A19034"/>
    <x v="2"/>
    <x v="0"/>
    <x v="0"/>
    <x v="0"/>
    <x v="2"/>
    <x v="2"/>
    <n v="550"/>
    <n v="-10"/>
    <x v="0"/>
    <d v="2024-12-05T07:58:00"/>
    <d v="2024-12-05T07:30:00"/>
    <d v="2024-12-05T08:38:00"/>
    <n v="66.583333333333329"/>
    <n v="39.166666666666664"/>
    <x v="1"/>
    <d v="2024-12-06T08:38:00"/>
    <d v="2024-12-06T13:13:00"/>
    <n v="269.26666666666665"/>
    <x v="0"/>
    <d v="2024-12-07T08:38:00"/>
    <d v="2024-12-07T09:14:00"/>
    <n v="35.25"/>
    <x v="0"/>
    <n v="2"/>
    <x v="0"/>
    <n v="0"/>
    <n v="48"/>
    <n v="24"/>
    <n v="24"/>
    <n v="6.5"/>
    <x v="0"/>
  </r>
  <r>
    <x v="3"/>
    <x v="1"/>
    <d v="2024-12-05T18:31:23"/>
    <s v="OMI4ZB3RR"/>
    <x v="1"/>
    <s v="UBJ 707D"/>
    <s v="Konge Husein"/>
    <s v="Kabaco U Ltd-Mbarara"/>
    <n v="153.60000000000002"/>
    <s v="Z81502"/>
    <x v="8"/>
    <x v="1"/>
    <x v="0"/>
    <x v="1"/>
    <x v="8"/>
    <x v="8"/>
    <n v="13"/>
    <n v="2"/>
    <x v="0"/>
    <d v="2024-12-05T18:49:00"/>
    <d v="2024-12-05T08:00:00"/>
    <d v="2024-12-05T19:36:00"/>
    <n v="681.48333333333335"/>
    <n v="46.016666666666666"/>
    <x v="1"/>
    <d v="2024-12-05T20:10:00"/>
    <d v="2024-12-06T16:26:00"/>
    <n v="1190.6500000000001"/>
    <x v="0"/>
    <d v="2024-12-06T17:16:00"/>
    <d v="2024-12-06T18:06:00"/>
    <n v="48.95"/>
    <x v="0"/>
    <n v="0.90277777778101154"/>
    <x v="5"/>
    <n v="0.10277777778101149"/>
    <n v="21.666666666744277"/>
    <n v="0"/>
    <n v="21.666666666744277"/>
    <n v="7.0892307692053764"/>
    <x v="0"/>
  </r>
  <r>
    <x v="3"/>
    <x v="1"/>
    <d v="2024-12-05T18:32:29"/>
    <s v="OM1SD73RR"/>
    <x v="0"/>
    <s v="UAV 051U"/>
    <s v="Angello Lumala"/>
    <s v="Kabaco U Ltd"/>
    <n v="153.60000000000002"/>
    <s v="Z81503"/>
    <x v="6"/>
    <x v="1"/>
    <x v="0"/>
    <x v="1"/>
    <x v="6"/>
    <x v="6"/>
    <n v="121"/>
    <n v="-199"/>
    <x v="0"/>
    <d v="2024-12-06T07:58:29"/>
    <d v="2024-12-06T07:30:29"/>
    <d v="2024-12-06T08:38:29"/>
    <n v="66.583333333333329"/>
    <n v="39.166666666666664"/>
    <x v="1"/>
    <d v="2024-12-06T14:38:29"/>
    <d v="2024-12-06T20:05:29"/>
    <n v="320.18333333333334"/>
    <x v="0"/>
    <d v="2024-12-07T10:00:41"/>
    <d v="2024-12-07T10:55:41"/>
    <n v="53.85"/>
    <x v="0"/>
    <n v="1.0570833333331393"/>
    <x v="3"/>
    <n v="-0.44291666666686069"/>
    <n v="25.369999999995343"/>
    <n v="12"/>
    <n v="13.369999999995343"/>
    <n v="11.48840688108104"/>
    <x v="0"/>
  </r>
  <r>
    <x v="3"/>
    <x v="1"/>
    <d v="2024-12-05T18:37:20"/>
    <s v="OMOG4KURR"/>
    <x v="0"/>
    <s v="UAY 265V"/>
    <s v="Luyaga Isaac"/>
    <s v="Kabaco U Ltd"/>
    <n v="153.60000000000002"/>
    <s v="Z81504"/>
    <x v="6"/>
    <x v="1"/>
    <x v="0"/>
    <x v="1"/>
    <x v="6"/>
    <x v="6"/>
    <n v="321"/>
    <n v="1"/>
    <x v="0"/>
    <d v="2024-12-06T09:25:00"/>
    <d v="2024-12-06T02:22:00"/>
    <d v="2024-12-06T10:10:00"/>
    <n v="458.23333333333335"/>
    <n v="44.05"/>
    <x v="1"/>
    <d v="2024-12-08T07:02:00"/>
    <d v="2024-12-08T12:09:00"/>
    <n v="300.60000000000002"/>
    <x v="0"/>
    <d v="2024-12-10T05:40:00"/>
    <d v="2024-12-10T06:33:00"/>
    <n v="51.883333333333333"/>
    <x v="0"/>
    <n v="3.8125"/>
    <x v="3"/>
    <n v="2.3125"/>
    <n v="91.5"/>
    <n v="36"/>
    <n v="55.5"/>
    <n v="2.7675675675675682"/>
    <x v="1"/>
  </r>
  <r>
    <x v="3"/>
    <x v="1"/>
    <d v="2024-12-05T23:11:42"/>
    <s v="OMLM82ERR"/>
    <x v="1"/>
    <s v="UBJ 375N"/>
    <s v="Stephen Musoke "/>
    <s v="KATO INVESTMENTS LTD- KALISIZO"/>
    <n v="153.60000000000002"/>
    <s v="F15433"/>
    <x v="4"/>
    <x v="1"/>
    <x v="0"/>
    <x v="1"/>
    <x v="4"/>
    <x v="4"/>
    <n v="356"/>
    <n v="6"/>
    <x v="0"/>
    <d v="2024-12-06T13:19:00"/>
    <d v="2024-12-05T08:00:00"/>
    <d v="2024-12-06T14:09:00"/>
    <n v="1771.3"/>
    <n v="48.95"/>
    <x v="1"/>
    <d v="2024-12-07T12:04:00"/>
    <d v="2024-12-07T15:27:00"/>
    <n v="198.76666666666668"/>
    <x v="0"/>
    <d v="2024-12-07T18:37:00"/>
    <d v="2024-12-07T19:01:00"/>
    <n v="23.5"/>
    <x v="0"/>
    <n v="1.1861111111065838"/>
    <x v="2"/>
    <n v="-0.51388888889341611"/>
    <n v="28.466666666558012"/>
    <n v="12"/>
    <n v="16.466666666558012"/>
    <n v="9.3279352227336165"/>
    <x v="0"/>
  </r>
  <r>
    <x v="3"/>
    <x v="1"/>
    <d v="2024-12-05T23:12:39"/>
    <s v="OMVVZE2RR"/>
    <x v="1"/>
    <s v="UBJ 415C"/>
    <s v="Abel Mark naffa"/>
    <s v="KATO INVESTMENTS LIMITED-MASAK"/>
    <n v="153.60000000000002"/>
    <s v="F15434"/>
    <x v="14"/>
    <x v="1"/>
    <x v="0"/>
    <x v="1"/>
    <x v="14"/>
    <x v="14"/>
    <n v="248"/>
    <n v="-92"/>
    <x v="0"/>
    <d v="2024-12-06T12:02:00"/>
    <d v="2024-12-05T08:00:00"/>
    <d v="2024-12-06T12:44:00"/>
    <n v="1688.0666666666666"/>
    <n v="41.116666666666667"/>
    <x v="1"/>
    <d v="2024-12-07T09:22:00"/>
    <d v="2024-12-07T13:48:00"/>
    <n v="260.45"/>
    <x v="0"/>
    <d v="2024-12-07T17:08:00"/>
    <d v="2024-12-07T17:51:00"/>
    <n v="42.1"/>
    <x v="0"/>
    <n v="1.1833333333343035"/>
    <x v="8"/>
    <n v="0.18333333333430346"/>
    <n v="28.400000000023283"/>
    <n v="12"/>
    <n v="16.400000000023283"/>
    <n v="9.3658536585232905"/>
    <x v="0"/>
  </r>
  <r>
    <x v="3"/>
    <x v="0"/>
    <d v="2024-12-06T00:00:00"/>
    <s v="OM02KX2U"/>
    <x v="0"/>
    <s v="UBF 375L"/>
    <m/>
    <s v="Kato Investment Ltd -Mityana"/>
    <n v="150.58799999999999"/>
    <s v="A19074"/>
    <x v="16"/>
    <x v="0"/>
    <x v="0"/>
    <x v="0"/>
    <x v="16"/>
    <x v="16"/>
    <m/>
    <n v="-690"/>
    <x v="0"/>
    <d v="2024-12-06T07:58:00"/>
    <d v="2024-12-06T07:30:00"/>
    <d v="2024-12-06T08:47:00"/>
    <n v="75.38333333333334"/>
    <n v="47.966666666666669"/>
    <x v="8"/>
    <d v="2024-12-07T10:47:00"/>
    <d v="2024-12-07T16:07:00"/>
    <n v="313.31666666666666"/>
    <x v="0"/>
    <d v="2024-12-08T11:23:19"/>
    <d v="2024-12-08T12:23:19"/>
    <n v="58.733333333333334"/>
    <x v="0"/>
    <n v="2.1085555555546307"/>
    <x v="0"/>
    <n v="0.1085555555546307"/>
    <n v="50.605333333311137"/>
    <n v="32"/>
    <n v="18.605333333311137"/>
    <n v="8.0938082270413307"/>
    <x v="0"/>
  </r>
  <r>
    <x v="3"/>
    <x v="0"/>
    <d v="2024-12-06T00:00:00"/>
    <s v="OM02KX1S"/>
    <x v="0"/>
    <s v="UBK 866R"/>
    <m/>
    <s v="Kato Investment Ltd -Mubende"/>
    <n v="156"/>
    <s v="A19059"/>
    <x v="1"/>
    <x v="0"/>
    <x v="0"/>
    <x v="0"/>
    <x v="1"/>
    <x v="1"/>
    <n v="665"/>
    <n v="-15"/>
    <x v="0"/>
    <d v="2024-12-06T07:58:00"/>
    <d v="2024-12-06T07:30:00"/>
    <d v="2024-12-06T08:46:00"/>
    <n v="74.400000000000006"/>
    <n v="46.983333333333334"/>
    <x v="1"/>
    <d v="2024-12-07T16:03:00"/>
    <d v="2024-12-07T22:08:00"/>
    <n v="357.38333333333333"/>
    <x v="0"/>
    <d v="2024-12-08T14:56:00"/>
    <d v="2024-12-08T15:53:00"/>
    <n v="55.8"/>
    <x v="0"/>
    <n v="2.2569444444379769"/>
    <x v="1"/>
    <n v="-0.24305555556202307"/>
    <n v="54.166666666511446"/>
    <n v="24"/>
    <n v="30.166666666511446"/>
    <n v="5.1712707182586524"/>
    <x v="0"/>
  </r>
  <r>
    <x v="3"/>
    <x v="0"/>
    <d v="2024-12-06T00:00:00"/>
    <s v="OM02KX1R"/>
    <x v="0"/>
    <s v="UBE 687K"/>
    <m/>
    <s v="Kobusinge Steven-FPortal"/>
    <n v="146.82000000000002"/>
    <s v="Z81511"/>
    <x v="11"/>
    <x v="0"/>
    <x v="0"/>
    <x v="0"/>
    <x v="11"/>
    <x v="11"/>
    <n v="388"/>
    <n v="-2"/>
    <x v="0"/>
    <d v="2024-12-06T07:58:00"/>
    <d v="2024-12-06T07:30:00"/>
    <d v="2024-12-06T08:58:00"/>
    <n v="86.15"/>
    <n v="58.733333333333334"/>
    <x v="11"/>
    <d v="2024-12-07T07:28:00"/>
    <d v="2024-12-08T12:53:26"/>
    <n v="1728.65"/>
    <x v="0"/>
    <d v="2024-12-08T06:50:34"/>
    <d v="2024-12-08T07:30:34"/>
    <n v="39.166666666666664"/>
    <x v="0"/>
    <n v="1.9115000000019791"/>
    <x v="0"/>
    <n v="-8.849999999802094E-2"/>
    <n v="45.876000000047497"/>
    <n v="16"/>
    <n v="29.876000000047497"/>
    <n v="4.9143124916242673"/>
    <x v="0"/>
  </r>
  <r>
    <x v="3"/>
    <x v="0"/>
    <d v="2024-12-06T00:00:00"/>
    <s v="OM02KX19"/>
    <x v="0"/>
    <s v="UBP 311H"/>
    <s v="Ekwalikwa Yusuf"/>
    <s v="Kato Investments Ltd-Bulenga"/>
    <n v="156"/>
    <s v="A19054"/>
    <x v="2"/>
    <x v="0"/>
    <x v="0"/>
    <x v="0"/>
    <x v="2"/>
    <x v="2"/>
    <n v="550"/>
    <n v="-10"/>
    <x v="0"/>
    <d v="2024-12-06T07:50:00"/>
    <d v="2024-12-06T07:30:00"/>
    <d v="2024-12-06T08:38:00"/>
    <n v="66.583333333333329"/>
    <n v="46.983333333333334"/>
    <x v="6"/>
    <d v="2024-12-07T08:38:00"/>
    <d v="2024-12-07T13:37:00"/>
    <n v="292.76666666666665"/>
    <x v="0"/>
    <d v="2024-12-08T08:23:36"/>
    <d v="2024-12-08T09:15:36"/>
    <n v="50.916666666666664"/>
    <x v="0"/>
    <n v="1.9899999999979627"/>
    <x v="0"/>
    <n v="-1.0000000002037268E-2"/>
    <n v="47.759999999951106"/>
    <n v="16"/>
    <n v="31.759999999951106"/>
    <n v="4.9118387909395516"/>
    <x v="0"/>
  </r>
  <r>
    <x v="3"/>
    <x v="0"/>
    <d v="2024-12-06T00:00:00"/>
    <s v="OM02KX1T"/>
    <x v="0"/>
    <s v="UBE 678K"/>
    <m/>
    <s v="Kato Investment Ltd -Kagadi"/>
    <n v="156"/>
    <s v="A19060"/>
    <x v="12"/>
    <x v="0"/>
    <x v="0"/>
    <x v="0"/>
    <x v="12"/>
    <x v="12"/>
    <n v="610"/>
    <n v="-2"/>
    <x v="0"/>
    <d v="2024-12-06T07:42:00"/>
    <d v="2024-12-06T07:30:00"/>
    <d v="2024-12-06T08:42:00"/>
    <n v="70.5"/>
    <n v="58.75"/>
    <x v="6"/>
    <d v="2024-12-07T11:02:00"/>
    <d v="2024-12-07T16:21:00"/>
    <n v="312.35000000000002"/>
    <x v="0"/>
    <d v="2024-12-08T11:58:55"/>
    <d v="2024-12-08T12:55:55"/>
    <n v="55.8"/>
    <x v="0"/>
    <n v="2.1367499999978463"/>
    <x v="6"/>
    <n v="-0.16325000000215351"/>
    <n v="51.281999999948312"/>
    <n v="32"/>
    <n v="19.281999999948312"/>
    <n v="8.0904470490829876"/>
    <x v="0"/>
  </r>
  <r>
    <x v="3"/>
    <x v="0"/>
    <d v="2024-12-06T00:00:00"/>
    <s v="OM02KWYJ"/>
    <x v="0"/>
    <s v="UBJ 419C"/>
    <m/>
    <s v="KATO INVESTMENTS LTD-KATIKARA"/>
    <n v="156"/>
    <s v="A19047"/>
    <x v="5"/>
    <x v="0"/>
    <x v="0"/>
    <x v="0"/>
    <x v="5"/>
    <x v="5"/>
    <n v="825"/>
    <n v="-5"/>
    <x v="0"/>
    <d v="2024-12-06T07:58:00"/>
    <d v="2024-12-06T07:30:00"/>
    <d v="2024-12-06T08:53:00"/>
    <n v="81.266666666666666"/>
    <n v="53.85"/>
    <x v="6"/>
    <d v="2024-12-07T10:08:00"/>
    <d v="2024-12-07T16:54:00"/>
    <n v="397.53333333333336"/>
    <x v="0"/>
    <d v="2024-12-08T21:42:00"/>
    <d v="2024-12-08T22:30:00"/>
    <n v="46.983333333333334"/>
    <x v="0"/>
    <n v="2.5340277777795563"/>
    <x v="0"/>
    <n v="0.53402777777955635"/>
    <n v="60.816666666709352"/>
    <n v="32"/>
    <n v="28.816666666709352"/>
    <n v="5.4135338345784474"/>
    <x v="5"/>
  </r>
  <r>
    <x v="3"/>
    <x v="0"/>
    <d v="2024-12-06T00:00:00"/>
    <s v="OM02KX20"/>
    <x v="0"/>
    <s v="UBE 673K"/>
    <s v="Bulega Sperito"/>
    <s v="Kato Investments Ltd-Bulenga"/>
    <n v="156"/>
    <s v="A19066"/>
    <x v="2"/>
    <x v="0"/>
    <x v="0"/>
    <x v="0"/>
    <x v="2"/>
    <x v="2"/>
    <n v="556"/>
    <n v="-4"/>
    <x v="0"/>
    <d v="2024-12-06T07:58:00"/>
    <d v="2024-12-06T07:30:00"/>
    <d v="2024-12-06T08:38:00"/>
    <n v="66.583333333333329"/>
    <n v="39.166666666666664"/>
    <x v="1"/>
    <d v="2024-12-07T08:38:00"/>
    <d v="2024-12-07T12:13:00"/>
    <n v="210.51666666666668"/>
    <x v="0"/>
    <d v="2024-12-08T08:38:00"/>
    <d v="2024-12-08T09:39:00"/>
    <n v="59.716666666666669"/>
    <x v="0"/>
    <n v="2"/>
    <x v="0"/>
    <n v="0"/>
    <n v="48"/>
    <n v="24"/>
    <n v="24"/>
    <n v="6.5"/>
    <x v="0"/>
  </r>
  <r>
    <x v="3"/>
    <x v="0"/>
    <d v="2024-12-06T19:50:02"/>
    <s v="OMYMA2LRR"/>
    <x v="0"/>
    <s v="UBF 379L"/>
    <m/>
    <s v="Rugoma Traders-Rukungiri"/>
    <n v="154.34400000000002"/>
    <s v="Z81510"/>
    <x v="17"/>
    <x v="0"/>
    <x v="0"/>
    <x v="0"/>
    <x v="17"/>
    <x v="17"/>
    <n v="252"/>
    <n v="-4"/>
    <x v="0"/>
    <d v="2024-12-07T08:18:02"/>
    <d v="2024-12-07T07:50:02"/>
    <d v="2024-12-07T09:02:02"/>
    <n v="70.483333333333334"/>
    <n v="43.06666666666667"/>
    <x v="1"/>
    <d v="2024-12-07T15:52:02"/>
    <d v="2024-12-07T19:28:02"/>
    <n v="211.5"/>
    <x v="0"/>
    <d v="2024-12-08T08:28:02"/>
    <d v="2024-12-08T09:13:02"/>
    <n v="44.05"/>
    <x v="0"/>
    <n v="0.976388888884685"/>
    <x v="8"/>
    <n v="-2.3611111115314998E-2"/>
    <n v="23.43333333323244"/>
    <n v="0"/>
    <n v="23.43333333323244"/>
    <n v="6.5865149360169797"/>
    <x v="0"/>
  </r>
  <r>
    <x v="3"/>
    <x v="0"/>
    <d v="2024-12-06T20:06:38"/>
    <s v="OMA4U20RR"/>
    <x v="1"/>
    <s v="UBK 862R"/>
    <s v="SULAIMAN MUBIRU"/>
    <s v="KATO INVESTMENTS LTD-KATIKARA"/>
    <n v="149.52000000000001"/>
    <s v="A19062"/>
    <x v="5"/>
    <x v="0"/>
    <x v="0"/>
    <x v="0"/>
    <x v="5"/>
    <x v="5"/>
    <n v="825"/>
    <n v="-5"/>
    <x v="0"/>
    <d v="2024-12-06T21:58:00"/>
    <d v="2024-12-06T15:48:00"/>
    <d v="2024-12-06T22:45:00"/>
    <n v="408.3"/>
    <n v="46.016666666666666"/>
    <x v="1"/>
    <d v="2024-12-08T10:47:00"/>
    <d v="2024-12-08T15:50:00"/>
    <n v="296.68333333333334"/>
    <x v="0"/>
    <d v="2024-12-09T11:18:00"/>
    <d v="2024-12-09T12:06:00"/>
    <n v="46.983333333333334"/>
    <x v="0"/>
    <n v="2.5229166666686069"/>
    <x v="0"/>
    <n v="0.52291666666860692"/>
    <n v="60.550000000046566"/>
    <n v="24"/>
    <n v="36.550000000046566"/>
    <n v="4.0908344733190019"/>
    <x v="0"/>
  </r>
  <r>
    <x v="3"/>
    <x v="0"/>
    <d v="2024-12-06T20:48:15"/>
    <s v="OM4A0DNRR"/>
    <x v="0"/>
    <s v="UBJ 417C"/>
    <m/>
    <s v="Kato Investments Ltd-Bulenga"/>
    <n v="156"/>
    <s v="A19064"/>
    <x v="2"/>
    <x v="0"/>
    <x v="0"/>
    <x v="0"/>
    <x v="2"/>
    <x v="2"/>
    <n v="556"/>
    <n v="-4"/>
    <x v="0"/>
    <d v="2024-12-07T09:16:15"/>
    <d v="2024-12-07T08:48:15"/>
    <d v="2024-12-07T10:05:15"/>
    <n v="75.38333333333334"/>
    <n v="47.966666666666669"/>
    <x v="8"/>
    <d v="2024-12-08T10:05:15"/>
    <d v="2024-12-08T13:36:15"/>
    <n v="206.6"/>
    <x v="0"/>
    <d v="2024-12-09T15:36:27"/>
    <d v="2024-12-09T16:31:27"/>
    <n v="53.85"/>
    <x v="0"/>
    <n v="2.2300000000032014"/>
    <x v="0"/>
    <n v="0.23000000000320142"/>
    <n v="53.520000000076834"/>
    <n v="32"/>
    <n v="21.520000000076834"/>
    <n v="7.2490706319443783"/>
    <x v="0"/>
  </r>
  <r>
    <x v="3"/>
    <x v="1"/>
    <d v="2024-12-06T21:26:44"/>
    <s v="OMQENEYRR"/>
    <x v="1"/>
    <s v="UBE 419T"/>
    <s v="Kilabila Ismail"/>
    <s v="KATO INVESTMENTS LTD- KALISIZO"/>
    <n v="153.60000000000002"/>
    <s v="F15439"/>
    <x v="4"/>
    <x v="1"/>
    <x v="0"/>
    <x v="1"/>
    <x v="4"/>
    <x v="4"/>
    <n v="352"/>
    <n v="2"/>
    <x v="0"/>
    <d v="2024-12-07T14:57:00"/>
    <d v="2024-12-06T08:00:00"/>
    <d v="2024-12-07T15:47:00"/>
    <n v="1867.2666666666667"/>
    <n v="48.95"/>
    <x v="1"/>
    <d v="2024-12-08T10:57:00"/>
    <d v="2024-12-08T16:10:00"/>
    <n v="306.46666666666664"/>
    <x v="0"/>
    <d v="2024-12-09T09:58:00"/>
    <d v="2024-12-09T10:52:00"/>
    <n v="52.866666666666667"/>
    <x v="0"/>
    <n v="1.757638888891961"/>
    <x v="2"/>
    <n v="5.7638888891961004E-2"/>
    <n v="42.183333333407063"/>
    <n v="12"/>
    <n v="30.183333333407063"/>
    <n v="5.0889011595679126"/>
    <x v="0"/>
  </r>
  <r>
    <x v="3"/>
    <x v="1"/>
    <d v="2024-12-06T23:29:19"/>
    <s v="OMNO88FRR"/>
    <x v="1"/>
    <s v="UBJ 988D"/>
    <s v="Tumusiime Robert"/>
    <s v="Kabaco U Ltd-Mbarara"/>
    <n v="156.75"/>
    <s v="Z81513"/>
    <x v="8"/>
    <x v="1"/>
    <x v="0"/>
    <x v="1"/>
    <x v="8"/>
    <x v="8"/>
    <n v="14"/>
    <n v="3"/>
    <x v="0"/>
    <d v="2024-12-07T07:46:00"/>
    <d v="2024-12-06T08:00:00"/>
    <d v="2024-12-07T08:32:00"/>
    <n v="1441.3166666666666"/>
    <n v="45.033333333333331"/>
    <x v="1"/>
    <d v="2024-12-07T09:18:00"/>
    <d v="2024-12-07T16:36:00"/>
    <n v="428.86666666666667"/>
    <x v="0"/>
    <d v="2024-12-07T17:19:00"/>
    <d v="2024-12-07T18:19:00"/>
    <n v="58.733333333333334"/>
    <x v="0"/>
    <n v="0.36597222222189885"/>
    <x v="5"/>
    <n v="-0.4340277777781012"/>
    <n v="8.7833333333255723"/>
    <n v="0"/>
    <n v="8.7833333333255723"/>
    <n v="17.846299810262447"/>
    <x v="0"/>
  </r>
  <r>
    <x v="3"/>
    <x v="0"/>
    <d v="2024-12-07T00:00:00"/>
    <s v="OM02KX5P"/>
    <x v="0"/>
    <s v="UBP 311H"/>
    <s v="Ekwalikwa Yusuf"/>
    <s v="Sawan Distributors Ltd-Kayabwe"/>
    <n v="156"/>
    <s v="A19083"/>
    <x v="9"/>
    <x v="0"/>
    <x v="0"/>
    <x v="0"/>
    <x v="9"/>
    <x v="9"/>
    <n v="397"/>
    <n v="-3"/>
    <x v="0"/>
    <d v="2024-12-07T07:46:00"/>
    <d v="2024-12-07T07:30:00"/>
    <d v="2024-12-07T08:38:00"/>
    <n v="66.583333333333329"/>
    <n v="50.916666666666664"/>
    <x v="6"/>
    <d v="2024-12-07T17:38:00"/>
    <d v="2024-12-08T17:13:31"/>
    <n v="1386.0166666666667"/>
    <x v="0"/>
    <d v="2024-12-09T13:37:31"/>
    <d v="2024-12-09T14:25:31"/>
    <n v="46.983333333333334"/>
    <x v="0"/>
    <n v="2.2079999999987194"/>
    <x v="0"/>
    <n v="0.20799999999871943"/>
    <n v="52.991999999969266"/>
    <n v="32"/>
    <n v="20.991999999969266"/>
    <n v="7.4314024390352706"/>
    <x v="0"/>
  </r>
  <r>
    <x v="3"/>
    <x v="0"/>
    <d v="2024-12-07T00:00:00"/>
    <s v="OM02KX5M"/>
    <x v="0"/>
    <s v="UBP 311H"/>
    <m/>
    <s v="Kato Investments Ltd-Bulenga"/>
    <n v="156"/>
    <s v="A19082"/>
    <x v="2"/>
    <x v="0"/>
    <x v="0"/>
    <x v="0"/>
    <x v="2"/>
    <x v="2"/>
    <n v="556"/>
    <n v="-4"/>
    <x v="0"/>
    <d v="2024-12-07T07:58:00"/>
    <d v="2024-12-07T07:30:00"/>
    <d v="2024-12-07T08:38:00"/>
    <n v="66.583333333333329"/>
    <n v="39.166666666666664"/>
    <x v="1"/>
    <d v="2024-12-08T08:38:00"/>
    <d v="2024-12-08T15:18:00"/>
    <n v="391.66666666666669"/>
    <x v="0"/>
    <d v="2024-12-09T08:09:12"/>
    <d v="2024-12-09T08:53:12"/>
    <n v="43.06666666666667"/>
    <x v="0"/>
    <n v="1.9800000000032014"/>
    <x v="0"/>
    <n v="-1.9999999996798579E-2"/>
    <n v="47.520000000076834"/>
    <n v="12"/>
    <n v="35.520000000076834"/>
    <n v="4.3918918918823913"/>
    <x v="0"/>
  </r>
  <r>
    <x v="3"/>
    <x v="1"/>
    <d v="2024-12-07T15:04:55"/>
    <s v="OMCOG5ZRR"/>
    <x v="1"/>
    <s v="UBJ 415C"/>
    <s v="Abel Mark naffa"/>
    <s v="Ntale and Sons"/>
    <n v="144"/>
    <s v="A19077"/>
    <x v="19"/>
    <x v="1"/>
    <x v="0"/>
    <x v="1"/>
    <x v="19"/>
    <x v="19"/>
    <n v="805"/>
    <n v="-5"/>
    <x v="0"/>
    <d v="2024-12-07T18:22:00"/>
    <d v="2024-12-07T16:40:00"/>
    <d v="2024-12-07T19:06:00"/>
    <n v="142.94999999999999"/>
    <n v="43.06666666666667"/>
    <x v="1"/>
    <d v="2024-12-09T14:26:00"/>
    <d v="2024-12-09T18:23:00"/>
    <n v="232.05"/>
    <x v="0"/>
    <d v="2024-12-10T18:52:00"/>
    <d v="2024-12-10T19:47:00"/>
    <n v="53.85"/>
    <x v="0"/>
    <n v="2.9902777777824667"/>
    <x v="4"/>
    <n v="-9.7222222175332718E-3"/>
    <n v="71.766666666779201"/>
    <n v="24"/>
    <n v="47.766666666779201"/>
    <n v="3.0146545708233234"/>
    <x v="0"/>
  </r>
  <r>
    <x v="3"/>
    <x v="0"/>
    <d v="2024-12-07T18:00:33"/>
    <s v="OM8HZ7KRR"/>
    <x v="1"/>
    <s v="UBP 298H"/>
    <s v="SENTONG DAVID"/>
    <s v="Kobusinge Steven-FPortal"/>
    <n v="156"/>
    <s v="Z81518"/>
    <x v="11"/>
    <x v="0"/>
    <x v="0"/>
    <x v="0"/>
    <x v="11"/>
    <x v="11"/>
    <n v="388"/>
    <n v="-2"/>
    <x v="0"/>
    <d v="2024-12-07T19:38:00"/>
    <d v="2024-12-07T19:00:00"/>
    <d v="2024-12-07T20:23:00"/>
    <n v="81.266666666666666"/>
    <n v="44.05"/>
    <x v="1"/>
    <d v="2024-12-08T07:04:00"/>
    <d v="2024-12-09T15:46:00"/>
    <n v="1921.1166666666666"/>
    <x v="0"/>
    <d v="2024-12-09T21:53:00"/>
    <d v="2024-12-09T22:44:00"/>
    <n v="49.93333333333333"/>
    <x v="0"/>
    <n v="2.0625"/>
    <x v="0"/>
    <n v="6.25E-2"/>
    <n v="49.5"/>
    <n v="24"/>
    <n v="25.5"/>
    <n v="6.117647058823529"/>
    <x v="0"/>
  </r>
  <r>
    <x v="3"/>
    <x v="1"/>
    <d v="2024-12-07T18:04:53"/>
    <s v="OMXFVXHRR"/>
    <x v="0"/>
    <s v="UAR 731Q"/>
    <s v="Godwin Niwensiima"/>
    <s v="KATO INVESTMENTS LIMITED-MASAK"/>
    <n v="153.60000000000002"/>
    <s v="F15441"/>
    <x v="14"/>
    <x v="1"/>
    <x v="0"/>
    <x v="1"/>
    <x v="14"/>
    <x v="14"/>
    <n v="348"/>
    <n v="8"/>
    <x v="0"/>
    <d v="2024-12-08T07:58:53"/>
    <d v="2024-12-08T07:30:53"/>
    <d v="2024-12-08T08:58:53"/>
    <n v="86.15"/>
    <n v="58.733333333333334"/>
    <x v="4"/>
    <d v="2024-12-08T12:11:53"/>
    <d v="2024-12-08T17:23:53"/>
    <n v="305.5"/>
    <x v="0"/>
    <d v="2024-12-09T07:47:53"/>
    <d v="2024-12-09T08:47:53"/>
    <n v="58.733333333333334"/>
    <x v="0"/>
    <n v="0.95069444444379769"/>
    <x v="8"/>
    <n v="-4.9305555556202307E-2"/>
    <n v="22.816666666651145"/>
    <n v="0"/>
    <n v="22.816666666651145"/>
    <n v="6.7319211103040697"/>
    <x v="0"/>
  </r>
  <r>
    <x v="3"/>
    <x v="0"/>
    <d v="2024-12-08T00:00:00"/>
    <s v="OM02KX9E"/>
    <x v="0"/>
    <s v="UBJ 419C"/>
    <m/>
    <s v="Kobusinge Acaali- Kyenjojo"/>
    <n v="156"/>
    <s v="Z81532"/>
    <x v="3"/>
    <x v="0"/>
    <x v="0"/>
    <x v="0"/>
    <x v="3"/>
    <x v="3"/>
    <n v="490"/>
    <n v="10"/>
    <x v="0"/>
    <d v="2024-12-08T07:58:00"/>
    <d v="2024-12-08T07:30:00"/>
    <d v="2024-12-08T08:46:00"/>
    <n v="74.400000000000006"/>
    <n v="46.983333333333334"/>
    <x v="1"/>
    <d v="2024-12-09T10:46:00"/>
    <d v="2024-12-09T14:06:00"/>
    <n v="195.83333333333334"/>
    <x v="0"/>
    <d v="2024-12-10T16:15:36"/>
    <d v="2024-12-10T17:06:36"/>
    <n v="49.93333333333333"/>
    <x v="0"/>
    <n v="2.312222222222772"/>
    <x v="1"/>
    <n v="-0.18777777777722804"/>
    <n v="55.493333333346527"/>
    <n v="24"/>
    <n v="31.493333333346527"/>
    <n v="4.9534292972036829"/>
    <x v="0"/>
  </r>
  <r>
    <x v="3"/>
    <x v="0"/>
    <d v="2024-12-08T00:00:00"/>
    <s v="OM02KXB1"/>
    <x v="0"/>
    <s v="UBF 070Q"/>
    <s v="NTUMWA SOLOMON"/>
    <s v="Kato Investment Ltd -Mubende"/>
    <n v="156"/>
    <s v="A19097"/>
    <x v="1"/>
    <x v="0"/>
    <x v="0"/>
    <x v="0"/>
    <x v="1"/>
    <x v="1"/>
    <n v="693"/>
    <n v="13"/>
    <x v="0"/>
    <d v="2024-12-08T07:58:00"/>
    <d v="2024-12-08T07:30:00"/>
    <d v="2024-12-08T08:38:00"/>
    <n v="66.583333333333329"/>
    <n v="39.166666666666664"/>
    <x v="1"/>
    <d v="2024-12-09T10:55:00"/>
    <d v="2024-12-09T17:00:00"/>
    <n v="357.38333333333333"/>
    <x v="0"/>
    <d v="2024-12-10T19:52:48"/>
    <d v="2024-12-10T20:28:48"/>
    <n v="35.25"/>
    <x v="0"/>
    <n v="2.468611111107748"/>
    <x v="1"/>
    <n v="-3.1388888892251998E-2"/>
    <n v="59.246666666585952"/>
    <n v="24"/>
    <n v="35.246666666585952"/>
    <n v="4.4259504444966113"/>
    <x v="0"/>
  </r>
  <r>
    <x v="3"/>
    <x v="0"/>
    <d v="2024-12-08T00:00:00"/>
    <s v="OM02KX9D"/>
    <x v="0"/>
    <s v="UBJ 419C"/>
    <m/>
    <s v="Kobusinge Steven-FPortal"/>
    <n v="156"/>
    <s v="Z81531"/>
    <x v="11"/>
    <x v="0"/>
    <x v="0"/>
    <x v="0"/>
    <x v="11"/>
    <x v="11"/>
    <n v="388"/>
    <n v="-2"/>
    <x v="0"/>
    <d v="2024-12-08T07:52:00"/>
    <d v="2024-12-08T07:30:00"/>
    <d v="2024-12-08T08:39:00"/>
    <n v="67.55"/>
    <n v="46.016666666666666"/>
    <x v="1"/>
    <d v="2024-12-09T10:08:00"/>
    <d v="2024-12-09T14:27:00"/>
    <n v="253.6"/>
    <x v="0"/>
    <d v="2024-12-10T08:47:22"/>
    <d v="2024-12-10T09:17:22"/>
    <n v="29.366666666666667"/>
    <x v="0"/>
    <n v="2.0058055555564351"/>
    <x v="0"/>
    <n v="5.805555556435138E-3"/>
    <n v="48.139333333354443"/>
    <n v="24"/>
    <n v="24.139333333354443"/>
    <n v="6.462481703438244"/>
    <x v="0"/>
  </r>
  <r>
    <x v="3"/>
    <x v="0"/>
    <d v="2024-12-08T00:00:00"/>
    <s v="OM02KX9J"/>
    <x v="0"/>
    <s v="UBP 311H"/>
    <s v="Ekwalikwa Yusuf"/>
    <s v="KATO INVESTMENTS LTD-KATIKARA"/>
    <n v="156"/>
    <s v="A19100"/>
    <x v="5"/>
    <x v="0"/>
    <x v="0"/>
    <x v="0"/>
    <x v="5"/>
    <x v="5"/>
    <n v="821"/>
    <n v="-9"/>
    <x v="0"/>
    <d v="2024-12-08T07:58:00"/>
    <d v="2024-12-08T07:30:00"/>
    <d v="2024-12-08T08:58:00"/>
    <n v="86.15"/>
    <n v="58.733333333333334"/>
    <x v="9"/>
    <d v="2024-12-09T10:13:00"/>
    <d v="2024-12-09T16:59:00"/>
    <n v="397.53333333333336"/>
    <x v="0"/>
    <d v="2024-12-10T21:47:00"/>
    <d v="2024-12-10T22:35:00"/>
    <n v="46.983333333333334"/>
    <x v="0"/>
    <n v="2.5340277777795563"/>
    <x v="0"/>
    <n v="0.53402777777955635"/>
    <n v="60.816666666709352"/>
    <n v="32"/>
    <n v="28.816666666709352"/>
    <n v="5.4135338345784474"/>
    <x v="1"/>
  </r>
  <r>
    <x v="3"/>
    <x v="0"/>
    <d v="2024-12-08T14:01:54"/>
    <s v="OMVF04QRR"/>
    <x v="0"/>
    <s v="UBF 379L"/>
    <m/>
    <s v="Kobusinge Steven-Kamwenge"/>
    <n v="156"/>
    <s v="Z81530"/>
    <x v="13"/>
    <x v="0"/>
    <x v="0"/>
    <x v="0"/>
    <x v="13"/>
    <x v="13"/>
    <n v="158"/>
    <n v="-72"/>
    <x v="0"/>
    <d v="2024-12-09T02:29:54"/>
    <d v="2024-12-09T02:01:54"/>
    <d v="2024-12-09T03:09:54"/>
    <n v="66.583333333333329"/>
    <n v="39.166666666666664"/>
    <x v="1"/>
    <d v="2024-12-10T06:39:54"/>
    <d v="2024-12-11T14:06:18"/>
    <n v="1847.0833333333333"/>
    <x v="0"/>
    <d v="2024-12-11T19:36:18"/>
    <d v="2024-12-11T20:33:18"/>
    <n v="55.8"/>
    <x v="0"/>
    <n v="2.6849999999976717"/>
    <x v="7"/>
    <n v="1.3849999999976716"/>
    <n v="64.439999999944121"/>
    <n v="24"/>
    <n v="40.439999999944121"/>
    <n v="3.8575667655839654"/>
    <x v="0"/>
  </r>
  <r>
    <x v="3"/>
    <x v="0"/>
    <d v="2024-12-08T14:04:58"/>
    <s v="OMDCUQVRR"/>
    <x v="0"/>
    <s v="UBJ 420C"/>
    <s v="ZIWA ABASI"/>
    <s v="Kato Investments Ltd-Bulenga"/>
    <n v="156"/>
    <s v="A19095"/>
    <x v="2"/>
    <x v="0"/>
    <x v="0"/>
    <x v="0"/>
    <x v="2"/>
    <x v="2"/>
    <n v="593"/>
    <n v="33"/>
    <x v="0"/>
    <d v="2024-12-09T02:32:58"/>
    <d v="2024-12-09T02:04:58"/>
    <d v="2024-12-09T03:12:58"/>
    <n v="66.583333333333329"/>
    <n v="39.166666666666664"/>
    <x v="1"/>
    <d v="2024-12-10T03:12:58"/>
    <d v="2024-12-10T06:33:58"/>
    <n v="196.8"/>
    <x v="0"/>
    <d v="2024-12-10T17:36:58"/>
    <d v="2024-12-10T18:31:58"/>
    <n v="53.85"/>
    <x v="0"/>
    <n v="1.5999999999985448"/>
    <x v="0"/>
    <n v="-0.40000000000145519"/>
    <n v="38.399999999965075"/>
    <n v="12"/>
    <n v="26.399999999965075"/>
    <n v="5.909090909098726"/>
    <x v="0"/>
  </r>
  <r>
    <x v="3"/>
    <x v="1"/>
    <d v="2024-12-08T14:49:36"/>
    <s v="OM3Q5BVRR"/>
    <x v="1"/>
    <s v="UAY 526V"/>
    <s v="Benon Ssempijja"/>
    <s v="KATO INVESTMENTS LIMITED-MASAK"/>
    <n v="153.60000000000002"/>
    <s v="F15444"/>
    <x v="14"/>
    <x v="1"/>
    <x v="0"/>
    <x v="1"/>
    <x v="14"/>
    <x v="14"/>
    <n v="296"/>
    <n v="-44"/>
    <x v="0"/>
    <d v="2024-12-08T14:15:00"/>
    <d v="2024-12-09T04:14:00"/>
    <d v="2024-12-08T15:00:00"/>
    <n v="-777.4666666666667"/>
    <n v="44.05"/>
    <x v="1"/>
    <d v="2024-12-08T18:47:00"/>
    <d v="2024-12-10T11:47:00"/>
    <n v="2408.75"/>
    <x v="0"/>
    <d v="2024-12-10T15:41:00"/>
    <d v="2024-12-10T16:32:00"/>
    <n v="49.93333333333333"/>
    <x v="0"/>
    <n v="2.0284722222204437"/>
    <x v="8"/>
    <n v="1.0284722222204437"/>
    <n v="48.683333333290648"/>
    <n v="24"/>
    <n v="24.683333333290648"/>
    <n v="6.2228224172963804"/>
    <x v="0"/>
  </r>
  <r>
    <x v="3"/>
    <x v="0"/>
    <d v="2024-12-08T15:01:10"/>
    <s v="OMP0UE6RR"/>
    <x v="1"/>
    <s v="UBK 882R"/>
    <s v="NASASIRA STEPHENE"/>
    <s v="Kato Investment Ltd -Mityana"/>
    <n v="172.8"/>
    <s v="A19096"/>
    <x v="16"/>
    <x v="0"/>
    <x v="0"/>
    <x v="0"/>
    <x v="16"/>
    <x v="16"/>
    <n v="778"/>
    <n v="88"/>
    <x v="1"/>
    <d v="2024-12-08T14:12:00"/>
    <d v="2024-12-08T19:35:00"/>
    <d v="2024-12-08T15:17:00"/>
    <n v="-252.63333333333333"/>
    <n v="63.633333333333333"/>
    <x v="6"/>
    <d v="2024-12-09T08:11:00"/>
    <d v="2024-12-09T14:24:00"/>
    <n v="365.21666666666664"/>
    <x v="0"/>
    <d v="2024-12-10T09:10:00"/>
    <d v="2024-12-10T09:58:00"/>
    <n v="46.983333333333334"/>
    <x v="0"/>
    <n v="1.7451388888875954"/>
    <x v="0"/>
    <n v="-0.25486111111240461"/>
    <n v="41.883333333302289"/>
    <n v="16"/>
    <n v="25.883333333302289"/>
    <n v="6.6761107533885617"/>
    <x v="0"/>
  </r>
  <r>
    <x v="3"/>
    <x v="0"/>
    <d v="2024-12-08T21:44:27"/>
    <s v="OMAETZIRR"/>
    <x v="0"/>
    <s v="UBM 648D"/>
    <m/>
    <s v="Kobusinge Steven-FPortal"/>
    <n v="156"/>
    <s v="Z81537"/>
    <x v="11"/>
    <x v="0"/>
    <x v="0"/>
    <x v="0"/>
    <x v="11"/>
    <x v="11"/>
    <n v="388"/>
    <n v="-2"/>
    <x v="0"/>
    <d v="2024-12-09T10:12:27"/>
    <d v="2024-12-09T09:44:27"/>
    <d v="2024-12-09T10:59:27"/>
    <n v="73.433333333333337"/>
    <n v="46.016666666666666"/>
    <x v="1"/>
    <d v="2024-12-10T09:29:27"/>
    <d v="2024-12-10T12:46:27"/>
    <n v="192.88333333333333"/>
    <x v="0"/>
    <d v="2024-12-11T10:12:39"/>
    <d v="2024-12-11T11:09:39"/>
    <n v="55.8"/>
    <x v="0"/>
    <n v="1.9674999999988358"/>
    <x v="0"/>
    <n v="-3.2500000001164153E-2"/>
    <n v="47.21999999997206"/>
    <n v="12"/>
    <n v="35.21999999997206"/>
    <n v="4.429301533223275"/>
    <x v="0"/>
  </r>
  <r>
    <x v="3"/>
    <x v="0"/>
    <d v="2024-12-09T00:00:00"/>
    <s v="OM02KXLS"/>
    <x v="0"/>
    <s v="UBE 681K"/>
    <s v="KYAPA AKIMU"/>
    <s v="Kato Investment Ltd -Mityana"/>
    <n v="156"/>
    <s v="A19109"/>
    <x v="16"/>
    <x v="0"/>
    <x v="0"/>
    <x v="0"/>
    <x v="16"/>
    <x v="16"/>
    <m/>
    <n v="-690"/>
    <x v="0"/>
    <d v="2024-12-09T07:58:00"/>
    <d v="2024-12-09T07:30:00"/>
    <d v="2024-12-09T08:42:00"/>
    <n v="70.483333333333334"/>
    <n v="43.06666666666667"/>
    <x v="1"/>
    <d v="2024-12-10T10:42:00"/>
    <d v="2024-12-10T15:42:00"/>
    <n v="293.75"/>
    <x v="0"/>
    <d v="2024-12-11T10:43:55"/>
    <d v="2024-12-11T11:23:55"/>
    <n v="39.166666666666664"/>
    <x v="0"/>
    <n v="2.0846666666693636"/>
    <x v="0"/>
    <n v="8.4666666669363622E-2"/>
    <n v="50.032000000064727"/>
    <n v="24"/>
    <n v="26.032000000064727"/>
    <n v="5.9926244621854687"/>
    <x v="0"/>
  </r>
  <r>
    <x v="3"/>
    <x v="0"/>
    <d v="2024-12-09T00:00:00"/>
    <s v="OM02KXNN"/>
    <x v="0"/>
    <s v="UBF 375L"/>
    <m/>
    <s v="KATO INVESTMENTS LTD-KATIKARA"/>
    <n v="156"/>
    <s v="A19115"/>
    <x v="5"/>
    <x v="0"/>
    <x v="0"/>
    <x v="0"/>
    <x v="5"/>
    <x v="5"/>
    <n v="836"/>
    <n v="6"/>
    <x v="0"/>
    <d v="2024-12-09T07:58:00"/>
    <d v="2024-12-09T07:30:00"/>
    <d v="2024-12-09T08:47:00"/>
    <n v="75.38333333333334"/>
    <n v="47.966666666666669"/>
    <x v="1"/>
    <d v="2024-12-10T10:02:00"/>
    <d v="2024-12-10T14:48:00"/>
    <n v="280.03333333333336"/>
    <x v="0"/>
    <d v="2024-12-11T19:36:00"/>
    <d v="2024-12-11T20:28:00"/>
    <n v="50.916666666666664"/>
    <x v="0"/>
    <n v="2.4506944444437977"/>
    <x v="0"/>
    <n v="0.45069444444379769"/>
    <n v="58.816666666651145"/>
    <n v="24"/>
    <n v="34.816666666651145"/>
    <n v="4.4806127333672441"/>
    <x v="0"/>
  </r>
  <r>
    <x v="3"/>
    <x v="0"/>
    <d v="2024-12-09T00:00:00"/>
    <s v="OM02KXSL"/>
    <x v="0"/>
    <s v="UBJ 705D"/>
    <s v="KASULE JOHNBOSC"/>
    <s v="Kato Investments Ltd-Bulenga"/>
    <n v="156"/>
    <s v="A19126"/>
    <x v="2"/>
    <x v="0"/>
    <x v="0"/>
    <x v="0"/>
    <x v="2"/>
    <x v="2"/>
    <n v="556"/>
    <n v="-4"/>
    <x v="0"/>
    <d v="2024-12-09T07:42:00"/>
    <d v="2024-12-09T07:30:00"/>
    <d v="2024-12-09T08:38:00"/>
    <n v="66.583333333333329"/>
    <n v="54.833333333333336"/>
    <x v="3"/>
    <d v="2024-12-10T08:38:00"/>
    <d v="2024-12-10T13:42:00"/>
    <n v="297.64999999999998"/>
    <x v="0"/>
    <d v="2024-12-11T14:09:12"/>
    <d v="2024-12-11T14:54:12"/>
    <n v="44.05"/>
    <x v="0"/>
    <n v="2.2300000000032014"/>
    <x v="0"/>
    <n v="0.23000000000320142"/>
    <n v="53.520000000076834"/>
    <n v="32"/>
    <n v="21.520000000076834"/>
    <n v="7.2490706319443783"/>
    <x v="0"/>
  </r>
  <r>
    <x v="3"/>
    <x v="0"/>
    <d v="2024-12-09T00:00:00"/>
    <s v="OM02KXLT"/>
    <x v="0"/>
    <s v="UBE 681K"/>
    <s v="KYAPA AKIMU"/>
    <s v="DE PLACE INVESTMENTS LTD"/>
    <n v="156"/>
    <s v="F15447"/>
    <x v="0"/>
    <x v="0"/>
    <x v="0"/>
    <x v="0"/>
    <x v="0"/>
    <x v="0"/>
    <n v="763"/>
    <n v="3"/>
    <x v="0"/>
    <d v="2024-12-09T07:58:00"/>
    <d v="2024-12-09T07:30:00"/>
    <d v="2024-12-09T08:38:00"/>
    <n v="66.583333333333329"/>
    <n v="39.166666666666664"/>
    <x v="1"/>
    <d v="2024-12-10T08:38:00"/>
    <d v="2024-12-10T12:24:00"/>
    <n v="221.28333333333333"/>
    <x v="0"/>
    <d v="2024-12-11T12:38:24"/>
    <d v="2024-12-11T13:35:24"/>
    <n v="55.8"/>
    <x v="0"/>
    <n v="2.1669444444487453"/>
    <x v="0"/>
    <n v="0.16694444444874534"/>
    <n v="52.006666666769888"/>
    <n v="24"/>
    <n v="28.006666666769888"/>
    <n v="5.5701023565612369"/>
    <x v="0"/>
  </r>
  <r>
    <x v="3"/>
    <x v="0"/>
    <d v="2024-12-09T00:00:00"/>
    <s v="OM02KXSK"/>
    <x v="0"/>
    <s v="UBF 070Q"/>
    <s v="NTUMWA SOLOMON"/>
    <s v="Kato Investments Ltd-Bulenga"/>
    <n v="156"/>
    <s v="A19125"/>
    <x v="2"/>
    <x v="0"/>
    <x v="0"/>
    <x v="0"/>
    <x v="2"/>
    <x v="2"/>
    <n v="593"/>
    <n v="33"/>
    <x v="0"/>
    <d v="2024-12-09T07:58:00"/>
    <d v="2024-12-09T07:30:00"/>
    <d v="2024-12-09T08:46:00"/>
    <n v="74.400000000000006"/>
    <n v="46.983333333333334"/>
    <x v="1"/>
    <d v="2024-12-10T08:46:00"/>
    <d v="2024-12-10T13:34:00"/>
    <n v="281.98333333333335"/>
    <x v="0"/>
    <d v="2024-12-11T08:46:00"/>
    <d v="2024-12-11T09:40:00"/>
    <n v="52.866666666666667"/>
    <x v="0"/>
    <n v="2"/>
    <x v="0"/>
    <n v="0"/>
    <n v="48"/>
    <n v="24"/>
    <n v="24"/>
    <n v="6.5"/>
    <x v="0"/>
  </r>
  <r>
    <x v="3"/>
    <x v="0"/>
    <d v="2024-12-09T00:00:00"/>
    <s v="OM02KXLW"/>
    <x v="0"/>
    <s v="UBP 311H"/>
    <s v="Ekwalikwa Yusuf"/>
    <s v="KATO INVESTMENTS LTD-KATIKARA"/>
    <n v="156"/>
    <s v="A19111"/>
    <x v="5"/>
    <x v="0"/>
    <x v="0"/>
    <x v="0"/>
    <x v="5"/>
    <x v="5"/>
    <n v="836"/>
    <n v="6"/>
    <x v="0"/>
    <d v="2024-12-09T07:58:00"/>
    <d v="2024-12-09T07:30:00"/>
    <d v="2024-12-09T08:58:00"/>
    <n v="86.15"/>
    <n v="58.733333333333334"/>
    <x v="9"/>
    <d v="2024-12-10T10:13:00"/>
    <d v="2024-12-10T16:59:00"/>
    <n v="397.53333333333336"/>
    <x v="0"/>
    <d v="2024-12-11T21:47:00"/>
    <d v="2024-12-11T22:47:00"/>
    <n v="58.733333333333334"/>
    <x v="0"/>
    <n v="2.5340277777795563"/>
    <x v="0"/>
    <n v="0.53402777777955635"/>
    <n v="60.816666666709352"/>
    <n v="32"/>
    <n v="28.816666666709352"/>
    <n v="5.4135338345784474"/>
    <x v="9"/>
  </r>
  <r>
    <x v="3"/>
    <x v="0"/>
    <d v="2024-12-09T15:55:37"/>
    <s v="OM6MNOARR"/>
    <x v="1"/>
    <s v="UBK 862R"/>
    <s v="SULAIMAN MUBIRU"/>
    <s v="DE PLACE INVESTMENTS LTD"/>
    <n v="156"/>
    <s v="F15448"/>
    <x v="0"/>
    <x v="0"/>
    <x v="0"/>
    <x v="0"/>
    <x v="0"/>
    <x v="0"/>
    <n v="800"/>
    <n v="40"/>
    <x v="0"/>
    <d v="2024-12-09T17:37:00"/>
    <d v="2024-12-09T17:00:00"/>
    <d v="2024-12-09T18:19:00"/>
    <n v="77.349999999999994"/>
    <n v="41.116666666666667"/>
    <x v="1"/>
    <d v="2024-12-10T14:32:00"/>
    <d v="2024-12-10T16:57:00"/>
    <n v="141.96666666666667"/>
    <x v="0"/>
    <d v="2024-12-11T20:38:00"/>
    <d v="2024-12-11T21:12:00"/>
    <n v="33.283333333333331"/>
    <x v="0"/>
    <n v="2.0965277777795563"/>
    <x v="0"/>
    <n v="9.6527777779556345E-2"/>
    <n v="50.316666666709352"/>
    <n v="24"/>
    <n v="26.316666666709352"/>
    <n v="5.9278024065768324"/>
    <x v="0"/>
  </r>
  <r>
    <x v="3"/>
    <x v="0"/>
    <d v="2024-12-09T15:56:38"/>
    <s v="OMIWWLLRR"/>
    <x v="1"/>
    <s v="UBM 644D"/>
    <s v="KAJUBI ISMA"/>
    <s v="Kato Investment Ltd -Mubende"/>
    <n v="156"/>
    <s v="A19112"/>
    <x v="1"/>
    <x v="0"/>
    <x v="0"/>
    <x v="0"/>
    <x v="1"/>
    <x v="1"/>
    <n v="674"/>
    <n v="-6"/>
    <x v="0"/>
    <d v="2024-12-09T16:01:00"/>
    <d v="2024-12-09T19:37:00"/>
    <d v="2024-12-09T16:46:00"/>
    <n v="-167.45"/>
    <n v="44.05"/>
    <x v="1"/>
    <d v="2024-12-10T13:05:00"/>
    <d v="2024-12-10T16:45:00"/>
    <n v="215.4"/>
    <x v="0"/>
    <d v="2024-12-11T15:23:00"/>
    <d v="2024-12-11T16:16:00"/>
    <n v="51.883333333333333"/>
    <x v="0"/>
    <n v="1.9423611111124046"/>
    <x v="1"/>
    <n v="-0.55763888888759539"/>
    <n v="46.616666666697711"/>
    <n v="12"/>
    <n v="34.616666666697711"/>
    <n v="4.506499759264134"/>
    <x v="0"/>
  </r>
  <r>
    <x v="3"/>
    <x v="0"/>
    <d v="2024-12-09T15:57:27"/>
    <s v="OMHB9USRR"/>
    <x v="0"/>
    <s v="UBJ 417C"/>
    <m/>
    <s v="Kato Investments Ltd-Bulenga"/>
    <n v="156"/>
    <s v="A19113"/>
    <x v="2"/>
    <x v="0"/>
    <x v="0"/>
    <x v="0"/>
    <x v="2"/>
    <x v="2"/>
    <m/>
    <n v="-560"/>
    <x v="0"/>
    <d v="2024-12-10T04:25:27"/>
    <d v="2024-12-10T03:57:27"/>
    <d v="2024-12-10T05:09:27"/>
    <n v="70.483333333333334"/>
    <n v="43.06666666666667"/>
    <x v="1"/>
    <d v="2024-12-12T07:09:27"/>
    <d v="2024-12-12T11:44:27"/>
    <n v="269.26666666666665"/>
    <x v="0"/>
    <d v="2024-12-13T14:07:03"/>
    <d v="2024-12-13T14:51:03"/>
    <n v="43.06666666666667"/>
    <x v="0"/>
    <n v="3.3733333333366318"/>
    <x v="0"/>
    <n v="1.3733333333366318"/>
    <n v="80.960000000079162"/>
    <n v="36"/>
    <n v="44.960000000079162"/>
    <n v="3.4697508896736058"/>
    <x v="11"/>
  </r>
  <r>
    <x v="3"/>
    <x v="0"/>
    <d v="2024-12-09T16:00:15"/>
    <s v="OM4ZAI0RR"/>
    <x v="0"/>
    <s v="UBJ 419C"/>
    <m/>
    <s v="Ntale and Sons Ltd-Kakiri"/>
    <n v="156"/>
    <s v="A19114"/>
    <x v="22"/>
    <x v="0"/>
    <x v="0"/>
    <x v="0"/>
    <x v="22"/>
    <x v="21"/>
    <n v="612"/>
    <n v="-8"/>
    <x v="0"/>
    <d v="2024-12-10T04:28:15"/>
    <d v="2024-12-10T04:00:15"/>
    <d v="2024-12-10T05:32:15"/>
    <n v="90.066666666666663"/>
    <n v="62.65"/>
    <x v="6"/>
    <d v="2024-12-10T18:02:15"/>
    <d v="2024-12-11T14:42:05"/>
    <n v="1214"/>
    <x v="0"/>
    <d v="2024-12-12T13:30:05"/>
    <d v="2024-12-12T14:31:05"/>
    <n v="59.716666666666669"/>
    <x v="0"/>
    <n v="2.3318333333299961"/>
    <x v="0"/>
    <n v="0.33183333332999609"/>
    <n v="55.963999999919906"/>
    <n v="32"/>
    <n v="23.963999999919906"/>
    <n v="6.5097646469922132"/>
    <x v="0"/>
  </r>
  <r>
    <x v="3"/>
    <x v="0"/>
    <d v="2024-12-09T16:14:26"/>
    <s v="OM1L9WQRR"/>
    <x v="1"/>
    <s v="UBP 301H"/>
    <s v="NAMINYA SIRAJE"/>
    <s v="Kobusinge Steven-FPortal"/>
    <n v="156"/>
    <s v="Z81541"/>
    <x v="11"/>
    <x v="0"/>
    <x v="0"/>
    <x v="0"/>
    <x v="11"/>
    <x v="11"/>
    <n v="390"/>
    <n v="0"/>
    <x v="0"/>
    <d v="2024-12-09T19:55:00"/>
    <d v="2024-12-09T20:25:00"/>
    <d v="2024-12-09T20:44:00"/>
    <n v="18.600000000000001"/>
    <n v="47.966666666666669"/>
    <x v="1"/>
    <d v="2024-12-11T09:59:00"/>
    <d v="2024-12-11T15:37:00"/>
    <n v="330.95"/>
    <x v="0"/>
    <d v="2024-12-12T07:36:00"/>
    <d v="2024-12-12T08:13:00"/>
    <n v="36.216666666666669"/>
    <x v="0"/>
    <n v="2.452777777776646"/>
    <x v="0"/>
    <n v="0.45277777777664596"/>
    <n v="58.866666666639503"/>
    <n v="24"/>
    <n v="34.866666666639503"/>
    <n v="4.4741873805006174"/>
    <x v="0"/>
  </r>
  <r>
    <x v="3"/>
    <x v="1"/>
    <d v="2024-12-09T16:15:54"/>
    <s v="OMOKZ1XRR"/>
    <x v="0"/>
    <s v="UAT 351G"/>
    <s v="Hamudi Sesanga"/>
    <s v="Kabaco U Ltd"/>
    <n v="153.60000000000002"/>
    <s v="Z81542"/>
    <x v="6"/>
    <x v="1"/>
    <x v="0"/>
    <x v="1"/>
    <x v="6"/>
    <x v="6"/>
    <n v="321"/>
    <n v="1"/>
    <x v="0"/>
    <d v="2024-12-10T04:43:54"/>
    <d v="2024-12-10T04:15:54"/>
    <d v="2024-12-10T05:23:54"/>
    <n v="66.583333333333329"/>
    <n v="39.166666666666664"/>
    <x v="1"/>
    <d v="2024-12-10T11:23:54"/>
    <d v="2024-12-10T15:10:54"/>
    <n v="222.26666666666668"/>
    <x v="0"/>
    <d v="2024-12-11T07:30:06"/>
    <d v="2024-12-11T08:06:06"/>
    <n v="35.25"/>
    <x v="0"/>
    <n v="1.0876388888864312"/>
    <x v="3"/>
    <n v="-0.41236111111356877"/>
    <n v="26.10333333327435"/>
    <n v="12"/>
    <n v="14.10333333327435"/>
    <n v="10.891042306828817"/>
    <x v="0"/>
  </r>
  <r>
    <x v="3"/>
    <x v="1"/>
    <d v="2024-12-09T19:56:15"/>
    <s v="OM88HMORR"/>
    <x v="0"/>
    <s v="UAV 051U"/>
    <s v="Angello Lumala"/>
    <s v="Agaba Services"/>
    <n v="153.60000000000002"/>
    <s v="F15452"/>
    <x v="20"/>
    <x v="1"/>
    <x v="0"/>
    <x v="1"/>
    <x v="20"/>
    <x v="20"/>
    <n v="298"/>
    <n v="-4"/>
    <x v="0"/>
    <d v="2024-12-10T08:24:15"/>
    <d v="2024-12-10T07:56:15"/>
    <d v="2024-12-10T09:19:15"/>
    <n v="81.266666666666666"/>
    <n v="53.85"/>
    <x v="6"/>
    <d v="2024-12-10T15:19:15"/>
    <d v="2024-12-10T18:40:15"/>
    <n v="196.8"/>
    <x v="0"/>
    <d v="2024-12-11T09:33:03"/>
    <d v="2024-12-11T10:28:03"/>
    <n v="53.85"/>
    <x v="0"/>
    <n v="1.0095833333325572"/>
    <x v="8"/>
    <n v="9.5833333325572312E-3"/>
    <n v="24.229999999981374"/>
    <n v="16"/>
    <n v="8.2299999999813735"/>
    <n v="18.663426488499109"/>
    <x v="0"/>
  </r>
  <r>
    <x v="3"/>
    <x v="0"/>
    <d v="2024-12-09T21:41:56"/>
    <s v="OM5URMARR"/>
    <x v="1"/>
    <s v="UBP 298H"/>
    <s v="SENTONG DAVID"/>
    <s v="KATO INVESTMENTS LTD-KATIKARA"/>
    <n v="156"/>
    <s v="A19131"/>
    <x v="5"/>
    <x v="0"/>
    <x v="0"/>
    <x v="0"/>
    <x v="5"/>
    <x v="5"/>
    <n v="825"/>
    <n v="-5"/>
    <x v="0"/>
    <d v="2024-12-10T07:56:00"/>
    <d v="2024-12-09T15:48:00"/>
    <d v="2024-12-10T08:56:00"/>
    <n v="1006.5666666666667"/>
    <n v="58.733333333333334"/>
    <x v="5"/>
    <d v="2024-12-11T08:35:00"/>
    <d v="2024-12-11T18:41:00"/>
    <n v="593.36666666666667"/>
    <x v="0"/>
    <d v="2024-12-12T15:38:00"/>
    <d v="2024-12-12T16:27:00"/>
    <n v="47.966666666666669"/>
    <x v="0"/>
    <n v="2.2791666666671517"/>
    <x v="0"/>
    <n v="0.27916666666715173"/>
    <n v="54.700000000011642"/>
    <n v="32"/>
    <n v="22.700000000011642"/>
    <n v="6.8722466960317181"/>
    <x v="0"/>
  </r>
  <r>
    <x v="3"/>
    <x v="0"/>
    <d v="2024-12-09T23:29:44"/>
    <s v="OMHO63LRR"/>
    <x v="0"/>
    <s v="UBJ 420C"/>
    <s v="ZIWA ABASI"/>
    <s v="Kobusinge Acaali- Kyenjojo"/>
    <n v="156"/>
    <s v="Z81549"/>
    <x v="3"/>
    <x v="0"/>
    <x v="0"/>
    <x v="0"/>
    <x v="3"/>
    <x v="3"/>
    <n v="490"/>
    <n v="10"/>
    <x v="0"/>
    <d v="2024-12-10T11:57:44"/>
    <d v="2024-12-10T11:29:44"/>
    <d v="2024-12-10T12:46:44"/>
    <n v="75.38333333333334"/>
    <n v="47.966666666666669"/>
    <x v="1"/>
    <d v="2024-12-11T14:31:44"/>
    <d v="2024-12-11T19:53:44"/>
    <n v="315.28333333333336"/>
    <x v="0"/>
    <d v="2024-12-12T22:20:28"/>
    <d v="2024-12-12T23:11:28"/>
    <n v="49.93333333333333"/>
    <x v="0"/>
    <n v="2.3984277777781244"/>
    <x v="1"/>
    <n v="-0.10157222222187556"/>
    <n v="57.562266666674986"/>
    <n v="24"/>
    <n v="33.562266666674986"/>
    <n v="4.6480770071139812"/>
    <x v="0"/>
  </r>
  <r>
    <x v="3"/>
    <x v="0"/>
    <d v="2024-12-09T23:32:41"/>
    <s v="OMQGNJ9RR"/>
    <x v="1"/>
    <s v="UBE 680K"/>
    <s v="BYEKWASO TWAHA"/>
    <s v="Kato Investments Ltd- Kyegegwa"/>
    <n v="156"/>
    <s v="A19136"/>
    <x v="18"/>
    <x v="0"/>
    <x v="0"/>
    <x v="0"/>
    <x v="18"/>
    <x v="18"/>
    <n v="572"/>
    <n v="7"/>
    <x v="0"/>
    <d v="2024-12-10T14:30:00"/>
    <d v="2024-12-09T20:24:00"/>
    <d v="2024-12-10T15:19:00"/>
    <n v="1111.3499999999999"/>
    <n v="47.966666666666669"/>
    <x v="8"/>
    <d v="2024-12-11T10:22:00"/>
    <d v="2024-12-11T15:27:00"/>
    <n v="298.63333333333333"/>
    <x v="0"/>
    <d v="2024-12-11T17:50:00"/>
    <d v="2024-12-11T18:12:00"/>
    <n v="21.533333333333335"/>
    <x v="0"/>
    <n v="1.1048611111109494"/>
    <x v="0"/>
    <n v="-0.89513888888905058"/>
    <n v="26.516666666662786"/>
    <n v="16"/>
    <n v="10.516666666662786"/>
    <n v="14.833597464347788"/>
    <x v="0"/>
  </r>
  <r>
    <x v="3"/>
    <x v="0"/>
    <d v="2024-12-10T00:00:00"/>
    <s v="OM02KY5L"/>
    <x v="0"/>
    <s v="UBF 374L "/>
    <m/>
    <s v="Kato Investment Ltd -Mityana"/>
    <n v="156"/>
    <s v="A19143"/>
    <x v="16"/>
    <x v="0"/>
    <x v="0"/>
    <x v="0"/>
    <x v="16"/>
    <x v="16"/>
    <m/>
    <n v="-690"/>
    <x v="0"/>
    <d v="2024-12-10T07:40:00"/>
    <d v="2024-12-10T07:30:00"/>
    <d v="2024-12-10T08:38:00"/>
    <n v="66.583333333333329"/>
    <n v="56.783333333333331"/>
    <x v="6"/>
    <d v="2024-12-11T10:38:00"/>
    <d v="2024-12-11T17:26:00"/>
    <n v="399.48333333333335"/>
    <x v="0"/>
    <d v="2024-12-12T14:51:55"/>
    <d v="2024-12-12T15:39:55"/>
    <n v="46.983333333333334"/>
    <x v="0"/>
    <n v="2.259666666664998"/>
    <x v="0"/>
    <n v="0.25966666666499805"/>
    <n v="54.231999999959953"/>
    <n v="32"/>
    <n v="22.231999999959953"/>
    <n v="7.0169125584869114"/>
    <x v="0"/>
  </r>
  <r>
    <x v="3"/>
    <x v="1"/>
    <d v="2024-12-10T13:25:24"/>
    <s v="OMIVCYSRR"/>
    <x v="1"/>
    <s v="UAV 203T"/>
    <s v="Mugisha  George"/>
    <s v="Rugoma Traders-Kanungu/Kihihi"/>
    <n v="153.60000000000002"/>
    <s v="F15454"/>
    <x v="23"/>
    <x v="1"/>
    <x v="0"/>
    <x v="1"/>
    <x v="23"/>
    <x v="14"/>
    <n v="351"/>
    <n v="11"/>
    <x v="0"/>
    <d v="2024-12-11T14:38:00"/>
    <d v="2024-12-11T01:59:00"/>
    <d v="2024-12-11T15:20:00"/>
    <n v="784.3"/>
    <n v="41.116666666666667"/>
    <x v="1"/>
    <d v="2024-12-12T09:22:00"/>
    <d v="2024-12-12T15:25:00"/>
    <n v="355.43333333333334"/>
    <x v="0"/>
    <d v="2024-12-13T15:27:00"/>
    <d v="2024-12-13T16:26:00"/>
    <n v="57.766666666666666"/>
    <x v="0"/>
    <n v="2.0048611111124046"/>
    <x v="3"/>
    <n v="0.50486111111240461"/>
    <n v="48.116666666697711"/>
    <n v="24"/>
    <n v="24.116666666697711"/>
    <n v="6.3690393918369992"/>
    <x v="0"/>
  </r>
  <r>
    <x v="3"/>
    <x v="1"/>
    <d v="2024-12-10T13:26:43"/>
    <s v="OMKN8FQRR"/>
    <x v="1"/>
    <s v="UBJ 375N"/>
    <s v="Stephen Musoke "/>
    <s v="KATO INVESTMENTS LIMITED-MASAK"/>
    <n v="153.60000000000002"/>
    <s v="F15455"/>
    <x v="14"/>
    <x v="1"/>
    <x v="0"/>
    <x v="1"/>
    <x v="14"/>
    <x v="14"/>
    <n v="350"/>
    <n v="10"/>
    <x v="0"/>
    <d v="2024-12-10T15:40:00"/>
    <d v="2024-12-11T04:14:00"/>
    <d v="2024-12-10T16:33:00"/>
    <n v="-686.4"/>
    <n v="51.883333333333333"/>
    <x v="2"/>
    <d v="2024-12-11T10:31:00"/>
    <d v="2024-12-11T14:46:00"/>
    <n v="249.68333333333334"/>
    <x v="0"/>
    <d v="2024-12-12T09:40:00"/>
    <d v="2024-12-12T10:17:00"/>
    <n v="36.216666666666669"/>
    <x v="0"/>
    <n v="1.7131944444481633"/>
    <x v="8"/>
    <n v="0.71319444444816327"/>
    <n v="41.116666666755918"/>
    <n v="16"/>
    <n v="25.116666666755918"/>
    <n v="6.1154611811328818"/>
    <x v="0"/>
  </r>
  <r>
    <x v="3"/>
    <x v="0"/>
    <d v="2024-12-10T15:50:06"/>
    <s v="OMN4P54RR"/>
    <x v="1"/>
    <s v="UBK 858R"/>
    <s v="ALIPA EREKU"/>
    <s v="KATO INVESTMENTS LTD-KATIKARA"/>
    <n v="156"/>
    <s v="A19145"/>
    <x v="5"/>
    <x v="0"/>
    <x v="0"/>
    <x v="0"/>
    <x v="5"/>
    <x v="5"/>
    <n v="822"/>
    <n v="-8"/>
    <x v="0"/>
    <d v="2024-12-11T12:15:00"/>
    <d v="2024-12-10T17:00:00"/>
    <d v="2024-12-11T13:04:00"/>
    <n v="1178.9000000000001"/>
    <n v="47.966666666666669"/>
    <x v="1"/>
    <d v="2024-12-13T07:12:00"/>
    <d v="2024-12-13T13:14:00"/>
    <n v="354.45"/>
    <x v="0"/>
    <d v="2024-12-14T13:15:00"/>
    <d v="2024-12-14T13:55:00"/>
    <n v="39.15"/>
    <x v="0"/>
    <n v="3.007638888891961"/>
    <x v="0"/>
    <n v="1.007638888891961"/>
    <n v="72.183333333407063"/>
    <n v="36"/>
    <n v="36.183333333407063"/>
    <n v="4.3113772455001973"/>
    <x v="0"/>
  </r>
  <r>
    <x v="3"/>
    <x v="1"/>
    <d v="2024-12-10T21:15:52"/>
    <s v="OM80Y8MRR"/>
    <x v="1"/>
    <s v="UBK 881R"/>
    <s v="James  Kironde"/>
    <s v="Kabaco U Ltd"/>
    <n v="153.60000000000002"/>
    <s v="Z81564"/>
    <x v="6"/>
    <x v="1"/>
    <x v="0"/>
    <x v="1"/>
    <x v="6"/>
    <x v="6"/>
    <n v="310"/>
    <n v="-10"/>
    <x v="0"/>
    <d v="2024-12-11T11:51:00"/>
    <d v="2024-12-11T02:22:00"/>
    <d v="2024-12-11T12:33:00"/>
    <n v="598.26666666666665"/>
    <n v="41.116666666666667"/>
    <x v="1"/>
    <d v="2024-12-11T17:04:00"/>
    <d v="2024-12-12T14:11:00"/>
    <n v="1240.5999999999999"/>
    <x v="0"/>
    <d v="2024-12-12T18:34:00"/>
    <d v="2024-12-12T19:22:00"/>
    <n v="46.983333333333334"/>
    <x v="0"/>
    <n v="1.2506944444394321"/>
    <x v="3"/>
    <n v="-0.24930555556056788"/>
    <n v="30.016666666546371"/>
    <n v="12"/>
    <n v="18.016666666546371"/>
    <n v="8.525439408012522"/>
    <x v="0"/>
  </r>
  <r>
    <x v="3"/>
    <x v="0"/>
    <d v="2024-12-11T00:00:00"/>
    <s v="OM02KYYG"/>
    <x v="0"/>
    <s v="UBE 675K"/>
    <m/>
    <s v="Boniface Harera"/>
    <n v="156"/>
    <s v="F15460"/>
    <x v="10"/>
    <x v="0"/>
    <x v="0"/>
    <x v="0"/>
    <x v="10"/>
    <x v="10"/>
    <n v="484"/>
    <n v="14"/>
    <x v="0"/>
    <d v="2024-12-11T07:58:00"/>
    <d v="2024-12-11T07:30:00"/>
    <d v="2024-12-11T08:38:00"/>
    <n v="66.583333333333329"/>
    <n v="39.166666666666664"/>
    <x v="1"/>
    <d v="2024-12-12T08:38:00"/>
    <d v="2024-12-12T14:02:00"/>
    <n v="317.23333333333335"/>
    <x v="0"/>
    <d v="2024-12-13T12:50:00"/>
    <d v="2024-12-13T13:50:00"/>
    <n v="58.733333333333334"/>
    <x v="0"/>
    <n v="2.1749999999956344"/>
    <x v="1"/>
    <n v="-0.32500000000436557"/>
    <n v="52.199999999895226"/>
    <n v="24"/>
    <n v="28.199999999895226"/>
    <n v="5.5319148936375742"/>
    <x v="0"/>
  </r>
  <r>
    <x v="3"/>
    <x v="0"/>
    <d v="2024-12-11T00:00:00"/>
    <s v="OM02KYZA"/>
    <x v="0"/>
    <s v="UBE 690K"/>
    <s v="MUKOSE MUZAMIRU"/>
    <s v="Kato Investment Ltd -Mityana"/>
    <n v="156"/>
    <s v="A19162"/>
    <x v="16"/>
    <x v="0"/>
    <x v="0"/>
    <x v="0"/>
    <x v="16"/>
    <x v="16"/>
    <m/>
    <n v="-690"/>
    <x v="0"/>
    <d v="2024-12-11T07:58:00"/>
    <d v="2024-12-11T07:30:00"/>
    <d v="2024-12-11T08:47:00"/>
    <n v="75.38333333333334"/>
    <n v="47.966666666666669"/>
    <x v="8"/>
    <d v="2024-12-12T10:47:00"/>
    <d v="2024-12-12T15:49:00"/>
    <n v="295.7"/>
    <x v="0"/>
    <d v="2024-12-13T13:14:55"/>
    <d v="2024-12-13T13:58:55"/>
    <n v="43.06666666666667"/>
    <x v="0"/>
    <n v="2.1860555555540486"/>
    <x v="0"/>
    <n v="0.18605555555404862"/>
    <n v="52.465333333297167"/>
    <n v="32"/>
    <n v="20.465333333297167"/>
    <n v="7.6226464264907658"/>
    <x v="0"/>
  </r>
  <r>
    <x v="3"/>
    <x v="1"/>
    <d v="2024-12-11T19:28:43"/>
    <s v="OMBNG8TRR"/>
    <x v="0"/>
    <s v="UAV 051U"/>
    <s v="Angello Lumala"/>
    <s v="Kabaco U Ltd"/>
    <n v="153.60000000000002"/>
    <s v="Z81573"/>
    <x v="6"/>
    <x v="1"/>
    <x v="0"/>
    <x v="1"/>
    <x v="6"/>
    <x v="6"/>
    <n v="121"/>
    <n v="-199"/>
    <x v="0"/>
    <d v="2024-12-12T07:56:43"/>
    <d v="2024-12-12T07:28:43"/>
    <d v="2024-12-12T08:36:43"/>
    <n v="66.583333333333329"/>
    <n v="39.166666666666664"/>
    <x v="1"/>
    <d v="2024-12-12T14:36:43"/>
    <d v="2024-12-12T19:35:43"/>
    <n v="292.76666666666665"/>
    <x v="0"/>
    <d v="2024-12-13T11:54:55"/>
    <d v="2024-12-13T12:32:55"/>
    <n v="37.200000000000003"/>
    <x v="0"/>
    <n v="1.1376388888893416"/>
    <x v="3"/>
    <n v="-0.36236111111065838"/>
    <n v="27.303333333344199"/>
    <n v="12"/>
    <n v="15.303333333344199"/>
    <n v="10.037028969716246"/>
    <x v="0"/>
  </r>
  <r>
    <x v="3"/>
    <x v="1"/>
    <d v="2024-12-11T19:32:44"/>
    <s v="OMUWOBZRR"/>
    <x v="0"/>
    <s v="UAT 351G"/>
    <s v="Hamudi Sesanga"/>
    <s v="Kabaco U Ltd"/>
    <n v="153.60000000000002"/>
    <s v="Z81574"/>
    <x v="6"/>
    <x v="1"/>
    <x v="0"/>
    <x v="1"/>
    <x v="6"/>
    <x v="6"/>
    <n v="321"/>
    <n v="1"/>
    <x v="0"/>
    <d v="2024-12-12T08:00:44"/>
    <d v="2024-12-12T07:32:44"/>
    <d v="2024-12-12T09:00:44"/>
    <n v="86.15"/>
    <n v="58.733333333333334"/>
    <x v="11"/>
    <d v="2024-12-12T15:00:44"/>
    <d v="2024-12-12T19:47:44"/>
    <n v="281.01666666666665"/>
    <x v="0"/>
    <d v="2024-12-13T12:06:56"/>
    <d v="2024-12-13T13:03:56"/>
    <n v="55.8"/>
    <x v="0"/>
    <n v="1.1293055555579485"/>
    <x v="3"/>
    <n v="-0.37069444444205146"/>
    <n v="27.103333333390765"/>
    <n v="16"/>
    <n v="11.103333333390765"/>
    <n v="13.833683578433401"/>
    <x v="0"/>
  </r>
  <r>
    <x v="3"/>
    <x v="1"/>
    <d v="2024-12-11T21:15:39"/>
    <s v="OMGLVKGRR"/>
    <x v="1"/>
    <s v="UBJ 707D"/>
    <s v="Konge Husein"/>
    <s v="KATO INVESTMENTS LIMITED-MASAK"/>
    <n v="153.60000000000002"/>
    <s v="F15461"/>
    <x v="14"/>
    <x v="1"/>
    <x v="0"/>
    <x v="1"/>
    <x v="14"/>
    <x v="14"/>
    <n v="155"/>
    <n v="-185"/>
    <x v="2"/>
    <d v="2024-12-13T12:48:00"/>
    <d v="2024-12-12T08:00:00"/>
    <d v="2024-12-13T13:33:00"/>
    <n v="1736.05"/>
    <n v="44.05"/>
    <x v="1"/>
    <d v="2024-12-13T15:40:00"/>
    <d v="2024-12-13T19:27:00"/>
    <n v="222.26666666666668"/>
    <x v="0"/>
    <d v="2024-12-14T15:52:00"/>
    <d v="2024-12-14T16:26:00"/>
    <n v="33.283333333333331"/>
    <x v="0"/>
    <n v="1.0965277777795563"/>
    <x v="8"/>
    <n v="9.6527777779556345E-2"/>
    <n v="26.316666666709352"/>
    <n v="12"/>
    <n v="14.316666666709352"/>
    <n v="10.72875436550934"/>
    <x v="0"/>
  </r>
  <r>
    <x v="3"/>
    <x v="0"/>
    <d v="2024-12-12T00:00:00"/>
    <s v="OM02KZ2S"/>
    <x v="0"/>
    <s v="UBB 115P"/>
    <s v="Kakembo Masuud"/>
    <s v="KATO INVESTMENTS LTD-KATIKARA"/>
    <n v="156"/>
    <s v="A19172"/>
    <x v="5"/>
    <x v="0"/>
    <x v="0"/>
    <x v="0"/>
    <x v="5"/>
    <x v="5"/>
    <n v="821"/>
    <n v="-9"/>
    <x v="0"/>
    <d v="2024-12-12T07:41:00"/>
    <d v="2024-12-12T07:30:00"/>
    <d v="2024-12-12T08:23:00"/>
    <n v="51.883333333333333"/>
    <n v="41.116666666666667"/>
    <x v="1"/>
    <d v="2024-12-13T09:53:00"/>
    <d v="2024-12-13T14:52:00"/>
    <n v="292.76666666666665"/>
    <x v="0"/>
    <d v="2024-12-14T19:40:00"/>
    <d v="2024-12-14T20:35:00"/>
    <n v="53.85"/>
    <x v="0"/>
    <n v="2.4701388888861402"/>
    <x v="0"/>
    <n v="0.47013888888614019"/>
    <n v="59.283333333267365"/>
    <n v="24"/>
    <n v="35.283333333267365"/>
    <n v="4.4213509683597074"/>
    <x v="0"/>
  </r>
  <r>
    <x v="3"/>
    <x v="0"/>
    <d v="2024-12-12T00:00:00"/>
    <s v="OM02KZ7L"/>
    <x v="0"/>
    <s v="UBE 681K"/>
    <s v="KYAPA AKIMU"/>
    <s v="KATO INVESTMENTS LTD-KATIKARA"/>
    <n v="156"/>
    <s v="A19186"/>
    <x v="5"/>
    <x v="0"/>
    <x v="0"/>
    <x v="0"/>
    <x v="5"/>
    <x v="5"/>
    <n v="821"/>
    <n v="-9"/>
    <x v="0"/>
    <d v="2024-12-12T07:58:00"/>
    <d v="2024-12-12T07:30:00"/>
    <d v="2024-12-12T08:42:00"/>
    <n v="70.483333333333334"/>
    <n v="43.06666666666667"/>
    <x v="1"/>
    <d v="2024-12-13T09:57:00"/>
    <d v="2024-12-14T14:45:00"/>
    <n v="1691.9833333333333"/>
    <x v="0"/>
    <d v="2024-12-15T19:33:00"/>
    <d v="2024-12-15T20:09:00"/>
    <n v="35.25"/>
    <x v="0"/>
    <n v="3.4520833333299379"/>
    <x v="0"/>
    <n v="1.4520833333299379"/>
    <n v="82.849999999918509"/>
    <n v="36"/>
    <n v="46.849999999918509"/>
    <n v="3.3297758804753754"/>
    <x v="5"/>
  </r>
  <r>
    <x v="3"/>
    <x v="0"/>
    <d v="2024-12-12T00:00:00"/>
    <s v="OM02KZ80"/>
    <x v="0"/>
    <s v="UBP 311H"/>
    <m/>
    <s v="Kobusinge Acaali- Kyenjojo"/>
    <n v="156"/>
    <s v="Z81592"/>
    <x v="3"/>
    <x v="0"/>
    <x v="0"/>
    <x v="0"/>
    <x v="3"/>
    <x v="3"/>
    <n v="490"/>
    <n v="10"/>
    <x v="0"/>
    <d v="2024-12-12T07:58:00"/>
    <d v="2024-12-12T07:30:00"/>
    <d v="2024-12-12T08:38:00"/>
    <n v="66.583333333333329"/>
    <n v="39.166666666666664"/>
    <x v="1"/>
    <d v="2024-12-13T11:03:00"/>
    <d v="2024-12-13T15:24:00"/>
    <n v="255.55"/>
    <x v="0"/>
    <d v="2024-12-14T17:33:36"/>
    <d v="2024-12-14T18:18:36"/>
    <n v="44.05"/>
    <x v="0"/>
    <n v="2.3719444444432156"/>
    <x v="1"/>
    <n v="-0.12805555555678438"/>
    <n v="56.926666666637175"/>
    <n v="24"/>
    <n v="32.926666666637175"/>
    <n v="4.7378011743310307"/>
    <x v="0"/>
  </r>
  <r>
    <x v="3"/>
    <x v="0"/>
    <d v="2024-12-12T00:00:00"/>
    <s v="OM02KZ7H"/>
    <x v="0"/>
    <s v="UBF 371L "/>
    <m/>
    <s v="Boniface Harera"/>
    <n v="156"/>
    <s v="F15466"/>
    <x v="10"/>
    <x v="0"/>
    <x v="0"/>
    <x v="0"/>
    <x v="10"/>
    <x v="10"/>
    <n v="474"/>
    <n v="4"/>
    <x v="0"/>
    <d v="2024-12-12T07:58:00"/>
    <d v="2024-12-12T07:30:00"/>
    <d v="2024-12-12T08:38:00"/>
    <n v="66.583333333333329"/>
    <n v="39.166666666666664"/>
    <x v="1"/>
    <d v="2024-12-13T08:38:00"/>
    <d v="2024-12-13T13:43:00"/>
    <n v="298.63333333333333"/>
    <x v="0"/>
    <d v="2024-12-14T12:31:00"/>
    <d v="2024-12-14T13:19:00"/>
    <n v="46.983333333333334"/>
    <x v="0"/>
    <n v="2.1618055555518367"/>
    <x v="1"/>
    <n v="-0.33819444444816327"/>
    <n v="51.883333333244082"/>
    <n v="24"/>
    <n v="27.883333333244082"/>
    <n v="5.5947399880633357"/>
    <x v="0"/>
  </r>
  <r>
    <x v="3"/>
    <x v="0"/>
    <d v="2024-12-12T00:00:00"/>
    <s v="OM02KZ2Q"/>
    <x v="0"/>
    <s v="UBB 115P"/>
    <s v="Kakembo Masuud"/>
    <s v="KATO INVESTMENTS LTD-KATIKARA"/>
    <n v="156"/>
    <s v="A19171"/>
    <x v="5"/>
    <x v="0"/>
    <x v="0"/>
    <x v="0"/>
    <x v="5"/>
    <x v="5"/>
    <n v="821"/>
    <n v="-9"/>
    <x v="0"/>
    <d v="2024-12-12T07:58:00"/>
    <d v="2024-12-12T07:30:00"/>
    <d v="2024-12-12T08:47:00"/>
    <n v="75.38333333333334"/>
    <n v="47.966666666666669"/>
    <x v="8"/>
    <d v="2024-12-13T11:02:00"/>
    <d v="2024-12-13T15:48:00"/>
    <n v="280.03333333333336"/>
    <x v="0"/>
    <d v="2024-12-14T20:36:00"/>
    <d v="2024-12-14T21:16:00"/>
    <n v="39.166666666666664"/>
    <x v="0"/>
    <n v="2.492361111108039"/>
    <x v="0"/>
    <n v="0.49236111110803904"/>
    <n v="59.816666666592937"/>
    <n v="32"/>
    <n v="27.816666666592937"/>
    <n v="5.6081485919861054"/>
    <x v="0"/>
  </r>
  <r>
    <x v="3"/>
    <x v="0"/>
    <d v="2024-12-12T12:15:00"/>
    <s v="OMMDQAFRR"/>
    <x v="0"/>
    <s v="UBM 648D"/>
    <m/>
    <s v="Kato Investments Ltd-Bulenga"/>
    <n v="156"/>
    <s v="A19173"/>
    <x v="2"/>
    <x v="0"/>
    <x v="0"/>
    <x v="0"/>
    <x v="2"/>
    <x v="2"/>
    <m/>
    <n v="-560"/>
    <x v="0"/>
    <d v="2024-12-13T00:43:00"/>
    <d v="2024-12-13T00:15:00"/>
    <d v="2024-12-13T01:30:00"/>
    <n v="73.433333333333337"/>
    <n v="46.016666666666666"/>
    <x v="1"/>
    <d v="2024-12-15T08:30:00"/>
    <d v="2024-12-15T13:29:00"/>
    <n v="292.76666666666665"/>
    <x v="0"/>
    <d v="2024-12-16T08:30:00"/>
    <d v="2024-12-16T09:22:00"/>
    <n v="50.916666666666664"/>
    <x v="0"/>
    <n v="3.2916666666715173"/>
    <x v="0"/>
    <n v="1.2916666666715173"/>
    <n v="79.000000000116415"/>
    <n v="36"/>
    <n v="43.000000000116415"/>
    <n v="3.6279069767343639"/>
    <x v="4"/>
  </r>
  <r>
    <x v="3"/>
    <x v="0"/>
    <d v="2024-12-12T18:53:59"/>
    <s v="OMYFYIIRR"/>
    <x v="1"/>
    <s v="UBP 301H"/>
    <s v="NAMINYA SIRAJE"/>
    <s v="KATO INVESTMENTS LTD-KATIKARA"/>
    <n v="149.376"/>
    <s v="A19178"/>
    <x v="5"/>
    <x v="0"/>
    <x v="0"/>
    <x v="0"/>
    <x v="5"/>
    <x v="5"/>
    <n v="817"/>
    <n v="-13"/>
    <x v="0"/>
    <d v="2024-12-12T18:47:00"/>
    <d v="2024-12-12T19:30:00"/>
    <d v="2024-12-12T19:34:00"/>
    <n v="3.9166666666666665"/>
    <n v="46.016666666666666"/>
    <x v="1"/>
    <d v="2024-12-14T09:16:00"/>
    <d v="2024-12-14T14:06:00"/>
    <n v="283.95"/>
    <x v="0"/>
    <d v="2024-12-15T09:46:00"/>
    <d v="2024-12-15T10:46:00"/>
    <n v="58.733333333333334"/>
    <x v="0"/>
    <n v="2.5916666666671517"/>
    <x v="0"/>
    <n v="0.59166666666715173"/>
    <n v="62.200000000011642"/>
    <n v="24"/>
    <n v="38.200000000011642"/>
    <n v="3.9103664921454051"/>
    <x v="1"/>
  </r>
  <r>
    <x v="3"/>
    <x v="1"/>
    <d v="2024-12-12T18:59:19"/>
    <s v="OMH227VRR"/>
    <x v="1"/>
    <s v="UBE 422T"/>
    <s v="Jacob Oneka"/>
    <s v="Rugoma Traders-Kanungu/Kihihi"/>
    <n v="153.60000000000002"/>
    <s v="F15463"/>
    <x v="23"/>
    <x v="1"/>
    <x v="0"/>
    <x v="1"/>
    <x v="23"/>
    <x v="14"/>
    <n v="344"/>
    <n v="4"/>
    <x v="0"/>
    <d v="2024-12-12T18:26:00"/>
    <d v="2024-12-12T20:30:00"/>
    <d v="2024-12-12T19:11:00"/>
    <n v="-77.36666666666666"/>
    <n v="44.05"/>
    <x v="1"/>
    <d v="2024-12-13T16:21:00"/>
    <d v="2024-12-14T13:30:00"/>
    <n v="1242.55"/>
    <x v="0"/>
    <d v="2024-12-14T17:56:00"/>
    <d v="2024-12-14T18:43:00"/>
    <n v="46.016666666666666"/>
    <x v="0"/>
    <n v="1.9479166666642413"/>
    <x v="3"/>
    <n v="0.44791666666424135"/>
    <n v="46.749999999941792"/>
    <n v="12"/>
    <n v="34.749999999941792"/>
    <n v="4.4201438848994909"/>
    <x v="0"/>
  </r>
  <r>
    <x v="3"/>
    <x v="1"/>
    <d v="2024-12-12T20:45:36"/>
    <s v="OMXGW8QRR"/>
    <x v="1"/>
    <s v="UBK 881R"/>
    <s v="James  Kironde"/>
    <s v="KATO INVESTMENTS LTD- KALISIZO"/>
    <n v="137.04000000000002"/>
    <s v="F15465"/>
    <x v="4"/>
    <x v="1"/>
    <x v="0"/>
    <x v="1"/>
    <x v="4"/>
    <x v="4"/>
    <n v="374"/>
    <n v="24"/>
    <x v="0"/>
    <d v="2024-12-13T06:46:00"/>
    <d v="2024-12-14T03:43:00"/>
    <d v="2024-12-13T07:35:00"/>
    <n v="-1182.8499999999999"/>
    <n v="47.966666666666669"/>
    <x v="1"/>
    <d v="2024-12-13T12:43:00"/>
    <d v="2024-12-13T17:24:00"/>
    <n v="275.13333333333333"/>
    <x v="0"/>
    <d v="2024-12-14T11:06:00"/>
    <d v="2024-12-14T11:53:00"/>
    <n v="46.016666666666666"/>
    <x v="0"/>
    <n v="1.1465277777824667"/>
    <x v="2"/>
    <n v="-0.55347222221753323"/>
    <n v="27.516666666779201"/>
    <n v="12"/>
    <n v="15.516666666779201"/>
    <n v="8.8317937700755831"/>
    <x v="0"/>
  </r>
  <r>
    <x v="3"/>
    <x v="0"/>
    <d v="2024-12-13T00:00:00"/>
    <s v="OM02KZP9"/>
    <x v="0"/>
    <s v="UBP 311H"/>
    <s v="Ekwalikwa Yusuf"/>
    <s v="Kato Investments Ltd-Bulenga"/>
    <n v="156"/>
    <s v="A19210"/>
    <x v="2"/>
    <x v="0"/>
    <x v="0"/>
    <x v="0"/>
    <x v="2"/>
    <x v="2"/>
    <n v="556"/>
    <n v="-4"/>
    <x v="0"/>
    <d v="2024-12-13T07:50:00"/>
    <d v="2024-12-13T07:30:00"/>
    <d v="2024-12-13T08:38:00"/>
    <n v="66.583333333333329"/>
    <n v="46.983333333333334"/>
    <x v="6"/>
    <d v="2024-12-14T08:38:00"/>
    <d v="2024-12-14T12:09:00"/>
    <n v="206.6"/>
    <x v="0"/>
    <d v="2024-12-15T06:14:00"/>
    <d v="2024-12-15T07:05:00"/>
    <n v="49.93333333333333"/>
    <x v="0"/>
    <n v="1.9000000000014552"/>
    <x v="0"/>
    <n v="-9.9999999998544808E-2"/>
    <n v="45.600000000034925"/>
    <n v="16"/>
    <n v="29.600000000034925"/>
    <n v="5.270270270264052"/>
    <x v="0"/>
  </r>
  <r>
    <x v="3"/>
    <x v="0"/>
    <d v="2024-12-13T00:00:00"/>
    <s v="OM02KZNE"/>
    <x v="0"/>
    <s v="UBE 684K"/>
    <m/>
    <s v="Bates Enterprises U Ltd"/>
    <n v="156"/>
    <s v="Z81598"/>
    <x v="7"/>
    <x v="0"/>
    <x v="0"/>
    <x v="0"/>
    <x v="7"/>
    <x v="7"/>
    <n v="579"/>
    <n v="-27"/>
    <x v="0"/>
    <d v="2024-12-13T07:58:00"/>
    <d v="2024-12-13T07:30:00"/>
    <d v="2024-12-13T09:02:00"/>
    <n v="90.066666666666663"/>
    <n v="62.65"/>
    <x v="6"/>
    <d v="2024-12-15T09:02:00"/>
    <d v="2024-12-15T14:32:00"/>
    <n v="323.11666666666667"/>
    <x v="0"/>
    <d v="2024-12-16T16:56:00"/>
    <d v="2024-12-16T17:53:00"/>
    <n v="55.8"/>
    <x v="0"/>
    <n v="3.3291666666627862"/>
    <x v="4"/>
    <n v="0.32916666666278616"/>
    <n v="79.899999999906868"/>
    <n v="48"/>
    <n v="31.899999999906868"/>
    <n v="4.8902821316757192"/>
    <x v="0"/>
  </r>
  <r>
    <x v="3"/>
    <x v="0"/>
    <d v="2024-12-13T00:00:00"/>
    <s v="OM02KZPD"/>
    <x v="0"/>
    <s v="UBP 311H"/>
    <s v="Ekwalikwa Yusuf"/>
    <s v="Kobusinge Steven-FPortal"/>
    <n v="151.64400000000001"/>
    <s v="Z81602"/>
    <x v="11"/>
    <x v="0"/>
    <x v="0"/>
    <x v="0"/>
    <x v="11"/>
    <x v="11"/>
    <n v="390"/>
    <n v="0"/>
    <x v="0"/>
    <d v="2024-12-13T07:58:00"/>
    <d v="2024-12-13T07:30:00"/>
    <d v="2024-12-13T08:46:00"/>
    <n v="74.400000000000006"/>
    <n v="46.983333333333334"/>
    <x v="8"/>
    <d v="2024-12-14T07:16:00"/>
    <d v="2024-12-14T16:25:00"/>
    <n v="537.54999999999995"/>
    <x v="0"/>
    <d v="2024-12-15T09:01:07"/>
    <d v="2024-12-15T09:31:07"/>
    <n v="29.366666666666667"/>
    <x v="0"/>
    <n v="2.0104999999966822"/>
    <x v="0"/>
    <n v="1.0499999996682163E-2"/>
    <n v="48.251999999920372"/>
    <n v="32"/>
    <n v="16.251999999920372"/>
    <n v="9.3307900566541342"/>
    <x v="0"/>
  </r>
  <r>
    <x v="3"/>
    <x v="1"/>
    <d v="2024-12-13T14:36:36"/>
    <s v="OM1ICCNRR"/>
    <x v="0"/>
    <s v="UAV 051U"/>
    <s v="Angello Lumala"/>
    <s v="Agaba Services"/>
    <n v="153.60000000000002"/>
    <s v="F15470"/>
    <x v="20"/>
    <x v="1"/>
    <x v="0"/>
    <x v="1"/>
    <x v="20"/>
    <x v="20"/>
    <n v="296"/>
    <n v="-6"/>
    <x v="0"/>
    <d v="2024-12-14T03:04:36"/>
    <d v="2024-12-14T02:36:36"/>
    <d v="2024-12-14T03:48:36"/>
    <n v="70.483333333333334"/>
    <n v="43.06666666666667"/>
    <x v="1"/>
    <d v="2024-12-14T09:48:36"/>
    <d v="2024-12-14T11:46:36"/>
    <n v="115.53333333333333"/>
    <x v="0"/>
    <d v="2024-12-14T17:33:36"/>
    <d v="2024-12-14T18:28:36"/>
    <n v="53.85"/>
    <x v="0"/>
    <n v="0.57291666666424135"/>
    <x v="8"/>
    <n v="-0.42708333333575865"/>
    <n v="13.749999999941792"/>
    <n v="0"/>
    <n v="13.749999999941792"/>
    <n v="11.170909090956382"/>
    <x v="0"/>
  </r>
  <r>
    <x v="3"/>
    <x v="1"/>
    <d v="2024-12-13T14:57:56"/>
    <s v="OMU5OUURR"/>
    <x v="0"/>
    <s v="UAR 731Q"/>
    <s v="Godwin Niwensiima"/>
    <s v="Agaba Services"/>
    <n v="153.60000000000002"/>
    <s v="F15471"/>
    <x v="20"/>
    <x v="1"/>
    <x v="0"/>
    <x v="1"/>
    <x v="20"/>
    <x v="20"/>
    <n v="298"/>
    <n v="-4"/>
    <x v="0"/>
    <d v="2024-12-14T03:25:56"/>
    <d v="2024-12-14T02:57:56"/>
    <d v="2024-12-14T04:14:56"/>
    <n v="75.38333333333334"/>
    <n v="47.966666666666669"/>
    <x v="1"/>
    <d v="2024-12-14T10:14:56"/>
    <d v="2024-12-14T13:16:56"/>
    <n v="178.2"/>
    <x v="0"/>
    <d v="2024-12-14T19:03:56"/>
    <d v="2024-12-14T20:04:56"/>
    <n v="59.716666666666669"/>
    <x v="0"/>
    <n v="0.61736111110803904"/>
    <x v="8"/>
    <n v="-0.38263888889196096"/>
    <n v="14.816666666592937"/>
    <n v="0"/>
    <n v="14.816666666592937"/>
    <n v="10.36670416203134"/>
    <x v="0"/>
  </r>
  <r>
    <x v="3"/>
    <x v="0"/>
    <d v="2024-12-13T18:56:54"/>
    <s v="OM9Z26URR"/>
    <x v="0"/>
    <s v="UBP 298H"/>
    <s v="SENTONG DAVID"/>
    <s v="Ntale and Sons Ltd-Kakiri"/>
    <n v="156"/>
    <s v="A19205"/>
    <x v="22"/>
    <x v="0"/>
    <x v="0"/>
    <x v="0"/>
    <x v="22"/>
    <x v="21"/>
    <n v="612"/>
    <n v="-8"/>
    <x v="0"/>
    <d v="2024-12-14T09:35:00"/>
    <d v="2024-12-14T01:59:00"/>
    <d v="2024-12-14T10:22:00"/>
    <n v="492.51666666666665"/>
    <n v="46.016666666666666"/>
    <x v="1"/>
    <d v="2024-12-15T06:47:00"/>
    <d v="2024-12-15T13:41:00"/>
    <n v="405.36666666666667"/>
    <x v="0"/>
    <d v="2024-12-18T17:36:00"/>
    <d v="2024-12-18T18:31:00"/>
    <n v="53.85"/>
    <x v="0"/>
    <n v="4.3013888888890506"/>
    <x v="0"/>
    <n v="2.3013888888890506"/>
    <n v="103.23333333333721"/>
    <n v="48"/>
    <n v="55.233333333337214"/>
    <n v="2.8243814121905078"/>
    <x v="0"/>
  </r>
  <r>
    <x v="3"/>
    <x v="1"/>
    <d v="2024-12-13T19:03:17"/>
    <s v="OML8ADKRR"/>
    <x v="1"/>
    <s v="UAV 203T"/>
    <s v="Mugisha  George"/>
    <s v="Ntale and Sons"/>
    <n v="144"/>
    <s v="A19208"/>
    <x v="19"/>
    <x v="1"/>
    <x v="0"/>
    <x v="1"/>
    <x v="19"/>
    <x v="19"/>
    <n v="799"/>
    <n v="-11"/>
    <x v="0"/>
    <d v="2024-12-15T09:06:00"/>
    <d v="2024-12-13T20:30:00"/>
    <d v="2024-12-15T09:40:00"/>
    <n v="2183.5333333333333"/>
    <n v="33.283333333333331"/>
    <x v="1"/>
    <d v="2024-12-15T21:55:00"/>
    <d v="2024-12-18T10:42:00"/>
    <n v="3571.0166666666669"/>
    <x v="0"/>
    <d v="2024-12-19T09:19:00"/>
    <d v="2024-12-19T10:10:00"/>
    <n v="49.93333333333333"/>
    <x v="0"/>
    <n v="3.9854166666627862"/>
    <x v="4"/>
    <n v="0.98541666666278616"/>
    <n v="95.649999999906868"/>
    <n v="36"/>
    <n v="59.649999999906868"/>
    <n v="2.4140821458545654"/>
    <x v="12"/>
  </r>
  <r>
    <x v="3"/>
    <x v="0"/>
    <d v="2024-12-13T19:58:43"/>
    <s v="OMD1NQTRR"/>
    <x v="1"/>
    <s v="UBK 858R"/>
    <s v="ALIPA EREKU"/>
    <s v="KATO INVESTMENTS LTD-KATIKARA"/>
    <n v="156"/>
    <s v="A19213"/>
    <x v="5"/>
    <x v="0"/>
    <x v="0"/>
    <x v="0"/>
    <x v="5"/>
    <x v="5"/>
    <n v="835"/>
    <n v="5"/>
    <x v="0"/>
    <d v="2024-12-13T20:18:00"/>
    <d v="2024-12-13T20:30:00"/>
    <d v="2024-12-13T21:07:00"/>
    <n v="36.216666666666669"/>
    <n v="47.966666666666669"/>
    <x v="1"/>
    <d v="2024-12-15T08:34:00"/>
    <d v="2024-12-15T13:24:00"/>
    <n v="283.95"/>
    <x v="0"/>
    <d v="2024-12-16T14:54:00"/>
    <d v="2024-12-16T15:47:00"/>
    <n v="51.883333333333333"/>
    <x v="0"/>
    <n v="2.7409722222218988"/>
    <x v="0"/>
    <n v="0.74097222222189885"/>
    <n v="65.783333333325572"/>
    <n v="24"/>
    <n v="41.783333333325572"/>
    <n v="3.7335460710018902"/>
    <x v="9"/>
  </r>
  <r>
    <x v="3"/>
    <x v="0"/>
    <d v="2024-12-13T22:09:52"/>
    <s v="OMBRLMPRR"/>
    <x v="0"/>
    <s v="UBJ 417C"/>
    <m/>
    <s v="Sawan Distributors Ltd-Nabingo"/>
    <n v="152.4"/>
    <s v="A19217"/>
    <x v="21"/>
    <x v="0"/>
    <x v="0"/>
    <x v="0"/>
    <x v="21"/>
    <x v="2"/>
    <n v="567"/>
    <n v="7"/>
    <x v="0"/>
    <d v="2024-12-14T10:37:52"/>
    <d v="2024-12-14T10:09:52"/>
    <d v="2024-12-14T11:37:52"/>
    <n v="86.15"/>
    <n v="58.733333333333334"/>
    <x v="12"/>
    <d v="2024-12-15T07:37:52"/>
    <d v="2024-12-15T11:37:52"/>
    <n v="234.98333333333332"/>
    <x v="0"/>
    <d v="2024-12-16T11:37:52"/>
    <d v="2024-12-16T12:37:52"/>
    <n v="58.733333333333334"/>
    <x v="0"/>
    <n v="2"/>
    <x v="0"/>
    <n v="0"/>
    <n v="48"/>
    <n v="32"/>
    <n v="16"/>
    <n v="9.5250000000000004"/>
    <x v="0"/>
  </r>
  <r>
    <x v="3"/>
    <x v="1"/>
    <d v="2024-12-13T22:12:38"/>
    <s v="OM2GFKJRR"/>
    <x v="1"/>
    <s v="UBJ 375N"/>
    <s v="Stephen Musoke "/>
    <s v="KATO INVESTMENTS LTD- KALISIZO"/>
    <n v="153.60000000000002"/>
    <s v="F15475"/>
    <x v="4"/>
    <x v="1"/>
    <x v="0"/>
    <x v="1"/>
    <x v="4"/>
    <x v="4"/>
    <n v="346"/>
    <n v="-4"/>
    <x v="0"/>
    <d v="2024-12-14T17:10:00"/>
    <d v="2024-12-14T08:00:00"/>
    <d v="2024-12-14T18:15:00"/>
    <n v="602.18333333333328"/>
    <n v="63.633333333333333"/>
    <x v="6"/>
    <d v="2024-12-15T11:51:00"/>
    <d v="2024-12-15T18:03:00"/>
    <n v="364.23333333333335"/>
    <x v="0"/>
    <d v="2024-12-16T10:42:00"/>
    <d v="2024-12-16T11:34:00"/>
    <n v="50.916666666666664"/>
    <x v="0"/>
    <n v="1.6854166666671517"/>
    <x v="2"/>
    <n v="-1.4583333332848225E-2"/>
    <n v="40.450000000011642"/>
    <n v="16"/>
    <n v="24.450000000011642"/>
    <n v="6.2822085889540649"/>
    <x v="0"/>
  </r>
  <r>
    <x v="3"/>
    <x v="1"/>
    <d v="2024-12-13T22:14:18"/>
    <s v="OM1K3JERR"/>
    <x v="1"/>
    <s v="UBK 875R"/>
    <s v="Bisaso  Ronald"/>
    <s v="Ntale and Sons"/>
    <n v="153.60000000000002"/>
    <s v="A19218"/>
    <x v="19"/>
    <x v="1"/>
    <x v="0"/>
    <x v="1"/>
    <x v="19"/>
    <x v="19"/>
    <n v="820"/>
    <n v="10"/>
    <x v="0"/>
    <d v="2024-12-14T10:15:00"/>
    <d v="2024-12-14T16:40:00"/>
    <d v="2024-12-14T10:59:00"/>
    <n v="-333.9"/>
    <n v="43.06666666666667"/>
    <x v="1"/>
    <d v="2024-12-15T11:03:00"/>
    <d v="2024-12-18T16:04:00"/>
    <n v="4524.7166666666662"/>
    <x v="0"/>
    <d v="2024-12-19T11:07:00"/>
    <d v="2024-12-19T11:57:00"/>
    <n v="48.95"/>
    <x v="0"/>
    <n v="5.0055555555518367"/>
    <x v="4"/>
    <n v="2.0055555555518367"/>
    <n v="120.13333333324408"/>
    <n v="60"/>
    <n v="60.133333333244082"/>
    <n v="2.5543237250592239"/>
    <x v="3"/>
  </r>
  <r>
    <x v="3"/>
    <x v="0"/>
    <d v="2024-12-14T00:00:00"/>
    <s v="OM02KZU4"/>
    <x v="0"/>
    <s v="UBE 690K"/>
    <s v="MUKOSE MUZAMIRU"/>
    <s v="Kato Investments Ltd-Bulenga"/>
    <n v="156"/>
    <s v="A19228"/>
    <x v="2"/>
    <x v="0"/>
    <x v="0"/>
    <x v="0"/>
    <x v="2"/>
    <x v="2"/>
    <n v="556"/>
    <n v="-4"/>
    <x v="0"/>
    <d v="2024-12-14T07:58:00"/>
    <d v="2024-12-14T07:30:00"/>
    <d v="2024-12-14T08:38:00"/>
    <n v="66.583333333333329"/>
    <n v="39.166666666666664"/>
    <x v="1"/>
    <d v="2024-12-15T08:38:00"/>
    <d v="2024-12-15T15:18:00"/>
    <n v="391.66666666666669"/>
    <x v="0"/>
    <d v="2024-12-16T14:09:12"/>
    <d v="2024-12-16T14:57:12"/>
    <n v="46.983333333333334"/>
    <x v="0"/>
    <n v="2.2300000000032014"/>
    <x v="0"/>
    <n v="0.23000000000320142"/>
    <n v="53.520000000076834"/>
    <n v="24"/>
    <n v="29.520000000076834"/>
    <n v="5.2845528455147006"/>
    <x v="0"/>
  </r>
  <r>
    <x v="3"/>
    <x v="0"/>
    <d v="2024-12-14T00:00:00"/>
    <s v="OM02KZUD"/>
    <x v="0"/>
    <s v="UBF 379L"/>
    <m/>
    <s v="Kobusinge Steven-FPortal"/>
    <n v="156"/>
    <s v="Z81615"/>
    <x v="11"/>
    <x v="0"/>
    <x v="0"/>
    <x v="0"/>
    <x v="11"/>
    <x v="11"/>
    <n v="390"/>
    <n v="0"/>
    <x v="0"/>
    <d v="2024-12-14T07:58:00"/>
    <d v="2024-12-14T07:30:00"/>
    <d v="2024-12-14T08:38:00"/>
    <n v="66.583333333333329"/>
    <n v="39.166666666666664"/>
    <x v="1"/>
    <d v="2024-12-15T10:08:00"/>
    <d v="2024-12-15T18:37:00"/>
    <n v="498.38333333333333"/>
    <x v="0"/>
    <d v="2024-12-16T09:30:34"/>
    <d v="2024-12-16T10:30:34"/>
    <n v="58.733333333333334"/>
    <x v="0"/>
    <n v="2.0365000000019791"/>
    <x v="0"/>
    <n v="3.650000000197906E-2"/>
    <n v="48.876000000047497"/>
    <n v="24"/>
    <n v="24.876000000047497"/>
    <n v="6.2711046791969025"/>
    <x v="0"/>
  </r>
  <r>
    <x v="3"/>
    <x v="0"/>
    <d v="2024-12-14T00:00:00"/>
    <s v="OM02KZS9"/>
    <x v="0"/>
    <s v="UBP 311H"/>
    <m/>
    <s v="Kato Investments Ltd-Bulenga"/>
    <n v="156"/>
    <s v="A19221"/>
    <x v="2"/>
    <x v="0"/>
    <x v="0"/>
    <x v="0"/>
    <x v="2"/>
    <x v="2"/>
    <n v="556"/>
    <n v="-4"/>
    <x v="0"/>
    <d v="2024-12-14T07:58:00"/>
    <d v="2024-12-14T07:30:00"/>
    <d v="2024-12-14T08:42:00"/>
    <n v="70.483333333333334"/>
    <n v="43.06666666666667"/>
    <x v="1"/>
    <d v="2024-12-15T08:42:00"/>
    <d v="2024-12-15T12:03:00"/>
    <n v="196.8"/>
    <x v="0"/>
    <d v="2024-12-16T09:54:00"/>
    <d v="2024-12-16T10:30:00"/>
    <n v="35.25"/>
    <x v="0"/>
    <n v="2.0500000000029104"/>
    <x v="0"/>
    <n v="5.0000000002910383E-2"/>
    <n v="49.200000000069849"/>
    <n v="24"/>
    <n v="25.200000000069849"/>
    <n v="6.190476190459032"/>
    <x v="0"/>
  </r>
  <r>
    <x v="3"/>
    <x v="0"/>
    <d v="2024-12-14T00:00:00"/>
    <s v="OM02KZS8"/>
    <x v="0"/>
    <s v="UBF 374L "/>
    <m/>
    <s v="Kato Investment Ltd -Mubende"/>
    <n v="156"/>
    <s v="A19220"/>
    <x v="1"/>
    <x v="0"/>
    <x v="0"/>
    <x v="0"/>
    <x v="1"/>
    <x v="1"/>
    <n v="665"/>
    <n v="-15"/>
    <x v="0"/>
    <d v="2024-12-14T07:20:00"/>
    <d v="2024-12-14T07:30:00"/>
    <d v="2024-12-14T08:21:00"/>
    <n v="49.93333333333333"/>
    <n v="59.716666666666669"/>
    <x v="6"/>
    <d v="2024-12-15T10:55:00"/>
    <d v="2024-12-15T15:33:00"/>
    <n v="272.2"/>
    <x v="0"/>
    <d v="2024-12-16T18:25:48"/>
    <d v="2024-12-16T19:09:48"/>
    <n v="43.06666666666667"/>
    <x v="0"/>
    <n v="2.4200000000055297"/>
    <x v="1"/>
    <n v="-7.9999999994470272E-2"/>
    <n v="58.080000000132713"/>
    <n v="32"/>
    <n v="26.080000000132713"/>
    <n v="5.9815950919941017"/>
    <x v="0"/>
  </r>
  <r>
    <x v="3"/>
    <x v="1"/>
    <d v="2024-12-14T00:00:00"/>
    <s v="OM02KZSG"/>
    <x v="0"/>
    <s v="UBJ 707D"/>
    <m/>
    <s v="Sawan Distributors Ltd-Nabingo"/>
    <n v="150"/>
    <s v="A19224"/>
    <x v="21"/>
    <x v="1"/>
    <x v="0"/>
    <x v="1"/>
    <x v="21"/>
    <x v="2"/>
    <n v="541"/>
    <n v="-19"/>
    <x v="0"/>
    <d v="2024-12-14T07:58:00"/>
    <d v="2024-12-14T07:30:00"/>
    <d v="2024-12-14T08:45:00"/>
    <n v="73.433333333333337"/>
    <n v="46.016666666666666"/>
    <x v="8"/>
    <d v="2024-12-15T10:00:00"/>
    <d v="2024-12-15T15:00:00"/>
    <n v="293.75"/>
    <x v="0"/>
    <d v="2024-12-16T15:00:00"/>
    <d v="2024-12-16T16:00:00"/>
    <n v="58.733333333333334"/>
    <x v="0"/>
    <n v="2.2604166666715173"/>
    <x v="0"/>
    <n v="0.26041666667151731"/>
    <n v="54.250000000116415"/>
    <n v="32"/>
    <n v="22.250000000116415"/>
    <n v="6.7415730336725925"/>
    <x v="0"/>
  </r>
  <r>
    <x v="3"/>
    <x v="0"/>
    <d v="2024-12-14T00:00:00"/>
    <s v="OM02KZSB"/>
    <x v="0"/>
    <s v="UBE 673K"/>
    <s v="Bulega Sperito"/>
    <s v="Kato Investments Ltd-Bulenga"/>
    <n v="156"/>
    <s v="A19222"/>
    <x v="2"/>
    <x v="0"/>
    <x v="0"/>
    <x v="0"/>
    <x v="2"/>
    <x v="2"/>
    <n v="593"/>
    <n v="33"/>
    <x v="0"/>
    <d v="2024-12-14T07:58:00"/>
    <d v="2024-12-14T07:30:00"/>
    <d v="2024-12-14T09:02:00"/>
    <n v="90.066666666666663"/>
    <n v="62.65"/>
    <x v="6"/>
    <d v="2024-12-15T09:02:00"/>
    <d v="2024-12-15T14:17:00"/>
    <n v="308.43333333333334"/>
    <x v="0"/>
    <d v="2024-12-16T09:02:00"/>
    <d v="2024-12-16T09:59:00"/>
    <n v="55.8"/>
    <x v="0"/>
    <n v="2"/>
    <x v="0"/>
    <n v="0"/>
    <n v="48"/>
    <n v="32"/>
    <n v="16"/>
    <n v="9.75"/>
    <x v="0"/>
  </r>
  <r>
    <x v="3"/>
    <x v="0"/>
    <d v="2024-12-14T00:00:00"/>
    <s v="OM02KZS7"/>
    <x v="0"/>
    <s v="UBP 311H"/>
    <m/>
    <s v="Kato Investment Ltd -Mityana"/>
    <n v="156"/>
    <s v="A19219"/>
    <x v="16"/>
    <x v="0"/>
    <x v="0"/>
    <x v="0"/>
    <x v="16"/>
    <x v="16"/>
    <m/>
    <n v="-690"/>
    <x v="0"/>
    <d v="2024-12-14T07:58:00"/>
    <d v="2024-12-14T07:30:00"/>
    <d v="2024-12-14T08:42:00"/>
    <n v="70.483333333333334"/>
    <n v="43.06666666666667"/>
    <x v="1"/>
    <d v="2024-12-15T10:42:00"/>
    <d v="2024-12-15T16:02:00"/>
    <n v="313.31666666666666"/>
    <x v="0"/>
    <d v="2024-12-16T13:27:55"/>
    <d v="2024-12-16T14:27:55"/>
    <n v="58.733333333333334"/>
    <x v="0"/>
    <n v="2.1985555555511382"/>
    <x v="0"/>
    <n v="0.19855555555113824"/>
    <n v="52.765333333227318"/>
    <n v="24"/>
    <n v="28.765333333227318"/>
    <n v="5.4231945860958195"/>
    <x v="0"/>
  </r>
  <r>
    <x v="3"/>
    <x v="0"/>
    <d v="2024-12-14T00:00:00"/>
    <s v="OM02KZWT"/>
    <x v="0"/>
    <s v="UBE 681K"/>
    <s v="KYAPA AKIMU"/>
    <s v="Sawan Distributors Ltd-Nabingo"/>
    <n v="156"/>
    <s v="A19240"/>
    <x v="21"/>
    <x v="0"/>
    <x v="0"/>
    <x v="0"/>
    <x v="21"/>
    <x v="2"/>
    <n v="543"/>
    <n v="-17"/>
    <x v="0"/>
    <d v="2024-12-14T07:58:00"/>
    <d v="2024-12-14T07:30:00"/>
    <d v="2024-12-14T08:38:00"/>
    <n v="66.583333333333329"/>
    <n v="39.166666666666664"/>
    <x v="1"/>
    <d v="2024-12-14T20:38:00"/>
    <d v="2024-12-15T13:26:00"/>
    <n v="986.98333333333335"/>
    <x v="0"/>
    <d v="2024-12-16T15:35:36"/>
    <d v="2024-12-16T16:20:36"/>
    <n v="44.05"/>
    <x v="0"/>
    <n v="2.2899999999935972"/>
    <x v="0"/>
    <n v="0.28999999999359716"/>
    <n v="54.959999999846332"/>
    <n v="24"/>
    <n v="30.959999999846332"/>
    <n v="5.03875968994749"/>
    <x v="0"/>
  </r>
  <r>
    <x v="3"/>
    <x v="1"/>
    <d v="2024-12-14T00:00:00"/>
    <s v="OM02KZWR"/>
    <x v="0"/>
    <s v="UBE 287X"/>
    <m/>
    <s v="KATO INVESTMENTS LTD- KALISIZO"/>
    <n v="153.60000000000002"/>
    <s v="F15481"/>
    <x v="4"/>
    <x v="1"/>
    <x v="0"/>
    <x v="1"/>
    <x v="4"/>
    <x v="4"/>
    <n v="351"/>
    <n v="1"/>
    <x v="0"/>
    <d v="2024-12-14T07:58:00"/>
    <d v="2024-12-14T07:30:00"/>
    <d v="2024-12-14T08:46:00"/>
    <n v="74.400000000000006"/>
    <n v="46.983333333333334"/>
    <x v="1"/>
    <d v="2024-12-14T15:46:00"/>
    <d v="2024-12-14T19:06:00"/>
    <n v="195.83333333333334"/>
    <x v="0"/>
    <d v="2024-12-15T11:54:00"/>
    <d v="2024-12-15T12:48:00"/>
    <n v="52.866666666666667"/>
    <x v="0"/>
    <n v="1.1305555555518367"/>
    <x v="2"/>
    <n v="-0.56944444444816322"/>
    <n v="27.133333333244082"/>
    <n v="12"/>
    <n v="15.133333333244082"/>
    <n v="10.149779735742682"/>
    <x v="0"/>
  </r>
  <r>
    <x v="3"/>
    <x v="0"/>
    <d v="2024-12-14T13:33:27"/>
    <s v="OM8F4W2RR"/>
    <x v="0"/>
    <s v="UBJ 419C"/>
    <m/>
    <s v="Kabaco U Ltd"/>
    <n v="156"/>
    <s v="Z81611"/>
    <x v="6"/>
    <x v="0"/>
    <x v="0"/>
    <x v="0"/>
    <x v="6"/>
    <x v="6"/>
    <n v="321"/>
    <n v="1"/>
    <x v="0"/>
    <d v="2024-12-15T02:01:27"/>
    <d v="2024-12-15T01:33:27"/>
    <d v="2024-12-15T02:41:27"/>
    <n v="66.583333333333329"/>
    <n v="39.166666666666664"/>
    <x v="1"/>
    <d v="2024-12-15T08:41:27"/>
    <d v="2024-12-15T14:08:27"/>
    <n v="320.18333333333334"/>
    <x v="0"/>
    <d v="2024-12-15T19:28:27"/>
    <d v="2024-12-15T20:25:27"/>
    <n v="55.8"/>
    <x v="0"/>
    <n v="0.69930555555038154"/>
    <x v="3"/>
    <n v="-0.80069444444961846"/>
    <n v="16.783333333209157"/>
    <n v="0"/>
    <n v="16.783333333209157"/>
    <n v="9.2949354519059106"/>
    <x v="0"/>
  </r>
  <r>
    <x v="3"/>
    <x v="1"/>
    <d v="2024-12-14T15:57:21"/>
    <s v="OMM663GRR"/>
    <x v="0"/>
    <s v="UAV 051U"/>
    <s v="Angello Lumala"/>
    <s v="Kabaco U Ltd"/>
    <n v="153.60000000000002"/>
    <s v="Z81612"/>
    <x v="6"/>
    <x v="1"/>
    <x v="0"/>
    <x v="1"/>
    <x v="6"/>
    <x v="6"/>
    <n v="321"/>
    <n v="1"/>
    <x v="0"/>
    <d v="2024-12-15T04:25:21"/>
    <d v="2024-12-15T03:57:21"/>
    <d v="2024-12-15T05:05:21"/>
    <n v="66.583333333333329"/>
    <n v="39.166666666666664"/>
    <x v="1"/>
    <d v="2024-12-15T11:05:21"/>
    <d v="2024-12-15T17:32:21"/>
    <n v="378.93333333333334"/>
    <x v="0"/>
    <d v="2024-12-16T09:51:33"/>
    <d v="2024-12-16T10:48:33"/>
    <n v="55.8"/>
    <x v="0"/>
    <n v="1.1987500000032014"/>
    <x v="3"/>
    <n v="-0.30124999999679858"/>
    <n v="28.770000000076834"/>
    <n v="12"/>
    <n v="16.770000000076834"/>
    <n v="9.1592128801011494"/>
    <x v="0"/>
  </r>
  <r>
    <x v="3"/>
    <x v="1"/>
    <d v="2024-12-14T16:21:38"/>
    <s v="OMNMRA4RR"/>
    <x v="0"/>
    <s v="UBE 419T"/>
    <s v="Kilabila Ismail"/>
    <s v="Agaba Services"/>
    <n v="149.38800000000001"/>
    <s v="F15477"/>
    <x v="20"/>
    <x v="1"/>
    <x v="0"/>
    <x v="1"/>
    <x v="20"/>
    <x v="20"/>
    <n v="296"/>
    <n v="-6"/>
    <x v="0"/>
    <d v="2024-12-15T04:49:38"/>
    <d v="2024-12-15T04:21:38"/>
    <d v="2024-12-15T05:38:38"/>
    <n v="75.38333333333334"/>
    <n v="47.966666666666669"/>
    <x v="1"/>
    <d v="2024-12-15T11:38:38"/>
    <d v="2024-12-15T13:50:38"/>
    <n v="129.25"/>
    <x v="0"/>
    <d v="2024-12-15T19:37:38"/>
    <d v="2024-12-15T20:28:38"/>
    <n v="49.93333333333333"/>
    <x v="0"/>
    <n v="0.58263888888905058"/>
    <x v="8"/>
    <n v="-0.41736111111094942"/>
    <n v="13.983333333337214"/>
    <n v="0"/>
    <n v="13.983333333337214"/>
    <n v="10.683289630509551"/>
    <x v="0"/>
  </r>
  <r>
    <x v="3"/>
    <x v="1"/>
    <d v="2024-12-14T20:19:20"/>
    <s v="OML0UPPRR"/>
    <x v="0"/>
    <s v="UAT 351G"/>
    <s v="Hamudi Sesanga"/>
    <s v="KATO INVESTMENTS LIMITED-MASAK"/>
    <n v="153.60000000000002"/>
    <s v="F15479"/>
    <x v="14"/>
    <x v="1"/>
    <x v="0"/>
    <x v="1"/>
    <x v="14"/>
    <x v="14"/>
    <n v="415"/>
    <n v="75"/>
    <x v="0"/>
    <d v="2024-12-15T08:47:20"/>
    <d v="2024-12-15T08:19:20"/>
    <d v="2024-12-15T09:31:20"/>
    <n v="70.483333333333334"/>
    <n v="43.06666666666667"/>
    <x v="1"/>
    <d v="2024-12-15T12:44:20"/>
    <d v="2024-12-15T18:36:20"/>
    <n v="344.65"/>
    <x v="0"/>
    <d v="2024-12-16T09:00:20"/>
    <d v="2024-12-16T09:40:20"/>
    <n v="39.166666666666664"/>
    <x v="0"/>
    <n v="0.97847222221753327"/>
    <x v="8"/>
    <n v="-2.1527777782466728E-2"/>
    <n v="23.483333333220799"/>
    <n v="0"/>
    <n v="23.483333333220799"/>
    <n v="6.5408090844884068"/>
    <x v="0"/>
  </r>
  <r>
    <x v="3"/>
    <x v="1"/>
    <d v="2024-12-15T12:36:27"/>
    <s v="OMGHGY1RR"/>
    <x v="0"/>
    <s v="UAT 351G"/>
    <s v="Hamudi Sesanga"/>
    <s v="Kabaco U Ltd"/>
    <n v="153.60000000000002"/>
    <s v="Z81626"/>
    <x v="6"/>
    <x v="1"/>
    <x v="0"/>
    <x v="1"/>
    <x v="6"/>
    <x v="6"/>
    <n v="321"/>
    <n v="1"/>
    <x v="0"/>
    <d v="2024-12-16T01:04:27"/>
    <d v="2024-12-16T00:36:27"/>
    <d v="2024-12-16T01:59:27"/>
    <n v="81.266666666666666"/>
    <n v="53.85"/>
    <x v="3"/>
    <d v="2024-12-16T07:59:27"/>
    <d v="2024-12-16T15:06:27"/>
    <n v="418.1"/>
    <x v="0"/>
    <d v="2024-12-17T07:25:39"/>
    <d v="2024-12-17T08:20:39"/>
    <n v="53.85"/>
    <x v="0"/>
    <n v="1.226527777776937"/>
    <x v="3"/>
    <n v="-0.273472222223063"/>
    <n v="29.436666666646488"/>
    <n v="16"/>
    <n v="13.436666666646488"/>
    <n v="11.431406598876013"/>
    <x v="0"/>
  </r>
  <r>
    <x v="3"/>
    <x v="0"/>
    <d v="2024-12-15T12:42:30"/>
    <s v="OMGO910RR"/>
    <x v="0"/>
    <s v="UBJ 419C"/>
    <m/>
    <s v="KATO INVESTMENTS LTD-KATIKARA"/>
    <n v="156"/>
    <s v="A19255"/>
    <x v="5"/>
    <x v="0"/>
    <x v="0"/>
    <x v="0"/>
    <x v="5"/>
    <x v="5"/>
    <n v="842"/>
    <n v="12"/>
    <x v="0"/>
    <d v="2024-12-16T01:10:30"/>
    <d v="2024-12-16T00:42:30"/>
    <d v="2024-12-16T01:50:30"/>
    <n v="66.583333333333329"/>
    <n v="39.166666666666664"/>
    <x v="1"/>
    <d v="2024-12-17T19:50:30"/>
    <d v="2024-12-18T02:36:30"/>
    <n v="397.53333333333336"/>
    <x v="0"/>
    <d v="2024-12-19T07:24:30"/>
    <d v="2024-12-19T08:24:30"/>
    <n v="58.733333333333334"/>
    <x v="0"/>
    <n v="3.2319444444437977"/>
    <x v="0"/>
    <n v="1.2319444444437977"/>
    <n v="77.566666666651145"/>
    <n v="36"/>
    <n v="41.566666666651145"/>
    <n v="3.7530072173229732"/>
    <x v="0"/>
  </r>
  <r>
    <x v="3"/>
    <x v="0"/>
    <d v="2024-12-15T12:45:57"/>
    <s v="OMWRA2NRR"/>
    <x v="0"/>
    <s v="UBP 311H"/>
    <s v="Ekwalikwa Yusuf"/>
    <s v="Kato Investments Ltd- Kyegegwa"/>
    <n v="156"/>
    <s v="A19256"/>
    <x v="18"/>
    <x v="0"/>
    <x v="0"/>
    <x v="0"/>
    <x v="18"/>
    <x v="18"/>
    <n v="581"/>
    <n v="16"/>
    <x v="0"/>
    <d v="2024-12-16T00:57:57"/>
    <d v="2024-12-16T00:45:57"/>
    <d v="2024-12-16T01:53:57"/>
    <n v="66.583333333333329"/>
    <n v="54.833333333333336"/>
    <x v="7"/>
    <d v="2024-12-17T07:53:57"/>
    <d v="2024-12-17T11:13:57"/>
    <n v="195.83333333333334"/>
    <x v="0"/>
    <d v="2024-12-17T18:03:57"/>
    <d v="2024-12-17T18:47:57"/>
    <n v="43.06666666666667"/>
    <x v="0"/>
    <n v="1.6736111111094942"/>
    <x v="0"/>
    <n v="-0.32638888889050577"/>
    <n v="40.166666666627862"/>
    <n v="16"/>
    <n v="24.166666666627862"/>
    <n v="6.455172413803469"/>
    <x v="0"/>
  </r>
  <r>
    <x v="3"/>
    <x v="0"/>
    <d v="2024-12-15T13:19:27"/>
    <s v="OMT01LGRR"/>
    <x v="0"/>
    <s v="UBJ 417C"/>
    <m/>
    <s v="Kobusinge Steven-FPortal"/>
    <n v="156"/>
    <s v="Z81628"/>
    <x v="11"/>
    <x v="0"/>
    <x v="0"/>
    <x v="0"/>
    <x v="11"/>
    <x v="11"/>
    <n v="390"/>
    <n v="0"/>
    <x v="0"/>
    <d v="2024-12-16T01:47:27"/>
    <d v="2024-12-16T01:19:27"/>
    <d v="2024-12-16T02:27:27"/>
    <n v="66.583333333333329"/>
    <n v="39.166666666666664"/>
    <x v="1"/>
    <d v="2024-12-17T11:57:27"/>
    <d v="2024-12-17T17:30:27"/>
    <n v="326.05"/>
    <x v="0"/>
    <d v="2024-12-18T13:42:34"/>
    <d v="2024-12-18T14:18:34"/>
    <n v="35.25"/>
    <x v="0"/>
    <n v="2.4688333333324408"/>
    <x v="0"/>
    <n v="0.46883333333244082"/>
    <n v="59.25199999997858"/>
    <n v="24"/>
    <n v="35.25199999997858"/>
    <n v="4.4252808351326109"/>
    <x v="0"/>
  </r>
  <r>
    <x v="3"/>
    <x v="0"/>
    <d v="2024-12-16T00:00:00"/>
    <s v="OM02L0H5"/>
    <x v="0"/>
    <s v="UBE 690K"/>
    <s v="MUKOSE MUZAMIRU"/>
    <s v="Kabaco U Ltd"/>
    <n v="156"/>
    <s v="Z81651"/>
    <x v="6"/>
    <x v="0"/>
    <x v="0"/>
    <x v="0"/>
    <x v="6"/>
    <x v="6"/>
    <n v="120"/>
    <n v="-200"/>
    <x v="0"/>
    <d v="2024-12-16T07:42:00"/>
    <d v="2024-12-16T07:30:00"/>
    <d v="2024-12-16T08:38:00"/>
    <n v="66.583333333333329"/>
    <n v="54.833333333333336"/>
    <x v="6"/>
    <d v="2024-12-16T14:38:00"/>
    <d v="2024-12-16T20:05:00"/>
    <n v="320.18333333333334"/>
    <x v="0"/>
    <d v="2024-12-17T12:24:12"/>
    <d v="2024-12-17T13:16:12"/>
    <n v="50.916666666666664"/>
    <x v="0"/>
    <n v="1.1570833333316841"/>
    <x v="3"/>
    <n v="-0.34291666666831588"/>
    <n v="27.769999999960419"/>
    <n v="16"/>
    <n v="11.769999999960419"/>
    <n v="13.254035683986798"/>
    <x v="0"/>
  </r>
  <r>
    <x v="3"/>
    <x v="0"/>
    <d v="2024-12-16T00:00:00"/>
    <s v="OM02L0H9"/>
    <x v="0"/>
    <s v="UBE 678K"/>
    <m/>
    <s v="Kobusinge Steven-FPortal"/>
    <n v="156"/>
    <s v="Z81653"/>
    <x v="11"/>
    <x v="0"/>
    <x v="0"/>
    <x v="0"/>
    <x v="11"/>
    <x v="11"/>
    <n v="390"/>
    <n v="0"/>
    <x v="0"/>
    <d v="2024-12-16T07:58:00"/>
    <d v="2024-12-16T07:30:00"/>
    <d v="2024-12-16T08:38:00"/>
    <n v="66.583333333333329"/>
    <n v="39.166666666666664"/>
    <x v="1"/>
    <d v="2024-12-17T10:08:00"/>
    <d v="2024-12-17T15:41:00"/>
    <n v="326.05"/>
    <x v="0"/>
    <d v="2024-12-18T08:47:22"/>
    <d v="2024-12-18T09:48:22"/>
    <n v="59.716666666666669"/>
    <x v="0"/>
    <n v="2.0065000000031432"/>
    <x v="0"/>
    <n v="6.5000000031432137E-3"/>
    <n v="48.156000000075437"/>
    <n v="24"/>
    <n v="24.156000000075437"/>
    <n v="6.4580228514453069"/>
    <x v="0"/>
  </r>
  <r>
    <x v="3"/>
    <x v="0"/>
    <d v="2024-12-16T00:00:00"/>
    <s v="OM02L0HB"/>
    <x v="0"/>
    <s v="UBK 681R"/>
    <m/>
    <s v="Kobusinge Steven-Kamwenge"/>
    <n v="156"/>
    <s v="Z81655"/>
    <x v="13"/>
    <x v="0"/>
    <x v="0"/>
    <x v="0"/>
    <x v="13"/>
    <x v="13"/>
    <n v="230"/>
    <n v="0"/>
    <x v="0"/>
    <d v="2024-12-16T07:58:00"/>
    <d v="2024-12-16T07:30:00"/>
    <d v="2024-12-16T08:46:00"/>
    <n v="74.400000000000006"/>
    <n v="46.983333333333334"/>
    <x v="8"/>
    <d v="2024-12-17T09:16:00"/>
    <d v="2024-12-17T18:43:00"/>
    <n v="555.18333333333328"/>
    <x v="0"/>
    <d v="2024-12-18T11:45:24"/>
    <d v="2024-12-18T12:42:24"/>
    <n v="55.8"/>
    <x v="0"/>
    <n v="2.1245833333377959"/>
    <x v="7"/>
    <n v="0.82458333333779588"/>
    <n v="50.990000000107102"/>
    <n v="32"/>
    <n v="18.990000000107102"/>
    <n v="8.2148499209647277"/>
    <x v="0"/>
  </r>
  <r>
    <x v="3"/>
    <x v="0"/>
    <d v="2024-12-16T00:00:00"/>
    <s v="OM02L0GL"/>
    <x v="0"/>
    <s v="UBE 690K"/>
    <s v="MUKOSE MUZAMIRU"/>
    <s v="Sawan Distributors Ltd-Kayabwe"/>
    <n v="156"/>
    <s v="A19272"/>
    <x v="9"/>
    <x v="0"/>
    <x v="0"/>
    <x v="0"/>
    <x v="9"/>
    <x v="9"/>
    <n v="402"/>
    <n v="2"/>
    <x v="0"/>
    <d v="2024-12-16T07:58:00"/>
    <d v="2024-12-16T07:30:00"/>
    <d v="2024-12-16T08:42:00"/>
    <n v="70.483333333333334"/>
    <n v="43.06666666666667"/>
    <x v="1"/>
    <d v="2024-12-17T10:42:00"/>
    <d v="2024-12-17T16:51:00"/>
    <n v="361.3"/>
    <x v="0"/>
    <d v="2024-12-18T12:03:00"/>
    <d v="2024-12-18T12:51:00"/>
    <n v="46.983333333333334"/>
    <x v="0"/>
    <n v="2.1395833333372138"/>
    <x v="0"/>
    <n v="0.13958333333721384"/>
    <n v="51.350000000093132"/>
    <n v="24"/>
    <n v="27.350000000093132"/>
    <n v="5.7038391224668663"/>
    <x v="0"/>
  </r>
  <r>
    <x v="3"/>
    <x v="0"/>
    <d v="2024-12-16T00:00:00"/>
    <s v="OM02L04U"/>
    <x v="0"/>
    <s v="UBE 690K"/>
    <s v="MUKOSE MUZAMIRU"/>
    <s v="Kato Investment Ltd -Mubende"/>
    <n v="156"/>
    <s v="A19264"/>
    <x v="1"/>
    <x v="0"/>
    <x v="0"/>
    <x v="0"/>
    <x v="1"/>
    <x v="1"/>
    <n v="686"/>
    <n v="6"/>
    <x v="0"/>
    <d v="2024-12-16T07:58:00"/>
    <d v="2024-12-16T07:30:00"/>
    <d v="2024-12-16T08:45:00"/>
    <n v="73.433333333333337"/>
    <n v="46.016666666666666"/>
    <x v="1"/>
    <d v="2024-12-17T11:02:00"/>
    <d v="2024-12-17T16:05:00"/>
    <n v="296.68333333333334"/>
    <x v="0"/>
    <d v="2024-12-18T18:57:48"/>
    <d v="2024-12-18T19:41:48"/>
    <n v="43.06666666666667"/>
    <x v="0"/>
    <n v="2.4255555555573665"/>
    <x v="1"/>
    <n v="-7.4444444442633539E-2"/>
    <n v="58.213333333376795"/>
    <n v="24"/>
    <n v="34.213333333376795"/>
    <n v="4.5596258768453382"/>
    <x v="0"/>
  </r>
  <r>
    <x v="3"/>
    <x v="0"/>
    <d v="2024-12-16T00:00:00"/>
    <s v="OM02L051"/>
    <x v="0"/>
    <s v="UBP 311H"/>
    <m/>
    <s v="Kobusinge Steven-FPortal"/>
    <n v="156"/>
    <s v="Z81638"/>
    <x v="11"/>
    <x v="0"/>
    <x v="0"/>
    <x v="0"/>
    <x v="11"/>
    <x v="11"/>
    <n v="390"/>
    <n v="0"/>
    <x v="0"/>
    <d v="2024-12-16T07:58:00"/>
    <d v="2024-12-16T07:30:00"/>
    <d v="2024-12-16T08:38:00"/>
    <n v="66.583333333333329"/>
    <n v="39.166666666666664"/>
    <x v="1"/>
    <d v="2024-12-17T10:08:00"/>
    <d v="2024-12-17T14:57:00"/>
    <n v="282.96666666666664"/>
    <x v="0"/>
    <d v="2024-12-18T10:51:12"/>
    <d v="2024-12-18T11:36:12"/>
    <n v="44.05"/>
    <x v="0"/>
    <n v="2.0924999999988358"/>
    <x v="0"/>
    <n v="9.2499999998835847E-2"/>
    <n v="50.21999999997206"/>
    <n v="24"/>
    <n v="26.21999999997206"/>
    <n v="5.9496567505784226"/>
    <x v="0"/>
  </r>
  <r>
    <x v="3"/>
    <x v="0"/>
    <d v="2024-12-16T00:00:00"/>
    <s v="OM02L050"/>
    <x v="0"/>
    <s v="UBP 311H"/>
    <m/>
    <s v="Kato Investments Ltd-Bulenga"/>
    <n v="156"/>
    <s v="A19267"/>
    <x v="2"/>
    <x v="0"/>
    <x v="0"/>
    <x v="0"/>
    <x v="2"/>
    <x v="2"/>
    <n v="556"/>
    <n v="-4"/>
    <x v="0"/>
    <d v="2024-12-16T07:58:00"/>
    <d v="2024-12-16T07:30:00"/>
    <d v="2024-12-16T08:47:00"/>
    <n v="75.38333333333334"/>
    <n v="47.966666666666669"/>
    <x v="1"/>
    <d v="2024-12-17T08:47:00"/>
    <d v="2024-12-17T14:02:00"/>
    <n v="308.43333333333334"/>
    <x v="0"/>
    <d v="2024-12-18T08:47:00"/>
    <d v="2024-12-18T09:47:00"/>
    <n v="58.733333333333334"/>
    <x v="0"/>
    <n v="2"/>
    <x v="0"/>
    <n v="0"/>
    <n v="48"/>
    <n v="24"/>
    <n v="24"/>
    <n v="6.5"/>
    <x v="0"/>
  </r>
  <r>
    <x v="3"/>
    <x v="0"/>
    <d v="2024-12-16T00:00:00"/>
    <s v="OM02L06D"/>
    <x v="0"/>
    <s v="UBP 311H"/>
    <s v="Ekwalikwa Yusuf"/>
    <s v="Kato Investment Ltd -Mityana"/>
    <n v="156"/>
    <s v="A19269"/>
    <x v="16"/>
    <x v="0"/>
    <x v="0"/>
    <x v="0"/>
    <x v="16"/>
    <x v="16"/>
    <m/>
    <n v="-690"/>
    <x v="0"/>
    <d v="2024-12-16T07:58:00"/>
    <d v="2024-12-16T07:30:00"/>
    <d v="2024-12-16T08:58:00"/>
    <n v="86.15"/>
    <n v="58.733333333333334"/>
    <x v="4"/>
    <d v="2024-12-17T10:58:00"/>
    <d v="2024-12-17T16:47:00"/>
    <n v="341.71666666666664"/>
    <x v="0"/>
    <d v="2024-12-18T12:17:43"/>
    <d v="2024-12-18T13:12:43"/>
    <n v="53.85"/>
    <x v="0"/>
    <n v="2.1386944444457185"/>
    <x v="0"/>
    <n v="0.13869444444571855"/>
    <n v="51.328666666697245"/>
    <n v="32"/>
    <n v="19.328666666697245"/>
    <n v="8.0709136688038416"/>
    <x v="0"/>
  </r>
  <r>
    <x v="3"/>
    <x v="1"/>
    <d v="2024-12-16T20:00:17"/>
    <s v="OM2AQH0RR"/>
    <x v="1"/>
    <s v="UBJ 415C"/>
    <s v="Abel Mark naffa"/>
    <s v="Sawan Distributors Ltd-Nabingo"/>
    <n v="153.60000000000002"/>
    <s v="A19274"/>
    <x v="21"/>
    <x v="1"/>
    <x v="0"/>
    <x v="1"/>
    <x v="21"/>
    <x v="2"/>
    <n v="547"/>
    <n v="-13"/>
    <x v="0"/>
    <d v="2024-12-17T15:12:00"/>
    <d v="2024-12-16T21:30:00"/>
    <d v="2024-12-17T15:57:00"/>
    <n v="1083.9333333333334"/>
    <n v="44.05"/>
    <x v="1"/>
    <d v="2024-12-19T07:19:00"/>
    <d v="2024-12-19T13:29:00"/>
    <n v="362.28333333333336"/>
    <x v="0"/>
    <d v="2024-12-20T09:57:00"/>
    <d v="2024-12-20T10:18:00"/>
    <n v="20.55"/>
    <x v="0"/>
    <n v="2.75"/>
    <x v="0"/>
    <n v="0.75"/>
    <n v="66"/>
    <n v="24"/>
    <n v="42"/>
    <n v="3.6571428571428575"/>
    <x v="0"/>
  </r>
  <r>
    <x v="3"/>
    <x v="1"/>
    <d v="2024-12-16T21:17:06"/>
    <s v="OMWTH5LRR"/>
    <x v="0"/>
    <s v="UAR 731Q"/>
    <s v="Godwin Niwensiima"/>
    <s v="Kabaco U Ltd"/>
    <n v="149.28000000000003"/>
    <s v="Z81650"/>
    <x v="6"/>
    <x v="1"/>
    <x v="0"/>
    <x v="1"/>
    <x v="6"/>
    <x v="6"/>
    <n v="120"/>
    <n v="-200"/>
    <x v="0"/>
    <d v="2024-12-17T09:45:06"/>
    <d v="2024-12-17T09:17:06"/>
    <d v="2024-12-17T10:29:06"/>
    <n v="70.483333333333334"/>
    <n v="43.06666666666667"/>
    <x v="1"/>
    <d v="2024-12-17T16:29:06"/>
    <d v="2024-12-18T16:07:30"/>
    <n v="1388.85"/>
    <x v="0"/>
    <d v="2024-12-19T08:26:42"/>
    <d v="2024-12-19T09:02:42"/>
    <n v="35.25"/>
    <x v="0"/>
    <n v="1.9150000000008731"/>
    <x v="3"/>
    <n v="0.41500000000087311"/>
    <n v="45.960000000020955"/>
    <n v="12"/>
    <n v="33.960000000020955"/>
    <n v="4.3957597173117762"/>
    <x v="0"/>
  </r>
  <r>
    <x v="3"/>
    <x v="0"/>
    <d v="2024-12-17T00:00:00"/>
    <s v="OM02L0YV"/>
    <x v="0"/>
    <s v="UBE 690K"/>
    <s v="MUKOSE MUZAMIRU"/>
    <s v="Kato Investment Ltd -Kagadi"/>
    <n v="156"/>
    <s v="A19305"/>
    <x v="12"/>
    <x v="0"/>
    <x v="0"/>
    <x v="0"/>
    <x v="12"/>
    <x v="12"/>
    <n v="603"/>
    <n v="-9"/>
    <x v="0"/>
    <d v="2024-12-17T07:43:00"/>
    <d v="2024-12-17T07:30:00"/>
    <d v="2024-12-17T08:53:00"/>
    <n v="81.266666666666666"/>
    <n v="68.533333333333331"/>
    <x v="2"/>
    <d v="2024-12-18T10:23:00"/>
    <d v="2024-12-18T14:02:00"/>
    <n v="214.43333333333334"/>
    <x v="0"/>
    <d v="2024-12-19T09:39:55"/>
    <d v="2024-12-19T10:27:55"/>
    <n v="46.983333333333334"/>
    <x v="0"/>
    <n v="2.032583333333605"/>
    <x v="6"/>
    <n v="-0.26741666666639485"/>
    <n v="48.782000000006519"/>
    <n v="32"/>
    <n v="16.782000000006519"/>
    <n v="9.2956739363567742"/>
    <x v="0"/>
  </r>
  <r>
    <x v="3"/>
    <x v="0"/>
    <d v="2024-12-17T00:00:00"/>
    <s v="OM02L0YX"/>
    <x v="0"/>
    <s v="UBE 675K"/>
    <m/>
    <s v="Kato Investment Ltd -Mityana"/>
    <n v="154.95000000000002"/>
    <s v="A19306"/>
    <x v="16"/>
    <x v="0"/>
    <x v="0"/>
    <x v="0"/>
    <x v="16"/>
    <x v="16"/>
    <m/>
    <n v="-690"/>
    <x v="0"/>
    <d v="2024-12-17T07:58:00"/>
    <d v="2024-12-17T07:30:00"/>
    <d v="2024-12-17T09:02:00"/>
    <n v="90.066666666666663"/>
    <n v="62.65"/>
    <x v="6"/>
    <d v="2024-12-18T11:02:00"/>
    <d v="2024-12-18T16:02:00"/>
    <n v="293.75"/>
    <x v="0"/>
    <d v="2024-12-19T11:03:55"/>
    <d v="2024-12-19T11:54:55"/>
    <n v="49.93333333333333"/>
    <x v="0"/>
    <n v="2.0846666666693636"/>
    <x v="0"/>
    <n v="8.4666666669363622E-2"/>
    <n v="50.032000000064727"/>
    <n v="32"/>
    <n v="18.032000000064727"/>
    <n v="8.5930567879017197"/>
    <x v="0"/>
  </r>
  <r>
    <x v="3"/>
    <x v="0"/>
    <d v="2024-12-17T19:47:50"/>
    <s v="OMDRV0XRR"/>
    <x v="0"/>
    <s v="UBJ 420C"/>
    <s v="ZIWA ABASI"/>
    <s v="Sawan Distributors Ltd-Nabingo"/>
    <n v="154.94999999999999"/>
    <s v="A19299"/>
    <x v="21"/>
    <x v="0"/>
    <x v="0"/>
    <x v="0"/>
    <x v="21"/>
    <x v="2"/>
    <n v="555"/>
    <n v="-5"/>
    <x v="0"/>
    <d v="2024-12-18T08:15:50"/>
    <d v="2024-12-18T07:47:50"/>
    <d v="2024-12-18T08:55:50"/>
    <n v="66.583333333333329"/>
    <n v="39.166666666666664"/>
    <x v="1"/>
    <d v="2024-12-19T10:10:50"/>
    <d v="2024-12-19T14:10:50"/>
    <n v="234.98333333333332"/>
    <x v="0"/>
    <d v="2024-12-20T11:46:50"/>
    <d v="2024-12-20T12:46:50"/>
    <n v="58.733333333333334"/>
    <x v="0"/>
    <n v="2.1187500000014552"/>
    <x v="0"/>
    <n v="0.11875000000145519"/>
    <n v="50.850000000034925"/>
    <n v="24"/>
    <n v="26.850000000034925"/>
    <n v="5.7709497206628839"/>
    <x v="0"/>
  </r>
  <r>
    <x v="3"/>
    <x v="0"/>
    <d v="2024-12-17T19:51:36"/>
    <s v="OM4SFT3RR"/>
    <x v="0"/>
    <s v="UBE 680K"/>
    <s v="BYEKWASO TWAHA"/>
    <s v="Sawan Distributors Ltd-Kayabwe"/>
    <n v="154.95000000000002"/>
    <s v="A19300"/>
    <x v="9"/>
    <x v="0"/>
    <x v="0"/>
    <x v="0"/>
    <x v="9"/>
    <x v="9"/>
    <n v="402"/>
    <n v="2"/>
    <x v="0"/>
    <d v="2024-12-17T20:04:00"/>
    <d v="2024-12-18T04:19:00"/>
    <d v="2024-12-17T20:50:00"/>
    <n v="-439.65"/>
    <n v="45.033333333333331"/>
    <x v="1"/>
    <d v="2024-12-18T10:35:00"/>
    <d v="2024-12-18T16:25:00"/>
    <n v="342.7"/>
    <x v="0"/>
    <d v="2024-12-18T21:19:00"/>
    <d v="2024-12-18T22:15:00"/>
    <n v="54.833333333333336"/>
    <x v="0"/>
    <n v="1.0201388888890506"/>
    <x v="0"/>
    <n v="-0.97986111111094942"/>
    <n v="24.483333333337214"/>
    <n v="12"/>
    <n v="12.483333333337214"/>
    <n v="12.412550066751818"/>
    <x v="0"/>
  </r>
  <r>
    <x v="3"/>
    <x v="1"/>
    <d v="2024-12-17T19:54:33"/>
    <s v="OM6L5JARR"/>
    <x v="1"/>
    <s v="UBE 422T"/>
    <s v="Jacob Oneka"/>
    <s v="Kabaco U Ltd-Mbarara"/>
    <n v="153.60000000000002"/>
    <s v="Z81666"/>
    <x v="8"/>
    <x v="1"/>
    <x v="0"/>
    <x v="1"/>
    <x v="8"/>
    <x v="8"/>
    <n v="13"/>
    <n v="2"/>
    <x v="0"/>
    <d v="2024-12-18T07:48:00"/>
    <d v="2024-12-18T07:42:00"/>
    <d v="2024-12-18T08:34:00"/>
    <n v="50.916666666666664"/>
    <n v="45.033333333333331"/>
    <x v="1"/>
    <d v="2024-12-18T09:45:00"/>
    <d v="2024-12-18T12:26:00"/>
    <n v="157.63333333333333"/>
    <x v="0"/>
    <d v="2024-12-18T13:19:00"/>
    <d v="2024-12-18T14:04:00"/>
    <n v="44.05"/>
    <x v="0"/>
    <n v="0.19791666666424135"/>
    <x v="5"/>
    <n v="-0.6020833333357587"/>
    <n v="4.7499999999417923"/>
    <n v="0"/>
    <n v="4.7499999999417923"/>
    <n v="32.336842105659429"/>
    <x v="0"/>
  </r>
  <r>
    <x v="3"/>
    <x v="0"/>
    <d v="2024-12-17T20:25:34"/>
    <s v="OMJ82FURR"/>
    <x v="1"/>
    <s v="UBP 301H"/>
    <s v="NAMINYA SIRAJE"/>
    <s v="Kato Investments Ltd-Bulenga"/>
    <n v="156"/>
    <s v="A19302"/>
    <x v="2"/>
    <x v="0"/>
    <x v="0"/>
    <x v="0"/>
    <x v="2"/>
    <x v="2"/>
    <n v="607"/>
    <n v="47"/>
    <x v="3"/>
    <d v="2024-12-17T21:11:00"/>
    <d v="2024-12-17T21:30:00"/>
    <d v="2024-12-17T21:56:00"/>
    <n v="25.45"/>
    <n v="44.05"/>
    <x v="1"/>
    <d v="2024-12-19T09:04:00"/>
    <d v="2024-12-19T13:31:00"/>
    <n v="261.43333333333334"/>
    <x v="0"/>
    <d v="2024-12-19T20:08:00"/>
    <d v="2024-12-19T20:45:00"/>
    <n v="36.216666666666669"/>
    <x v="0"/>
    <n v="1.9249999999956344"/>
    <x v="0"/>
    <n v="-7.5000000004365575E-2"/>
    <n v="46.199999999895226"/>
    <n v="12"/>
    <n v="34.199999999895226"/>
    <n v="4.5614035087859044"/>
    <x v="0"/>
  </r>
  <r>
    <x v="3"/>
    <x v="0"/>
    <d v="2024-12-17T20:32:19"/>
    <s v="OMFSLR8RR"/>
    <x v="1"/>
    <s v="UBJ 705D"/>
    <s v="KASULE JOHNBOSC"/>
    <s v="Kobusinge Acaali- Kyenjojo"/>
    <n v="156"/>
    <s v="Z81670"/>
    <x v="3"/>
    <x v="0"/>
    <x v="0"/>
    <x v="0"/>
    <x v="3"/>
    <x v="3"/>
    <n v="474"/>
    <n v="-6"/>
    <x v="0"/>
    <d v="2024-12-17T21:06:00"/>
    <d v="2024-12-18T03:17:00"/>
    <d v="2024-12-17T21:55:00"/>
    <n v="-315.3"/>
    <n v="47.966666666666669"/>
    <x v="1"/>
    <d v="2024-12-18T11:14:00"/>
    <d v="2024-12-18T16:59:00"/>
    <n v="337.8"/>
    <x v="0"/>
    <d v="2024-12-19T06:35:00"/>
    <d v="2024-12-19T07:19:00"/>
    <n v="43.06666666666667"/>
    <x v="0"/>
    <n v="1.3611111111094942"/>
    <x v="1"/>
    <n v="-1.1388888888905058"/>
    <n v="32.666666666627862"/>
    <n v="12"/>
    <n v="20.666666666627862"/>
    <n v="7.5483870967883666"/>
    <x v="0"/>
  </r>
  <r>
    <x v="3"/>
    <x v="0"/>
    <d v="2024-12-17T21:07:44"/>
    <s v="OMT4L7RRR"/>
    <x v="0"/>
    <s v="UBM 648D"/>
    <m/>
    <s v="Kobusinge Steven-Kamwenge"/>
    <n v="156"/>
    <s v="Z81671"/>
    <x v="13"/>
    <x v="0"/>
    <x v="0"/>
    <x v="0"/>
    <x v="13"/>
    <x v="13"/>
    <n v="230"/>
    <n v="0"/>
    <x v="0"/>
    <d v="2024-12-18T09:35:44"/>
    <d v="2024-12-18T09:07:44"/>
    <d v="2024-12-18T10:24:44"/>
    <n v="75.38333333333334"/>
    <n v="47.966666666666669"/>
    <x v="1"/>
    <d v="2024-12-19T11:16:44"/>
    <d v="2024-12-20T13:40:44"/>
    <n v="1550.9833333333333"/>
    <x v="0"/>
    <d v="2024-12-20T19:10:44"/>
    <d v="2024-12-20T20:07:44"/>
    <n v="55.8"/>
    <x v="0"/>
    <n v="2.3652777777751908"/>
    <x v="7"/>
    <n v="1.0652777777751907"/>
    <n v="56.766666666604578"/>
    <n v="24"/>
    <n v="32.766666666604578"/>
    <n v="4.7609359104871496"/>
    <x v="0"/>
  </r>
  <r>
    <x v="3"/>
    <x v="0"/>
    <d v="2024-12-17T21:10:57"/>
    <s v="OMWMC16RR"/>
    <x v="0"/>
    <s v="UBJ 417C"/>
    <m/>
    <s v="Kobusinge Steven-FPortal"/>
    <n v="156"/>
    <s v="Z81672"/>
    <x v="11"/>
    <x v="0"/>
    <x v="0"/>
    <x v="0"/>
    <x v="11"/>
    <x v="11"/>
    <m/>
    <n v="-390"/>
    <x v="0"/>
    <d v="2024-12-18T09:38:57"/>
    <d v="2024-12-18T09:10:57"/>
    <d v="2024-12-18T10:18:57"/>
    <n v="66.583333333333329"/>
    <n v="39.166666666666664"/>
    <x v="1"/>
    <d v="2024-12-19T08:48:57"/>
    <d v="2024-12-20T13:59:59"/>
    <n v="1714.55"/>
    <x v="0"/>
    <d v="2024-12-20T07:28:19"/>
    <d v="2024-12-20T07:58:19"/>
    <n v="29.366666666666667"/>
    <x v="0"/>
    <n v="1.8815000000031432"/>
    <x v="0"/>
    <n v="-0.11849999999685679"/>
    <n v="45.156000000075437"/>
    <n v="12"/>
    <n v="33.156000000075437"/>
    <n v="4.7050307636519806"/>
    <x v="0"/>
  </r>
  <r>
    <x v="3"/>
    <x v="1"/>
    <d v="2024-12-17T21:13:56"/>
    <s v="OMNMYPQRR"/>
    <x v="0"/>
    <s v="UAT 351G"/>
    <s v="Hamudi Sesanga"/>
    <s v="Kabaco U Ltd"/>
    <n v="153.60000000000002"/>
    <s v="Z81673"/>
    <x v="6"/>
    <x v="1"/>
    <x v="0"/>
    <x v="1"/>
    <x v="6"/>
    <x v="6"/>
    <n v="120"/>
    <n v="-200"/>
    <x v="0"/>
    <d v="2024-12-18T09:41:56"/>
    <d v="2024-12-18T09:13:56"/>
    <d v="2024-12-18T10:21:56"/>
    <n v="66.583333333333329"/>
    <n v="39.166666666666664"/>
    <x v="1"/>
    <d v="2024-12-18T16:21:56"/>
    <d v="2024-12-19T10:21:56"/>
    <n v="1057.5"/>
    <x v="0"/>
    <d v="2024-12-19T15:41:56"/>
    <d v="2024-12-19T16:19:56"/>
    <n v="37.200000000000003"/>
    <x v="0"/>
    <n v="1.2222222222189885"/>
    <x v="3"/>
    <n v="-0.27777777778101154"/>
    <n v="29.333333333255723"/>
    <n v="12"/>
    <n v="17.333333333255723"/>
    <n v="8.8615384615781405"/>
    <x v="0"/>
  </r>
  <r>
    <x v="3"/>
    <x v="0"/>
    <d v="2024-12-18T00:00:00"/>
    <s v="OM02L18J"/>
    <x v="0"/>
    <s v="UBJ 703D"/>
    <m/>
    <s v="Rugoma Traders-Rukungiri"/>
    <n v="156"/>
    <s v="Z81692"/>
    <x v="17"/>
    <x v="0"/>
    <x v="0"/>
    <x v="0"/>
    <x v="17"/>
    <x v="17"/>
    <n v="252"/>
    <n v="-4"/>
    <x v="0"/>
    <d v="2024-12-18T07:58:00"/>
    <d v="2024-12-18T07:30:00"/>
    <d v="2024-12-18T08:58:00"/>
    <n v="86.15"/>
    <n v="58.733333333333334"/>
    <x v="4"/>
    <d v="2024-12-18T15:58:00"/>
    <d v="2024-12-18T20:02:48"/>
    <n v="239.68333333333334"/>
    <x v="0"/>
    <d v="2024-12-19T09:02:48"/>
    <d v="2024-12-19T09:42:48"/>
    <n v="39.166666666666664"/>
    <x v="0"/>
    <n v="1.0033333333267365"/>
    <x v="8"/>
    <n v="3.3333333267364651E-3"/>
    <n v="24.079999999841675"/>
    <n v="16"/>
    <n v="8.0799999998416752"/>
    <n v="19.306930693447619"/>
    <x v="0"/>
  </r>
  <r>
    <x v="3"/>
    <x v="0"/>
    <d v="2024-12-18T00:00:00"/>
    <s v="OM02L19E"/>
    <x v="0"/>
    <s v="UBP 311H"/>
    <s v="Ekwalikwa Yusuf"/>
    <s v="Boniface Harera"/>
    <n v="156"/>
    <s v="F15487"/>
    <x v="10"/>
    <x v="0"/>
    <x v="0"/>
    <x v="0"/>
    <x v="10"/>
    <x v="10"/>
    <n v="465"/>
    <n v="-5"/>
    <x v="0"/>
    <d v="2024-12-18T07:58:00"/>
    <d v="2024-12-18T07:30:00"/>
    <d v="2024-12-18T09:02:00"/>
    <n v="90.066666666666663"/>
    <n v="62.65"/>
    <x v="6"/>
    <d v="2024-12-19T11:02:00"/>
    <d v="2024-12-19T16:37:00"/>
    <n v="328.01666666666665"/>
    <x v="0"/>
    <d v="2024-12-20T15:25:00"/>
    <d v="2024-12-20T16:25:00"/>
    <n v="58.733333333333334"/>
    <x v="0"/>
    <n v="2.265972222223354"/>
    <x v="1"/>
    <n v="-0.23402777777664596"/>
    <n v="54.383333333360497"/>
    <n v="32"/>
    <n v="22.383333333360497"/>
    <n v="6.9694713328284745"/>
    <x v="0"/>
  </r>
  <r>
    <x v="3"/>
    <x v="0"/>
    <d v="2024-12-18T00:00:00"/>
    <s v="OM02L19M"/>
    <x v="0"/>
    <s v="UBE 673K"/>
    <s v="Bulega Sperito"/>
    <s v="Kabaco U Ltd"/>
    <n v="156"/>
    <s v="Z81696"/>
    <x v="6"/>
    <x v="0"/>
    <x v="0"/>
    <x v="0"/>
    <x v="6"/>
    <x v="6"/>
    <n v="321"/>
    <n v="1"/>
    <x v="0"/>
    <d v="2024-12-18T07:42:00"/>
    <d v="2024-12-18T07:30:00"/>
    <d v="2024-12-18T08:38:00"/>
    <n v="66.583333333333329"/>
    <n v="54.833333333333336"/>
    <x v="3"/>
    <d v="2024-12-18T14:38:00"/>
    <d v="2024-12-18T19:58:00"/>
    <n v="313.31666666666666"/>
    <x v="0"/>
    <d v="2024-12-19T12:17:12"/>
    <d v="2024-12-19T13:12:12"/>
    <n v="53.85"/>
    <x v="0"/>
    <n v="1.1522222222192795"/>
    <x v="3"/>
    <n v="-0.3477777777807205"/>
    <n v="27.653333333262708"/>
    <n v="16"/>
    <n v="11.653333333262708"/>
    <n v="13.386727688868316"/>
    <x v="0"/>
  </r>
  <r>
    <x v="3"/>
    <x v="0"/>
    <d v="2024-12-18T00:00:00"/>
    <s v="OM02L19J"/>
    <x v="0"/>
    <s v="UBP 311H"/>
    <s v="Ekwalikwa Yusuf"/>
    <s v="Kato Investments Ltd-Bulenga"/>
    <n v="156"/>
    <s v="A19328"/>
    <x v="2"/>
    <x v="0"/>
    <x v="0"/>
    <x v="0"/>
    <x v="2"/>
    <x v="2"/>
    <n v="550"/>
    <n v="-10"/>
    <x v="0"/>
    <d v="2024-12-18T07:58:00"/>
    <d v="2024-12-18T07:30:00"/>
    <d v="2024-12-18T08:47:00"/>
    <n v="75.38333333333334"/>
    <n v="47.966666666666669"/>
    <x v="8"/>
    <d v="2024-12-19T08:47:00"/>
    <d v="2024-12-19T13:51:00"/>
    <n v="297.64999999999998"/>
    <x v="0"/>
    <d v="2024-12-20T07:49:24"/>
    <d v="2024-12-20T08:43:24"/>
    <n v="52.866666666666667"/>
    <x v="0"/>
    <n v="1.9599999999991269"/>
    <x v="0"/>
    <n v="-4.0000000000873115E-2"/>
    <n v="47.039999999979045"/>
    <n v="16"/>
    <n v="31.039999999979045"/>
    <n v="5.0257731958796814"/>
    <x v="0"/>
  </r>
  <r>
    <x v="3"/>
    <x v="0"/>
    <d v="2024-12-18T00:00:00"/>
    <s v="OM02L19D"/>
    <x v="0"/>
    <s v="UBE 681K"/>
    <s v="KYAPA AKIMU"/>
    <s v="Boniface Harera"/>
    <n v="156"/>
    <s v="F15486"/>
    <x v="10"/>
    <x v="0"/>
    <x v="0"/>
    <x v="0"/>
    <x v="10"/>
    <x v="10"/>
    <n v="465"/>
    <n v="-5"/>
    <x v="0"/>
    <d v="2024-12-18T07:58:00"/>
    <d v="2024-12-18T07:30:00"/>
    <d v="2024-12-18T08:38:00"/>
    <n v="66.583333333333329"/>
    <n v="39.166666666666664"/>
    <x v="1"/>
    <d v="2024-12-19T08:38:00"/>
    <d v="2024-12-19T14:02:00"/>
    <n v="317.23333333333335"/>
    <x v="0"/>
    <d v="2024-12-20T12:50:00"/>
    <d v="2024-12-20T13:38:00"/>
    <n v="46.983333333333334"/>
    <x v="0"/>
    <n v="2.1749999999956344"/>
    <x v="1"/>
    <n v="-0.32500000000436557"/>
    <n v="52.199999999895226"/>
    <n v="24"/>
    <n v="28.199999999895226"/>
    <n v="5.5319148936375742"/>
    <x v="0"/>
  </r>
  <r>
    <x v="3"/>
    <x v="1"/>
    <d v="2024-12-18T18:46:10"/>
    <s v="OMQ1M67RR"/>
    <x v="0"/>
    <s v="UAR 731Q"/>
    <s v="Godwin Niwensiima"/>
    <s v="RUGOMA TRADERS CO. LTD NTUNGAM"/>
    <n v="153.60000000000002"/>
    <s v="F15485"/>
    <x v="15"/>
    <x v="1"/>
    <x v="0"/>
    <x v="1"/>
    <x v="15"/>
    <x v="15"/>
    <n v="134"/>
    <n v="4"/>
    <x v="0"/>
    <d v="2024-12-19T07:58:10"/>
    <d v="2024-12-19T07:30:10"/>
    <d v="2024-12-19T08:38:10"/>
    <n v="66.583333333333329"/>
    <n v="39.166666666666664"/>
    <x v="1"/>
    <d v="2024-12-19T11:08:10"/>
    <d v="2024-12-19T16:08:10"/>
    <n v="293.75"/>
    <x v="0"/>
    <d v="2024-12-19T18:18:10"/>
    <d v="2024-12-19T18:54:10"/>
    <n v="35.25"/>
    <x v="0"/>
    <n v="0.40277777778101154"/>
    <x v="8"/>
    <n v="-0.59722222221898846"/>
    <n v="9.6666666667442769"/>
    <n v="0"/>
    <n v="9.6666666667442769"/>
    <n v="15.889655172286224"/>
    <x v="0"/>
  </r>
  <r>
    <x v="3"/>
    <x v="0"/>
    <d v="2024-12-18T18:49:48"/>
    <s v="OMDUFLGRR"/>
    <x v="0"/>
    <s v="UBJ 419C"/>
    <m/>
    <s v="Bates Enterprises U Ltd"/>
    <n v="156"/>
    <s v="Z81693"/>
    <x v="7"/>
    <x v="0"/>
    <x v="0"/>
    <x v="0"/>
    <x v="7"/>
    <x v="7"/>
    <n v="580"/>
    <n v="-26"/>
    <x v="0"/>
    <d v="2024-12-19T08:02:48"/>
    <d v="2024-12-19T07:34:48"/>
    <d v="2024-12-19T08:42:48"/>
    <n v="66.583333333333329"/>
    <n v="39.166666666666664"/>
    <x v="1"/>
    <d v="2024-12-21T15:54:48"/>
    <d v="2024-12-21T20:54:48"/>
    <n v="293.75"/>
    <x v="0"/>
    <d v="2024-12-23T11:18:48"/>
    <d v="2024-12-23T12:10:48"/>
    <n v="50.916666666666664"/>
    <x v="0"/>
    <n v="4.1083333333299379"/>
    <x v="4"/>
    <n v="1.1083333333299379"/>
    <n v="98.599999999918509"/>
    <n v="48"/>
    <n v="50.599999999918509"/>
    <n v="3.0830039525741353"/>
    <x v="8"/>
  </r>
  <r>
    <x v="3"/>
    <x v="0"/>
    <d v="2024-12-18T20:27:45"/>
    <s v="OMITT64RR"/>
    <x v="0"/>
    <s v="UBM 648D"/>
    <s v="Nakalya John"/>
    <s v="Boniface Harera"/>
    <n v="156"/>
    <s v="F15488"/>
    <x v="10"/>
    <x v="0"/>
    <x v="0"/>
    <x v="0"/>
    <x v="10"/>
    <x v="10"/>
    <n v="484"/>
    <n v="14"/>
    <x v="0"/>
    <d v="2024-12-19T07:58:45"/>
    <d v="2024-12-19T07:30:45"/>
    <d v="2024-12-19T08:58:45"/>
    <n v="86.15"/>
    <n v="58.733333333333334"/>
    <x v="9"/>
    <d v="2024-12-20T10:28:45"/>
    <d v="2024-12-20T16:13:45"/>
    <n v="337.8"/>
    <x v="0"/>
    <d v="2024-12-21T15:01:45"/>
    <d v="2024-12-21T15:58:45"/>
    <n v="55.8"/>
    <x v="0"/>
    <n v="2.2520833333328483"/>
    <x v="1"/>
    <n v="-0.24791666666715173"/>
    <n v="54.049999999988358"/>
    <n v="32"/>
    <n v="22.049999999988358"/>
    <n v="7.0748299319765247"/>
    <x v="0"/>
  </r>
  <r>
    <x v="3"/>
    <x v="1"/>
    <d v="2024-12-18T20:51:44"/>
    <s v="OMT0CHMRR"/>
    <x v="0"/>
    <s v="UAT 351G"/>
    <s v="Hamudi Sesanga"/>
    <s v="KATO INVESTMENTS LIMITED-MASAK"/>
    <n v="153.60000000000002"/>
    <s v="F15489"/>
    <x v="14"/>
    <x v="1"/>
    <x v="0"/>
    <x v="1"/>
    <x v="14"/>
    <x v="14"/>
    <n v="415"/>
    <n v="75"/>
    <x v="0"/>
    <d v="2024-12-19T07:58:44"/>
    <d v="2024-12-19T07:30:44"/>
    <d v="2024-12-19T08:42:44"/>
    <n v="70.483333333333334"/>
    <n v="43.06666666666667"/>
    <x v="1"/>
    <d v="2024-12-19T11:55:44"/>
    <d v="2024-12-19T17:03:44"/>
    <n v="301.56666666666666"/>
    <x v="0"/>
    <d v="2024-12-20T07:27:44"/>
    <d v="2024-12-20T08:18:44"/>
    <n v="49.93333333333333"/>
    <x v="0"/>
    <n v="0.94791666666424135"/>
    <x v="8"/>
    <n v="-5.2083333335758653E-2"/>
    <n v="22.749999999941792"/>
    <n v="0"/>
    <n v="22.749999999941792"/>
    <n v="6.7516483516656276"/>
    <x v="0"/>
  </r>
  <r>
    <x v="3"/>
    <x v="0"/>
    <d v="2024-12-18T22:05:26"/>
    <s v="OMWZEY7RR"/>
    <x v="0"/>
    <s v="UBP 298H"/>
    <s v="SENTONG DAVID"/>
    <s v="DE PLACE INVESTMENTS LTD"/>
    <n v="156"/>
    <s v="F15492"/>
    <x v="0"/>
    <x v="0"/>
    <x v="0"/>
    <x v="0"/>
    <x v="0"/>
    <x v="0"/>
    <n v="758"/>
    <n v="-2"/>
    <x v="0"/>
    <d v="2024-12-19T11:43:00"/>
    <d v="2024-12-19T16:40:00"/>
    <d v="2024-12-19T12:17:00"/>
    <n v="-257.53333333333336"/>
    <n v="33.283333333333331"/>
    <x v="1"/>
    <d v="2024-12-20T09:19:00"/>
    <d v="2024-12-20T11:28:00"/>
    <n v="126.3"/>
    <x v="0"/>
    <d v="2024-12-21T14:18:00"/>
    <d v="2024-12-21T15:08:00"/>
    <n v="48.95"/>
    <x v="0"/>
    <n v="2.0840277777751908"/>
    <x v="0"/>
    <n v="8.4027777775190771E-2"/>
    <n v="50.016666666604578"/>
    <n v="24"/>
    <n v="26.016666666604578"/>
    <n v="5.9961563100719655"/>
    <x v="0"/>
  </r>
  <r>
    <x v="3"/>
    <x v="1"/>
    <d v="2024-12-18T22:39:01"/>
    <s v="OMFM90WRR"/>
    <x v="1"/>
    <s v="UBJ 375N"/>
    <s v="Stephen Musoke "/>
    <s v="KATO INVESTMENTS LIMITED-MASAK"/>
    <n v="153.60000000000002"/>
    <s v="F15494"/>
    <x v="14"/>
    <x v="1"/>
    <x v="0"/>
    <x v="1"/>
    <x v="14"/>
    <x v="14"/>
    <n v="294"/>
    <n v="-46"/>
    <x v="0"/>
    <d v="2024-12-19T19:03:00"/>
    <d v="2024-12-19T08:00:00"/>
    <d v="2024-12-19T19:45:00"/>
    <n v="690.3"/>
    <n v="41.116666666666667"/>
    <x v="1"/>
    <d v="2024-12-20T10:32:00"/>
    <d v="2024-12-20T18:11:00"/>
    <n v="449.43333333333334"/>
    <x v="0"/>
    <d v="2024-12-21T10:24:00"/>
    <d v="2024-12-21T11:03:00"/>
    <n v="38.18333333333333"/>
    <x v="0"/>
    <n v="1.6104166666700621"/>
    <x v="8"/>
    <n v="0.61041666667006211"/>
    <n v="38.650000000081491"/>
    <n v="12"/>
    <n v="26.650000000081491"/>
    <n v="5.7636022513895062"/>
    <x v="0"/>
  </r>
  <r>
    <x v="3"/>
    <x v="0"/>
    <d v="2024-12-19T00:00:00"/>
    <s v="OM02L1ZJ"/>
    <x v="0"/>
    <s v="UBJ 703D"/>
    <m/>
    <s v="Kato Investments Ltd-Bulenga"/>
    <n v="156"/>
    <s v="A19374"/>
    <x v="2"/>
    <x v="0"/>
    <x v="0"/>
    <x v="0"/>
    <x v="2"/>
    <x v="2"/>
    <n v="556"/>
    <n v="-4"/>
    <x v="0"/>
    <d v="2024-12-19T07:58:00"/>
    <d v="2024-12-19T07:30:00"/>
    <d v="2024-12-19T08:46:00"/>
    <n v="74.400000000000006"/>
    <n v="46.983333333333334"/>
    <x v="1"/>
    <d v="2024-12-20T08:46:00"/>
    <d v="2024-12-20T13:21:00"/>
    <n v="269.26666666666665"/>
    <x v="0"/>
    <d v="2024-12-21T09:58:00"/>
    <d v="2024-12-21T10:59:00"/>
    <n v="59.716666666666669"/>
    <x v="0"/>
    <n v="2.0500000000029104"/>
    <x v="0"/>
    <n v="5.0000000002910383E-2"/>
    <n v="49.200000000069849"/>
    <n v="24"/>
    <n v="25.200000000069849"/>
    <n v="6.190476190459032"/>
    <x v="0"/>
  </r>
  <r>
    <x v="3"/>
    <x v="0"/>
    <d v="2024-12-19T00:00:00"/>
    <s v="OM02L1YC"/>
    <x v="0"/>
    <s v="UBE 690K"/>
    <s v="MUKOSE MUZAMIRU"/>
    <s v="Kato Investment Ltd -Kagadi"/>
    <n v="151.68"/>
    <s v="A19368"/>
    <x v="12"/>
    <x v="0"/>
    <x v="0"/>
    <x v="0"/>
    <x v="12"/>
    <x v="12"/>
    <n v="612"/>
    <n v="0"/>
    <x v="0"/>
    <d v="2024-12-19T07:38:00"/>
    <d v="2024-12-19T07:30:00"/>
    <d v="2024-12-19T08:43:00"/>
    <n v="71.466666666666669"/>
    <n v="63.633333333333333"/>
    <x v="4"/>
    <d v="2024-12-20T12:23:00"/>
    <d v="2024-12-20T17:23:00"/>
    <n v="293.75"/>
    <x v="0"/>
    <d v="2024-12-21T13:00:55"/>
    <d v="2024-12-21T13:45:55"/>
    <n v="44.05"/>
    <x v="0"/>
    <n v="2.1791111111160717"/>
    <x v="6"/>
    <n v="-0.12088888888392813"/>
    <n v="52.298666666785721"/>
    <n v="32"/>
    <n v="20.298666666785721"/>
    <n v="7.4724119810386753"/>
    <x v="0"/>
  </r>
  <r>
    <x v="3"/>
    <x v="0"/>
    <d v="2024-12-19T00:00:00"/>
    <s v="OM02L1YD"/>
    <x v="0"/>
    <s v="UBE 690K"/>
    <s v="MUKOSE MUZAMIRU"/>
    <s v="Kato Investments Ltd- Kakumiro"/>
    <n v="156"/>
    <s v="A19369"/>
    <x v="24"/>
    <x v="0"/>
    <x v="0"/>
    <x v="0"/>
    <x v="24"/>
    <x v="22"/>
    <n v="771"/>
    <n v="6"/>
    <x v="0"/>
    <d v="2024-12-19T07:58:00"/>
    <d v="2024-12-19T07:30:00"/>
    <d v="2024-12-19T09:02:00"/>
    <n v="90.066666666666663"/>
    <n v="62.65"/>
    <x v="6"/>
    <d v="2024-12-19T18:02:00"/>
    <d v="2024-12-20T14:13:02"/>
    <n v="1185.8"/>
    <x v="0"/>
    <d v="2024-12-20T22:43:02"/>
    <d v="2024-12-20T23:27:02"/>
    <n v="43.06666666666667"/>
    <x v="0"/>
    <n v="1.5701666666645906"/>
    <x v="3"/>
    <n v="7.0166666664590593E-2"/>
    <n v="37.683999999950174"/>
    <n v="16"/>
    <n v="21.683999999950174"/>
    <n v="7.1942446043330781"/>
    <x v="0"/>
  </r>
  <r>
    <x v="3"/>
    <x v="0"/>
    <d v="2024-12-19T00:00:00"/>
    <s v="OM02L1NM"/>
    <x v="0"/>
    <s v="UBP 311H"/>
    <m/>
    <s v="Rugoma Traders-Rukungiri"/>
    <n v="156"/>
    <s v="Z81710"/>
    <x v="17"/>
    <x v="0"/>
    <x v="0"/>
    <x v="0"/>
    <x v="17"/>
    <x v="17"/>
    <n v="252"/>
    <n v="-4"/>
    <x v="0"/>
    <d v="2024-12-19T07:58:00"/>
    <d v="2024-12-19T07:30:00"/>
    <d v="2024-12-19T08:38:00"/>
    <n v="66.583333333333329"/>
    <n v="39.166666666666664"/>
    <x v="1"/>
    <d v="2024-12-19T15:38:00"/>
    <d v="2024-12-19T19:28:24"/>
    <n v="225.6"/>
    <x v="0"/>
    <d v="2024-12-20T08:28:24"/>
    <d v="2024-12-20T09:23:24"/>
    <n v="53.85"/>
    <x v="0"/>
    <n v="0.99333333333197515"/>
    <x v="8"/>
    <n v="-6.6666666680248454E-3"/>
    <n v="23.839999999967404"/>
    <n v="0"/>
    <n v="23.839999999967404"/>
    <n v="6.5436241610827723"/>
    <x v="0"/>
  </r>
  <r>
    <x v="3"/>
    <x v="0"/>
    <d v="2024-12-19T00:00:00"/>
    <s v="OM02L1NC"/>
    <x v="0"/>
    <s v="UBP 311H"/>
    <s v="Ekwalikwa Yusuf"/>
    <s v="Kobusinge Steven-Kamwenge"/>
    <n v="156"/>
    <s v="Z81709"/>
    <x v="13"/>
    <x v="0"/>
    <x v="0"/>
    <x v="0"/>
    <x v="13"/>
    <x v="13"/>
    <n v="230"/>
    <n v="0"/>
    <x v="0"/>
    <d v="2024-12-19T07:58:00"/>
    <d v="2024-12-19T07:30:00"/>
    <d v="2024-12-19T08:47:00"/>
    <n v="75.38333333333334"/>
    <n v="47.966666666666669"/>
    <x v="8"/>
    <d v="2024-12-20T10:17:00"/>
    <d v="2024-12-20T15:43:00"/>
    <n v="319.2"/>
    <x v="0"/>
    <d v="2024-12-20T21:13:00"/>
    <d v="2024-12-20T22:13:00"/>
    <n v="58.733333333333334"/>
    <x v="0"/>
    <n v="1.5180555555562023"/>
    <x v="7"/>
    <n v="0.21805555555620226"/>
    <n v="36.433333333348855"/>
    <n v="16"/>
    <n v="20.433333333348855"/>
    <n v="7.6345840130447717"/>
    <x v="0"/>
  </r>
  <r>
    <x v="3"/>
    <x v="0"/>
    <d v="2024-12-19T00:00:00"/>
    <s v="OM02L1VW"/>
    <x v="0"/>
    <s v="UBP 311H"/>
    <s v="Ekwalikwa Yusuf"/>
    <s v="Kobusinge Acaali- Kyenjojo"/>
    <n v="156"/>
    <s v="Z81715"/>
    <x v="3"/>
    <x v="0"/>
    <x v="0"/>
    <x v="0"/>
    <x v="3"/>
    <x v="3"/>
    <n v="481"/>
    <n v="1"/>
    <x v="0"/>
    <d v="2024-12-19T07:20:00"/>
    <d v="2024-12-19T07:30:00"/>
    <d v="2024-12-19T08:21:00"/>
    <n v="49.93333333333333"/>
    <n v="59.716666666666669"/>
    <x v="6"/>
    <d v="2024-12-20T10:23:00"/>
    <d v="2024-12-20T18:44:00"/>
    <n v="490.55"/>
    <x v="0"/>
    <d v="2024-12-21T21:10:44"/>
    <d v="2024-12-21T22:07:44"/>
    <n v="55.8"/>
    <x v="0"/>
    <n v="2.5345388888890739"/>
    <x v="1"/>
    <n v="3.453888888907386E-2"/>
    <n v="60.828933333337773"/>
    <n v="32"/>
    <n v="28.828933333337773"/>
    <n v="5.4112303842890235"/>
    <x v="0"/>
  </r>
  <r>
    <x v="3"/>
    <x v="0"/>
    <d v="2024-12-19T00:00:00"/>
    <s v="OM02L1YG"/>
    <x v="0"/>
    <s v="UBF 379L"/>
    <m/>
    <s v="Kato Investments Ltd- Kyegegwa"/>
    <n v="151.68"/>
    <s v="A19371"/>
    <x v="18"/>
    <x v="0"/>
    <x v="0"/>
    <x v="0"/>
    <x v="18"/>
    <x v="18"/>
    <n v="546"/>
    <n v="-19"/>
    <x v="0"/>
    <d v="2024-12-19T07:58:00"/>
    <d v="2024-12-19T07:30:00"/>
    <d v="2024-12-19T08:38:00"/>
    <n v="66.583333333333329"/>
    <n v="39.166666666666664"/>
    <x v="1"/>
    <d v="2024-12-20T10:58:00"/>
    <d v="2024-12-20T15:58:00"/>
    <n v="293.75"/>
    <x v="0"/>
    <d v="2024-12-21T11:14:19"/>
    <d v="2024-12-21T11:54:19"/>
    <n v="39.166666666666664"/>
    <x v="0"/>
    <n v="2.1085555555546307"/>
    <x v="0"/>
    <n v="0.1085555555546307"/>
    <n v="50.605333333311137"/>
    <n v="24"/>
    <n v="26.605333333311137"/>
    <n v="5.701112558890193"/>
    <x v="0"/>
  </r>
  <r>
    <x v="3"/>
    <x v="0"/>
    <d v="2024-12-19T13:07:38"/>
    <s v="OMK01ESRR"/>
    <x v="0"/>
    <s v="UBJ 420C"/>
    <s v="ZIWA ABASI"/>
    <s v="Kobusinge Steven-FPortal"/>
    <n v="156"/>
    <s v="Z81708"/>
    <x v="11"/>
    <x v="0"/>
    <x v="0"/>
    <x v="0"/>
    <x v="11"/>
    <x v="11"/>
    <m/>
    <n v="-390"/>
    <x v="0"/>
    <d v="2024-12-20T01:35:38"/>
    <d v="2024-12-20T01:07:38"/>
    <d v="2024-12-20T02:19:38"/>
    <n v="70.483333333333334"/>
    <n v="43.06666666666667"/>
    <x v="1"/>
    <d v="2024-12-21T11:49:38"/>
    <d v="2024-12-22T13:16:02"/>
    <n v="1494.5833333333333"/>
    <x v="0"/>
    <d v="2024-12-22T13:34:45"/>
    <d v="2024-12-22T14:31:45"/>
    <n v="55.8"/>
    <x v="0"/>
    <n v="2.4688333333324408"/>
    <x v="0"/>
    <n v="0.46883333333244082"/>
    <n v="59.25199999997858"/>
    <n v="24"/>
    <n v="35.25199999997858"/>
    <n v="4.4252808351326109"/>
    <x v="0"/>
  </r>
  <r>
    <x v="3"/>
    <x v="1"/>
    <d v="2024-12-19T18:54:30"/>
    <s v="OMAGVVCRR"/>
    <x v="1"/>
    <s v="UBJ 707D"/>
    <s v="Konge Husein"/>
    <s v="Kabaco U Ltd"/>
    <n v="153.60000000000002"/>
    <s v="Z81722"/>
    <x v="6"/>
    <x v="1"/>
    <x v="0"/>
    <x v="1"/>
    <x v="6"/>
    <x v="6"/>
    <n v="320"/>
    <n v="0"/>
    <x v="0"/>
    <d v="2024-12-20T14:46:00"/>
    <d v="2024-12-20T02:22:00"/>
    <d v="2024-12-20T15:35:00"/>
    <n v="776.4666666666667"/>
    <n v="47.966666666666669"/>
    <x v="1"/>
    <d v="2024-12-20T18:01:00"/>
    <d v="2024-12-21T18:21:00"/>
    <n v="1429.5666666666666"/>
    <x v="0"/>
    <d v="2024-12-21T20:41:00"/>
    <d v="2024-12-21T21:40:00"/>
    <n v="57.766666666666666"/>
    <x v="0"/>
    <n v="1.2125000000014552"/>
    <x v="3"/>
    <n v="-0.28749999999854481"/>
    <n v="29.100000000034925"/>
    <n v="12"/>
    <n v="17.100000000034925"/>
    <n v="8.9824561403325323"/>
    <x v="0"/>
  </r>
  <r>
    <x v="3"/>
    <x v="1"/>
    <d v="2024-12-19T21:18:52"/>
    <s v="OM0NCQ2RR"/>
    <x v="0"/>
    <s v="UAV 051U"/>
    <s v="Angello Lumala"/>
    <s v="KATO INVESTMENTS LIMITED-MASAK"/>
    <n v="153.60000000000002"/>
    <s v="F15495"/>
    <x v="14"/>
    <x v="1"/>
    <x v="0"/>
    <x v="1"/>
    <x v="14"/>
    <x v="14"/>
    <n v="348"/>
    <n v="8"/>
    <x v="0"/>
    <d v="2024-12-20T07:58:52"/>
    <d v="2024-12-20T07:30:52"/>
    <d v="2024-12-20T09:02:52"/>
    <n v="90.066666666666663"/>
    <n v="62.65"/>
    <x v="6"/>
    <d v="2024-12-20T12:15:52"/>
    <d v="2024-12-20T17:24:52"/>
    <n v="302.55"/>
    <x v="0"/>
    <d v="2024-12-21T07:48:52"/>
    <d v="2024-12-21T08:24:52"/>
    <n v="35.25"/>
    <x v="0"/>
    <n v="0.94861111111094942"/>
    <x v="8"/>
    <n v="-5.1388888889050577E-2"/>
    <n v="22.766666666662786"/>
    <n v="0"/>
    <n v="22.766666666662786"/>
    <n v="6.7467057101036403"/>
    <x v="0"/>
  </r>
  <r>
    <x v="3"/>
    <x v="1"/>
    <d v="2024-12-19T21:25:18"/>
    <s v="OMP7WVWRR"/>
    <x v="0"/>
    <s v="UAR 731Q"/>
    <s v="Godwin Niwensiima"/>
    <s v="KATO INVESTMENTS LIMITED-MASAK"/>
    <n v="153.60000000000002"/>
    <s v="F15497"/>
    <x v="14"/>
    <x v="1"/>
    <x v="0"/>
    <x v="1"/>
    <x v="14"/>
    <x v="14"/>
    <n v="415"/>
    <n v="75"/>
    <x v="0"/>
    <d v="2024-12-20T07:58:18"/>
    <d v="2024-12-20T07:30:18"/>
    <d v="2024-12-20T08:45:18"/>
    <n v="73.433333333333337"/>
    <n v="46.016666666666666"/>
    <x v="1"/>
    <d v="2024-12-20T11:58:18"/>
    <d v="2024-12-20T16:56:18"/>
    <n v="291.78333333333336"/>
    <x v="0"/>
    <d v="2024-12-21T07:20:18"/>
    <d v="2024-12-21T07:58:18"/>
    <n v="37.200000000000003"/>
    <x v="0"/>
    <n v="0.94097222221898846"/>
    <x v="8"/>
    <n v="-5.9027777781011537E-2"/>
    <n v="22.583333333255723"/>
    <n v="0"/>
    <n v="22.583333333255723"/>
    <n v="6.8014760147835229"/>
    <x v="0"/>
  </r>
  <r>
    <x v="3"/>
    <x v="0"/>
    <d v="2024-12-19T21:30:58"/>
    <s v="OMVQ816RR"/>
    <x v="1"/>
    <s v="UBP 301H"/>
    <s v="NAMINYA SIRAJE"/>
    <s v="Kabaco U Ltd"/>
    <n v="156"/>
    <s v="Z81730"/>
    <x v="6"/>
    <x v="0"/>
    <x v="0"/>
    <x v="0"/>
    <x v="6"/>
    <x v="6"/>
    <n v="137"/>
    <n v="-183"/>
    <x v="4"/>
    <d v="2024-12-19T22:00:00"/>
    <d v="2024-12-20T02:22:00"/>
    <d v="2024-12-19T23:01:00"/>
    <n v="-196.81666666666666"/>
    <n v="59.716666666666669"/>
    <x v="11"/>
    <d v="2024-12-20T13:10:00"/>
    <d v="2024-12-20T19:28:00"/>
    <n v="370.11666666666667"/>
    <x v="0"/>
    <d v="2024-12-21T11:00:00"/>
    <d v="2024-12-21T11:52:00"/>
    <n v="50.9"/>
    <x v="0"/>
    <n v="1.4993055555605679"/>
    <x v="3"/>
    <n v="-6.9444443943211809E-4"/>
    <n v="35.983333333453629"/>
    <n v="16"/>
    <n v="19.983333333453629"/>
    <n v="7.8065054211373264"/>
    <x v="0"/>
  </r>
  <r>
    <x v="3"/>
    <x v="0"/>
    <d v="2024-12-20T00:00:00"/>
    <s v="OM02L2D1"/>
    <x v="0"/>
    <s v="UBE 678K"/>
    <m/>
    <s v="Kato Investment Ltd -Mubende"/>
    <n v="156"/>
    <s v="A19407"/>
    <x v="1"/>
    <x v="0"/>
    <x v="0"/>
    <x v="0"/>
    <x v="1"/>
    <x v="1"/>
    <n v="682"/>
    <n v="2"/>
    <x v="0"/>
    <d v="2024-12-20T07:58:00"/>
    <d v="2024-12-20T07:30:00"/>
    <d v="2024-12-20T08:46:00"/>
    <n v="74.400000000000006"/>
    <n v="46.983333333333334"/>
    <x v="1"/>
    <d v="2024-12-21T11:03:00"/>
    <d v="2024-12-21T16:33:00"/>
    <n v="323.11666666666667"/>
    <x v="0"/>
    <d v="2024-12-22T19:25:48"/>
    <d v="2024-12-22T20:09:48"/>
    <n v="43.06666666666667"/>
    <x v="0"/>
    <n v="2.4443055555530009"/>
    <x v="1"/>
    <n v="-5.5694444446999114E-2"/>
    <n v="58.663333333272021"/>
    <n v="24"/>
    <n v="34.663333333272021"/>
    <n v="4.5004327339246828"/>
    <x v="0"/>
  </r>
  <r>
    <x v="3"/>
    <x v="0"/>
    <d v="2024-12-20T00:00:00"/>
    <s v="OM02L25X"/>
    <x v="0"/>
    <s v="UBE 690K"/>
    <s v="MUKOSE MUZAMIRU"/>
    <s v="DE PLACE INVESTMENTS LTD"/>
    <n v="156"/>
    <s v="F15499"/>
    <x v="0"/>
    <x v="0"/>
    <x v="0"/>
    <x v="0"/>
    <x v="0"/>
    <x v="0"/>
    <n v="758"/>
    <n v="-2"/>
    <x v="0"/>
    <d v="2024-12-20T07:44:00"/>
    <d v="2024-12-20T07:30:00"/>
    <d v="2024-12-20T08:26:00"/>
    <n v="54.833333333333336"/>
    <n v="41.116666666666667"/>
    <x v="1"/>
    <d v="2024-12-21T08:38:00"/>
    <d v="2024-12-21T11:45:00"/>
    <n v="183.1"/>
    <x v="0"/>
    <d v="2024-12-22T11:45:00"/>
    <d v="2024-12-22T12:40:00"/>
    <n v="53.85"/>
    <x v="0"/>
    <n v="2.1381944444437977"/>
    <x v="0"/>
    <n v="0.13819444444379769"/>
    <n v="51.316666666651145"/>
    <n v="24"/>
    <n v="27.316666666651145"/>
    <n v="5.7107992678494925"/>
    <x v="0"/>
  </r>
  <r>
    <x v="3"/>
    <x v="0"/>
    <d v="2024-12-20T00:00:00"/>
    <s v="OM02L2BV"/>
    <x v="0"/>
    <s v="UBB 115P"/>
    <s v="Kakembo Masuud"/>
    <s v="Kato Investments Ltd-Bulenga"/>
    <n v="156"/>
    <s v="A19397"/>
    <x v="2"/>
    <x v="0"/>
    <x v="0"/>
    <x v="0"/>
    <x v="2"/>
    <x v="2"/>
    <n v="593"/>
    <n v="33"/>
    <x v="0"/>
    <d v="2024-12-20T07:58:00"/>
    <d v="2024-12-20T07:30:00"/>
    <d v="2024-12-20T08:42:00"/>
    <n v="70.483333333333334"/>
    <n v="43.06666666666667"/>
    <x v="1"/>
    <d v="2024-12-21T08:42:00"/>
    <d v="2024-12-21T15:22:00"/>
    <n v="391.66666666666669"/>
    <x v="0"/>
    <d v="2024-12-22T14:13:12"/>
    <d v="2024-12-22T15:13:12"/>
    <n v="58.733333333333334"/>
    <x v="0"/>
    <n v="2.2300000000032014"/>
    <x v="0"/>
    <n v="0.23000000000320142"/>
    <n v="53.520000000076834"/>
    <n v="24"/>
    <n v="29.520000000076834"/>
    <n v="5.2845528455147006"/>
    <x v="0"/>
  </r>
  <r>
    <x v="3"/>
    <x v="0"/>
    <d v="2024-12-20T00:00:00"/>
    <s v="OM02L2CR"/>
    <x v="0"/>
    <s v="UBP 311H"/>
    <m/>
    <s v="Kato Investment Ltd -Mityana"/>
    <n v="157.5"/>
    <s v="A19405"/>
    <x v="16"/>
    <x v="0"/>
    <x v="0"/>
    <x v="0"/>
    <x v="16"/>
    <x v="16"/>
    <m/>
    <n v="-690"/>
    <x v="0"/>
    <d v="2024-12-20T07:58:00"/>
    <d v="2024-12-20T07:30:00"/>
    <d v="2024-12-20T08:38:00"/>
    <n v="66.583333333333329"/>
    <n v="39.166666666666664"/>
    <x v="1"/>
    <d v="2024-12-21T10:38:00"/>
    <d v="2024-12-21T15:38:00"/>
    <n v="293.75"/>
    <x v="0"/>
    <d v="2024-12-22T13:03:55"/>
    <d v="2024-12-22T13:54:55"/>
    <n v="49.93333333333333"/>
    <x v="0"/>
    <n v="2.1846666666679084"/>
    <x v="0"/>
    <n v="0.18466666666790843"/>
    <n v="52.432000000029802"/>
    <n v="24"/>
    <n v="28.432000000029802"/>
    <n v="5.5395329206469794"/>
    <x v="0"/>
  </r>
  <r>
    <x v="3"/>
    <x v="0"/>
    <d v="2024-12-20T00:00:00"/>
    <s v="OM02L2CN"/>
    <x v="0"/>
    <s v="UBP 311H"/>
    <m/>
    <s v="Kabaco U Ltd"/>
    <n v="156"/>
    <s v="Z81749"/>
    <x v="6"/>
    <x v="0"/>
    <x v="0"/>
    <x v="0"/>
    <x v="6"/>
    <x v="6"/>
    <n v="120"/>
    <n v="-200"/>
    <x v="0"/>
    <d v="2024-12-20T07:58:00"/>
    <d v="2024-12-20T07:30:00"/>
    <d v="2024-12-20T08:45:00"/>
    <n v="73.433333333333337"/>
    <n v="46.016666666666666"/>
    <x v="1"/>
    <d v="2024-12-20T14:45:00"/>
    <d v="2024-12-20T17:51:00"/>
    <n v="182.11666666666667"/>
    <x v="0"/>
    <d v="2024-12-21T10:10:12"/>
    <d v="2024-12-21T10:58:12"/>
    <n v="46.983333333333334"/>
    <x v="0"/>
    <n v="1.0591666666659876"/>
    <x v="3"/>
    <n v="-0.44083333333401242"/>
    <n v="25.419999999983702"/>
    <n v="12"/>
    <n v="13.419999999983702"/>
    <n v="11.624441132651972"/>
    <x v="0"/>
  </r>
  <r>
    <x v="3"/>
    <x v="1"/>
    <d v="2024-12-20T12:45:50"/>
    <s v="OMWE0UFRR"/>
    <x v="0"/>
    <s v="UAT 351G"/>
    <s v="Hamudi Sesanga"/>
    <s v="RUGOMA TRADERS CO. LTD NTUNGAM"/>
    <n v="153.60000000000002"/>
    <s v="F15500"/>
    <x v="15"/>
    <x v="1"/>
    <x v="0"/>
    <x v="1"/>
    <x v="15"/>
    <x v="15"/>
    <n v="134"/>
    <n v="4"/>
    <x v="0"/>
    <d v="2024-12-21T13:13:50"/>
    <d v="2024-12-21T00:45:50"/>
    <d v="2024-12-21T14:08:50"/>
    <n v="786.26666666666665"/>
    <n v="53.85"/>
    <x v="2"/>
    <d v="2024-12-21T16:08:50"/>
    <d v="2024-12-21T22:08:50"/>
    <n v="352.5"/>
    <x v="0"/>
    <d v="2024-12-22T11:20:50"/>
    <d v="2024-12-22T12:12:50"/>
    <n v="50.916666666666664"/>
    <x v="0"/>
    <n v="0.88333333333866904"/>
    <x v="8"/>
    <n v="-0.11666666666133096"/>
    <n v="21.200000000128057"/>
    <n v="0"/>
    <n v="21.200000000128057"/>
    <n v="7.2452830188241615"/>
    <x v="0"/>
  </r>
  <r>
    <x v="3"/>
    <x v="1"/>
    <d v="2024-12-20T19:51:33"/>
    <s v="OMP0VJARR"/>
    <x v="0"/>
    <s v="UAV 051U"/>
    <s v="Angello Lumala"/>
    <s v="Ntale and Sons"/>
    <n v="153.60000000000002"/>
    <s v="A19401"/>
    <x v="19"/>
    <x v="1"/>
    <x v="0"/>
    <x v="1"/>
    <x v="19"/>
    <x v="19"/>
    <m/>
    <n v="-810"/>
    <x v="0"/>
    <d v="2024-12-21T08:19:33"/>
    <d v="2024-12-21T07:51:33"/>
    <d v="2024-12-21T09:23:33"/>
    <n v="90.066666666666663"/>
    <n v="62.65"/>
    <x v="6"/>
    <d v="2024-12-22T15:23:33"/>
    <d v="2024-12-22T19:55:33"/>
    <n v="266.31666666666666"/>
    <x v="0"/>
    <d v="2024-12-24T10:33:57"/>
    <d v="2024-12-24T11:18:57"/>
    <n v="44.05"/>
    <x v="0"/>
    <n v="3.0488888888867223"/>
    <x v="4"/>
    <n v="4.888888888672227E-2"/>
    <n v="73.173333333281334"/>
    <n v="48"/>
    <n v="25.173333333281334"/>
    <n v="6.101694915266842"/>
    <x v="0"/>
  </r>
  <r>
    <x v="3"/>
    <x v="1"/>
    <d v="2024-12-20T19:54:54"/>
    <s v="OMM46NURR"/>
    <x v="1"/>
    <s v="UBE 287X"/>
    <s v="Isaac Tumuhimbise"/>
    <s v="Ntale and Sons"/>
    <n v="153.60000000000002"/>
    <s v="A19402"/>
    <x v="19"/>
    <x v="1"/>
    <x v="0"/>
    <x v="1"/>
    <x v="19"/>
    <x v="19"/>
    <n v="826"/>
    <n v="16"/>
    <x v="0"/>
    <d v="2024-12-21T15:52:00"/>
    <d v="2024-12-21T16:40:00"/>
    <d v="2024-12-21T16:52:00"/>
    <n v="11.733333333333333"/>
    <n v="58.733333333333334"/>
    <x v="9"/>
    <d v="2024-12-23T15:13:00"/>
    <d v="2024-12-23T19:35:00"/>
    <n v="256.53333333333336"/>
    <x v="0"/>
    <d v="2024-12-25T11:04:00"/>
    <d v="2024-12-25T11:55:00"/>
    <n v="49.93333333333333"/>
    <x v="0"/>
    <n v="3.7583333333313931"/>
    <x v="4"/>
    <n v="0.75833333333139308"/>
    <n v="90.199999999953434"/>
    <n v="48"/>
    <n v="42.199999999953434"/>
    <n v="3.6398104265443014"/>
    <x v="0"/>
  </r>
  <r>
    <x v="3"/>
    <x v="0"/>
    <d v="2024-12-21T00:00:00"/>
    <s v="OM02L2L7"/>
    <x v="0"/>
    <s v="UBE 690K"/>
    <s v="MUKOSE MUZAMIRU"/>
    <s v="Kabaco U Ltd"/>
    <n v="156"/>
    <s v="Z81764"/>
    <x v="6"/>
    <x v="0"/>
    <x v="0"/>
    <x v="0"/>
    <x v="6"/>
    <x v="6"/>
    <n v="321"/>
    <n v="1"/>
    <x v="0"/>
    <d v="2024-12-21T07:58:00"/>
    <d v="2024-12-21T07:30:00"/>
    <d v="2024-12-21T08:47:00"/>
    <n v="75.38333333333334"/>
    <n v="47.966666666666669"/>
    <x v="8"/>
    <d v="2024-12-21T14:47:00"/>
    <d v="2024-12-21T19:43:00"/>
    <n v="289.83333333333331"/>
    <x v="0"/>
    <d v="2024-12-22T12:02:12"/>
    <d v="2024-12-22T13:03:12"/>
    <n v="59.716666666666669"/>
    <x v="0"/>
    <n v="1.1355555555564933"/>
    <x v="3"/>
    <n v="-0.36444444444350665"/>
    <n v="27.25333333335584"/>
    <n v="16"/>
    <n v="11.25333333335584"/>
    <n v="13.862559241678436"/>
    <x v="0"/>
  </r>
  <r>
    <x v="3"/>
    <x v="0"/>
    <d v="2024-12-21T00:00:00"/>
    <s v="OM02L2KX"/>
    <x v="0"/>
    <s v="UBP 311H"/>
    <s v="Ekwalikwa Yusuf"/>
    <s v="Boniface Harera"/>
    <n v="156"/>
    <s v="F15511"/>
    <x v="10"/>
    <x v="0"/>
    <x v="0"/>
    <x v="0"/>
    <x v="10"/>
    <x v="10"/>
    <n v="465"/>
    <n v="-5"/>
    <x v="0"/>
    <d v="2024-12-21T07:58:00"/>
    <d v="2024-12-21T07:30:00"/>
    <d v="2024-12-21T09:02:00"/>
    <n v="90.066666666666663"/>
    <n v="62.65"/>
    <x v="6"/>
    <d v="2024-12-22T09:02:00"/>
    <d v="2024-12-22T14:17:00"/>
    <n v="308.43333333333334"/>
    <x v="0"/>
    <d v="2024-12-23T13:05:00"/>
    <d v="2024-12-23T13:53:00"/>
    <n v="46.983333333333334"/>
    <x v="0"/>
    <n v="2.1687499999970896"/>
    <x v="1"/>
    <n v="-0.33125000000291038"/>
    <n v="52.049999999930151"/>
    <n v="32"/>
    <n v="20.049999999930151"/>
    <n v="7.7805486284560335"/>
    <x v="0"/>
  </r>
  <r>
    <x v="3"/>
    <x v="0"/>
    <d v="2024-12-21T00:00:00"/>
    <s v="OM02L2L5"/>
    <x v="0"/>
    <s v="UBE 680K"/>
    <s v="BYEKWASO TWAHA"/>
    <s v="Kobusinge Steven-FPortal"/>
    <n v="156"/>
    <s v="Z81763"/>
    <x v="11"/>
    <x v="0"/>
    <x v="0"/>
    <x v="0"/>
    <x v="11"/>
    <x v="11"/>
    <n v="386"/>
    <n v="-4"/>
    <x v="0"/>
    <d v="2024-12-21T07:37:00"/>
    <d v="2024-12-21T07:30:00"/>
    <d v="2024-12-21T08:38:00"/>
    <n v="66.583333333333329"/>
    <n v="59.716666666666669"/>
    <x v="6"/>
    <d v="2024-12-22T10:08:00"/>
    <d v="2024-12-22T18:37:00"/>
    <n v="498.38333333333333"/>
    <x v="0"/>
    <d v="2024-12-23T10:51:12"/>
    <d v="2024-12-23T11:21:12"/>
    <n v="29.366666666666667"/>
    <x v="0"/>
    <n v="2.0924999999988358"/>
    <x v="0"/>
    <n v="9.2499999998835847E-2"/>
    <n v="50.21999999997206"/>
    <n v="32"/>
    <n v="18.21999999997206"/>
    <n v="8.5620197585202646"/>
    <x v="0"/>
  </r>
  <r>
    <x v="3"/>
    <x v="0"/>
    <d v="2024-12-21T00:00:00"/>
    <s v="OM02L2LD"/>
    <x v="0"/>
    <s v="UBE 684K"/>
    <m/>
    <s v="Kobusinge Acaali- Kyenjojo"/>
    <n v="155.10000000000002"/>
    <s v="Z81765"/>
    <x v="3"/>
    <x v="0"/>
    <x v="0"/>
    <x v="0"/>
    <x v="3"/>
    <x v="3"/>
    <n v="474"/>
    <n v="-6"/>
    <x v="0"/>
    <d v="2024-12-21T07:58:00"/>
    <d v="2024-12-21T07:30:00"/>
    <d v="2024-12-21T08:38:00"/>
    <n v="66.583333333333329"/>
    <n v="39.166666666666664"/>
    <x v="1"/>
    <d v="2024-12-22T10:38:00"/>
    <d v="2024-12-22T16:00:00"/>
    <n v="315.28333333333336"/>
    <x v="0"/>
    <d v="2024-12-23T18:09:36"/>
    <d v="2024-12-23T19:06:36"/>
    <n v="55.8"/>
    <x v="0"/>
    <n v="2.3969444444446708"/>
    <x v="1"/>
    <n v="-0.10305555555532919"/>
    <n v="57.526666666672099"/>
    <n v="24"/>
    <n v="33.526666666672099"/>
    <n v="4.6261682242983166"/>
    <x v="0"/>
  </r>
  <r>
    <x v="3"/>
    <x v="0"/>
    <d v="2024-12-21T00:00:00"/>
    <s v="OM02L2KT"/>
    <x v="0"/>
    <s v="UBP 311H"/>
    <m/>
    <s v="Kato Investments Ltd-Bulenga"/>
    <n v="156"/>
    <s v="A19425"/>
    <x v="2"/>
    <x v="0"/>
    <x v="0"/>
    <x v="0"/>
    <x v="2"/>
    <x v="2"/>
    <n v="556"/>
    <n v="-4"/>
    <x v="0"/>
    <d v="2024-12-21T07:58:00"/>
    <d v="2024-12-21T07:30:00"/>
    <d v="2024-12-21T08:42:00"/>
    <n v="70.483333333333334"/>
    <n v="43.06666666666667"/>
    <x v="1"/>
    <d v="2024-12-22T08:42:00"/>
    <d v="2024-12-22T12:13:00"/>
    <n v="206.6"/>
    <x v="0"/>
    <d v="2024-12-23T08:42:00"/>
    <d v="2024-12-23T09:42:00"/>
    <n v="58.733333333333334"/>
    <x v="0"/>
    <n v="2"/>
    <x v="0"/>
    <n v="0"/>
    <n v="48"/>
    <n v="24"/>
    <n v="24"/>
    <n v="6.5"/>
    <x v="0"/>
  </r>
  <r>
    <x v="3"/>
    <x v="0"/>
    <d v="2024-12-21T00:00:00"/>
    <s v="OM02L2L0"/>
    <x v="0"/>
    <s v="UBP 311H"/>
    <m/>
    <s v="Kato Investments Ltd-Bulenga"/>
    <n v="156"/>
    <s v="A19429"/>
    <x v="2"/>
    <x v="0"/>
    <x v="0"/>
    <x v="0"/>
    <x v="2"/>
    <x v="2"/>
    <n v="556"/>
    <n v="-4"/>
    <x v="0"/>
    <d v="2024-12-21T07:58:00"/>
    <d v="2024-12-21T07:30:00"/>
    <d v="2024-12-21T08:38:00"/>
    <n v="66.583333333333329"/>
    <n v="39.166666666666664"/>
    <x v="1"/>
    <d v="2024-12-22T08:38:00"/>
    <d v="2024-12-22T13:53:00"/>
    <n v="308.43333333333334"/>
    <x v="0"/>
    <d v="2024-12-23T08:09:12"/>
    <d v="2024-12-23T08:45:12"/>
    <n v="35.25"/>
    <x v="0"/>
    <n v="1.9800000000032014"/>
    <x v="0"/>
    <n v="-1.9999999996798579E-2"/>
    <n v="47.520000000076834"/>
    <n v="12"/>
    <n v="35.520000000076834"/>
    <n v="4.3918918918823913"/>
    <x v="0"/>
  </r>
  <r>
    <x v="3"/>
    <x v="0"/>
    <d v="2024-12-21T00:00:00"/>
    <s v="OM02L2L1"/>
    <x v="0"/>
    <s v="UBE 678K"/>
    <m/>
    <s v="Kobusinge Steven-Kamwenge"/>
    <n v="156"/>
    <s v="Z81762"/>
    <x v="13"/>
    <x v="0"/>
    <x v="0"/>
    <x v="0"/>
    <x v="13"/>
    <x v="13"/>
    <n v="230"/>
    <n v="0"/>
    <x v="0"/>
    <d v="2024-12-21T07:58:00"/>
    <d v="2024-12-21T07:30:00"/>
    <d v="2024-12-21T08:45:00"/>
    <n v="73.433333333333337"/>
    <n v="46.016666666666666"/>
    <x v="1"/>
    <d v="2024-12-22T09:37:00"/>
    <d v="2024-12-22T13:53:00"/>
    <n v="250.65"/>
    <x v="0"/>
    <d v="2024-12-22T19:23:00"/>
    <d v="2024-12-22T20:18:00"/>
    <n v="53.85"/>
    <x v="0"/>
    <n v="1.4430555555518367"/>
    <x v="7"/>
    <n v="0.14305555555183669"/>
    <n v="34.633333333244082"/>
    <n v="12"/>
    <n v="22.633333333244082"/>
    <n v="6.892488954371804"/>
    <x v="0"/>
  </r>
  <r>
    <x v="3"/>
    <x v="0"/>
    <d v="2024-12-21T00:00:00"/>
    <s v="OM02L2KZ"/>
    <x v="0"/>
    <s v="UBP 311H"/>
    <s v="Ekwalikwa Yusuf"/>
    <s v="Kato Investments Ltd- Kyegegwa"/>
    <n v="156"/>
    <s v="A19428"/>
    <x v="18"/>
    <x v="0"/>
    <x v="0"/>
    <x v="0"/>
    <x v="18"/>
    <x v="18"/>
    <n v="546"/>
    <n v="-19"/>
    <x v="0"/>
    <d v="2024-12-21T07:58:00"/>
    <d v="2024-12-21T07:30:00"/>
    <d v="2024-12-21T08:58:00"/>
    <n v="86.15"/>
    <n v="58.733333333333334"/>
    <x v="9"/>
    <d v="2024-12-22T11:18:00"/>
    <d v="2024-12-22T16:48:00"/>
    <n v="323.11666666666667"/>
    <x v="0"/>
    <d v="2024-12-23T10:19:12"/>
    <d v="2024-12-23T10:59:12"/>
    <n v="39.166666666666664"/>
    <x v="0"/>
    <n v="2.0563888888864312"/>
    <x v="0"/>
    <n v="5.6388888886431232E-2"/>
    <n v="49.35333333327435"/>
    <n v="32"/>
    <n v="17.35333333327435"/>
    <n v="8.9896273530847246"/>
    <x v="0"/>
  </r>
  <r>
    <x v="3"/>
    <x v="0"/>
    <d v="2024-12-21T12:47:27"/>
    <s v="OMHOD3XRR"/>
    <x v="0"/>
    <s v="UBJ 417C"/>
    <m/>
    <s v="Bates Enterprises U Ltd"/>
    <n v="156"/>
    <s v="Z81754"/>
    <x v="7"/>
    <x v="0"/>
    <x v="0"/>
    <x v="0"/>
    <x v="7"/>
    <x v="7"/>
    <n v="579"/>
    <n v="-27"/>
    <x v="0"/>
    <d v="2024-12-22T01:15:27"/>
    <d v="2024-12-22T00:47:27"/>
    <d v="2024-12-22T01:55:27"/>
    <n v="66.583333333333329"/>
    <n v="39.166666666666664"/>
    <x v="1"/>
    <d v="2024-12-23T13:55:27"/>
    <d v="2024-12-23T19:25:27"/>
    <n v="323.11666666666667"/>
    <x v="0"/>
    <d v="2024-12-24T21:49:27"/>
    <d v="2024-12-24T22:46:27"/>
    <n v="55.8"/>
    <x v="0"/>
    <n v="2.8291666666627862"/>
    <x v="4"/>
    <n v="-0.17083333333721384"/>
    <n v="67.899999999906868"/>
    <n v="24"/>
    <n v="43.899999999906868"/>
    <n v="3.5535307517159671"/>
    <x v="0"/>
  </r>
  <r>
    <x v="3"/>
    <x v="1"/>
    <d v="2024-12-21T12:51:37"/>
    <s v="OM84J2NRR"/>
    <x v="1"/>
    <s v="UAV 203T"/>
    <s v="Mugisha  George"/>
    <s v="Agaba Services"/>
    <n v="153.60000000000002"/>
    <s v="F15503"/>
    <x v="20"/>
    <x v="1"/>
    <x v="0"/>
    <x v="1"/>
    <x v="20"/>
    <x v="20"/>
    <n v="300"/>
    <n v="-2"/>
    <x v="0"/>
    <d v="2024-12-21T21:05:00"/>
    <d v="2024-12-22T04:15:00"/>
    <d v="2024-12-21T21:54:00"/>
    <n v="-373.06666666666666"/>
    <n v="47.966666666666669"/>
    <x v="1"/>
    <d v="2024-12-22T12:48:00"/>
    <d v="2024-12-22T14:43:00"/>
    <n v="112.6"/>
    <x v="0"/>
    <d v="2024-12-23T12:36:00"/>
    <d v="2024-12-23T13:35:00"/>
    <n v="57.766666666666666"/>
    <x v="0"/>
    <n v="1.6125000000029104"/>
    <x v="8"/>
    <n v="0.61250000000291038"/>
    <n v="38.700000000069849"/>
    <n v="12"/>
    <n v="26.700000000069849"/>
    <n v="5.7528089887489964"/>
    <x v="0"/>
  </r>
  <r>
    <x v="3"/>
    <x v="0"/>
    <d v="2024-12-21T20:19:23"/>
    <s v="OMCU01CRR"/>
    <x v="0"/>
    <s v="UBJ 420C"/>
    <s v="ZIWA ABASI"/>
    <s v="Kato Investment Ltd -Kagadi"/>
    <n v="156"/>
    <s v="A19426"/>
    <x v="12"/>
    <x v="0"/>
    <x v="0"/>
    <x v="0"/>
    <x v="12"/>
    <x v="12"/>
    <n v="603"/>
    <n v="-9"/>
    <x v="0"/>
    <d v="2024-12-22T08:47:23"/>
    <d v="2024-12-22T08:19:23"/>
    <d v="2024-12-22T09:27:23"/>
    <n v="66.583333333333329"/>
    <n v="39.166666666666664"/>
    <x v="1"/>
    <d v="2024-12-23T11:27:23"/>
    <d v="2024-12-23T16:46:23"/>
    <n v="312.35000000000002"/>
    <x v="0"/>
    <d v="2024-12-24T13:21:54"/>
    <d v="2024-12-24T14:12:54"/>
    <n v="49.93333333333333"/>
    <x v="0"/>
    <n v="2.1628611111154896"/>
    <x v="6"/>
    <n v="-0.1371388888845102"/>
    <n v="51.908666666771751"/>
    <n v="24"/>
    <n v="27.908666666771751"/>
    <n v="5.5896615149205484"/>
    <x v="0"/>
  </r>
  <r>
    <x v="3"/>
    <x v="0"/>
    <d v="2024-12-21T20:22:42"/>
    <s v="OMVQ94TRR"/>
    <x v="0"/>
    <s v="UBM 648D"/>
    <m/>
    <s v="Ntale and Sons Ltd-Kakiri"/>
    <n v="156"/>
    <s v="A19427"/>
    <x v="22"/>
    <x v="0"/>
    <x v="0"/>
    <x v="0"/>
    <x v="22"/>
    <x v="21"/>
    <n v="612"/>
    <n v="-8"/>
    <x v="0"/>
    <d v="2024-12-22T08:50:42"/>
    <d v="2024-12-22T08:22:42"/>
    <d v="2024-12-22T09:34:42"/>
    <n v="70.483333333333334"/>
    <n v="43.06666666666667"/>
    <x v="1"/>
    <d v="2024-12-23T09:04:42"/>
    <d v="2024-12-23T12:41:42"/>
    <n v="212.46666666666667"/>
    <x v="0"/>
    <d v="2024-12-24T10:39:18"/>
    <d v="2024-12-24T11:33:18"/>
    <n v="52.866666666666667"/>
    <x v="0"/>
    <n v="2.0448611111060018"/>
    <x v="0"/>
    <n v="4.4861111106001772E-2"/>
    <n v="49.076666666544043"/>
    <n v="24"/>
    <n v="25.076666666544043"/>
    <n v="6.2209225043505052"/>
    <x v="0"/>
  </r>
  <r>
    <x v="3"/>
    <x v="0"/>
    <d v="2024-12-21T21:05:33"/>
    <s v="OM2A73CRR"/>
    <x v="1"/>
    <s v="UBP 298H"/>
    <s v="SENTONG DAVID"/>
    <s v="KATO INVESTMENTS LTD-KATIKARA"/>
    <n v="156"/>
    <s v="A19430"/>
    <x v="5"/>
    <x v="0"/>
    <x v="0"/>
    <x v="0"/>
    <x v="5"/>
    <x v="5"/>
    <n v="821"/>
    <n v="-9"/>
    <x v="0"/>
    <d v="2024-12-22T06:48:00"/>
    <d v="2024-12-22T15:48:00"/>
    <d v="2024-12-22T07:35:00"/>
    <n v="-482.73333333333335"/>
    <n v="46.016666666666666"/>
    <x v="1"/>
    <d v="2024-12-22T21:48:00"/>
    <d v="2024-12-23T11:57:00"/>
    <n v="831.3"/>
    <x v="0"/>
    <d v="2024-12-24T10:40:00"/>
    <d v="2024-12-24T11:37:00"/>
    <n v="55.8"/>
    <x v="0"/>
    <n v="2.1284722222262644"/>
    <x v="0"/>
    <n v="0.12847222222626442"/>
    <n v="51.083333333430346"/>
    <n v="24"/>
    <n v="27.083333333430346"/>
    <n v="5.7599999999793674"/>
    <x v="0"/>
  </r>
  <r>
    <x v="3"/>
    <x v="0"/>
    <d v="2024-12-21T22:40:14"/>
    <s v="OMVUD1URR"/>
    <x v="1"/>
    <s v="UBK 882R"/>
    <s v="NASASIRA STEPHENE"/>
    <s v="Kato Investment Ltd -Mityana"/>
    <n v="187.20000000000002"/>
    <s v="A19433"/>
    <x v="16"/>
    <x v="0"/>
    <x v="0"/>
    <x v="0"/>
    <x v="16"/>
    <x v="16"/>
    <n v="787"/>
    <n v="97"/>
    <x v="1"/>
    <d v="2024-12-22T14:11:00"/>
    <d v="2024-12-21T22:40:00"/>
    <d v="2024-12-22T14:56:00"/>
    <n v="955.65"/>
    <n v="44.05"/>
    <x v="1"/>
    <d v="2024-12-23T09:09:00"/>
    <d v="2024-12-23T15:29:00"/>
    <n v="372.08333333333331"/>
    <x v="0"/>
    <d v="2024-12-25T07:52:00"/>
    <d v="2024-12-25T08:36:00"/>
    <n v="43.06666666666667"/>
    <x v="0"/>
    <n v="2.7055555555562023"/>
    <x v="0"/>
    <n v="0.70555555555620231"/>
    <n v="64.933333333348855"/>
    <n v="24"/>
    <n v="40.933333333348855"/>
    <n v="4.5732899022783968"/>
    <x v="4"/>
  </r>
  <r>
    <x v="3"/>
    <x v="1"/>
    <d v="2024-12-22T17:41:09"/>
    <s v="OMDW095RR"/>
    <x v="1"/>
    <s v="UAY 265V"/>
    <s v="Luyaga Isaac"/>
    <s v="KATO INVESTMENTS LIMITED-MASAK"/>
    <n v="153.60000000000002"/>
    <s v="F15514"/>
    <x v="14"/>
    <x v="1"/>
    <x v="0"/>
    <x v="1"/>
    <x v="14"/>
    <x v="14"/>
    <n v="151"/>
    <n v="-189"/>
    <x v="2"/>
    <d v="2024-12-22T17:07:00"/>
    <d v="2024-12-24T04:14:00"/>
    <d v="2024-12-22T17:57:00"/>
    <n v="-2014.15"/>
    <n v="48.95"/>
    <x v="8"/>
    <d v="2024-12-23T08:25:00"/>
    <d v="2024-12-23T14:18:00"/>
    <n v="345.63333333333333"/>
    <x v="0"/>
    <d v="2024-12-23T16:42:00"/>
    <d v="2024-12-23T17:39:00"/>
    <n v="55.8"/>
    <x v="0"/>
    <n v="0.94791666666424135"/>
    <x v="8"/>
    <n v="-5.2083333335758653E-2"/>
    <n v="22.749999999941792"/>
    <n v="0"/>
    <n v="22.749999999941792"/>
    <n v="6.7516483516656276"/>
    <x v="0"/>
  </r>
  <r>
    <x v="3"/>
    <x v="0"/>
    <d v="2024-12-24T00:00:00"/>
    <s v="OM02L3UP"/>
    <x v="0"/>
    <s v="UBJ 420C"/>
    <s v="ZIWA ABASI"/>
    <s v="Kato Investment Ltd -Mityana"/>
    <n v="157.5"/>
    <s v="A19484"/>
    <x v="16"/>
    <x v="0"/>
    <x v="0"/>
    <x v="0"/>
    <x v="16"/>
    <x v="16"/>
    <m/>
    <n v="-690"/>
    <x v="0"/>
    <d v="2024-12-24T07:58:00"/>
    <d v="2024-12-24T07:30:00"/>
    <d v="2024-12-24T08:47:00"/>
    <n v="75.38333333333334"/>
    <n v="47.966666666666669"/>
    <x v="1"/>
    <d v="2024-12-25T10:47:00"/>
    <d v="2024-12-25T16:07:00"/>
    <n v="313.31666666666666"/>
    <x v="0"/>
    <d v="2024-12-26T11:08:55"/>
    <d v="2024-12-26T11:52:55"/>
    <n v="43.06666666666667"/>
    <x v="0"/>
    <n v="2.0985555555525934"/>
    <x v="0"/>
    <n v="9.8555555552593432E-2"/>
    <n v="50.365333333262242"/>
    <n v="24"/>
    <n v="26.365333333262242"/>
    <n v="5.9737534135894865"/>
    <x v="0"/>
  </r>
  <r>
    <x v="3"/>
    <x v="0"/>
    <d v="2024-12-24T00:00:00"/>
    <s v="OM02L3VE"/>
    <x v="0"/>
    <s v="UBE 673K"/>
    <s v="Bulega Sperito"/>
    <s v="Kato Investment Ltd -Mityana"/>
    <n v="149.52000000000001"/>
    <s v="A19485"/>
    <x v="16"/>
    <x v="0"/>
    <x v="0"/>
    <x v="0"/>
    <x v="16"/>
    <x v="16"/>
    <n v="784"/>
    <n v="94"/>
    <x v="0"/>
    <d v="2024-12-24T07:42:00"/>
    <d v="2024-12-24T07:30:00"/>
    <d v="2024-12-24T08:38:00"/>
    <n v="66.583333333333329"/>
    <n v="54.833333333333336"/>
    <x v="7"/>
    <d v="2024-12-25T10:38:00"/>
    <d v="2024-12-25T16:27:00"/>
    <n v="341.71666666666664"/>
    <x v="0"/>
    <d v="2024-12-26T11:43:19"/>
    <d v="2024-12-26T12:28:19"/>
    <n v="44.05"/>
    <x v="0"/>
    <n v="2.1286944444436813"/>
    <x v="0"/>
    <n v="0.12869444444368128"/>
    <n v="51.088666666648351"/>
    <n v="32"/>
    <n v="19.088666666648351"/>
    <n v="7.8329200572840856"/>
    <x v="0"/>
  </r>
  <r>
    <x v="3"/>
    <x v="0"/>
    <d v="2024-12-24T22:50:37"/>
    <s v="OML09HXRR"/>
    <x v="1"/>
    <s v="UBE 680K"/>
    <s v="BYEKWASO TWAHA"/>
    <s v="Kato Investments Ltd-Bulenga"/>
    <n v="145.19999999999999"/>
    <s v="A19487"/>
    <x v="2"/>
    <x v="0"/>
    <x v="0"/>
    <x v="0"/>
    <x v="2"/>
    <x v="2"/>
    <n v="772"/>
    <n v="212"/>
    <x v="5"/>
    <d v="2024-12-25T05:40:00"/>
    <d v="2024-12-25T20:13:00"/>
    <d v="2024-12-25T06:26:00"/>
    <n v="-809.7833333333333"/>
    <n v="45.033333333333331"/>
    <x v="1"/>
    <d v="2024-12-27T13:01:00"/>
    <d v="2024-12-27T19:15:00"/>
    <n v="366.2"/>
    <x v="0"/>
    <d v="2024-12-28T14:41:00"/>
    <d v="2024-12-28T15:36:00"/>
    <n v="53.85"/>
    <x v="0"/>
    <n v="3.34375"/>
    <x v="0"/>
    <n v="1.34375"/>
    <n v="80.25"/>
    <n v="36"/>
    <n v="44.25"/>
    <n v="3.2813559322033896"/>
    <x v="4"/>
  </r>
  <r>
    <x v="3"/>
    <x v="1"/>
    <d v="2024-12-24T22:57:48"/>
    <s v="OMBJR0SRR"/>
    <x v="1"/>
    <s v="UAV 203T"/>
    <s v="Mugisha  George"/>
    <s v="KATO INVESTMENTS LIMITED-MASAK"/>
    <n v="153.60000000000002"/>
    <s v="F15519"/>
    <x v="14"/>
    <x v="1"/>
    <x v="0"/>
    <x v="1"/>
    <x v="14"/>
    <x v="14"/>
    <n v="401"/>
    <n v="61"/>
    <x v="6"/>
    <d v="2024-12-25T13:16:00"/>
    <d v="2024-12-25T09:00:00"/>
    <d v="2024-12-25T14:06:00"/>
    <n v="299.61666666666667"/>
    <n v="48.95"/>
    <x v="1"/>
    <d v="2024-12-26T08:20:00"/>
    <d v="2024-12-26T14:39:00"/>
    <n v="371.1"/>
    <x v="0"/>
    <d v="2024-12-27T11:37:00"/>
    <d v="2024-12-27T12:26:00"/>
    <n v="47.966666666666669"/>
    <x v="0"/>
    <n v="1.8965277777751908"/>
    <x v="8"/>
    <n v="0.89652777777519077"/>
    <n v="45.516666666604578"/>
    <n v="12"/>
    <n v="33.516666666604578"/>
    <n v="4.5827946295460338"/>
    <x v="0"/>
  </r>
  <r>
    <x v="3"/>
    <x v="0"/>
    <d v="2024-12-25T00:00:00"/>
    <s v="OM02L3ZS"/>
    <x v="0"/>
    <s v="UBE 690K"/>
    <s v="MUKOSE MUZAMIRU"/>
    <s v="Kobusinge Steven-FPortal"/>
    <n v="156"/>
    <s v="Z81815"/>
    <x v="11"/>
    <x v="0"/>
    <x v="0"/>
    <x v="0"/>
    <x v="11"/>
    <x v="11"/>
    <n v="386"/>
    <n v="-4"/>
    <x v="0"/>
    <d v="2024-12-25T07:58:00"/>
    <d v="2024-12-25T07:30:00"/>
    <d v="2024-12-25T08:45:00"/>
    <n v="73.433333333333337"/>
    <n v="46.016666666666666"/>
    <x v="1"/>
    <d v="2024-12-26T10:15:00"/>
    <d v="2024-12-26T14:59:00"/>
    <n v="278.08333333333331"/>
    <x v="0"/>
    <d v="2024-12-27T13:22:12"/>
    <d v="2024-12-27T14:10:12"/>
    <n v="46.983333333333334"/>
    <x v="0"/>
    <n v="2.1924999999973807"/>
    <x v="0"/>
    <n v="0.19249999999738066"/>
    <n v="52.619999999937136"/>
    <n v="24"/>
    <n v="28.619999999937136"/>
    <n v="5.4507337526325177"/>
    <x v="0"/>
  </r>
  <r>
    <x v="3"/>
    <x v="0"/>
    <d v="2024-12-25T00:00:00"/>
    <s v="OM02L3YM"/>
    <x v="0"/>
    <s v="UBP 311H"/>
    <m/>
    <s v="Kabaco U Ltd"/>
    <n v="151.68"/>
    <s v="Z81809"/>
    <x v="6"/>
    <x v="0"/>
    <x v="0"/>
    <x v="0"/>
    <x v="6"/>
    <x v="6"/>
    <n v="321"/>
    <n v="1"/>
    <x v="0"/>
    <d v="2024-12-25T07:58:00"/>
    <d v="2024-12-25T07:30:00"/>
    <d v="2024-12-25T08:42:00"/>
    <n v="70.483333333333334"/>
    <n v="43.06666666666667"/>
    <x v="1"/>
    <d v="2024-12-25T14:42:00"/>
    <d v="2024-12-25T17:48:00"/>
    <n v="182.11666666666667"/>
    <x v="0"/>
    <d v="2024-12-26T10:07:12"/>
    <d v="2024-12-26T11:07:12"/>
    <n v="58.733333333333334"/>
    <x v="0"/>
    <n v="1.0591666666659876"/>
    <x v="3"/>
    <n v="-0.44083333333401242"/>
    <n v="25.419999999983702"/>
    <n v="12"/>
    <n v="13.419999999983702"/>
    <n v="11.302533532055456"/>
    <x v="0"/>
  </r>
  <r>
    <x v="3"/>
    <x v="0"/>
    <d v="2024-12-25T00:00:00"/>
    <s v="OM02L3YR"/>
    <x v="0"/>
    <s v="UBP 311H"/>
    <m/>
    <s v="KATO INVESTMENTS LTD-KATIKARA"/>
    <n v="156"/>
    <s v="A19494"/>
    <x v="5"/>
    <x v="0"/>
    <x v="0"/>
    <x v="0"/>
    <x v="5"/>
    <x v="5"/>
    <n v="842"/>
    <n v="12"/>
    <x v="0"/>
    <d v="2024-12-25T07:58:00"/>
    <d v="2024-12-25T07:30:00"/>
    <d v="2024-12-25T08:38:00"/>
    <n v="66.583333333333329"/>
    <n v="39.166666666666664"/>
    <x v="1"/>
    <d v="2024-12-26T09:53:00"/>
    <d v="2024-12-26T13:14:00"/>
    <n v="196.8"/>
    <x v="0"/>
    <d v="2024-12-27T18:02:00"/>
    <d v="2024-12-27T18:38:00"/>
    <n v="35.25"/>
    <x v="0"/>
    <n v="2.3916666666627862"/>
    <x v="0"/>
    <n v="0.39166666666278616"/>
    <n v="57.399999999906868"/>
    <n v="24"/>
    <n v="33.399999999906868"/>
    <n v="4.6706586826477539"/>
    <x v="0"/>
  </r>
  <r>
    <x v="3"/>
    <x v="0"/>
    <d v="2024-12-25T00:00:00"/>
    <s v="OM02L3ZP"/>
    <x v="0"/>
    <s v="UBE 690K"/>
    <s v="MUKOSE MUZAMIRU"/>
    <s v="Kobusinge Steven-FPortal"/>
    <n v="156"/>
    <s v="Z81814"/>
    <x v="11"/>
    <x v="0"/>
    <x v="0"/>
    <x v="0"/>
    <x v="11"/>
    <x v="11"/>
    <n v="397"/>
    <n v="7"/>
    <x v="0"/>
    <d v="2024-12-25T07:58:00"/>
    <d v="2024-12-25T07:30:00"/>
    <d v="2024-12-25T08:38:00"/>
    <n v="66.583333333333329"/>
    <n v="39.166666666666664"/>
    <x v="1"/>
    <d v="2024-12-26T10:08:00"/>
    <d v="2024-12-26T15:41:00"/>
    <n v="326.05"/>
    <x v="0"/>
    <d v="2024-12-27T09:30:34"/>
    <d v="2024-12-27T10:22:34"/>
    <n v="50.916666666666664"/>
    <x v="0"/>
    <n v="2.0365000000019791"/>
    <x v="0"/>
    <n v="3.650000000197906E-2"/>
    <n v="48.876000000047497"/>
    <n v="24"/>
    <n v="24.876000000047497"/>
    <n v="6.2711046791969025"/>
    <x v="0"/>
  </r>
  <r>
    <x v="3"/>
    <x v="1"/>
    <d v="2024-12-25T16:34:11"/>
    <s v="OMREOOORR"/>
    <x v="0"/>
    <s v="UAR 731Q"/>
    <s v="Godwin Niwensiima"/>
    <s v="Kabaco U Ltd-Mbarara"/>
    <n v="153.60000000000002"/>
    <s v="Z81812"/>
    <x v="8"/>
    <x v="1"/>
    <x v="0"/>
    <x v="1"/>
    <x v="8"/>
    <x v="8"/>
    <n v="12"/>
    <n v="1"/>
    <x v="0"/>
    <d v="2024-12-26T05:02:11"/>
    <d v="2024-12-26T04:34:11"/>
    <d v="2024-12-26T05:51:11"/>
    <n v="75.38333333333334"/>
    <n v="47.966666666666669"/>
    <x v="1"/>
    <d v="2024-12-26T06:18:11"/>
    <d v="2024-12-26T12:01:11"/>
    <n v="335.85"/>
    <x v="0"/>
    <d v="2024-12-26T12:33:11"/>
    <d v="2024-12-26T13:17:11"/>
    <n v="43.06666666666667"/>
    <x v="0"/>
    <n v="0.27916666666715173"/>
    <x v="5"/>
    <n v="-0.52083333333284831"/>
    <n v="6.7000000000116415"/>
    <n v="0"/>
    <n v="6.7000000000116415"/>
    <n v="22.925373134288527"/>
    <x v="0"/>
  </r>
  <r>
    <x v="3"/>
    <x v="1"/>
    <d v="2024-12-25T23:02:45"/>
    <s v="OM4TDY5RR"/>
    <x v="1"/>
    <s v="UBE 287X"/>
    <s v="Isaac Tumuhimbise"/>
    <s v="KATO INVESTMENTS LTD- KALISIZO"/>
    <n v="151.44"/>
    <s v="F15521"/>
    <x v="4"/>
    <x v="1"/>
    <x v="0"/>
    <x v="1"/>
    <x v="4"/>
    <x v="4"/>
    <n v="350"/>
    <n v="0"/>
    <x v="0"/>
    <d v="2024-12-26T09:18:00"/>
    <d v="2024-12-26T09:31:00"/>
    <d v="2024-12-26T10:13:00"/>
    <n v="41.116666666666667"/>
    <n v="53.85"/>
    <x v="0"/>
    <d v="2024-12-26T16:20:00"/>
    <d v="2024-12-27T09:38:00"/>
    <n v="1016.3666666666667"/>
    <x v="0"/>
    <d v="2024-12-27T15:51:00"/>
    <d v="2024-12-27T16:30:00"/>
    <n v="38.18333333333333"/>
    <x v="0"/>
    <n v="1.234722222223354"/>
    <x v="2"/>
    <n v="-0.46527777777664592"/>
    <n v="29.633333333360497"/>
    <n v="16"/>
    <n v="13.633333333360497"/>
    <n v="11.10806845963557"/>
    <x v="0"/>
  </r>
  <r>
    <x v="3"/>
    <x v="0"/>
    <d v="2024-12-25T23:06:20"/>
    <s v="OMTO7HHRR"/>
    <x v="1"/>
    <s v="UBK 882R"/>
    <s v="NASASIRA STEPHENE"/>
    <s v="Kato Investment Ltd -Mityana"/>
    <n v="187.20000000000002"/>
    <s v="A19497"/>
    <x v="16"/>
    <x v="0"/>
    <x v="0"/>
    <x v="0"/>
    <x v="16"/>
    <x v="16"/>
    <n v="796"/>
    <n v="106"/>
    <x v="1"/>
    <d v="2024-12-26T09:48:00"/>
    <d v="2024-12-26T19:35:00"/>
    <d v="2024-12-26T10:37:00"/>
    <n v="-526.79999999999995"/>
    <n v="47.966666666666669"/>
    <x v="1"/>
    <d v="2024-12-27T09:27:00"/>
    <d v="2024-12-27T15:39:00"/>
    <n v="364.23333333333335"/>
    <x v="0"/>
    <d v="2024-12-28T18:50:00"/>
    <d v="2024-12-28T19:37:00"/>
    <n v="46.016666666666666"/>
    <x v="0"/>
    <n v="2.3423611111065838"/>
    <x v="0"/>
    <n v="0.34236111110658385"/>
    <n v="56.216666666558012"/>
    <n v="24"/>
    <n v="32.216666666558012"/>
    <n v="5.8106570098488781"/>
    <x v="0"/>
  </r>
  <r>
    <x v="3"/>
    <x v="0"/>
    <d v="2024-12-26T00:00:00"/>
    <s v="OM02L42S"/>
    <x v="0"/>
    <s v="UBE 684K"/>
    <m/>
    <s v="Boniface Harera"/>
    <n v="156"/>
    <s v="F15527"/>
    <x v="10"/>
    <x v="0"/>
    <x v="0"/>
    <x v="0"/>
    <x v="10"/>
    <x v="10"/>
    <n v="465"/>
    <n v="-5"/>
    <x v="0"/>
    <d v="2024-12-26T08:11:00"/>
    <d v="2024-12-26T07:30:00"/>
    <d v="2024-12-26T08:38:00"/>
    <n v="66.583333333333329"/>
    <n v="26.433333333333334"/>
    <x v="1"/>
    <d v="2024-12-27T08:38:00"/>
    <d v="2024-12-27T14:13:00"/>
    <n v="328.01666666666665"/>
    <x v="0"/>
    <d v="2024-12-28T13:01:00"/>
    <d v="2024-12-28T13:41:00"/>
    <n v="39.166666666666664"/>
    <x v="0"/>
    <n v="2.1826388888875954"/>
    <x v="1"/>
    <n v="-0.31736111111240461"/>
    <n v="52.383333333302289"/>
    <n v="24"/>
    <n v="28.383333333302289"/>
    <n v="5.4961832061128817"/>
    <x v="0"/>
  </r>
  <r>
    <x v="3"/>
    <x v="0"/>
    <d v="2024-12-26T00:00:00"/>
    <s v="OM02L46N"/>
    <x v="0"/>
    <s v="UBK 866R"/>
    <m/>
    <s v="Kato Investments Ltd- Kyegegwa"/>
    <n v="151.68"/>
    <s v="A19515"/>
    <x v="18"/>
    <x v="0"/>
    <x v="0"/>
    <x v="0"/>
    <x v="18"/>
    <x v="18"/>
    <n v="546"/>
    <n v="-19"/>
    <x v="0"/>
    <d v="2024-12-26T07:58:00"/>
    <d v="2024-12-26T07:30:00"/>
    <d v="2024-12-26T08:42:00"/>
    <n v="70.483333333333334"/>
    <n v="43.06666666666667"/>
    <x v="1"/>
    <d v="2024-12-27T10:12:00"/>
    <d v="2024-12-27T15:12:00"/>
    <n v="293.75"/>
    <x v="0"/>
    <d v="2024-12-28T10:42:43"/>
    <d v="2024-12-28T11:43:43"/>
    <n v="59.716666666666669"/>
    <x v="0"/>
    <n v="2.0838333333376795"/>
    <x v="0"/>
    <n v="8.3833333337679505E-2"/>
    <n v="50.012000000104308"/>
    <n v="24"/>
    <n v="26.012000000104308"/>
    <n v="5.8311548515835678"/>
    <x v="0"/>
  </r>
  <r>
    <x v="3"/>
    <x v="0"/>
    <d v="2024-12-26T00:00:00"/>
    <s v="OM02L457"/>
    <x v="0"/>
    <s v="UBK 866R"/>
    <m/>
    <s v="Kato Investment Ltd -Kagadi"/>
    <n v="156"/>
    <s v="A19511"/>
    <x v="12"/>
    <x v="0"/>
    <x v="0"/>
    <x v="0"/>
    <x v="12"/>
    <x v="12"/>
    <n v="612"/>
    <n v="0"/>
    <x v="0"/>
    <d v="2024-12-26T07:51:00"/>
    <d v="2024-12-26T07:30:00"/>
    <d v="2024-12-26T08:46:00"/>
    <n v="74.400000000000006"/>
    <n v="53.85"/>
    <x v="8"/>
    <d v="2024-12-27T10:16:00"/>
    <d v="2024-12-27T15:35:00"/>
    <n v="312.35000000000002"/>
    <x v="0"/>
    <d v="2024-12-28T12:10:31"/>
    <d v="2024-12-28T13:07:31"/>
    <n v="55.8"/>
    <x v="0"/>
    <n v="2.142027777779731"/>
    <x v="6"/>
    <n v="-0.15797222222026885"/>
    <n v="51.408666666713543"/>
    <n v="32"/>
    <n v="19.408666666713543"/>
    <n v="8.0376464122362812"/>
    <x v="0"/>
  </r>
  <r>
    <x v="3"/>
    <x v="0"/>
    <d v="2024-12-26T00:00:00"/>
    <s v="OM02L42Q"/>
    <x v="0"/>
    <s v="UBE 684K"/>
    <m/>
    <s v="Boniface Harera"/>
    <n v="153.84"/>
    <s v="F15526"/>
    <x v="10"/>
    <x v="0"/>
    <x v="0"/>
    <x v="0"/>
    <x v="10"/>
    <x v="10"/>
    <n v="484"/>
    <n v="14"/>
    <x v="0"/>
    <d v="2024-12-26T07:46:00"/>
    <d v="2024-12-26T07:30:00"/>
    <d v="2024-12-26T08:38:00"/>
    <n v="66.583333333333329"/>
    <n v="50.916666666666664"/>
    <x v="6"/>
    <d v="2024-12-27T10:08:00"/>
    <d v="2024-12-27T15:13:00"/>
    <n v="298.63333333333333"/>
    <x v="0"/>
    <d v="2024-12-28T14:01:00"/>
    <d v="2024-12-28T14:56:00"/>
    <n v="53.85"/>
    <x v="0"/>
    <n v="2.2243055555518367"/>
    <x v="1"/>
    <n v="-0.27569444444816327"/>
    <n v="53.383333333244082"/>
    <n v="32"/>
    <n v="21.383333333244082"/>
    <n v="7.1943881527969813"/>
    <x v="0"/>
  </r>
  <r>
    <x v="3"/>
    <x v="0"/>
    <d v="2024-12-26T00:00:00"/>
    <s v="OM02L458"/>
    <x v="0"/>
    <s v="UBK 866R"/>
    <m/>
    <s v="Kato Investment Ltd -Mityana"/>
    <n v="157.94999999999999"/>
    <s v="A19512"/>
    <x v="16"/>
    <x v="0"/>
    <x v="0"/>
    <x v="0"/>
    <x v="16"/>
    <x v="16"/>
    <m/>
    <n v="-690"/>
    <x v="0"/>
    <d v="2024-12-26T07:58:00"/>
    <d v="2024-12-26T07:30:00"/>
    <d v="2024-12-26T08:58:00"/>
    <n v="86.15"/>
    <n v="58.733333333333334"/>
    <x v="9"/>
    <d v="2024-12-27T10:58:00"/>
    <d v="2024-12-27T15:48:00"/>
    <n v="283.95"/>
    <x v="0"/>
    <d v="2024-12-28T13:13:55"/>
    <d v="2024-12-28T14:04:55"/>
    <n v="49.93333333333333"/>
    <x v="0"/>
    <n v="2.1777222222226555"/>
    <x v="0"/>
    <n v="0.17772222222265555"/>
    <n v="52.265333333343733"/>
    <n v="32"/>
    <n v="20.265333333343733"/>
    <n v="7.7940982959365224"/>
    <x v="0"/>
  </r>
  <r>
    <x v="3"/>
    <x v="1"/>
    <d v="2024-12-26T13:27:49"/>
    <s v="OMQ7DG8RR"/>
    <x v="0"/>
    <s v="UAR 731Q"/>
    <s v="Godwin Niwensiima"/>
    <s v="Agaba Services"/>
    <n v="153.60000000000002"/>
    <s v="F15528"/>
    <x v="20"/>
    <x v="1"/>
    <x v="0"/>
    <x v="1"/>
    <x v="20"/>
    <x v="20"/>
    <n v="296"/>
    <n v="-6"/>
    <x v="0"/>
    <d v="2024-12-27T01:55:49"/>
    <d v="2024-12-27T01:27:49"/>
    <d v="2024-12-27T02:35:49"/>
    <n v="66.583333333333329"/>
    <n v="39.166666666666664"/>
    <x v="1"/>
    <d v="2024-12-27T08:35:49"/>
    <d v="2024-12-27T11:37:49"/>
    <n v="178.2"/>
    <x v="0"/>
    <d v="2024-12-27T17:24:49"/>
    <d v="2024-12-27T18:21:49"/>
    <n v="55.8"/>
    <x v="0"/>
    <n v="0.61736111110803904"/>
    <x v="8"/>
    <n v="-0.38263888889196096"/>
    <n v="14.816666666592937"/>
    <n v="0"/>
    <n v="14.816666666592937"/>
    <n v="10.36670416203134"/>
    <x v="0"/>
  </r>
  <r>
    <x v="3"/>
    <x v="0"/>
    <d v="2024-12-26T13:31:40"/>
    <s v="OMPO407RR"/>
    <x v="0"/>
    <s v="UBJ 705D"/>
    <s v="KASULE JOHNBOSC"/>
    <s v="Kato Investments Ltd- Kyegegwa"/>
    <n v="156"/>
    <s v="A19506"/>
    <x v="18"/>
    <x v="0"/>
    <x v="0"/>
    <x v="0"/>
    <x v="18"/>
    <x v="18"/>
    <n v="572"/>
    <n v="7"/>
    <x v="0"/>
    <d v="2024-12-27T01:59:40"/>
    <d v="2024-12-27T01:31:40"/>
    <d v="2024-12-27T02:48:40"/>
    <n v="75.38333333333334"/>
    <n v="47.966666666666669"/>
    <x v="1"/>
    <d v="2024-12-28T07:08:40"/>
    <d v="2024-12-28T10:28:40"/>
    <n v="195.83333333333334"/>
    <x v="0"/>
    <d v="2024-12-28T16:58:40"/>
    <d v="2024-12-28T17:58:40"/>
    <n v="58.733333333333334"/>
    <x v="0"/>
    <n v="1.5902777777810115"/>
    <x v="0"/>
    <n v="-0.40972222221898846"/>
    <n v="38.166666666744277"/>
    <n v="12"/>
    <n v="26.166666666744277"/>
    <n v="5.9617834394727636"/>
    <x v="0"/>
  </r>
  <r>
    <x v="3"/>
    <x v="1"/>
    <d v="2024-12-26T13:40:49"/>
    <s v="OMZ3UQVRR"/>
    <x v="1"/>
    <s v="UAY 265V"/>
    <s v="Luyaga Isaac"/>
    <s v="KATO INVESTMENTS LTD- KALISIZO"/>
    <n v="153.60000000000002"/>
    <s v="F15529"/>
    <x v="4"/>
    <x v="1"/>
    <x v="0"/>
    <x v="1"/>
    <x v="4"/>
    <x v="4"/>
    <n v="346"/>
    <n v="-4"/>
    <x v="0"/>
    <d v="2024-12-26T13:19:00"/>
    <d v="2024-12-27T03:43:00"/>
    <d v="2024-12-26T14:03:00"/>
    <n v="-802.93333333333328"/>
    <n v="43.06666666666667"/>
    <x v="1"/>
    <d v="2024-12-26T19:05:00"/>
    <d v="2024-12-27T14:08:00"/>
    <n v="1119.1833333333334"/>
    <x v="0"/>
    <d v="2024-12-28T07:50:00"/>
    <d v="2024-12-28T08:51:00"/>
    <n v="59.716666666666669"/>
    <x v="0"/>
    <n v="1.7409722222218988"/>
    <x v="2"/>
    <n v="4.0972222221898891E-2"/>
    <n v="41.783333333325572"/>
    <n v="12"/>
    <n v="29.783333333325572"/>
    <n v="5.1572467823180768"/>
    <x v="0"/>
  </r>
  <r>
    <x v="3"/>
    <x v="0"/>
    <d v="2024-12-26T13:42:03"/>
    <s v="OM5T6E8RR"/>
    <x v="0"/>
    <s v="UBJ 417C"/>
    <m/>
    <s v="Kato Investments Ltd- Kyegegwa"/>
    <n v="156"/>
    <s v="A19508"/>
    <x v="18"/>
    <x v="0"/>
    <x v="0"/>
    <x v="0"/>
    <x v="18"/>
    <x v="18"/>
    <n v="565"/>
    <n v="0"/>
    <x v="0"/>
    <d v="2024-12-27T02:10:03"/>
    <d v="2024-12-27T01:42:03"/>
    <d v="2024-12-27T02:57:03"/>
    <n v="73.433333333333337"/>
    <n v="46.016666666666666"/>
    <x v="1"/>
    <d v="2024-12-28T08:17:03"/>
    <d v="2024-12-28T13:17:03"/>
    <n v="293.75"/>
    <x v="0"/>
    <d v="2024-12-28T20:07:03"/>
    <d v="2024-12-28T20:52:03"/>
    <n v="44.05"/>
    <x v="0"/>
    <n v="1.7152777777810115"/>
    <x v="0"/>
    <n v="-0.28472222221898846"/>
    <n v="41.166666666744277"/>
    <n v="12"/>
    <n v="29.166666666744277"/>
    <n v="5.3485714285571966"/>
    <x v="0"/>
  </r>
  <r>
    <x v="3"/>
    <x v="1"/>
    <d v="2024-12-26T20:06:38"/>
    <s v="OMT7G7RRR"/>
    <x v="1"/>
    <s v="UBJ 375N"/>
    <s v="Stephen Musoke "/>
    <s v="Sawan Distributors Ltd-Kayabwe"/>
    <n v="153.60000000000002"/>
    <s v="A19510"/>
    <x v="9"/>
    <x v="1"/>
    <x v="0"/>
    <x v="1"/>
    <x v="9"/>
    <x v="9"/>
    <n v="394"/>
    <n v="-6"/>
    <x v="0"/>
    <d v="2024-12-27T08:08:00"/>
    <d v="2024-12-27T04:19:00"/>
    <d v="2024-12-27T08:52:00"/>
    <n v="267.3"/>
    <n v="43.06666666666667"/>
    <x v="1"/>
    <d v="2024-12-27T14:11:00"/>
    <d v="2024-12-27T18:25:00"/>
    <n v="248.7"/>
    <x v="0"/>
    <d v="2024-12-28T10:59:00"/>
    <d v="2024-12-28T11:30:00"/>
    <n v="30.35"/>
    <x v="0"/>
    <n v="1.0881944444481633"/>
    <x v="0"/>
    <n v="-0.91180555555183673"/>
    <n v="26.116666666755918"/>
    <n v="12"/>
    <n v="14.116666666755918"/>
    <n v="10.880755607959545"/>
    <x v="0"/>
  </r>
  <r>
    <x v="3"/>
    <x v="1"/>
    <d v="2024-12-26T20:39:28"/>
    <s v="OMJCF7ORR"/>
    <x v="0"/>
    <s v="UBE 419T"/>
    <s v="Kilabila Ismail"/>
    <s v="Agaba Services"/>
    <n v="153.60000000000002"/>
    <s v="F15531"/>
    <x v="20"/>
    <x v="1"/>
    <x v="0"/>
    <x v="1"/>
    <x v="20"/>
    <x v="20"/>
    <n v="294"/>
    <n v="-8"/>
    <x v="0"/>
    <d v="2024-12-27T09:07:28"/>
    <d v="2024-12-27T08:39:28"/>
    <d v="2024-12-27T09:47:28"/>
    <n v="66.583333333333329"/>
    <n v="39.166666666666664"/>
    <x v="1"/>
    <d v="2024-12-27T15:47:28"/>
    <d v="2024-12-27T19:58:28"/>
    <n v="245.76666666666668"/>
    <x v="0"/>
    <d v="2024-12-28T10:51:16"/>
    <d v="2024-12-28T11:35:16"/>
    <n v="43.06666666666667"/>
    <x v="0"/>
    <n v="1.0443055555588217"/>
    <x v="8"/>
    <n v="4.4305555558821652E-2"/>
    <n v="25.06333333341172"/>
    <n v="12"/>
    <n v="13.06333333341172"/>
    <n v="11.758101556448969"/>
    <x v="0"/>
  </r>
  <r>
    <x v="3"/>
    <x v="1"/>
    <d v="2024-12-26T21:03:12"/>
    <s v="OMGGRNMRR"/>
    <x v="1"/>
    <s v="UBJ 707D"/>
    <s v="Konge Husein"/>
    <s v="Kato Investments Ltd-Bulenga"/>
    <n v="149.28000000000003"/>
    <s v="A19513"/>
    <x v="2"/>
    <x v="1"/>
    <x v="0"/>
    <x v="1"/>
    <x v="2"/>
    <x v="2"/>
    <n v="689"/>
    <n v="129"/>
    <x v="5"/>
    <d v="2024-12-27T06:41:00"/>
    <d v="2024-12-27T20:13:00"/>
    <d v="2024-12-27T07:36:00"/>
    <n v="-741.23333333333335"/>
    <n v="53.85"/>
    <x v="2"/>
    <d v="2024-12-27T18:47:00"/>
    <d v="2024-12-28T13:21:00"/>
    <n v="1090.7833333333333"/>
    <x v="0"/>
    <d v="2024-12-29T16:04:00"/>
    <d v="2024-12-29T16:43:00"/>
    <n v="38.18333333333333"/>
    <x v="0"/>
    <n v="2.3527777777781012"/>
    <x v="0"/>
    <n v="0.35277777777810115"/>
    <n v="56.466666666674428"/>
    <n v="32"/>
    <n v="24.466666666674428"/>
    <n v="6.101362397818229"/>
    <x v="0"/>
  </r>
  <r>
    <x v="3"/>
    <x v="0"/>
    <d v="2024-12-26T22:47:41"/>
    <s v="OMDZQ5QRR"/>
    <x v="0"/>
    <s v="UBM 648D"/>
    <m/>
    <s v="Boniface Harera"/>
    <n v="156"/>
    <s v="F15534"/>
    <x v="10"/>
    <x v="0"/>
    <x v="0"/>
    <x v="0"/>
    <x v="10"/>
    <x v="10"/>
    <n v="465"/>
    <n v="-5"/>
    <x v="0"/>
    <d v="2024-12-27T11:28:41"/>
    <d v="2024-12-27T10:47:41"/>
    <d v="2024-12-27T11:55:41"/>
    <n v="66.583333333333329"/>
    <n v="26.433333333333334"/>
    <x v="1"/>
    <d v="2024-12-28T11:55:41"/>
    <d v="2024-12-28T17:10:41"/>
    <n v="308.43333333333334"/>
    <x v="0"/>
    <d v="2024-12-29T15:58:41"/>
    <d v="2024-12-29T16:34:41"/>
    <n v="35.25"/>
    <x v="0"/>
    <n v="2.1687499999970896"/>
    <x v="1"/>
    <n v="-0.33125000000291038"/>
    <n v="52.049999999930151"/>
    <n v="24"/>
    <n v="28.049999999930151"/>
    <n v="5.5614973262170579"/>
    <x v="0"/>
  </r>
  <r>
    <x v="3"/>
    <x v="0"/>
    <d v="2024-12-26T23:31:52"/>
    <s v="OMWG1R1RR"/>
    <x v="0"/>
    <s v="UBP 298H"/>
    <s v="SENTONG DAVID"/>
    <s v="Kabaco U Ltd"/>
    <n v="151.68"/>
    <s v="Z81838"/>
    <x v="6"/>
    <x v="0"/>
    <x v="0"/>
    <x v="0"/>
    <x v="6"/>
    <x v="6"/>
    <n v="120"/>
    <n v="-200"/>
    <x v="0"/>
    <d v="2024-12-27T06:37:00"/>
    <d v="2024-12-27T09:00:00"/>
    <d v="2024-12-27T07:21:00"/>
    <n v="-96.95"/>
    <n v="43.06666666666667"/>
    <x v="1"/>
    <d v="2024-12-27T16:20:00"/>
    <d v="2024-12-28T15:00:00"/>
    <n v="1331.6666666666667"/>
    <x v="0"/>
    <d v="2024-12-29T10:10:00"/>
    <d v="2024-12-29T11:02:00"/>
    <n v="50.916666666666664"/>
    <x v="0"/>
    <n v="2.117361111108039"/>
    <x v="3"/>
    <n v="0.61736111110803904"/>
    <n v="50.816666666592937"/>
    <n v="24"/>
    <n v="26.816666666592937"/>
    <n v="5.6561839652113255"/>
    <x v="0"/>
  </r>
  <r>
    <x v="3"/>
    <x v="0"/>
    <d v="2024-12-26T23:43:51"/>
    <s v="OMO6CKJRR"/>
    <x v="0"/>
    <s v="UBJ 420C"/>
    <s v="ZIWA ABASI"/>
    <s v="Kato Investment Ltd -Mubende"/>
    <n v="156"/>
    <s v="A19518"/>
    <x v="1"/>
    <x v="0"/>
    <x v="0"/>
    <x v="0"/>
    <x v="1"/>
    <x v="1"/>
    <n v="686"/>
    <n v="6"/>
    <x v="0"/>
    <d v="2024-12-27T12:11:51"/>
    <d v="2024-12-27T11:43:51"/>
    <d v="2024-12-27T13:15:51"/>
    <n v="90.066666666666663"/>
    <n v="62.65"/>
    <x v="6"/>
    <d v="2024-12-28T21:32:51"/>
    <d v="2024-12-29T16:59:15"/>
    <n v="1142.0833333333333"/>
    <x v="0"/>
    <d v="2024-12-30T17:16:32"/>
    <d v="2024-12-30T18:11:32"/>
    <n v="53.85"/>
    <x v="0"/>
    <n v="3.1671388888862566"/>
    <x v="1"/>
    <n v="0.66713888888625661"/>
    <n v="76.011333333270159"/>
    <n v="48"/>
    <n v="28.011333333270159"/>
    <n v="5.569174381810404"/>
    <x v="13"/>
  </r>
  <r>
    <x v="3"/>
    <x v="1"/>
    <d v="2024-12-27T00:00:00"/>
    <s v="OM02L4D7"/>
    <x v="0"/>
    <s v="UAV 051U"/>
    <s v="Angello Lumala"/>
    <s v="Kabaco U Ltd-Mbarara"/>
    <n v="153.60000000000002"/>
    <s v="Z81846"/>
    <x v="8"/>
    <x v="1"/>
    <x v="0"/>
    <x v="1"/>
    <x v="8"/>
    <x v="8"/>
    <n v="12"/>
    <n v="1"/>
    <x v="0"/>
    <d v="2024-12-27T07:58:00"/>
    <d v="2024-12-27T07:30:00"/>
    <d v="2024-12-27T08:58:00"/>
    <n v="86.15"/>
    <n v="58.733333333333334"/>
    <x v="5"/>
    <d v="2024-12-27T09:34:00"/>
    <d v="2024-12-27T12:51:00"/>
    <n v="192.88333333333333"/>
    <x v="0"/>
    <d v="2024-12-27T13:23:00"/>
    <d v="2024-12-27T14:15:00"/>
    <n v="50.916666666666664"/>
    <x v="0"/>
    <n v="0.18402777778101154"/>
    <x v="5"/>
    <n v="-0.61597222221898851"/>
    <n v="4.4166666667442769"/>
    <n v="0"/>
    <n v="4.4166666667442769"/>
    <n v="34.777358489954928"/>
    <x v="0"/>
  </r>
  <r>
    <x v="3"/>
    <x v="0"/>
    <d v="2024-12-27T00:00:00"/>
    <s v="OM02L4JU"/>
    <x v="0"/>
    <s v="UBJ 705D"/>
    <s v="KASULE JOHNBOSC"/>
    <s v="Bates Enterprises U Ltd"/>
    <n v="156"/>
    <s v="Z81885"/>
    <x v="7"/>
    <x v="0"/>
    <x v="0"/>
    <x v="0"/>
    <x v="7"/>
    <x v="7"/>
    <n v="576"/>
    <n v="-30"/>
    <x v="0"/>
    <d v="2024-12-27T07:58:00"/>
    <d v="2024-12-27T07:30:00"/>
    <d v="2024-12-27T08:38:00"/>
    <n v="66.583333333333329"/>
    <n v="39.166666666666664"/>
    <x v="1"/>
    <d v="2024-12-29T08:38:00"/>
    <d v="2024-12-29T13:38:00"/>
    <n v="293.75"/>
    <x v="0"/>
    <d v="2024-12-30T16:02:00"/>
    <d v="2024-12-30T16:50:00"/>
    <n v="46.983333333333334"/>
    <x v="0"/>
    <n v="3.3083333333343035"/>
    <x v="4"/>
    <n v="0.30833333333430346"/>
    <n v="79.400000000023283"/>
    <n v="36"/>
    <n v="43.400000000023283"/>
    <n v="3.5944700460810211"/>
    <x v="0"/>
  </r>
  <r>
    <x v="3"/>
    <x v="0"/>
    <d v="2024-12-27T00:00:00"/>
    <s v="OM02L4CD"/>
    <x v="0"/>
    <s v="UBE 673K"/>
    <s v="Bulega Sperito"/>
    <s v="Rugoma Traders-Rukungiri"/>
    <n v="156"/>
    <s v="Z81842"/>
    <x v="17"/>
    <x v="0"/>
    <x v="0"/>
    <x v="0"/>
    <x v="17"/>
    <x v="17"/>
    <n v="252"/>
    <n v="-4"/>
    <x v="0"/>
    <d v="2024-12-27T07:58:00"/>
    <d v="2024-12-27T07:30:00"/>
    <d v="2024-12-27T08:47:00"/>
    <n v="75.38333333333334"/>
    <n v="47.966666666666669"/>
    <x v="1"/>
    <d v="2024-12-27T15:47:00"/>
    <d v="2024-12-27T20:20:36"/>
    <n v="267.89999999999998"/>
    <x v="0"/>
    <d v="2024-12-28T09:20:36"/>
    <d v="2024-12-28T09:50:36"/>
    <n v="29.366666666666667"/>
    <x v="0"/>
    <n v="1.023333333330811"/>
    <x v="8"/>
    <n v="2.3333333330811001E-2"/>
    <n v="24.559999999939464"/>
    <n v="12"/>
    <n v="12.559999999939464"/>
    <n v="12.420382165664959"/>
    <x v="0"/>
  </r>
  <r>
    <x v="3"/>
    <x v="0"/>
    <d v="2024-12-27T00:00:00"/>
    <s v="OM02L4GD"/>
    <x v="0"/>
    <s v="UBE 690K"/>
    <s v="MUKOSE MUZAMIRU"/>
    <s v="Sawan Distributors Ltd-Kayabwe"/>
    <n v="156"/>
    <s v="A19569"/>
    <x v="9"/>
    <x v="0"/>
    <x v="0"/>
    <x v="0"/>
    <x v="9"/>
    <x v="9"/>
    <n v="397"/>
    <n v="-3"/>
    <x v="0"/>
    <d v="2024-12-27T07:40:00"/>
    <d v="2024-12-27T07:30:00"/>
    <d v="2024-12-27T08:38:00"/>
    <n v="66.583333333333329"/>
    <n v="56.783333333333331"/>
    <x v="6"/>
    <d v="2024-12-28T10:38:00"/>
    <d v="2024-12-28T15:07:00"/>
    <n v="263.38333333333333"/>
    <x v="0"/>
    <d v="2024-12-29T10:19:00"/>
    <d v="2024-12-29T11:16:00"/>
    <n v="55.8"/>
    <x v="0"/>
    <n v="2.070138888891961"/>
    <x v="0"/>
    <n v="7.013888889196096E-2"/>
    <n v="49.683333333407063"/>
    <n v="32"/>
    <n v="17.683333333407063"/>
    <n v="8.8218661639594469"/>
    <x v="0"/>
  </r>
  <r>
    <x v="3"/>
    <x v="0"/>
    <d v="2024-12-27T00:00:00"/>
    <s v="OM02L4GK"/>
    <x v="0"/>
    <s v="UBE 684K"/>
    <m/>
    <s v="Bates Enterprises U Ltd"/>
    <n v="156"/>
    <s v="Z81876"/>
    <x v="7"/>
    <x v="0"/>
    <x v="0"/>
    <x v="0"/>
    <x v="7"/>
    <x v="7"/>
    <n v="580"/>
    <n v="-26"/>
    <x v="0"/>
    <d v="2024-12-27T07:58:00"/>
    <d v="2024-12-27T07:30:00"/>
    <d v="2024-12-27T09:02:00"/>
    <n v="90.066666666666663"/>
    <n v="62.65"/>
    <x v="6"/>
    <d v="2024-12-29T09:02:00"/>
    <d v="2024-12-29T14:32:00"/>
    <n v="323.11666666666667"/>
    <x v="0"/>
    <d v="2024-12-30T16:56:00"/>
    <d v="2024-12-30T17:57:00"/>
    <n v="59.716666666666669"/>
    <x v="0"/>
    <n v="3.3291666666627862"/>
    <x v="4"/>
    <n v="0.32916666666278616"/>
    <n v="79.899999999906868"/>
    <n v="48"/>
    <n v="31.899999999906868"/>
    <n v="4.8902821316757192"/>
    <x v="0"/>
  </r>
  <r>
    <x v="3"/>
    <x v="0"/>
    <d v="2024-12-27T00:00:00"/>
    <s v="OM02L4JT"/>
    <x v="0"/>
    <s v="UBP 311H"/>
    <m/>
    <s v="Kato Investment Ltd -Mubende"/>
    <n v="156"/>
    <s v="A19583"/>
    <x v="1"/>
    <x v="0"/>
    <x v="0"/>
    <x v="0"/>
    <x v="1"/>
    <x v="1"/>
    <n v="665"/>
    <n v="-15"/>
    <x v="0"/>
    <d v="2024-12-27T07:58:00"/>
    <d v="2024-12-27T07:30:00"/>
    <d v="2024-12-27T08:42:00"/>
    <n v="70.483333333333334"/>
    <n v="43.06666666666667"/>
    <x v="1"/>
    <d v="2024-12-28T10:59:00"/>
    <d v="2024-12-28T17:04:00"/>
    <n v="357.38333333333333"/>
    <x v="0"/>
    <d v="2024-12-29T19:56:48"/>
    <d v="2024-12-29T20:47:48"/>
    <n v="49.93333333333333"/>
    <x v="0"/>
    <n v="2.468611111107748"/>
    <x v="1"/>
    <n v="-3.1388888892251998E-2"/>
    <n v="59.246666666585952"/>
    <n v="24"/>
    <n v="35.246666666585952"/>
    <n v="4.4259504444966113"/>
    <x v="0"/>
  </r>
  <r>
    <x v="3"/>
    <x v="1"/>
    <d v="2024-12-27T00:00:00"/>
    <s v="OM02L4DJ"/>
    <x v="0"/>
    <s v="UBE 287X"/>
    <s v="Isaac Tumuhimbise"/>
    <s v="KATO INVESTMENTS LIMITED-MASAK"/>
    <n v="149.28000000000003"/>
    <s v="F15538"/>
    <x v="14"/>
    <x v="1"/>
    <x v="0"/>
    <x v="1"/>
    <x v="14"/>
    <x v="14"/>
    <n v="415"/>
    <n v="75"/>
    <x v="0"/>
    <d v="2024-12-27T07:42:00"/>
    <d v="2024-12-27T07:30:00"/>
    <d v="2024-12-27T08:38:00"/>
    <n v="66.583333333333329"/>
    <n v="54.833333333333336"/>
    <x v="7"/>
    <d v="2024-12-27T11:51:00"/>
    <d v="2024-12-27T16:59:00"/>
    <n v="301.56666666666666"/>
    <x v="0"/>
    <d v="2024-12-28T07:23:00"/>
    <d v="2024-12-28T08:23:00"/>
    <n v="58.733333333333334"/>
    <x v="0"/>
    <n v="0.94791666666424135"/>
    <x v="8"/>
    <n v="-5.2083333335758653E-2"/>
    <n v="22.749999999941792"/>
    <n v="0"/>
    <n v="22.749999999941792"/>
    <n v="6.5617582417750322"/>
    <x v="0"/>
  </r>
  <r>
    <x v="3"/>
    <x v="0"/>
    <d v="2024-12-27T00:00:00"/>
    <s v="OM02L4CG"/>
    <x v="0"/>
    <s v="UBJ 419C"/>
    <m/>
    <s v="Sawan Distributors Ltd-Nabingo"/>
    <n v="156"/>
    <s v="A19521"/>
    <x v="21"/>
    <x v="0"/>
    <x v="0"/>
    <x v="0"/>
    <x v="21"/>
    <x v="2"/>
    <n v="567"/>
    <n v="7"/>
    <x v="0"/>
    <d v="2024-12-27T07:58:00"/>
    <d v="2024-12-27T07:30:00"/>
    <d v="2024-12-27T08:38:00"/>
    <n v="66.583333333333329"/>
    <n v="39.166666666666664"/>
    <x v="1"/>
    <d v="2024-12-27T20:38:00"/>
    <d v="2024-12-28T15:06:48"/>
    <n v="1085.6833333333334"/>
    <x v="0"/>
    <d v="2024-12-29T17:30:48"/>
    <d v="2024-12-29T18:19:48"/>
    <n v="47.966666666666669"/>
    <x v="0"/>
    <n v="2.3699999999953434"/>
    <x v="0"/>
    <n v="0.36999999999534339"/>
    <n v="56.879999999888241"/>
    <n v="24"/>
    <n v="32.879999999888241"/>
    <n v="4.7445255474613823"/>
    <x v="0"/>
  </r>
  <r>
    <x v="3"/>
    <x v="1"/>
    <d v="2024-12-27T19:04:05"/>
    <s v="OMET8LRRR"/>
    <x v="0"/>
    <s v="UAV 051U"/>
    <s v="Angello Lumala"/>
    <s v="Kabaco U Ltd"/>
    <n v="153.60000000000002"/>
    <s v="Z81879"/>
    <x v="6"/>
    <x v="1"/>
    <x v="0"/>
    <x v="1"/>
    <x v="6"/>
    <x v="6"/>
    <n v="321"/>
    <n v="1"/>
    <x v="0"/>
    <d v="2024-12-28T07:32:05"/>
    <d v="2024-12-28T07:04:05"/>
    <d v="2024-12-28T08:19:05"/>
    <n v="73.433333333333337"/>
    <n v="46.016666666666666"/>
    <x v="1"/>
    <d v="2024-12-28T14:19:05"/>
    <d v="2024-12-28T19:15:05"/>
    <n v="289.83333333333331"/>
    <x v="0"/>
    <d v="2024-12-29T11:34:17"/>
    <d v="2024-12-29T12:31:17"/>
    <n v="55.8"/>
    <x v="0"/>
    <n v="1.1355555555564933"/>
    <x v="3"/>
    <n v="-0.36444444444350665"/>
    <n v="27.25333333335584"/>
    <n v="12"/>
    <n v="15.25333333335584"/>
    <n v="10.069930069915213"/>
    <x v="0"/>
  </r>
  <r>
    <x v="3"/>
    <x v="1"/>
    <d v="2024-12-27T22:16:54"/>
    <s v="OMYPLNWRR"/>
    <x v="1"/>
    <s v="UBJ 415C"/>
    <s v="Abel Mark naffa"/>
    <s v="Rugoma Traders-Kanungu/Kihihi"/>
    <n v="153.60000000000002"/>
    <s v="F15561"/>
    <x v="23"/>
    <x v="1"/>
    <x v="0"/>
    <x v="1"/>
    <x v="23"/>
    <x v="14"/>
    <n v="281"/>
    <n v="-59"/>
    <x v="0"/>
    <d v="2024-12-29T09:29:00"/>
    <d v="2024-12-29T01:59:00"/>
    <d v="2024-12-29T10:13:00"/>
    <n v="483.7"/>
    <n v="43.06666666666667"/>
    <x v="1"/>
    <d v="2024-12-30T09:15:00"/>
    <d v="2024-12-30T15:53:00"/>
    <n v="389.7"/>
    <x v="0"/>
    <d v="2024-12-31T09:30:00"/>
    <d v="2024-12-31T10:30:00"/>
    <n v="58.733333333333334"/>
    <x v="0"/>
    <n v="1.9701388888934162"/>
    <x v="3"/>
    <n v="0.47013888889341615"/>
    <n v="47.283333333441988"/>
    <n v="12"/>
    <n v="35.283333333441988"/>
    <n v="4.3533301842095513"/>
    <x v="0"/>
  </r>
  <r>
    <x v="3"/>
    <x v="0"/>
    <d v="2024-12-28T00:00:00"/>
    <s v="OM02L4LP"/>
    <x v="0"/>
    <s v="UBE 681K"/>
    <s v="KYAPA AKIMU"/>
    <s v="Rugoma Traders-Rukungiri"/>
    <n v="156"/>
    <s v="Z81887"/>
    <x v="17"/>
    <x v="0"/>
    <x v="0"/>
    <x v="0"/>
    <x v="17"/>
    <x v="17"/>
    <n v="252"/>
    <n v="-4"/>
    <x v="0"/>
    <d v="2024-12-28T07:58:00"/>
    <d v="2024-12-28T07:30:00"/>
    <d v="2024-12-28T08:38:00"/>
    <n v="66.583333333333329"/>
    <n v="39.166666666666664"/>
    <x v="1"/>
    <d v="2024-12-28T15:38:00"/>
    <d v="2024-12-28T18:02:00"/>
    <n v="140.98333333333332"/>
    <x v="0"/>
    <d v="2024-12-28T21:02:00"/>
    <d v="2024-12-28T21:42:00"/>
    <n v="39.166666666666664"/>
    <x v="0"/>
    <n v="0.51666666666278616"/>
    <x v="8"/>
    <n v="-0.48333333333721384"/>
    <n v="12.399999999906868"/>
    <n v="0"/>
    <n v="12.399999999906868"/>
    <n v="12.580645161384812"/>
    <x v="0"/>
  </r>
  <r>
    <x v="3"/>
    <x v="0"/>
    <d v="2024-12-28T00:00:00"/>
    <s v="OM02L4PG"/>
    <x v="0"/>
    <s v="UBE 684K"/>
    <m/>
    <s v="KATO INVESTMENTS LTD-KATIKARA"/>
    <n v="156"/>
    <s v="A19598"/>
    <x v="5"/>
    <x v="0"/>
    <x v="0"/>
    <x v="0"/>
    <x v="5"/>
    <x v="5"/>
    <n v="842"/>
    <n v="12"/>
    <x v="0"/>
    <d v="2024-12-28T07:58:00"/>
    <d v="2024-12-28T07:30:00"/>
    <d v="2024-12-28T08:58:00"/>
    <n v="86.15"/>
    <n v="58.733333333333334"/>
    <x v="4"/>
    <d v="2024-12-29T10:13:00"/>
    <d v="2024-12-29T15:12:00"/>
    <n v="292.76666666666665"/>
    <x v="0"/>
    <d v="2024-12-30T20:00:00"/>
    <d v="2024-12-30T20:54:00"/>
    <n v="52.866666666666667"/>
    <x v="0"/>
    <n v="2.4597222222218988"/>
    <x v="0"/>
    <n v="0.45972222222189885"/>
    <n v="59.033333333325572"/>
    <n v="32"/>
    <n v="27.033333333325572"/>
    <n v="5.7706535141816815"/>
    <x v="0"/>
  </r>
  <r>
    <x v="3"/>
    <x v="0"/>
    <d v="2024-12-28T00:00:00"/>
    <s v="OM02L4QC"/>
    <x v="0"/>
    <s v="UBB 115P"/>
    <s v="Kakembo Masuud"/>
    <s v="Kobusinge Steven-FPortal"/>
    <n v="147.36000000000001"/>
    <s v="Z81899"/>
    <x v="11"/>
    <x v="0"/>
    <x v="0"/>
    <x v="0"/>
    <x v="11"/>
    <x v="11"/>
    <n v="397"/>
    <n v="7"/>
    <x v="0"/>
    <d v="2024-12-28T07:58:00"/>
    <d v="2024-12-28T07:30:00"/>
    <d v="2024-12-28T08:47:00"/>
    <n v="75.38333333333334"/>
    <n v="47.966666666666669"/>
    <x v="1"/>
    <d v="2024-12-29T10:17:00"/>
    <d v="2024-12-30T11:43:24"/>
    <n v="1494.5833333333333"/>
    <x v="0"/>
    <d v="2024-12-30T12:02:07"/>
    <d v="2024-12-30T12:40:07"/>
    <n v="37.200000000000003"/>
    <x v="0"/>
    <n v="2.1354999999966822"/>
    <x v="0"/>
    <n v="0.13549999999668216"/>
    <n v="51.251999999920372"/>
    <n v="24"/>
    <n v="27.251999999920372"/>
    <n v="5.4073095552777994"/>
    <x v="0"/>
  </r>
  <r>
    <x v="3"/>
    <x v="0"/>
    <d v="2024-12-28T00:00:00"/>
    <s v="OM02L4LY"/>
    <x v="0"/>
    <s v="UBJ 417C"/>
    <m/>
    <s v="Boniface Harera"/>
    <n v="153.84"/>
    <s v="F15562"/>
    <x v="10"/>
    <x v="0"/>
    <x v="0"/>
    <x v="0"/>
    <x v="10"/>
    <x v="10"/>
    <n v="465"/>
    <n v="-5"/>
    <x v="0"/>
    <d v="2024-12-28T07:58:00"/>
    <d v="2024-12-28T07:30:00"/>
    <d v="2024-12-28T08:42:00"/>
    <n v="70.483333333333334"/>
    <n v="43.06666666666667"/>
    <x v="1"/>
    <d v="2024-12-29T10:42:00"/>
    <d v="2024-12-29T16:27:00"/>
    <n v="337.8"/>
    <x v="0"/>
    <d v="2024-12-30T15:15:00"/>
    <d v="2024-12-30T16:10:00"/>
    <n v="53.85"/>
    <x v="0"/>
    <n v="2.2729166666686069"/>
    <x v="1"/>
    <n v="-0.22708333333139308"/>
    <n v="54.550000000046566"/>
    <n v="24"/>
    <n v="30.550000000046566"/>
    <n v="5.0356792143949427"/>
    <x v="0"/>
  </r>
  <r>
    <x v="3"/>
    <x v="0"/>
    <d v="2024-12-28T00:00:00"/>
    <s v="OM02L4LW"/>
    <x v="0"/>
    <s v="UBE 684K"/>
    <m/>
    <s v="Kato Investment Ltd -Kagadi"/>
    <n v="149.52000000000001"/>
    <s v="A19585"/>
    <x v="12"/>
    <x v="0"/>
    <x v="0"/>
    <x v="0"/>
    <x v="12"/>
    <x v="12"/>
    <n v="603"/>
    <n v="-9"/>
    <x v="0"/>
    <d v="2024-12-28T08:15:00"/>
    <d v="2024-12-28T07:30:00"/>
    <d v="2024-12-28T08:46:00"/>
    <n v="74.400000000000006"/>
    <n v="30.35"/>
    <x v="1"/>
    <d v="2024-12-29T12:16:00"/>
    <d v="2024-12-29T16:53:00"/>
    <n v="271.21666666666664"/>
    <x v="0"/>
    <d v="2024-12-30T13:28:31"/>
    <d v="2024-12-30T14:13:31"/>
    <n v="44.05"/>
    <x v="0"/>
    <n v="2.1961944444483379"/>
    <x v="6"/>
    <n v="-0.10380555555166193"/>
    <n v="52.708666666760109"/>
    <n v="24"/>
    <n v="28.708666666760109"/>
    <n v="5.2081833592473821"/>
    <x v="0"/>
  </r>
  <r>
    <x v="3"/>
    <x v="0"/>
    <d v="2024-12-28T00:00:00"/>
    <s v="OM02L4QY"/>
    <x v="0"/>
    <s v="UBP 311H"/>
    <m/>
    <s v="Kabaco U Ltd"/>
    <n v="156"/>
    <s v="Z81905"/>
    <x v="6"/>
    <x v="0"/>
    <x v="0"/>
    <x v="0"/>
    <x v="6"/>
    <x v="6"/>
    <n v="120"/>
    <n v="-200"/>
    <x v="0"/>
    <d v="2024-12-28T07:58:00"/>
    <d v="2024-12-28T07:30:00"/>
    <d v="2024-12-28T08:38:00"/>
    <n v="66.583333333333329"/>
    <n v="39.166666666666664"/>
    <x v="1"/>
    <d v="2024-12-28T14:38:00"/>
    <d v="2024-12-28T17:44:00"/>
    <n v="182.11666666666667"/>
    <x v="0"/>
    <d v="2024-12-29T10:03:12"/>
    <d v="2024-12-29T11:00:12"/>
    <n v="55.8"/>
    <x v="0"/>
    <n v="1.0591666666659876"/>
    <x v="3"/>
    <n v="-0.44083333333401242"/>
    <n v="25.419999999983702"/>
    <n v="12"/>
    <n v="13.419999999983702"/>
    <n v="11.624441132651972"/>
    <x v="0"/>
  </r>
  <r>
    <x v="3"/>
    <x v="0"/>
    <d v="2024-12-28T00:00:00"/>
    <s v="OM02L4M0"/>
    <x v="0"/>
    <s v="UBE 673K"/>
    <s v="Bulega Sperito"/>
    <s v="Kato Investments Ltd- Kyegegwa"/>
    <n v="153.84"/>
    <s v="A19586"/>
    <x v="18"/>
    <x v="0"/>
    <x v="0"/>
    <x v="0"/>
    <x v="18"/>
    <x v="18"/>
    <n v="565"/>
    <n v="0"/>
    <x v="0"/>
    <d v="2024-12-28T07:58:00"/>
    <d v="2024-12-28T07:30:00"/>
    <d v="2024-12-28T08:42:00"/>
    <n v="70.483333333333334"/>
    <n v="43.06666666666667"/>
    <x v="1"/>
    <d v="2024-12-29T10:12:00"/>
    <d v="2024-12-29T15:12:00"/>
    <n v="293.75"/>
    <x v="0"/>
    <d v="2024-12-30T09:30:43"/>
    <d v="2024-12-30T10:18:43"/>
    <n v="46.983333333333334"/>
    <x v="0"/>
    <n v="2.0338333333347691"/>
    <x v="0"/>
    <n v="3.3833333334769122E-2"/>
    <n v="48.812000000034459"/>
    <n v="24"/>
    <n v="24.812000000034459"/>
    <n v="6.200225697234659"/>
    <x v="0"/>
  </r>
  <r>
    <x v="3"/>
    <x v="0"/>
    <d v="2024-12-28T13:20:02"/>
    <s v="OMBMPB8RR"/>
    <x v="1"/>
    <s v="UBK 862R"/>
    <s v="SULAIMAN MUBIRU"/>
    <s v="Boniface Harera"/>
    <n v="151.68"/>
    <s v="F15563"/>
    <x v="10"/>
    <x v="0"/>
    <x v="0"/>
    <x v="0"/>
    <x v="10"/>
    <x v="10"/>
    <n v="476"/>
    <n v="6"/>
    <x v="0"/>
    <d v="2024-12-28T12:48:00"/>
    <d v="2024-12-29T01:30:00"/>
    <d v="2024-12-28T13:32:00"/>
    <n v="-703.05"/>
    <n v="43.06666666666667"/>
    <x v="1"/>
    <d v="2024-12-29T10:16:00"/>
    <d v="2024-12-29T14:33:00"/>
    <n v="251.63333333333333"/>
    <x v="0"/>
    <d v="2024-12-30T07:19:00"/>
    <d v="2024-12-30T08:19:00"/>
    <n v="58.75"/>
    <x v="0"/>
    <n v="1.7409722222218988"/>
    <x v="1"/>
    <n v="-0.75902777777810115"/>
    <n v="41.783333333325572"/>
    <n v="12"/>
    <n v="29.783333333325572"/>
    <n v="5.0927811975391002"/>
    <x v="0"/>
  </r>
  <r>
    <x v="3"/>
    <x v="1"/>
    <d v="2024-12-28T13:23:00"/>
    <s v="OM9J04YRR"/>
    <x v="0"/>
    <s v="UAR 731Q"/>
    <s v="Godwin Niwensiima"/>
    <s v="KATO INVESTMENTS LIMITED-MASAK"/>
    <n v="147.12"/>
    <s v="F15565"/>
    <x v="14"/>
    <x v="1"/>
    <x v="0"/>
    <x v="1"/>
    <x v="14"/>
    <x v="14"/>
    <n v="328"/>
    <n v="-12"/>
    <x v="0"/>
    <d v="2024-12-29T01:51:00"/>
    <d v="2024-12-29T01:23:00"/>
    <d v="2024-12-29T02:55:00"/>
    <n v="90.066666666666663"/>
    <n v="62.65"/>
    <x v="6"/>
    <d v="2024-12-29T06:08:00"/>
    <d v="2024-12-29T11:20:00"/>
    <n v="305.5"/>
    <x v="0"/>
    <d v="2024-12-30T01:44:00"/>
    <d v="2024-12-30T02:20:00"/>
    <n v="35.25"/>
    <x v="0"/>
    <n v="0.95069444444379769"/>
    <x v="8"/>
    <n v="-4.9305555556202307E-2"/>
    <n v="22.816666666651145"/>
    <n v="0"/>
    <n v="22.816666666651145"/>
    <n v="6.4479181884631158"/>
    <x v="0"/>
  </r>
  <r>
    <x v="3"/>
    <x v="1"/>
    <d v="2024-12-28T13:26:51"/>
    <s v="OMR9MKZRR"/>
    <x v="1"/>
    <s v="UAV 203T"/>
    <s v="Mugisha  George"/>
    <s v="Kato Investments Ltd-Bulenga"/>
    <n v="149.28000000000003"/>
    <s v="A19587"/>
    <x v="2"/>
    <x v="1"/>
    <x v="0"/>
    <x v="1"/>
    <x v="2"/>
    <x v="2"/>
    <n v="556"/>
    <n v="-4"/>
    <x v="0"/>
    <d v="2024-12-28T18:52:00"/>
    <d v="2024-12-28T20:13:00"/>
    <d v="2024-12-28T19:36:00"/>
    <n v="-36.233333333333334"/>
    <n v="43.06666666666667"/>
    <x v="1"/>
    <d v="2024-12-29T10:11:00"/>
    <d v="2024-12-29T17:00:00"/>
    <n v="400.46666666666664"/>
    <x v="0"/>
    <d v="2024-12-30T12:54:00"/>
    <d v="2024-12-30T13:54:00"/>
    <n v="58.75"/>
    <x v="0"/>
    <n v="1.7208333333328483"/>
    <x v="0"/>
    <n v="-0.27916666666715173"/>
    <n v="41.299999999988358"/>
    <n v="12"/>
    <n v="29.299999999988358"/>
    <n v="5.0948805460771105"/>
    <x v="0"/>
  </r>
  <r>
    <x v="3"/>
    <x v="1"/>
    <d v="2024-12-28T18:45:55"/>
    <s v="OMYKP29RR"/>
    <x v="1"/>
    <s v="UAY 526V"/>
    <s v="Benon Ssempijja"/>
    <s v="Rugoma Traders-Kanungu/Kihihi"/>
    <n v="153.60000000000002"/>
    <s v="F15566"/>
    <x v="23"/>
    <x v="1"/>
    <x v="0"/>
    <x v="1"/>
    <x v="23"/>
    <x v="14"/>
    <n v="335"/>
    <n v="-5"/>
    <x v="0"/>
    <d v="2024-12-29T08:54:00"/>
    <d v="2024-12-29T01:59:00"/>
    <d v="2024-12-29T09:49:00"/>
    <n v="460.2"/>
    <n v="53.85"/>
    <x v="0"/>
    <d v="2024-12-29T15:20:00"/>
    <d v="2024-12-30T12:24:00"/>
    <n v="1237.6666666666667"/>
    <x v="0"/>
    <d v="2024-12-30T17:23:00"/>
    <d v="2024-12-30T18:23:00"/>
    <n v="58.733333333333334"/>
    <x v="0"/>
    <n v="1.3152777777795563"/>
    <x v="3"/>
    <n v="-0.18472222222044365"/>
    <n v="31.566666666709352"/>
    <n v="16"/>
    <n v="15.566666666709352"/>
    <n v="9.8672376873391112"/>
    <x v="0"/>
  </r>
  <r>
    <x v="3"/>
    <x v="1"/>
    <d v="2024-12-28T18:58:41"/>
    <s v="OMPR86PRR"/>
    <x v="1"/>
    <s v="UAY 265V"/>
    <s v="Luyaga Isaac"/>
    <s v="KATO INVESTMENTS LIMITED-MASAK"/>
    <n v="153.60000000000002"/>
    <s v="F15567"/>
    <x v="14"/>
    <x v="1"/>
    <x v="0"/>
    <x v="1"/>
    <x v="14"/>
    <x v="14"/>
    <n v="296"/>
    <n v="-44"/>
    <x v="0"/>
    <d v="2024-12-29T07:52:00"/>
    <d v="2024-12-29T04:14:00"/>
    <d v="2024-12-29T08:36:00"/>
    <n v="256.53333333333336"/>
    <n v="43.06666666666667"/>
    <x v="1"/>
    <d v="2024-12-29T13:19:00"/>
    <d v="2024-12-29T17:37:00"/>
    <n v="252.61666666666667"/>
    <x v="0"/>
    <d v="2024-12-31T17:37:00"/>
    <d v="2024-12-31T18:37:00"/>
    <n v="58.733333333333334"/>
    <x v="0"/>
    <n v="2.3756944444467081"/>
    <x v="8"/>
    <n v="1.3756944444467081"/>
    <n v="57.016666666720994"/>
    <n v="24"/>
    <n v="33.016666666720994"/>
    <n v="4.6521958606687717"/>
    <x v="0"/>
  </r>
  <r>
    <x v="3"/>
    <x v="1"/>
    <d v="2024-12-28T19:01:23"/>
    <s v="OMP0QOIRR"/>
    <x v="1"/>
    <s v="UBE 287X"/>
    <s v="Isaac Tumuhimbise"/>
    <s v="KATO INVESTMENTS LIMITED-MASAK"/>
    <n v="153.60000000000002"/>
    <s v="F15568"/>
    <x v="14"/>
    <x v="1"/>
    <x v="0"/>
    <x v="1"/>
    <x v="14"/>
    <x v="14"/>
    <n v="399"/>
    <n v="59"/>
    <x v="6"/>
    <d v="2024-12-29T11:10:00"/>
    <d v="2024-12-29T04:14:00"/>
    <d v="2024-12-29T11:57:00"/>
    <n v="453.35"/>
    <n v="46.016666666666666"/>
    <x v="1"/>
    <d v="2024-12-30T08:17:00"/>
    <d v="2024-12-30T11:25:00"/>
    <n v="184.08333333333334"/>
    <x v="0"/>
    <d v="2024-12-30T16:38:00"/>
    <d v="2024-12-30T17:38:00"/>
    <n v="58.733333333333334"/>
    <x v="0"/>
    <n v="1.195138888891961"/>
    <x v="8"/>
    <n v="0.19513888889196096"/>
    <n v="28.683333333407063"/>
    <n v="12"/>
    <n v="16.683333333407063"/>
    <n v="9.2067932067525202"/>
    <x v="0"/>
  </r>
  <r>
    <x v="3"/>
    <x v="0"/>
    <d v="2024-12-28T19:02:33"/>
    <s v="OMZTEF6RR"/>
    <x v="1"/>
    <s v="UBK 882R"/>
    <s v="NASASIRA STEPHENE"/>
    <s v="Kato Investment Ltd -Mityana"/>
    <n v="187.20000000000002"/>
    <s v="A19595"/>
    <x v="16"/>
    <x v="0"/>
    <x v="0"/>
    <x v="0"/>
    <x v="16"/>
    <x v="16"/>
    <n v="656"/>
    <n v="-34"/>
    <x v="0"/>
    <d v="2024-12-28T20:31:00"/>
    <d v="2024-12-28T21:00:00"/>
    <d v="2024-12-28T21:05:00"/>
    <n v="4.8833333333333337"/>
    <n v="33.283333333333331"/>
    <x v="1"/>
    <d v="2024-12-30T17:10:00"/>
    <d v="2024-12-30T18:14:00"/>
    <n v="62.65"/>
    <x v="0"/>
    <d v="2024-12-31T08:04:00"/>
    <d v="2024-12-31T09:04:00"/>
    <n v="58.75"/>
    <x v="0"/>
    <n v="2.4576388888890506"/>
    <x v="0"/>
    <n v="0.45763888888905058"/>
    <n v="58.983333333337214"/>
    <n v="24"/>
    <n v="34.983333333337214"/>
    <n v="5.3511195807521466"/>
    <x v="0"/>
  </r>
  <r>
    <x v="3"/>
    <x v="0"/>
    <d v="2024-12-28T20:31:27"/>
    <s v="OM3VEJMRR"/>
    <x v="1"/>
    <s v="UBE 680K"/>
    <s v="BYEKWASO TWAHA"/>
    <s v="Sawan Distributors Ltd-Kayabwe"/>
    <n v="156"/>
    <s v="A19601"/>
    <x v="9"/>
    <x v="0"/>
    <x v="0"/>
    <x v="0"/>
    <x v="9"/>
    <x v="9"/>
    <n v="384"/>
    <n v="-16"/>
    <x v="0"/>
    <d v="2024-12-28T20:13:00"/>
    <d v="2024-12-29T04:19:00"/>
    <d v="2024-12-28T20:57:00"/>
    <n v="-432.8"/>
    <n v="43.06666666666667"/>
    <x v="1"/>
    <d v="2024-12-30T08:51:00"/>
    <d v="2024-12-30T11:38:00"/>
    <n v="163.51666666666668"/>
    <x v="0"/>
    <d v="2024-12-30T16:54:00"/>
    <d v="2024-12-30T17:54:00"/>
    <n v="58.733333333333334"/>
    <x v="0"/>
    <n v="1.8312500000029104"/>
    <x v="0"/>
    <n v="-0.16874999999708962"/>
    <n v="43.950000000069849"/>
    <n v="12"/>
    <n v="31.950000000069849"/>
    <n v="4.8826291079705459"/>
    <x v="0"/>
  </r>
  <r>
    <x v="3"/>
    <x v="1"/>
    <d v="2024-12-28T22:02:35"/>
    <s v="OMU5EO5RR"/>
    <x v="0"/>
    <s v="UAT 351G"/>
    <s v="Hamudi Sesanga"/>
    <s v="Kabaco U Ltd"/>
    <n v="153.60000000000002"/>
    <s v="Z81901"/>
    <x v="6"/>
    <x v="1"/>
    <x v="0"/>
    <x v="1"/>
    <x v="6"/>
    <x v="6"/>
    <n v="321"/>
    <n v="1"/>
    <x v="0"/>
    <d v="2024-12-29T10:30:35"/>
    <d v="2024-12-29T10:02:35"/>
    <d v="2024-12-29T11:10:35"/>
    <n v="66.583333333333329"/>
    <n v="39.166666666666664"/>
    <x v="1"/>
    <d v="2024-12-29T17:10:35"/>
    <d v="2024-12-29T21:57:35"/>
    <n v="281.01666666666665"/>
    <x v="0"/>
    <d v="2024-12-30T14:16:47"/>
    <d v="2024-12-30T15:16:47"/>
    <n v="58.733333333333334"/>
    <x v="0"/>
    <n v="1.1293055555579485"/>
    <x v="3"/>
    <n v="-0.37069444444205146"/>
    <n v="27.103333333390765"/>
    <n v="12"/>
    <n v="15.103333333390765"/>
    <n v="10.169940410466737"/>
    <x v="0"/>
  </r>
  <r>
    <x v="3"/>
    <x v="0"/>
    <d v="2024-12-29T00:00:00"/>
    <s v="OM02L525"/>
    <x v="0"/>
    <s v="UBP 311H"/>
    <m/>
    <s v="Boniface Harera"/>
    <n v="156"/>
    <s v="F15573"/>
    <x v="10"/>
    <x v="0"/>
    <x v="0"/>
    <x v="0"/>
    <x v="10"/>
    <x v="10"/>
    <n v="484"/>
    <n v="14"/>
    <x v="0"/>
    <d v="2024-12-29T07:58:00"/>
    <d v="2024-12-29T07:30:00"/>
    <d v="2024-12-29T08:47:00"/>
    <n v="75.38333333333334"/>
    <n v="47.966666666666669"/>
    <x v="1"/>
    <d v="2024-12-30T10:17:00"/>
    <d v="2024-12-30T15:32:00"/>
    <n v="308.43333333333334"/>
    <x v="0"/>
    <d v="2024-12-31T14:20:00"/>
    <d v="2024-12-31T15:08:00"/>
    <n v="46.983333333333334"/>
    <x v="0"/>
    <n v="2.2312499999970896"/>
    <x v="1"/>
    <n v="-0.26875000000291038"/>
    <n v="53.549999999930151"/>
    <n v="24"/>
    <n v="29.549999999930151"/>
    <n v="5.279187817271362"/>
    <x v="0"/>
  </r>
  <r>
    <x v="3"/>
    <x v="0"/>
    <d v="2024-12-29T11:15:56"/>
    <s v="OMHRSWYRR"/>
    <x v="1"/>
    <s v="UBP 298H"/>
    <s v="SENTONG DAVID"/>
    <s v="Rugoma Traders-Rukungiri"/>
    <n v="156"/>
    <s v="Z81908"/>
    <x v="17"/>
    <x v="0"/>
    <x v="0"/>
    <x v="0"/>
    <x v="17"/>
    <x v="17"/>
    <n v="265"/>
    <n v="9"/>
    <x v="0"/>
    <d v="2024-12-29T12:19:00"/>
    <d v="2024-12-30T04:04:00"/>
    <d v="2024-12-29T13:03:00"/>
    <n v="-882.23333333333335"/>
    <n v="43.06666666666667"/>
    <x v="1"/>
    <d v="2024-12-29T20:53:00"/>
    <d v="2024-12-30T12:45:00"/>
    <n v="932.16666666666663"/>
    <x v="0"/>
    <d v="2024-12-30T17:04:00"/>
    <d v="2024-12-30T18:04:00"/>
    <n v="58.75"/>
    <x v="0"/>
    <n v="1.1673611111109494"/>
    <x v="8"/>
    <n v="0.16736111111094942"/>
    <n v="28.016666666662786"/>
    <n v="12"/>
    <n v="16.016666666662786"/>
    <n v="9.7398543184206741"/>
    <x v="0"/>
  </r>
  <r>
    <x v="3"/>
    <x v="0"/>
    <d v="2024-12-29T13:12:22"/>
    <s v="OMMCIIERR"/>
    <x v="0"/>
    <s v="UBJ 420C"/>
    <s v="ZIWA ABASI"/>
    <s v="Boniface Harera"/>
    <n v="156"/>
    <s v="F15572"/>
    <x v="10"/>
    <x v="0"/>
    <x v="0"/>
    <x v="0"/>
    <x v="10"/>
    <x v="10"/>
    <n v="465"/>
    <n v="-5"/>
    <x v="0"/>
    <d v="2024-12-30T01:40:22"/>
    <d v="2024-12-30T01:12:22"/>
    <d v="2024-12-30T02:44:22"/>
    <n v="90.066666666666663"/>
    <n v="62.65"/>
    <x v="6"/>
    <d v="2025-01-01T14:44:22"/>
    <d v="2025-01-01T19:49:22"/>
    <n v="298.63333333333333"/>
    <x v="0"/>
    <d v="2025-01-02T18:37:22"/>
    <d v="2025-01-02T19:21:22"/>
    <n v="43.06666666666667"/>
    <x v="0"/>
    <n v="3.6618055555591127"/>
    <x v="1"/>
    <n v="1.1618055555591127"/>
    <n v="87.883333333418705"/>
    <n v="48"/>
    <n v="39.883333333418705"/>
    <n v="3.9114082741245153"/>
    <x v="7"/>
  </r>
  <r>
    <x v="3"/>
    <x v="1"/>
    <d v="2024-12-29T22:21:45"/>
    <s v="OMM5MRXRR"/>
    <x v="0"/>
    <s v="UAV 051U"/>
    <s v="Angello Lumala"/>
    <s v="Agaba Services"/>
    <n v="153.60000000000002"/>
    <s v="F15574"/>
    <x v="20"/>
    <x v="1"/>
    <x v="0"/>
    <x v="1"/>
    <x v="20"/>
    <x v="20"/>
    <n v="293"/>
    <n v="-9"/>
    <x v="0"/>
    <d v="2024-12-30T10:49:45"/>
    <d v="2024-12-30T10:21:45"/>
    <d v="2024-12-30T11:49:45"/>
    <n v="86.15"/>
    <n v="58.733333333333334"/>
    <x v="12"/>
    <d v="2024-12-30T17:49:45"/>
    <d v="2024-12-30T21:10:45"/>
    <n v="196.8"/>
    <x v="0"/>
    <d v="2024-12-31T12:03:33"/>
    <d v="2024-12-31T12:54:33"/>
    <n v="49.93333333333333"/>
    <x v="0"/>
    <n v="1.0095833333325572"/>
    <x v="8"/>
    <n v="9.5833333325572312E-3"/>
    <n v="24.229999999981374"/>
    <n v="16"/>
    <n v="8.2299999999813735"/>
    <n v="18.663426488499109"/>
    <x v="0"/>
  </r>
  <r>
    <x v="3"/>
    <x v="1"/>
    <d v="2024-12-29T22:29:11"/>
    <s v="OMZI9X7RR"/>
    <x v="1"/>
    <s v="UBJ 988D"/>
    <s v="Tumusiime Robert"/>
    <s v="Kabaco U Ltd-Mbarara"/>
    <n v="153.60000000000002"/>
    <s v="Z81913"/>
    <x v="8"/>
    <x v="1"/>
    <x v="0"/>
    <x v="1"/>
    <x v="8"/>
    <x v="8"/>
    <n v="14"/>
    <n v="3"/>
    <x v="0"/>
    <d v="2024-12-30T06:04:00"/>
    <d v="2024-12-30T09:00:00"/>
    <d v="2024-12-30T06:50:00"/>
    <n v="-127.3"/>
    <n v="45.033333333333331"/>
    <x v="1"/>
    <d v="2024-12-30T07:43:00"/>
    <d v="2024-12-30T15:54:00"/>
    <n v="480.76666666666665"/>
    <x v="0"/>
    <d v="2024-12-30T16:35:00"/>
    <d v="2024-12-30T17:25:00"/>
    <n v="48.95"/>
    <x v="0"/>
    <n v="0.40625"/>
    <x v="5"/>
    <n v="-0.39375000000000004"/>
    <n v="9.75"/>
    <n v="0"/>
    <n v="9.75"/>
    <n v="15.753846153846156"/>
    <x v="0"/>
  </r>
  <r>
    <x v="3"/>
    <x v="1"/>
    <d v="2024-12-29T22:31:12"/>
    <s v="OM7VAIZRR"/>
    <x v="1"/>
    <s v="UBE 422T"/>
    <s v="Jacob Oneka"/>
    <s v="Ntale and Sons Ltd-Kakiri"/>
    <n v="153.60000000000002"/>
    <s v="A19618"/>
    <x v="22"/>
    <x v="1"/>
    <x v="0"/>
    <x v="1"/>
    <x v="22"/>
    <x v="21"/>
    <n v="602"/>
    <n v="-18"/>
    <x v="0"/>
    <d v="2024-12-30T09:28:00"/>
    <d v="2024-12-30T09:00:00"/>
    <d v="2024-12-30T10:12:00"/>
    <n v="70.5"/>
    <n v="43.06666666666667"/>
    <x v="1"/>
    <d v="2024-12-31T07:27:00"/>
    <d v="2024-12-31T20:18:00"/>
    <n v="754.93333333333328"/>
    <x v="0"/>
    <d v="2025-01-01T14:29:00"/>
    <d v="2025-01-01T15:29:00"/>
    <n v="58.733333333333334"/>
    <x v="0"/>
    <n v="2.1784722222218988"/>
    <x v="0"/>
    <n v="0.17847222222189885"/>
    <n v="52.283333333325572"/>
    <n v="24"/>
    <n v="28.283333333325572"/>
    <n v="5.4307601649985449"/>
    <x v="0"/>
  </r>
  <r>
    <x v="3"/>
    <x v="1"/>
    <d v="2024-12-29T22:34:15"/>
    <s v="OMHG9HJRR"/>
    <x v="1"/>
    <s v="UBJ 707D"/>
    <s v="Konge Husein"/>
    <s v="Ntale and Sons"/>
    <n v="153.60000000000002"/>
    <s v="A19619"/>
    <x v="19"/>
    <x v="1"/>
    <x v="0"/>
    <x v="1"/>
    <x v="19"/>
    <x v="19"/>
    <n v="801"/>
    <n v="-9"/>
    <x v="0"/>
    <d v="2024-12-30T06:10:00"/>
    <d v="2024-12-30T16:40:00"/>
    <d v="2024-12-30T07:05:00"/>
    <n v="-563.0333333333333"/>
    <n v="53.85"/>
    <x v="2"/>
    <d v="2024-12-31T09:29:00"/>
    <d v="2024-12-31T19:05:00"/>
    <n v="564"/>
    <x v="0"/>
    <d v="2025-01-03T16:02:00"/>
    <d v="2025-01-03T16:46:00"/>
    <n v="43.06666666666667"/>
    <x v="0"/>
    <n v="4.3729166666671517"/>
    <x v="4"/>
    <n v="1.3729166666671517"/>
    <n v="104.95000000001164"/>
    <n v="64"/>
    <n v="40.950000000011642"/>
    <n v="3.7509157509146851"/>
    <x v="0"/>
  </r>
  <r>
    <x v="3"/>
    <x v="0"/>
    <d v="2024-12-30T00:00:00"/>
    <s v="OM02L5A5"/>
    <x v="0"/>
    <s v="UBE 678K"/>
    <m/>
    <s v="Kobusinge Acaali- Kyenjojo"/>
    <n v="156"/>
    <s v="Z81918"/>
    <x v="3"/>
    <x v="0"/>
    <x v="0"/>
    <x v="0"/>
    <x v="3"/>
    <x v="3"/>
    <n v="481"/>
    <n v="1"/>
    <x v="0"/>
    <d v="2024-12-30T07:20:00"/>
    <d v="2024-12-30T07:30:00"/>
    <d v="2024-12-30T08:26:00"/>
    <n v="54.833333333333336"/>
    <n v="64.61666666666666"/>
    <x v="6"/>
    <d v="2024-12-31T11:03:00"/>
    <d v="2025-01-01T16:50:02"/>
    <n v="1749.8"/>
    <x v="0"/>
    <d v="2025-01-02T19:16:47"/>
    <d v="2025-01-02T20:08:47"/>
    <n v="50.916666666666664"/>
    <x v="0"/>
    <n v="3.4519277777799289"/>
    <x v="1"/>
    <n v="0.95192777777992887"/>
    <n v="82.846266666718293"/>
    <n v="48"/>
    <n v="34.846266666718293"/>
    <n v="4.4768066976022931"/>
    <x v="9"/>
  </r>
  <r>
    <x v="3"/>
    <x v="0"/>
    <d v="2024-12-30T00:00:00"/>
    <s v="OM02L59X"/>
    <x v="0"/>
    <s v="UBP 311H"/>
    <m/>
    <s v="Kato Investments Ltd-Bulenga"/>
    <n v="156"/>
    <s v="A19621"/>
    <x v="2"/>
    <x v="0"/>
    <x v="0"/>
    <x v="0"/>
    <x v="2"/>
    <x v="2"/>
    <n v="556"/>
    <n v="-4"/>
    <x v="0"/>
    <d v="2024-12-30T07:58:00"/>
    <d v="2024-12-30T07:30:00"/>
    <d v="2024-12-30T08:42:00"/>
    <n v="70.483333333333334"/>
    <n v="43.06666666666667"/>
    <x v="1"/>
    <d v="2024-12-31T08:42:00"/>
    <d v="2024-12-31T12:03:00"/>
    <n v="196.8"/>
    <x v="0"/>
    <d v="2025-01-01T09:54:00"/>
    <d v="2025-01-01T10:49:00"/>
    <n v="53.85"/>
    <x v="0"/>
    <n v="2.0500000000029104"/>
    <x v="0"/>
    <n v="5.0000000002910383E-2"/>
    <n v="49.200000000069849"/>
    <n v="24"/>
    <n v="25.200000000069849"/>
    <n v="6.190476190459032"/>
    <x v="0"/>
  </r>
  <r>
    <x v="3"/>
    <x v="0"/>
    <d v="2024-12-30T00:00:00"/>
    <s v="OM02L5GX"/>
    <x v="0"/>
    <s v="UBP 311H"/>
    <s v="Ekwalikwa Yusuf"/>
    <s v="Boniface Harera"/>
    <n v="156"/>
    <s v="F15576"/>
    <x v="10"/>
    <x v="0"/>
    <x v="0"/>
    <x v="0"/>
    <x v="10"/>
    <x v="10"/>
    <n v="465"/>
    <n v="-5"/>
    <x v="0"/>
    <d v="2024-12-30T07:58:00"/>
    <d v="2024-12-30T07:30:00"/>
    <d v="2024-12-30T08:53:00"/>
    <n v="81.266666666666666"/>
    <n v="53.85"/>
    <x v="4"/>
    <d v="2024-12-31T10:53:00"/>
    <d v="2024-12-31T16:08:00"/>
    <n v="308.43333333333334"/>
    <x v="0"/>
    <d v="2025-01-01T14:56:00"/>
    <d v="2025-01-01T15:56:00"/>
    <n v="58.733333333333334"/>
    <x v="0"/>
    <n v="2.2520833333328483"/>
    <x v="1"/>
    <n v="-0.24791666666715173"/>
    <n v="54.049999999988358"/>
    <n v="32"/>
    <n v="22.049999999988358"/>
    <n v="7.0748299319765247"/>
    <x v="0"/>
  </r>
  <r>
    <x v="3"/>
    <x v="0"/>
    <d v="2024-12-30T00:00:00"/>
    <s v="OM02L60D"/>
    <x v="0"/>
    <s v="UBE 690K"/>
    <s v="MUKOSE MUZAMIRU"/>
    <s v="Sawan Distributors Ltd-Nabingo"/>
    <n v="156"/>
    <s v="A19658"/>
    <x v="21"/>
    <x v="0"/>
    <x v="0"/>
    <x v="0"/>
    <x v="21"/>
    <x v="2"/>
    <n v="542"/>
    <n v="-18"/>
    <x v="0"/>
    <d v="2024-12-30T07:58:00"/>
    <d v="2024-12-30T07:30:00"/>
    <d v="2024-12-30T08:38:00"/>
    <n v="66.583333333333329"/>
    <n v="39.166666666666664"/>
    <x v="1"/>
    <d v="2024-12-31T09:53:00"/>
    <d v="2024-12-31T15:40:00"/>
    <n v="339.76666666666665"/>
    <x v="0"/>
    <d v="2025-01-01T15:40:00"/>
    <d v="2025-01-01T16:34:00"/>
    <n v="52.866666666666667"/>
    <x v="0"/>
    <n v="2.2930555555576575"/>
    <x v="0"/>
    <n v="0.2930555555576575"/>
    <n v="55.03333333338378"/>
    <n v="24"/>
    <n v="31.03333333338378"/>
    <n v="5.0268528463935471"/>
    <x v="0"/>
  </r>
  <r>
    <x v="3"/>
    <x v="1"/>
    <d v="2024-12-30T11:19:10"/>
    <s v="OM8JLTHRR"/>
    <x v="1"/>
    <s v="UBJ 375N"/>
    <s v="Stephen Musoke "/>
    <s v="Kato Investments Ltd-Bulenga"/>
    <n v="153.60000000000002"/>
    <s v="A19620"/>
    <x v="2"/>
    <x v="1"/>
    <x v="0"/>
    <x v="1"/>
    <x v="2"/>
    <x v="2"/>
    <n v="608"/>
    <n v="48"/>
    <x v="3"/>
    <d v="2024-12-30T11:27:00"/>
    <d v="2024-12-30T20:13:00"/>
    <d v="2024-12-30T12:11:00"/>
    <n v="-471.96666666666664"/>
    <n v="43.06666666666667"/>
    <x v="1"/>
    <d v="2024-12-31T06:38:00"/>
    <d v="2025-01-01T08:54:00"/>
    <n v="1543.1666666666667"/>
    <x v="0"/>
    <d v="2025-01-02T10:34:00"/>
    <d v="2025-01-02T11:14:00"/>
    <n v="39.15"/>
    <x v="0"/>
    <n v="2.9326388888875954"/>
    <x v="0"/>
    <n v="0.93263888888759539"/>
    <n v="70.383333333302289"/>
    <n v="24"/>
    <n v="46.383333333302289"/>
    <n v="3.3115343154891015"/>
    <x v="13"/>
  </r>
  <r>
    <x v="3"/>
    <x v="0"/>
    <d v="2024-12-30T19:24:23"/>
    <s v="OMIHVA3RR"/>
    <x v="0"/>
    <s v="UBM 648D"/>
    <m/>
    <s v="Kobusinge Acaali- Kyenjojo"/>
    <n v="156"/>
    <s v="Z81939"/>
    <x v="3"/>
    <x v="0"/>
    <x v="0"/>
    <x v="0"/>
    <x v="3"/>
    <x v="3"/>
    <n v="474"/>
    <n v="-6"/>
    <x v="0"/>
    <d v="2024-12-31T07:52:23"/>
    <d v="2024-12-31T07:24:23"/>
    <d v="2024-12-31T08:32:23"/>
    <n v="66.583333333333329"/>
    <n v="39.166666666666664"/>
    <x v="1"/>
    <d v="2025-01-01T10:17:23"/>
    <d v="2025-01-01T13:37:23"/>
    <n v="195.83333333333334"/>
    <x v="0"/>
    <d v="2025-01-02T15:46:59"/>
    <d v="2025-01-02T16:43:59"/>
    <n v="55.8"/>
    <x v="0"/>
    <n v="2.3018055555512547"/>
    <x v="1"/>
    <n v="-0.19819444444874534"/>
    <n v="55.243333333230112"/>
    <n v="24"/>
    <n v="31.243333333230112"/>
    <n v="4.9930651872564402"/>
    <x v="0"/>
  </r>
  <r>
    <x v="3"/>
    <x v="0"/>
    <d v="2024-12-30T19:27:59"/>
    <s v="OMJB86BRR"/>
    <x v="0"/>
    <s v="UBK 858R"/>
    <m/>
    <s v="Kobusinge Steven-FPortal"/>
    <n v="156"/>
    <s v="Z81940"/>
    <x v="11"/>
    <x v="0"/>
    <x v="0"/>
    <x v="0"/>
    <x v="11"/>
    <x v="11"/>
    <n v="397"/>
    <n v="7"/>
    <x v="0"/>
    <d v="2024-12-31T07:55:59"/>
    <d v="2024-12-31T07:27:59"/>
    <d v="2024-12-31T08:55:59"/>
    <n v="86.15"/>
    <n v="58.733333333333334"/>
    <x v="9"/>
    <d v="2025-01-01T10:25:59"/>
    <d v="2025-01-01T17:18:59"/>
    <n v="404.38333333333333"/>
    <x v="0"/>
    <d v="2025-01-02T09:05:21"/>
    <d v="2025-01-02T10:06:21"/>
    <n v="59.716666666666669"/>
    <x v="0"/>
    <n v="2.0065000000031432"/>
    <x v="0"/>
    <n v="6.5000000031432137E-3"/>
    <n v="48.156000000075437"/>
    <n v="32"/>
    <n v="16.156000000075437"/>
    <n v="9.6558554097098046"/>
    <x v="0"/>
  </r>
  <r>
    <x v="3"/>
    <x v="1"/>
    <d v="2024-12-30T23:24:56"/>
    <s v="OMBEPLZRR"/>
    <x v="0"/>
    <s v="UAV 203T"/>
    <s v="Mugisha  George"/>
    <s v="Sawan Distributors Ltd-Kayabwe"/>
    <n v="153.60000000000002"/>
    <s v="A19669"/>
    <x v="9"/>
    <x v="1"/>
    <x v="0"/>
    <x v="1"/>
    <x v="9"/>
    <x v="9"/>
    <n v="402"/>
    <n v="2"/>
    <x v="0"/>
    <d v="2024-12-31T11:52:56"/>
    <d v="2024-12-31T11:24:56"/>
    <d v="2024-12-31T12:39:56"/>
    <n v="73.433333333333337"/>
    <n v="46.016666666666666"/>
    <x v="1"/>
    <d v="2025-01-01T15:39:56"/>
    <d v="2025-01-01T20:38:56"/>
    <n v="292.76666666666665"/>
    <x v="0"/>
    <d v="2025-01-02T17:02:56"/>
    <d v="2025-01-02T17:42:56"/>
    <n v="39.166666666666664"/>
    <x v="0"/>
    <n v="2.1826388888875954"/>
    <x v="0"/>
    <n v="0.18263888888759539"/>
    <n v="52.383333333302289"/>
    <n v="24"/>
    <n v="28.383333333302289"/>
    <n v="5.4116265414034537"/>
    <x v="0"/>
  </r>
  <r>
    <x v="3"/>
    <x v="1"/>
    <d v="2024-12-30T23:28:49"/>
    <s v="OMPH8YURR"/>
    <x v="0"/>
    <s v="UBE 287X"/>
    <s v="Isaac Tumuhimbise"/>
    <s v="Rugoma Traders-Kanungu/Kihihi"/>
    <n v="153.60000000000002"/>
    <s v="F15594"/>
    <x v="23"/>
    <x v="1"/>
    <x v="0"/>
    <x v="1"/>
    <x v="23"/>
    <x v="14"/>
    <n v="335"/>
    <n v="-5"/>
    <x v="0"/>
    <d v="2024-12-31T11:56:49"/>
    <d v="2024-12-31T11:28:49"/>
    <d v="2024-12-31T12:36:49"/>
    <n v="66.583333333333329"/>
    <n v="39.166666666666664"/>
    <x v="1"/>
    <d v="2025-01-01T07:11:49"/>
    <d v="2025-01-01T12:21:49"/>
    <n v="303.53333333333336"/>
    <x v="0"/>
    <d v="2025-01-01T18:56:49"/>
    <d v="2025-01-01T19:32:49"/>
    <n v="35.25"/>
    <x v="0"/>
    <n v="1.2638888888905058"/>
    <x v="3"/>
    <n v="-0.23611111110949423"/>
    <n v="30.333333333372138"/>
    <n v="12"/>
    <n v="18.333333333372138"/>
    <n v="8.3781818181640855"/>
    <x v="0"/>
  </r>
  <r>
    <x v="3"/>
    <x v="1"/>
    <d v="2024-12-30T23:30:33"/>
    <s v="OMYGT39RR"/>
    <x v="0"/>
    <s v="UAT 351G"/>
    <s v="Hamudi Sesanga"/>
    <s v="RUGOMA TRADERS CO. LTD NTUNGAM"/>
    <n v="151.94400000000002"/>
    <s v="F15595"/>
    <x v="15"/>
    <x v="1"/>
    <x v="0"/>
    <x v="1"/>
    <x v="15"/>
    <x v="15"/>
    <n v="136"/>
    <n v="6"/>
    <x v="0"/>
    <d v="2024-12-31T11:58:33"/>
    <d v="2024-12-31T11:30:33"/>
    <d v="2024-12-31T12:42:33"/>
    <n v="70.483333333333334"/>
    <n v="43.06666666666667"/>
    <x v="1"/>
    <d v="2024-12-31T15:12:33"/>
    <d v="2024-12-31T21:12:33"/>
    <n v="352.5"/>
    <x v="0"/>
    <d v="2024-12-31T23:42:33"/>
    <d v="2025-01-01T00:27:33"/>
    <n v="44.05"/>
    <x v="0"/>
    <n v="0.45833333332848269"/>
    <x v="8"/>
    <n v="-0.54166666667151731"/>
    <n v="10.999999999883585"/>
    <n v="0"/>
    <n v="10.999999999883585"/>
    <n v="13.813090909237097"/>
    <x v="0"/>
  </r>
  <r>
    <x v="3"/>
    <x v="0"/>
    <d v="2024-12-31T00:00:00"/>
    <s v="OM02L6T9"/>
    <x v="0"/>
    <s v="UBE 681K"/>
    <s v="KYAPA AKIMU"/>
    <s v="KATO INVESTMENTS LTD-KATIKARA"/>
    <n v="156"/>
    <s v="A19746"/>
    <x v="5"/>
    <x v="0"/>
    <x v="0"/>
    <x v="0"/>
    <x v="5"/>
    <x v="5"/>
    <n v="842"/>
    <n v="12"/>
    <x v="0"/>
    <d v="2024-12-31T08:11:00"/>
    <d v="2024-12-31T07:30:00"/>
    <d v="2024-12-31T08:38:00"/>
    <n v="66.583333333333329"/>
    <n v="26.433333333333334"/>
    <x v="1"/>
    <d v="2025-01-01T09:53:00"/>
    <d v="2025-01-01T14:59:00"/>
    <n v="299.61666666666667"/>
    <x v="0"/>
    <d v="2025-01-02T19:47:00"/>
    <d v="2025-01-02T20:44:00"/>
    <n v="55.8"/>
    <x v="0"/>
    <n v="2.4645833333343035"/>
    <x v="0"/>
    <n v="0.46458333333430346"/>
    <n v="59.150000000023283"/>
    <n v="24"/>
    <n v="35.150000000023283"/>
    <n v="4.4381223328562349"/>
    <x v="0"/>
  </r>
  <r>
    <x v="3"/>
    <x v="0"/>
    <d v="2024-12-31T00:00:00"/>
    <s v="OM02L6T4"/>
    <x v="0"/>
    <s v="UBB 115P"/>
    <s v="Kakembo Masuud"/>
    <s v="Kobusinge Steven-FPortal"/>
    <n v="154.34400000000002"/>
    <s v="Z82009"/>
    <x v="11"/>
    <x v="0"/>
    <x v="0"/>
    <x v="0"/>
    <x v="11"/>
    <x v="11"/>
    <n v="409"/>
    <n v="19"/>
    <x v="0"/>
    <d v="2024-12-31T07:37:00"/>
    <d v="2024-12-31T07:30:00"/>
    <d v="2024-12-31T08:38:00"/>
    <n v="66.583333333333329"/>
    <n v="59.716666666666669"/>
    <x v="6"/>
    <d v="2025-01-01T10:08:00"/>
    <d v="2025-01-01T13:25:00"/>
    <n v="192.88333333333333"/>
    <x v="0"/>
    <d v="2025-01-02T10:51:12"/>
    <d v="2025-01-02T11:39:12"/>
    <n v="46.983333333333334"/>
    <x v="0"/>
    <n v="2.0924999999988358"/>
    <x v="0"/>
    <n v="9.2499999998835847E-2"/>
    <n v="50.21999999997206"/>
    <n v="32"/>
    <n v="18.21999999997206"/>
    <n v="8.4711306256990504"/>
    <x v="0"/>
  </r>
  <r>
    <x v="3"/>
    <x v="0"/>
    <d v="2024-12-31T00:00:00"/>
    <s v="OM02L6T2"/>
    <x v="0"/>
    <s v="UBB 115P"/>
    <s v="Kakembo Masuud"/>
    <s v="Boniface Harera"/>
    <n v="156"/>
    <s v="F15646"/>
    <x v="10"/>
    <x v="0"/>
    <x v="0"/>
    <x v="0"/>
    <x v="10"/>
    <x v="10"/>
    <n v="484"/>
    <n v="14"/>
    <x v="0"/>
    <d v="2024-12-31T07:58:00"/>
    <d v="2024-12-31T07:30:00"/>
    <d v="2024-12-31T09:02:00"/>
    <n v="90.066666666666663"/>
    <n v="62.65"/>
    <x v="6"/>
    <d v="2025-01-01T09:02:00"/>
    <d v="2025-01-01T13:57:00"/>
    <n v="288.85000000000002"/>
    <x v="0"/>
    <d v="2025-01-02T12:45:00"/>
    <d v="2025-01-02T13:36:00"/>
    <n v="49.93333333333333"/>
    <x v="0"/>
    <n v="2.1548611111065838"/>
    <x v="1"/>
    <n v="-0.34513888889341615"/>
    <n v="51.716666666558012"/>
    <n v="32"/>
    <n v="19.716666666558012"/>
    <n v="7.912087912131514"/>
    <x v="0"/>
  </r>
  <r>
    <x v="3"/>
    <x v="0"/>
    <d v="2024-12-31T00:00:00"/>
    <s v="OM02L6VT"/>
    <x v="0"/>
    <s v="UBM 648D"/>
    <m/>
    <s v="Kato Investments Ltd-Bulenga"/>
    <n v="156"/>
    <s v="A19766"/>
    <x v="2"/>
    <x v="0"/>
    <x v="0"/>
    <x v="0"/>
    <x v="2"/>
    <x v="2"/>
    <n v="556"/>
    <n v="-4"/>
    <x v="0"/>
    <d v="2024-12-31T07:58:00"/>
    <d v="2024-12-31T07:30:00"/>
    <d v="2024-12-31T08:42:00"/>
    <n v="70.483333333333334"/>
    <n v="43.06666666666667"/>
    <x v="1"/>
    <d v="2025-01-01T08:42:00"/>
    <d v="2025-01-01T13:30:00"/>
    <n v="281.98333333333335"/>
    <x v="0"/>
    <d v="2025-01-02T08:42:00"/>
    <d v="2025-01-02T09:37:00"/>
    <n v="53.85"/>
    <x v="0"/>
    <n v="2"/>
    <x v="0"/>
    <n v="0"/>
    <n v="48"/>
    <n v="24"/>
    <n v="24"/>
    <n v="6.5"/>
    <x v="0"/>
  </r>
  <r>
    <x v="3"/>
    <x v="0"/>
    <d v="2024-12-31T00:00:00"/>
    <s v="OM02L6T1"/>
    <x v="0"/>
    <s v="UBB 115P"/>
    <s v="Kakembo Masuud"/>
    <s v="Kato Investments Ltd- Kakumiro"/>
    <n v="156"/>
    <s v="A19743"/>
    <x v="24"/>
    <x v="0"/>
    <x v="0"/>
    <x v="0"/>
    <x v="24"/>
    <x v="22"/>
    <n v="764"/>
    <n v="-1"/>
    <x v="0"/>
    <d v="2024-12-31T07:58:00"/>
    <d v="2024-12-31T07:30:00"/>
    <d v="2024-12-31T08:38:00"/>
    <n v="66.583333333333329"/>
    <n v="39.166666666666664"/>
    <x v="1"/>
    <d v="2024-12-31T17:08:00"/>
    <d v="2025-01-01T13:33:26"/>
    <n v="1199.9000000000001"/>
    <x v="0"/>
    <d v="2025-01-02T07:04:38"/>
    <d v="2025-01-02T07:34:38"/>
    <n v="29.366666666666667"/>
    <x v="0"/>
    <n v="1.9351666666698293"/>
    <x v="3"/>
    <n v="0.43516666666982928"/>
    <n v="46.444000000075903"/>
    <n v="12"/>
    <n v="34.444000000075903"/>
    <n v="4.5290906979345094"/>
    <x v="0"/>
  </r>
  <r>
    <x v="3"/>
    <x v="0"/>
    <d v="2024-12-31T00:00:00"/>
    <s v="OM02L6VU"/>
    <x v="0"/>
    <s v="UBJ 420C"/>
    <s v="ZIWA ABASI"/>
    <s v="Kabaco U Ltd"/>
    <n v="156"/>
    <s v="Z82019"/>
    <x v="6"/>
    <x v="0"/>
    <x v="0"/>
    <x v="0"/>
    <x v="6"/>
    <x v="6"/>
    <n v="120"/>
    <n v="-200"/>
    <x v="0"/>
    <d v="2024-12-31T07:58:00"/>
    <d v="2024-12-31T07:30:00"/>
    <d v="2024-12-31T08:47:00"/>
    <n v="75.38333333333334"/>
    <n v="47.966666666666669"/>
    <x v="1"/>
    <d v="2024-12-31T14:47:00"/>
    <d v="2024-12-31T19:34:00"/>
    <n v="281.01666666666665"/>
    <x v="0"/>
    <d v="2025-01-01T11:53:12"/>
    <d v="2025-01-01T12:53:12"/>
    <n v="58.733333333333334"/>
    <x v="0"/>
    <n v="1.1293055555579485"/>
    <x v="3"/>
    <n v="-0.37069444444205146"/>
    <n v="27.103333333390765"/>
    <n v="12"/>
    <n v="15.103333333390765"/>
    <n v="10.328845729380278"/>
    <x v="0"/>
  </r>
  <r>
    <x v="3"/>
    <x v="0"/>
    <d v="2024-12-31T00:00:00"/>
    <s v="OM02L6T5"/>
    <x v="0"/>
    <s v="UBB 115P"/>
    <s v="Kakembo Masuud"/>
    <s v="KATO INVESTMENTS LTD-KATIKARA"/>
    <n v="156"/>
    <s v="A19744"/>
    <x v="5"/>
    <x v="0"/>
    <x v="0"/>
    <x v="0"/>
    <x v="5"/>
    <x v="5"/>
    <n v="842"/>
    <n v="12"/>
    <x v="0"/>
    <d v="2024-12-31T07:58:00"/>
    <d v="2024-12-31T07:30:00"/>
    <d v="2024-12-31T08:38:00"/>
    <n v="66.583333333333329"/>
    <n v="39.166666666666664"/>
    <x v="1"/>
    <d v="2025-01-01T10:23:00"/>
    <d v="2025-01-01T15:09:00"/>
    <n v="280.03333333333336"/>
    <x v="0"/>
    <d v="2025-01-02T19:57:00"/>
    <d v="2025-01-02T20:41:00"/>
    <n v="43.06666666666667"/>
    <x v="0"/>
    <n v="2.4715277777722804"/>
    <x v="0"/>
    <n v="0.47152777777228039"/>
    <n v="59.316666666534729"/>
    <n v="24"/>
    <n v="35.316666666534729"/>
    <n v="4.4171779141269312"/>
    <x v="0"/>
  </r>
  <r>
    <x v="3"/>
    <x v="1"/>
    <d v="2024-12-31T00:00:00"/>
    <s v="OM02L6VR"/>
    <x v="0"/>
    <s v="UAY 265V"/>
    <s v="Luyaga Isaac"/>
    <s v="Agaba Services"/>
    <n v="152.70000000000002"/>
    <s v="F15654"/>
    <x v="20"/>
    <x v="1"/>
    <x v="0"/>
    <x v="1"/>
    <x v="20"/>
    <x v="20"/>
    <n v="295"/>
    <n v="-7"/>
    <x v="0"/>
    <d v="2024-12-31T07:58:00"/>
    <d v="2024-12-31T07:30:00"/>
    <d v="2024-12-31T08:53:00"/>
    <n v="81.266666666666666"/>
    <n v="53.85"/>
    <x v="6"/>
    <d v="2024-12-31T14:53:00"/>
    <d v="2024-12-31T17:05:00"/>
    <n v="129.25"/>
    <x v="0"/>
    <d v="2025-01-01T07:57:48"/>
    <d v="2025-01-01T08:54:48"/>
    <n v="55.8"/>
    <x v="0"/>
    <n v="0.96166666666977108"/>
    <x v="8"/>
    <n v="-3.8333333330228925E-2"/>
    <n v="23.080000000074506"/>
    <n v="0"/>
    <n v="23.080000000074506"/>
    <n v="6.6161178509318495"/>
    <x v="0"/>
  </r>
  <r>
    <x v="3"/>
    <x v="1"/>
    <d v="2024-12-31T12:11:44"/>
    <s v="OMK0U68RR"/>
    <x v="0"/>
    <s v="UBJ 415C"/>
    <s v="Abel Mark naffa"/>
    <s v="Kobusinge Acaali- Kyenjojo"/>
    <n v="151.94400000000002"/>
    <s v="Z81958"/>
    <x v="3"/>
    <x v="1"/>
    <x v="0"/>
    <x v="1"/>
    <x v="3"/>
    <x v="3"/>
    <n v="474"/>
    <n v="-6"/>
    <x v="0"/>
    <d v="2025-01-01T00:39:44"/>
    <d v="2025-01-01T00:11:44"/>
    <d v="2025-01-01T01:39:44"/>
    <n v="86.15"/>
    <n v="58.733333333333334"/>
    <x v="11"/>
    <d v="2025-01-02T08:39:44"/>
    <d v="2025-01-02T14:01:44"/>
    <n v="315.28333333333336"/>
    <x v="0"/>
    <d v="2025-01-03T16:38:42"/>
    <d v="2025-01-03T17:32:42"/>
    <n v="52.866666666666667"/>
    <x v="0"/>
    <n v="2.6242777777733863"/>
    <x v="1"/>
    <n v="0.12427777777338633"/>
    <n v="62.982666666561272"/>
    <n v="32"/>
    <n v="30.982666666561272"/>
    <n v="4.9041614666431839"/>
    <x v="0"/>
  </r>
  <r>
    <x v="3"/>
    <x v="1"/>
    <d v="2024-12-31T19:18:19"/>
    <s v="OM90UJNRR"/>
    <x v="0"/>
    <s v="UBA 523T"/>
    <s v="Kabene John"/>
    <s v="Kabaco U Ltd-Mbarara"/>
    <n v="150.9"/>
    <s v="Z82012"/>
    <x v="8"/>
    <x v="1"/>
    <x v="0"/>
    <x v="1"/>
    <x v="8"/>
    <x v="8"/>
    <n v="12"/>
    <n v="1"/>
    <x v="0"/>
    <d v="2025-01-01T07:46:19"/>
    <d v="2025-01-01T07:18:19"/>
    <d v="2025-01-01T08:30:19"/>
    <n v="70.483333333333334"/>
    <n v="43.06666666666667"/>
    <x v="1"/>
    <d v="2025-01-01T09:12:19"/>
    <d v="2025-01-01T12:49:19"/>
    <n v="212.46666666666667"/>
    <x v="0"/>
    <d v="2025-01-01T13:21:19"/>
    <d v="2025-01-01T13:59:19"/>
    <n v="37.200000000000003"/>
    <x v="0"/>
    <n v="0.20208333332993789"/>
    <x v="5"/>
    <n v="-0.59791666667006216"/>
    <n v="4.8499999999185093"/>
    <n v="0"/>
    <n v="4.8499999999185093"/>
    <n v="31.113402062378444"/>
    <x v="0"/>
  </r>
  <r>
    <x v="3"/>
    <x v="1"/>
    <d v="2024-12-31T19:32:51"/>
    <s v="OMLVBYNRR"/>
    <x v="0"/>
    <s v="UAT 351G"/>
    <s v="Hamudi Sesanga"/>
    <s v="KATO INVESTMENTS LIMITED-MASAK"/>
    <n v="153.60000000000002"/>
    <s v="F15651"/>
    <x v="14"/>
    <x v="1"/>
    <x v="0"/>
    <x v="1"/>
    <x v="14"/>
    <x v="14"/>
    <n v="415"/>
    <n v="75"/>
    <x v="0"/>
    <d v="2025-01-01T07:44:51"/>
    <d v="2025-01-01T07:32:51"/>
    <d v="2025-01-01T08:40:51"/>
    <n v="66.583333333333329"/>
    <n v="54.833333333333336"/>
    <x v="7"/>
    <d v="2025-01-01T11:53:51"/>
    <d v="2025-01-01T17:45:51"/>
    <n v="344.65"/>
    <x v="0"/>
    <d v="2025-01-02T08:09:51"/>
    <d v="2025-01-02T08:45:51"/>
    <n v="35.25"/>
    <x v="0"/>
    <n v="0.97847222221753327"/>
    <x v="8"/>
    <n v="-2.1527777782466728E-2"/>
    <n v="23.483333333220799"/>
    <n v="0"/>
    <n v="23.483333333220799"/>
    <n v="6.5408090844884068"/>
    <x v="0"/>
  </r>
  <r>
    <x v="3"/>
    <x v="0"/>
    <d v="2024-12-31T19:41:21"/>
    <s v="OMRTLN6RR"/>
    <x v="0"/>
    <s v="UBF 379L"/>
    <m/>
    <s v="Kato Investments Ltd-Bulenga"/>
    <n v="156"/>
    <s v="A19760"/>
    <x v="2"/>
    <x v="0"/>
    <x v="0"/>
    <x v="0"/>
    <x v="2"/>
    <x v="2"/>
    <n v="556"/>
    <n v="-4"/>
    <x v="0"/>
    <d v="2025-01-01T08:09:21"/>
    <d v="2025-01-01T07:41:21"/>
    <d v="2025-01-01T08:53:21"/>
    <n v="70.483333333333334"/>
    <n v="43.06666666666667"/>
    <x v="1"/>
    <d v="2025-01-02T08:53:21"/>
    <d v="2025-01-02T14:08:21"/>
    <n v="308.43333333333334"/>
    <x v="0"/>
    <d v="2025-01-03T08:53:21"/>
    <d v="2025-01-03T09:33:21"/>
    <n v="39.166666666666664"/>
    <x v="0"/>
    <n v="2"/>
    <x v="0"/>
    <n v="0"/>
    <n v="48"/>
    <n v="24"/>
    <n v="24"/>
    <n v="6.5"/>
    <x v="0"/>
  </r>
  <r>
    <x v="3"/>
    <x v="0"/>
    <d v="2024-12-31T19:45:17"/>
    <s v="OMOUWA6RR"/>
    <x v="0"/>
    <s v="UBE 680K"/>
    <s v="BYEKWASO TWAHA"/>
    <s v="Sawan Distributors Ltd-Nabingo"/>
    <n v="156"/>
    <s v="A19761"/>
    <x v="21"/>
    <x v="0"/>
    <x v="0"/>
    <x v="0"/>
    <x v="21"/>
    <x v="2"/>
    <n v="564"/>
    <n v="4"/>
    <x v="0"/>
    <d v="2025-01-01T08:13:17"/>
    <d v="2025-01-01T07:45:17"/>
    <d v="2025-01-01T08:53:17"/>
    <n v="66.583333333333329"/>
    <n v="39.166666666666664"/>
    <x v="1"/>
    <d v="2025-01-01T20:53:17"/>
    <d v="2025-01-02T13:41:17"/>
    <n v="986.98333333333335"/>
    <x v="0"/>
    <d v="2025-01-03T13:41:17"/>
    <d v="2025-01-03T14:41:17"/>
    <n v="58.733333333333334"/>
    <x v="0"/>
    <n v="2.1999999999970896"/>
    <x v="0"/>
    <n v="0.19999999999708962"/>
    <n v="52.799999999930151"/>
    <n v="24"/>
    <n v="28.799999999930151"/>
    <n v="5.416666666679804"/>
    <x v="0"/>
  </r>
  <r>
    <x v="3"/>
    <x v="0"/>
    <d v="2024-12-31T19:47:50"/>
    <s v="OMLIUJORR"/>
    <x v="0"/>
    <s v="UBP 298H"/>
    <s v="Rajab Muganzi"/>
    <s v="Kobusinge Steven-FPortal"/>
    <n v="156"/>
    <s v="Z82016"/>
    <x v="11"/>
    <x v="0"/>
    <x v="0"/>
    <x v="0"/>
    <x v="11"/>
    <x v="11"/>
    <n v="409"/>
    <n v="19"/>
    <x v="0"/>
    <d v="2025-01-01T08:15:50"/>
    <d v="2025-01-01T07:47:50"/>
    <d v="2025-01-01T09:19:50"/>
    <n v="90.066666666666663"/>
    <n v="62.65"/>
    <x v="6"/>
    <d v="2025-01-02T10:49:50"/>
    <d v="2025-01-03T12:16:14"/>
    <n v="1494.5833333333333"/>
    <x v="0"/>
    <d v="2025-01-03T13:57:02"/>
    <d v="2025-01-03T14:41:02"/>
    <n v="43.06666666666667"/>
    <x v="0"/>
    <n v="2.1924999999973807"/>
    <x v="0"/>
    <n v="0.19249999999738066"/>
    <n v="52.619999999937136"/>
    <n v="32"/>
    <n v="20.619999999937136"/>
    <n v="7.56547041709387"/>
    <x v="0"/>
  </r>
  <r>
    <x v="3"/>
    <x v="0"/>
    <d v="2024-12-31T21:47:44"/>
    <s v="OM1V4GGRR"/>
    <x v="0"/>
    <s v="UBK 882R"/>
    <s v="NASASIRA STEPHENE"/>
    <s v="Kato Investment Ltd -Mityana"/>
    <n v="187.20000000000002"/>
    <s v="A19762"/>
    <x v="16"/>
    <x v="0"/>
    <x v="0"/>
    <x v="0"/>
    <x v="16"/>
    <x v="16"/>
    <m/>
    <n v="-690"/>
    <x v="0"/>
    <d v="2025-01-01T10:15:44"/>
    <d v="2025-01-01T09:47:44"/>
    <d v="2025-01-01T10:55:44"/>
    <n v="66.583333333333329"/>
    <n v="39.166666666666664"/>
    <x v="1"/>
    <d v="2025-01-02T12:55:44"/>
    <d v="2025-01-02T19:43:44"/>
    <n v="399.48333333333335"/>
    <x v="0"/>
    <d v="2025-01-03T14:45:39"/>
    <d v="2025-01-03T15:45:39"/>
    <n v="58.733333333333334"/>
    <x v="0"/>
    <n v="2.1596666666664532"/>
    <x v="0"/>
    <n v="0.15966666666645324"/>
    <n v="51.831999999994878"/>
    <n v="24"/>
    <n v="27.831999999994878"/>
    <n v="6.7260707099753692"/>
    <x v="0"/>
  </r>
  <r>
    <x v="3"/>
    <x v="0"/>
    <d v="2024-12-31T21:49:53"/>
    <s v="OMDTFMZRR"/>
    <x v="0"/>
    <s v="UBJ 705D"/>
    <s v="KASULE JOHNBOSC"/>
    <s v="Sawan Distributors Ltd-Nabingo"/>
    <n v="156"/>
    <s v="A19763"/>
    <x v="21"/>
    <x v="0"/>
    <x v="0"/>
    <x v="0"/>
    <x v="21"/>
    <x v="2"/>
    <n v="567"/>
    <n v="7"/>
    <x v="0"/>
    <d v="2025-01-01T10:17:53"/>
    <d v="2025-01-01T09:49:53"/>
    <d v="2025-01-01T11:17:53"/>
    <n v="86.15"/>
    <n v="58.733333333333334"/>
    <x v="12"/>
    <d v="2025-01-01T23:17:53"/>
    <d v="2025-01-02T16:01:34"/>
    <n v="982.76666666666665"/>
    <x v="0"/>
    <d v="2025-01-03T18:11:10"/>
    <d v="2025-01-03T19:02:10"/>
    <n v="49.93333333333333"/>
    <x v="0"/>
    <n v="2.286999999996624"/>
    <x v="0"/>
    <n v="0.28699999999662396"/>
    <n v="54.887999999918975"/>
    <n v="32"/>
    <n v="22.887999999918975"/>
    <n v="6.8157986718172081"/>
    <x v="0"/>
  </r>
  <r>
    <x v="3"/>
    <x v="1"/>
    <d v="2024-12-31T21:54:24"/>
    <s v="OMA3NF5RR"/>
    <x v="0"/>
    <s v="UBJ 988D"/>
    <s v="Tumusiime Robert"/>
    <s v="KATO INVESTMENTS LIMITED-MASAK"/>
    <n v="153.60000000000002"/>
    <s v="F15652"/>
    <x v="14"/>
    <x v="1"/>
    <x v="0"/>
    <x v="1"/>
    <x v="14"/>
    <x v="14"/>
    <n v="328"/>
    <n v="-12"/>
    <x v="0"/>
    <d v="2025-01-01T10:22:24"/>
    <d v="2025-01-01T09:54:24"/>
    <d v="2025-01-01T11:02:24"/>
    <n v="66.583333333333329"/>
    <n v="39.166666666666664"/>
    <x v="1"/>
    <d v="2025-01-01T14:15:24"/>
    <d v="2025-01-01T19:13:24"/>
    <n v="291.78333333333336"/>
    <x v="0"/>
    <d v="2025-01-02T09:37:24"/>
    <d v="2025-01-02T10:22:24"/>
    <n v="44.05"/>
    <x v="0"/>
    <n v="0.94097222221898846"/>
    <x v="8"/>
    <n v="-5.9027777781011537E-2"/>
    <n v="22.583333333255723"/>
    <n v="0"/>
    <n v="22.583333333255723"/>
    <n v="6.8014760147835229"/>
    <x v="0"/>
  </r>
  <r>
    <x v="3"/>
    <x v="1"/>
    <d v="2024-12-31T21:57:59"/>
    <s v="OM29VGVRR"/>
    <x v="0"/>
    <s v="UBK 875R"/>
    <s v="Bisaso  Ronald"/>
    <s v="KATO INVESTMENTS LIMITED-MASAK"/>
    <n v="153.60000000000002"/>
    <s v="F15653"/>
    <x v="14"/>
    <x v="1"/>
    <x v="0"/>
    <x v="1"/>
    <x v="14"/>
    <x v="14"/>
    <n v="415"/>
    <n v="75"/>
    <x v="0"/>
    <d v="2025-01-01T10:25:59"/>
    <d v="2025-01-01T09:57:59"/>
    <d v="2025-01-01T11:09:59"/>
    <n v="70.483333333333334"/>
    <n v="43.06666666666667"/>
    <x v="1"/>
    <d v="2025-01-01T14:22:59"/>
    <d v="2025-01-01T21:53:59"/>
    <n v="441.6"/>
    <x v="0"/>
    <d v="2025-01-02T12:17:59"/>
    <d v="2025-01-02T13:12:59"/>
    <n v="53.85"/>
    <x v="0"/>
    <n v="1.047222222223354"/>
    <x v="8"/>
    <n v="4.7222222223354038E-2"/>
    <n v="25.133333333360497"/>
    <n v="12"/>
    <n v="13.133333333360497"/>
    <n v="11.695431472057031"/>
    <x v="0"/>
  </r>
  <r>
    <x v="4"/>
    <x v="0"/>
    <d v="2025-01-01T00:00:00"/>
    <s v="OM02L6Y5"/>
    <x v="0"/>
    <s v="UBE 690K"/>
    <s v="MUKOSE MUZAMIRU"/>
    <s v="Kato Investment Ltd -Kagadi"/>
    <n v="151.68"/>
    <s v="A19778"/>
    <x v="12"/>
    <x v="0"/>
    <x v="0"/>
    <x v="0"/>
    <x v="12"/>
    <x v="12"/>
    <n v="607"/>
    <n v="-5"/>
    <x v="0"/>
    <d v="2025-01-01T07:12:00"/>
    <d v="2025-01-01T07:30:00"/>
    <d v="2025-01-01T08:38:00"/>
    <n v="66.583333333333329"/>
    <n v="84.2"/>
    <x v="1"/>
    <d v="2025-01-02T10:08:00"/>
    <d v="2025-01-02T13:47:00"/>
    <n v="214.43333333333334"/>
    <x v="0"/>
    <d v="2025-01-03T10:22:31"/>
    <d v="2025-01-03T11:25:31"/>
    <n v="61.68333333333333"/>
    <x v="0"/>
    <n v="2.0725833333344781"/>
    <x v="6"/>
    <n v="-0.22741666666552174"/>
    <n v="49.742000000027474"/>
    <n v="24"/>
    <n v="25.742000000027474"/>
    <n v="5.892316059351959"/>
    <x v="0"/>
  </r>
  <r>
    <x v="4"/>
    <x v="1"/>
    <d v="2025-01-01T20:17:33"/>
    <s v="OM7APO5RR"/>
    <x v="1"/>
    <s v="UBJ 375N"/>
    <s v="Stephen Musoke "/>
    <s v="Kabaco U Ltd-Mbarara"/>
    <n v="140.1"/>
    <s v="Z82022"/>
    <x v="8"/>
    <x v="1"/>
    <x v="0"/>
    <x v="1"/>
    <x v="8"/>
    <x v="8"/>
    <n v="14"/>
    <n v="3"/>
    <x v="0"/>
    <d v="2025-01-02T14:54:00"/>
    <d v="2025-01-02T07:42:00"/>
    <d v="2025-01-02T15:38:00"/>
    <n v="466.08333333333331"/>
    <n v="43.06666666666667"/>
    <x v="1"/>
    <d v="2025-01-02T16:07:00"/>
    <d v="2025-01-02T19:21:00"/>
    <n v="189.95"/>
    <x v="0"/>
    <d v="2025-01-02T20:10:00"/>
    <d v="2025-01-02T21:08:00"/>
    <n v="56.783333333333331"/>
    <x v="0"/>
    <n v="0.18888888889341615"/>
    <x v="5"/>
    <n v="-0.61111111110658389"/>
    <n v="4.5333333334419876"/>
    <n v="0"/>
    <n v="4.5333333334419876"/>
    <n v="30.904411763965168"/>
    <x v="0"/>
  </r>
  <r>
    <x v="4"/>
    <x v="1"/>
    <d v="2025-01-01T20:18:31"/>
    <s v="OMCOX6YRR"/>
    <x v="1"/>
    <s v="UBE 287X"/>
    <s v="Isaac Tumuhimbise"/>
    <s v="Kabaco U Ltd-Mbarara"/>
    <n v="153.60000000000002"/>
    <s v="Z82023"/>
    <x v="8"/>
    <x v="1"/>
    <x v="0"/>
    <x v="1"/>
    <x v="8"/>
    <x v="8"/>
    <n v="13"/>
    <n v="2"/>
    <x v="0"/>
    <d v="2025-01-02T10:40:00"/>
    <d v="2025-01-02T07:42:00"/>
    <d v="2025-01-02T11:24:00"/>
    <n v="217.36666666666667"/>
    <n v="43.06666666666667"/>
    <x v="1"/>
    <d v="2025-01-02T12:02:00"/>
    <d v="2025-01-02T16:40:00"/>
    <n v="272.2"/>
    <x v="0"/>
    <d v="2025-01-02T17:17:00"/>
    <d v="2025-01-02T17:58:00"/>
    <n v="40.133333333333333"/>
    <x v="0"/>
    <n v="0.24513888888759539"/>
    <x v="5"/>
    <n v="-0.55486111111240466"/>
    <n v="5.8833333333022892"/>
    <n v="0"/>
    <n v="5.8833333333022892"/>
    <n v="26.107648725350227"/>
    <x v="0"/>
  </r>
  <r>
    <x v="4"/>
    <x v="1"/>
    <d v="2025-01-01T20:19:18"/>
    <s v="OMZLGL1RR"/>
    <x v="1"/>
    <s v="UBK 881R"/>
    <s v="James  Kironde"/>
    <s v="KATO INVESTMENTS LIMITED-MASAK"/>
    <n v="153.60000000000002"/>
    <s v="F15655"/>
    <x v="14"/>
    <x v="1"/>
    <x v="0"/>
    <x v="1"/>
    <x v="14"/>
    <x v="14"/>
    <n v="328"/>
    <n v="-12"/>
    <x v="0"/>
    <d v="2025-01-02T06:53:00"/>
    <d v="2025-01-02T04:14:00"/>
    <d v="2025-01-02T07:37:00"/>
    <n v="198.76666666666668"/>
    <n v="43.06666666666667"/>
    <x v="1"/>
    <d v="2025-01-02T09:24:00"/>
    <d v="2025-01-02T13:35:00"/>
    <n v="245.76666666666668"/>
    <x v="0"/>
    <d v="2025-01-03T09:22:00"/>
    <d v="2025-01-03T11:15:00"/>
    <n v="110.63333333333334"/>
    <x v="0"/>
    <n v="1.0729166666642413"/>
    <x v="8"/>
    <n v="7.2916666664241347E-2"/>
    <n v="25.749999999941792"/>
    <n v="12"/>
    <n v="13.749999999941792"/>
    <n v="11.170909090956382"/>
    <x v="0"/>
  </r>
  <r>
    <x v="4"/>
    <x v="1"/>
    <d v="2025-01-01T20:20:55"/>
    <s v="OM33KZQRR"/>
    <x v="1"/>
    <s v="UBE 422T"/>
    <s v="Jacob Oneka"/>
    <s v="Kato Investments Ltd-Bulenga"/>
    <n v="153.60000000000002"/>
    <s v="A19779"/>
    <x v="2"/>
    <x v="1"/>
    <x v="0"/>
    <x v="1"/>
    <x v="2"/>
    <x v="2"/>
    <n v="591"/>
    <n v="31"/>
    <x v="3"/>
    <d v="2025-01-02T12:03:00"/>
    <d v="2025-01-01T21:30:00"/>
    <d v="2025-01-02T12:47:00"/>
    <n v="897.88333333333333"/>
    <n v="43.06666666666667"/>
    <x v="1"/>
    <d v="2025-01-03T10:45:00"/>
    <d v="2025-01-03T15:35:00"/>
    <n v="283.95"/>
    <x v="0"/>
    <d v="2025-01-04T11:40:00"/>
    <d v="2025-01-04T14:47:00"/>
    <n v="183.1"/>
    <x v="1"/>
    <n v="1.953472222223354"/>
    <x v="0"/>
    <n v="-4.6527777776645962E-2"/>
    <n v="46.883333333360497"/>
    <n v="12"/>
    <n v="34.883333333360497"/>
    <n v="4.4032489249846272"/>
    <x v="0"/>
  </r>
  <r>
    <x v="4"/>
    <x v="1"/>
    <d v="2025-01-01T20:22:39"/>
    <s v="OMCP7C6RR"/>
    <x v="0"/>
    <s v="UBE 419T"/>
    <s v="Kilabila Ismail"/>
    <s v="RUGOMA TRADERS CO. LTD NTUNGAM"/>
    <n v="153.60000000000002"/>
    <s v="F15657"/>
    <x v="15"/>
    <x v="1"/>
    <x v="0"/>
    <x v="1"/>
    <x v="15"/>
    <x v="15"/>
    <n v="136"/>
    <n v="6"/>
    <x v="0"/>
    <d v="2025-01-02T09:03:39"/>
    <d v="2025-01-02T08:22:39"/>
    <d v="2025-01-02T09:30:39"/>
    <n v="66.583333333333329"/>
    <n v="26.433333333333334"/>
    <x v="1"/>
    <d v="2025-01-02T12:00:39"/>
    <d v="2025-01-02T17:00:39"/>
    <n v="293.75"/>
    <x v="0"/>
    <d v="2025-01-02T19:10:39"/>
    <d v="2025-01-02T20:20:39"/>
    <n v="68.533333333333331"/>
    <x v="0"/>
    <n v="0.40277777778101154"/>
    <x v="8"/>
    <n v="-0.59722222221898846"/>
    <n v="9.6666666667442769"/>
    <n v="0"/>
    <n v="9.6666666667442769"/>
    <n v="15.889655172286224"/>
    <x v="0"/>
  </r>
  <r>
    <x v="4"/>
    <x v="0"/>
    <d v="2025-01-01T20:28:12"/>
    <s v="OMO39VURR"/>
    <x v="1"/>
    <s v="UBK 858R"/>
    <s v="ALIPA EREKU"/>
    <s v="KATO INVESTMENTS LTD-KATIKARA"/>
    <n v="133.44"/>
    <s v="A19781"/>
    <x v="5"/>
    <x v="0"/>
    <x v="0"/>
    <x v="0"/>
    <x v="5"/>
    <x v="5"/>
    <n v="837"/>
    <n v="7"/>
    <x v="0"/>
    <d v="2025-01-01T20:10:00"/>
    <d v="2025-01-02T15:48:00"/>
    <d v="2025-01-01T20:56:00"/>
    <n v="-1108.4333333333334"/>
    <n v="45.033333333333331"/>
    <x v="1"/>
    <d v="2025-01-03T07:58:00"/>
    <d v="2025-01-03T12:16:00"/>
    <n v="252.61666666666667"/>
    <x v="0"/>
    <d v="2025-01-04T11:27:00"/>
    <d v="2025-01-04T12:40:00"/>
    <n v="71.466666666666669"/>
    <x v="0"/>
    <n v="2.6048611111109494"/>
    <x v="0"/>
    <n v="0.60486111111094942"/>
    <n v="62.516666666662786"/>
    <n v="24"/>
    <n v="38.516666666662786"/>
    <n v="3.464474253570232"/>
    <x v="5"/>
  </r>
  <r>
    <x v="4"/>
    <x v="1"/>
    <d v="2025-01-02T17:45:21"/>
    <s v="OMY25R8RR"/>
    <x v="1"/>
    <s v="UAY 526V"/>
    <s v="Benon Ssempijja"/>
    <s v="Ntale and Sons"/>
    <n v="153.60000000000002"/>
    <s v="A19789"/>
    <x v="19"/>
    <x v="1"/>
    <x v="0"/>
    <x v="1"/>
    <x v="19"/>
    <x v="19"/>
    <n v="825"/>
    <n v="15"/>
    <x v="0"/>
    <d v="2025-01-03T07:28:00"/>
    <d v="2025-01-02T19:30:00"/>
    <d v="2025-01-03T08:21:00"/>
    <n v="754.93333333333328"/>
    <n v="51.883333333333333"/>
    <x v="0"/>
    <d v="2025-01-03T20:47:00"/>
    <d v="2025-01-04T13:59:00"/>
    <n v="1010.5"/>
    <x v="0"/>
    <d v="2025-01-05T15:11:00"/>
    <d v="2025-01-05T17:04:00"/>
    <n v="110.63333333333334"/>
    <x v="0"/>
    <n v="2.2847222222262644"/>
    <x v="4"/>
    <n v="-0.71527777777373558"/>
    <n v="54.833333333430346"/>
    <n v="32"/>
    <n v="22.833333333430346"/>
    <n v="6.7270072992414924"/>
    <x v="0"/>
  </r>
  <r>
    <x v="4"/>
    <x v="1"/>
    <d v="2025-01-02T17:46:19"/>
    <s v="OM84GFKRR"/>
    <x v="1"/>
    <s v="UBE 419T"/>
    <s v="Kilabila Ismail"/>
    <s v="KATO INVESTMENTS LIMITED-MASAK"/>
    <n v="153.60000000000002"/>
    <s v="F15658"/>
    <x v="14"/>
    <x v="1"/>
    <x v="0"/>
    <x v="1"/>
    <x v="14"/>
    <x v="14"/>
    <n v="299"/>
    <n v="-41"/>
    <x v="0"/>
    <d v="2025-01-02T18:00:00"/>
    <d v="2025-01-03T04:14:00"/>
    <d v="2025-01-02T18:44:00"/>
    <n v="-558.13333333333333"/>
    <n v="43.06666666666667"/>
    <x v="1"/>
    <d v="2025-01-03T12:09:00"/>
    <d v="2025-01-03T15:09:00"/>
    <n v="176.25"/>
    <x v="0"/>
    <d v="2025-01-04T10:40:00"/>
    <d v="2025-01-04T11:11:00"/>
    <n v="30.35"/>
    <x v="0"/>
    <n v="1.663888888891961"/>
    <x v="8"/>
    <n v="0.66388888889196096"/>
    <n v="39.933333333407063"/>
    <n v="12"/>
    <n v="27.933333333407063"/>
    <n v="5.4988066825630524"/>
    <x v="0"/>
  </r>
  <r>
    <x v="4"/>
    <x v="1"/>
    <d v="2025-01-02T23:12:54"/>
    <s v="OMN00PNRR"/>
    <x v="1"/>
    <s v="UBK 881R"/>
    <s v="James  Kironde"/>
    <s v="Sawan Distributors Ltd-Nabingo"/>
    <n v="153.6"/>
    <s v="A19800"/>
    <x v="21"/>
    <x v="1"/>
    <x v="0"/>
    <x v="1"/>
    <x v="21"/>
    <x v="2"/>
    <n v="577"/>
    <n v="17"/>
    <x v="0"/>
    <d v="2025-01-03T13:45:00"/>
    <d v="2025-01-03T08:00:00"/>
    <d v="2025-01-03T14:29:00"/>
    <n v="380.88333333333333"/>
    <n v="43.06666666666667"/>
    <x v="1"/>
    <d v="2025-01-03T21:09:00"/>
    <d v="2025-01-04T12:35:00"/>
    <n v="906.7"/>
    <x v="0"/>
    <d v="2025-01-06T14:11:00"/>
    <d v="2025-01-06T14:48:00"/>
    <n v="36.216666666666669"/>
    <x v="0"/>
    <n v="2.9874999999956344"/>
    <x v="0"/>
    <n v="0.98749999999563443"/>
    <n v="71.699999999895226"/>
    <n v="24"/>
    <n v="47.699999999895226"/>
    <n v="3.2201257861705948"/>
    <x v="0"/>
  </r>
  <r>
    <x v="4"/>
    <x v="1"/>
    <d v="2025-01-02T23:13:56"/>
    <s v="OM8F9LXRR"/>
    <x v="1"/>
    <s v="UBK 875R"/>
    <s v="Bisaso  Ronald"/>
    <s v="Kabaco U Ltd-Mbarara"/>
    <n v="149.4"/>
    <s v="Z82038"/>
    <x v="8"/>
    <x v="1"/>
    <x v="0"/>
    <x v="1"/>
    <x v="8"/>
    <x v="8"/>
    <n v="14"/>
    <n v="3"/>
    <x v="0"/>
    <d v="2025-01-03T13:53:00"/>
    <d v="2025-01-03T08:00:00"/>
    <d v="2025-01-03T14:37:00"/>
    <n v="388.71666666666664"/>
    <n v="43.06666666666667"/>
    <x v="1"/>
    <d v="2025-01-03T15:47:00"/>
    <d v="2025-01-03T18:46:00"/>
    <n v="175.26666666666668"/>
    <x v="0"/>
    <d v="2025-01-03T19:16:00"/>
    <d v="2025-01-03T21:57:00"/>
    <n v="157.63333333333333"/>
    <x v="2"/>
    <n v="0.19374999999854481"/>
    <x v="5"/>
    <n v="-0.60625000000145524"/>
    <n v="4.6499999999650754"/>
    <n v="0"/>
    <n v="4.6499999999650754"/>
    <n v="32.129032258305827"/>
    <x v="0"/>
  </r>
  <r>
    <x v="4"/>
    <x v="1"/>
    <d v="2025-01-02T23:14:52"/>
    <s v="OMHX7MPRR"/>
    <x v="1"/>
    <s v="UBJ 375N"/>
    <s v="Stephen Musoke "/>
    <s v="Kobusinge Steven-Kamwenge"/>
    <n v="153.60000000000002"/>
    <s v="Z82039"/>
    <x v="13"/>
    <x v="1"/>
    <x v="0"/>
    <x v="1"/>
    <x v="13"/>
    <x v="13"/>
    <n v="230"/>
    <n v="0"/>
    <x v="0"/>
    <d v="2025-01-03T09:11:00"/>
    <d v="2025-01-03T09:00:00"/>
    <d v="2025-01-03T09:55:00"/>
    <n v="53.85"/>
    <n v="43.06666666666667"/>
    <x v="1"/>
    <d v="2025-01-03T13:10:00"/>
    <d v="2025-01-03T17:08:00"/>
    <n v="233.03333333333333"/>
    <x v="0"/>
    <d v="2025-01-04T09:33:00"/>
    <d v="2025-01-04T12:37:00"/>
    <n v="180.15"/>
    <x v="1"/>
    <n v="0.98472222222335404"/>
    <x v="7"/>
    <n v="-0.31527777777664601"/>
    <n v="23.633333333360497"/>
    <n v="0"/>
    <n v="23.633333333360497"/>
    <n v="6.4992947813747595"/>
    <x v="0"/>
  </r>
  <r>
    <x v="4"/>
    <x v="1"/>
    <d v="2025-01-02T23:15:44"/>
    <s v="OMVZ7HGRR"/>
    <x v="1"/>
    <s v="UBE 287X"/>
    <s v="Isaac Tumuhimbise"/>
    <s v="Agaba Services"/>
    <n v="153.60000000000002"/>
    <s v="F15659"/>
    <x v="20"/>
    <x v="1"/>
    <x v="0"/>
    <x v="1"/>
    <x v="20"/>
    <x v="20"/>
    <n v="293"/>
    <n v="-9"/>
    <x v="0"/>
    <d v="2025-01-03T06:30:00"/>
    <d v="2025-01-03T08:30:00"/>
    <d v="2025-01-03T07:14:00"/>
    <n v="-74.416666666666671"/>
    <n v="43.06666666666667"/>
    <x v="1"/>
    <d v="2025-01-03T12:37:00"/>
    <d v="2025-01-03T14:34:00"/>
    <n v="114.55"/>
    <x v="0"/>
    <d v="2025-01-04T08:36:00"/>
    <d v="2025-01-04T09:28:00"/>
    <n v="50.916666666666664"/>
    <x v="0"/>
    <n v="1.0569444444408873"/>
    <x v="8"/>
    <n v="5.694444444088731E-2"/>
    <n v="25.366666666581295"/>
    <n v="12"/>
    <n v="13.366666666581295"/>
    <n v="11.491271820522273"/>
    <x v="0"/>
  </r>
  <r>
    <x v="4"/>
    <x v="1"/>
    <d v="2025-01-02T23:16:43"/>
    <s v="OM976EURR"/>
    <x v="1"/>
    <s v="UAV 203T"/>
    <s v="Mugisha  George"/>
    <s v="Kobusinge Acaali- Kyenjojo"/>
    <n v="153.60000000000002"/>
    <s v="Z82040"/>
    <x v="3"/>
    <x v="1"/>
    <x v="0"/>
    <x v="1"/>
    <x v="3"/>
    <x v="3"/>
    <n v="469"/>
    <n v="-11"/>
    <x v="0"/>
    <d v="2025-01-03T09:35:00"/>
    <d v="2025-01-04T03:17:00"/>
    <d v="2025-01-03T10:09:00"/>
    <n v="-1006.5833333333334"/>
    <n v="33.283333333333331"/>
    <x v="1"/>
    <d v="2025-01-04T08:26:00"/>
    <d v="2025-01-04T13:38:00"/>
    <n v="305.5"/>
    <x v="0"/>
    <d v="2025-01-05T10:02:00"/>
    <d v="2025-01-05T10:46:00"/>
    <n v="43.06666666666667"/>
    <x v="0"/>
    <n v="1.9951388888875954"/>
    <x v="1"/>
    <n v="-0.50486111111240461"/>
    <n v="47.883333333302289"/>
    <n v="12"/>
    <n v="35.883333333302289"/>
    <n v="4.2805387830970618"/>
    <x v="0"/>
  </r>
  <r>
    <x v="4"/>
    <x v="0"/>
    <d v="2025-01-03T00:00:00"/>
    <s v="OM02L7BP"/>
    <x v="0"/>
    <s v="UBE 678K"/>
    <m/>
    <s v="Ntale and Sons Ltd-Kakiri"/>
    <n v="156"/>
    <s v="A19821"/>
    <x v="22"/>
    <x v="0"/>
    <x v="0"/>
    <x v="0"/>
    <x v="22"/>
    <x v="21"/>
    <n v="612"/>
    <n v="-8"/>
    <x v="0"/>
    <d v="2025-01-03T07:58:00"/>
    <d v="2025-01-03T07:30:00"/>
    <d v="2025-01-03T08:45:00"/>
    <n v="73.433333333333337"/>
    <n v="46.016666666666666"/>
    <x v="1"/>
    <d v="2025-01-03T21:15:00"/>
    <d v="2025-01-04T15:29:24"/>
    <n v="1071.5999999999999"/>
    <x v="0"/>
    <d v="2025-01-05T14:17:24"/>
    <d v="2025-01-05T15:14:24"/>
    <n v="55.8"/>
    <x v="0"/>
    <n v="2.2308333333348855"/>
    <x v="0"/>
    <n v="0.23083333333488554"/>
    <n v="53.540000000037253"/>
    <n v="24"/>
    <n v="29.540000000037253"/>
    <n v="5.2809749492147349"/>
    <x v="0"/>
  </r>
  <r>
    <x v="4"/>
    <x v="0"/>
    <d v="2025-01-03T00:00:00"/>
    <s v="OM02L7BK"/>
    <x v="0"/>
    <s v="UBE 678K"/>
    <m/>
    <s v="Kato Investments Ltd- Kakumiro"/>
    <n v="156"/>
    <s v="A19818"/>
    <x v="24"/>
    <x v="0"/>
    <x v="0"/>
    <x v="0"/>
    <x v="24"/>
    <x v="22"/>
    <n v="771"/>
    <n v="6"/>
    <x v="0"/>
    <d v="2025-01-03T07:58:00"/>
    <d v="2025-01-03T07:30:00"/>
    <d v="2025-01-03T08:53:00"/>
    <n v="81.266666666666666"/>
    <n v="53.85"/>
    <x v="2"/>
    <d v="2025-01-03T17:53:00"/>
    <d v="2025-01-04T12:37:38"/>
    <n v="1101.2"/>
    <x v="0"/>
    <d v="2025-01-04T21:07:38"/>
    <d v="2025-01-04T22:09:38"/>
    <n v="60.7"/>
    <x v="0"/>
    <n v="1.5101666666669189"/>
    <x v="3"/>
    <n v="1.01666666669189E-2"/>
    <n v="36.244000000006054"/>
    <n v="16"/>
    <n v="20.244000000006054"/>
    <n v="7.7059869590966876"/>
    <x v="0"/>
  </r>
  <r>
    <x v="4"/>
    <x v="0"/>
    <d v="2025-01-03T00:00:00"/>
    <s v="OM02L7BR"/>
    <x v="0"/>
    <s v="UBE 690K"/>
    <s v="MUKOSE MUZAMIRU"/>
    <s v="Kabaco U Ltd"/>
    <n v="156"/>
    <s v="Z82048"/>
    <x v="6"/>
    <x v="0"/>
    <x v="0"/>
    <x v="0"/>
    <x v="6"/>
    <x v="6"/>
    <n v="120"/>
    <n v="-200"/>
    <x v="0"/>
    <d v="2025-01-03T07:58:00"/>
    <d v="2025-01-03T07:30:00"/>
    <d v="2025-01-03T08:42:00"/>
    <n v="70.483333333333334"/>
    <n v="43.06666666666667"/>
    <x v="1"/>
    <d v="2025-01-03T14:42:00"/>
    <d v="2025-01-03T19:29:00"/>
    <n v="281.01666666666665"/>
    <x v="0"/>
    <d v="2025-01-04T11:48:12"/>
    <d v="2025-01-04T12:40:12"/>
    <n v="50.916666666666664"/>
    <x v="0"/>
    <n v="1.1293055555579485"/>
    <x v="3"/>
    <n v="-0.37069444444205146"/>
    <n v="27.103333333390765"/>
    <n v="12"/>
    <n v="15.103333333390765"/>
    <n v="10.328845729380278"/>
    <x v="0"/>
  </r>
  <r>
    <x v="4"/>
    <x v="0"/>
    <d v="2025-01-03T00:00:00"/>
    <s v="OM02L777"/>
    <x v="0"/>
    <s v="UBP 311H"/>
    <m/>
    <s v="Kato Investments Ltd- Kyegegwa"/>
    <n v="156"/>
    <s v="A19812"/>
    <x v="18"/>
    <x v="0"/>
    <x v="0"/>
    <x v="0"/>
    <x v="18"/>
    <x v="18"/>
    <n v="572"/>
    <n v="7"/>
    <x v="0"/>
    <d v="2025-01-03T07:58:00"/>
    <d v="2025-01-03T07:30:00"/>
    <d v="2025-01-03T08:46:00"/>
    <n v="74.400000000000006"/>
    <n v="46.983333333333334"/>
    <x v="1"/>
    <d v="2025-01-04T11:06:00"/>
    <d v="2025-01-04T14:26:00"/>
    <n v="195.83333333333334"/>
    <x v="0"/>
    <d v="2025-01-04T21:16:00"/>
    <d v="2025-01-04T22:13:00"/>
    <n v="55.8"/>
    <x v="0"/>
    <n v="1.5208333333284827"/>
    <x v="0"/>
    <n v="-0.47916666667151731"/>
    <n v="36.499999999883585"/>
    <n v="12"/>
    <n v="24.499999999883585"/>
    <n v="6.367346938805766"/>
    <x v="0"/>
  </r>
  <r>
    <x v="4"/>
    <x v="0"/>
    <d v="2025-01-03T00:00:00"/>
    <s v="OM02L77A"/>
    <x v="0"/>
    <s v="UBP 311H"/>
    <m/>
    <s v="Kobusinge Steven-FPortal"/>
    <n v="156"/>
    <s v="Z82042"/>
    <x v="11"/>
    <x v="0"/>
    <x v="0"/>
    <x v="0"/>
    <x v="11"/>
    <x v="11"/>
    <n v="386"/>
    <n v="-4"/>
    <x v="0"/>
    <d v="2025-01-03T07:58:00"/>
    <d v="2025-01-03T07:30:00"/>
    <d v="2025-01-03T08:47:00"/>
    <n v="75.38333333333334"/>
    <n v="47.966666666666669"/>
    <x v="1"/>
    <d v="2025-01-04T10:17:00"/>
    <d v="2025-01-04T15:50:00"/>
    <n v="326.05"/>
    <x v="0"/>
    <d v="2025-01-05T08:56:22"/>
    <d v="2025-01-05T09:44:22"/>
    <n v="46.983333333333334"/>
    <x v="0"/>
    <n v="2.0065000000031432"/>
    <x v="0"/>
    <n v="6.5000000031432137E-3"/>
    <n v="48.156000000075437"/>
    <n v="24"/>
    <n v="24.156000000075437"/>
    <n v="6.4580228514453069"/>
    <x v="0"/>
  </r>
  <r>
    <x v="4"/>
    <x v="0"/>
    <d v="2025-01-03T00:00:00"/>
    <s v="OM02L7BL"/>
    <x v="0"/>
    <s v="UBP 311H"/>
    <s v="Ekwalikwa Yusuf"/>
    <s v="Kobusinge Steven-Kamwenge"/>
    <n v="156"/>
    <s v="Z82047"/>
    <x v="13"/>
    <x v="0"/>
    <x v="0"/>
    <x v="0"/>
    <x v="13"/>
    <x v="13"/>
    <n v="236"/>
    <n v="6"/>
    <x v="0"/>
    <d v="2025-01-03T07:58:00"/>
    <d v="2025-01-03T07:30:00"/>
    <d v="2025-01-03T09:02:00"/>
    <n v="90.066666666666663"/>
    <n v="62.65"/>
    <x v="6"/>
    <d v="2025-01-04T09:32:00"/>
    <d v="2025-01-04T14:13:00"/>
    <n v="275.13333333333333"/>
    <x v="0"/>
    <d v="2025-01-04T19:43:00"/>
    <d v="2025-01-04T20:31:00"/>
    <n v="46.983333333333334"/>
    <x v="0"/>
    <n v="1.445138888891961"/>
    <x v="7"/>
    <n v="0.14513888889196092"/>
    <n v="34.683333333407063"/>
    <n v="16"/>
    <n v="18.683333333407063"/>
    <n v="8.3496877787360066"/>
    <x v="0"/>
  </r>
  <r>
    <x v="4"/>
    <x v="0"/>
    <d v="2025-01-03T00:00:00"/>
    <s v="OM02L7BM"/>
    <x v="0"/>
    <s v="UBP 311H"/>
    <s v="Ekwalikwa Yusuf"/>
    <s v="Kato Investment Ltd -Mubende"/>
    <n v="154.34400000000002"/>
    <s v="A19820"/>
    <x v="1"/>
    <x v="0"/>
    <x v="0"/>
    <x v="0"/>
    <x v="1"/>
    <x v="1"/>
    <n v="686"/>
    <n v="6"/>
    <x v="0"/>
    <d v="2025-01-03T07:58:00"/>
    <d v="2025-01-03T07:30:00"/>
    <d v="2025-01-03T08:58:00"/>
    <n v="86.15"/>
    <n v="58.733333333333334"/>
    <x v="5"/>
    <d v="2025-01-04T11:15:00"/>
    <d v="2025-01-04T16:00:00"/>
    <n v="279.05"/>
    <x v="0"/>
    <d v="2025-01-05T18:52:48"/>
    <d v="2025-01-05T19:49:48"/>
    <n v="55.8"/>
    <x v="0"/>
    <n v="2.4130555555530009"/>
    <x v="1"/>
    <n v="-8.6944444446999114E-2"/>
    <n v="57.913333333272021"/>
    <n v="32"/>
    <n v="25.913333333272021"/>
    <n v="5.9561615642024135"/>
    <x v="0"/>
  </r>
  <r>
    <x v="4"/>
    <x v="0"/>
    <d v="2025-01-03T00:00:00"/>
    <s v="OM02L77B"/>
    <x v="0"/>
    <s v="UBP 311H"/>
    <m/>
    <s v="KATO INVESTMENTS LTD-KATIKARA"/>
    <n v="156"/>
    <s v="A19813"/>
    <x v="5"/>
    <x v="0"/>
    <x v="0"/>
    <x v="0"/>
    <x v="5"/>
    <x v="5"/>
    <n v="842"/>
    <n v="12"/>
    <x v="0"/>
    <d v="2025-01-03T07:58:00"/>
    <d v="2025-01-03T07:30:00"/>
    <d v="2025-01-03T08:38:00"/>
    <n v="66.583333333333329"/>
    <n v="39.166666666666664"/>
    <x v="1"/>
    <d v="2025-01-04T09:53:00"/>
    <d v="2025-01-04T14:52:00"/>
    <n v="292.76666666666665"/>
    <x v="0"/>
    <d v="2025-01-05T19:40:00"/>
    <d v="2025-01-05T20:45:00"/>
    <n v="63.633333333333333"/>
    <x v="0"/>
    <n v="2.4597222222218988"/>
    <x v="0"/>
    <n v="0.45972222222189885"/>
    <n v="59.033333333325572"/>
    <n v="24"/>
    <n v="35.033333333325572"/>
    <n v="4.4529019980980369"/>
    <x v="0"/>
  </r>
  <r>
    <x v="4"/>
    <x v="0"/>
    <d v="2025-01-03T00:00:00"/>
    <s v="OM02L7BH"/>
    <x v="0"/>
    <s v="UBP 311H"/>
    <m/>
    <s v="Kobusinge Steven-FPortal"/>
    <n v="156"/>
    <s v="Z82046"/>
    <x v="11"/>
    <x v="0"/>
    <x v="0"/>
    <x v="0"/>
    <x v="11"/>
    <x v="11"/>
    <n v="386"/>
    <n v="-4"/>
    <x v="0"/>
    <d v="2025-01-03T07:58:00"/>
    <d v="2025-01-03T07:30:00"/>
    <d v="2025-01-03T08:38:00"/>
    <n v="66.583333333333329"/>
    <n v="39.166666666666664"/>
    <x v="1"/>
    <d v="2025-01-04T10:08:00"/>
    <d v="2025-01-04T14:57:00"/>
    <n v="282.96666666666664"/>
    <x v="0"/>
    <d v="2025-01-05T09:30:34"/>
    <d v="2025-01-05T10:35:34"/>
    <n v="63.633333333333333"/>
    <x v="0"/>
    <n v="2.0365000000019791"/>
    <x v="0"/>
    <n v="3.650000000197906E-2"/>
    <n v="48.876000000047497"/>
    <n v="24"/>
    <n v="24.876000000047497"/>
    <n v="6.2711046791969025"/>
    <x v="0"/>
  </r>
  <r>
    <x v="4"/>
    <x v="1"/>
    <d v="2025-01-03T12:01:02"/>
    <s v="OMJVKLYRR"/>
    <x v="1"/>
    <s v="UBJ 415C"/>
    <s v="Abel Mark naffa"/>
    <s v="KATO INVESTMENTS LIMITED-MASAK"/>
    <n v="153.60000000000002"/>
    <s v="F15660"/>
    <x v="14"/>
    <x v="1"/>
    <x v="0"/>
    <x v="1"/>
    <x v="14"/>
    <x v="14"/>
    <n v="255"/>
    <n v="-85"/>
    <x v="0"/>
    <d v="2025-01-03T16:10:00"/>
    <d v="2025-01-04T04:14:00"/>
    <d v="2025-01-03T16:54:00"/>
    <n v="-665.83333333333337"/>
    <n v="43.06666666666667"/>
    <x v="1"/>
    <d v="2025-01-04T12:00:00"/>
    <d v="2025-01-04T18:07:00"/>
    <n v="359.35"/>
    <x v="0"/>
    <d v="2025-01-06T13:03:00"/>
    <d v="2025-01-06T14:48:00"/>
    <n v="102.8"/>
    <x v="0"/>
    <n v="2.8395833333270275"/>
    <x v="8"/>
    <n v="1.8395833333270275"/>
    <n v="68.14999999984866"/>
    <n v="24"/>
    <n v="44.14999999984866"/>
    <n v="3.4790486976336701"/>
    <x v="10"/>
  </r>
  <r>
    <x v="4"/>
    <x v="1"/>
    <d v="2025-01-03T12:03:43"/>
    <s v="OMFII1DRR"/>
    <x v="0"/>
    <s v="UAV 051U"/>
    <s v="Angello Lumala"/>
    <s v="KATO INVESTMENTS LTD- KALISIZO"/>
    <n v="153.60000000000002"/>
    <s v="F15661"/>
    <x v="4"/>
    <x v="1"/>
    <x v="0"/>
    <x v="1"/>
    <x v="4"/>
    <x v="4"/>
    <n v="351"/>
    <n v="1"/>
    <x v="0"/>
    <d v="2025-01-04T00:31:43"/>
    <d v="2025-01-04T00:03:43"/>
    <d v="2025-01-04T01:15:43"/>
    <n v="70.483333333333334"/>
    <n v="43.06666666666667"/>
    <x v="1"/>
    <d v="2025-01-04T08:15:43"/>
    <d v="2025-01-04T13:15:43"/>
    <n v="293.75"/>
    <x v="0"/>
    <d v="2025-01-04T18:15:43"/>
    <d v="2025-01-04T19:15:43"/>
    <n v="58.733333333333334"/>
    <x v="0"/>
    <n v="0.70833333333575865"/>
    <x v="2"/>
    <n v="-0.9916666666642413"/>
    <n v="17.000000000058208"/>
    <n v="0"/>
    <n v="17.000000000058208"/>
    <n v="9.0352941176161234"/>
    <x v="0"/>
  </r>
  <r>
    <x v="4"/>
    <x v="1"/>
    <d v="2025-01-03T12:07:32"/>
    <s v="OMY3M6PRR"/>
    <x v="1"/>
    <s v="UBJ 988D"/>
    <s v="Tumusiime Robert"/>
    <s v="RUGOMA TRADERS CO. LTD NTUNGAM"/>
    <n v="153.60000000000002"/>
    <s v="F15662"/>
    <x v="15"/>
    <x v="1"/>
    <x v="0"/>
    <x v="1"/>
    <x v="15"/>
    <x v="15"/>
    <n v="130"/>
    <n v="0"/>
    <x v="0"/>
    <d v="2025-01-03T17:18:00"/>
    <d v="2025-01-04T06:15:00"/>
    <d v="2025-01-03T18:04:00"/>
    <n v="-715.7833333333333"/>
    <n v="45.033333333333331"/>
    <x v="1"/>
    <d v="2025-01-04T07:58:00"/>
    <d v="2025-01-04T13:28:00"/>
    <n v="323.11666666666667"/>
    <x v="0"/>
    <d v="2025-01-04T17:08:00"/>
    <d v="2025-01-04T18:50:00"/>
    <n v="99.86666666666666"/>
    <x v="0"/>
    <n v="0.96111111110803904"/>
    <x v="8"/>
    <n v="-3.888888889196096E-2"/>
    <n v="23.066666666592937"/>
    <n v="0"/>
    <n v="23.066666666592937"/>
    <n v="6.6589595375935398"/>
    <x v="0"/>
  </r>
  <r>
    <x v="4"/>
    <x v="0"/>
    <d v="2025-01-03T12:08:24"/>
    <s v="OM0MCP3RR"/>
    <x v="1"/>
    <s v="UBK 862R"/>
    <s v="SULAIMAN MUBIRU"/>
    <s v="Boniface Harera"/>
    <n v="156"/>
    <s v="F15663"/>
    <x v="10"/>
    <x v="0"/>
    <x v="0"/>
    <x v="0"/>
    <x v="10"/>
    <x v="10"/>
    <n v="492"/>
    <n v="22"/>
    <x v="0"/>
    <d v="2025-01-03T14:41:00"/>
    <d v="2025-01-04T01:30:00"/>
    <d v="2025-01-03T15:28:00"/>
    <n v="-589.4666666666667"/>
    <n v="46.016666666666666"/>
    <x v="1"/>
    <d v="2025-01-04T10:21:00"/>
    <d v="2025-01-04T14:29:00"/>
    <n v="242.83333333333334"/>
    <x v="0"/>
    <d v="2025-01-04T10:15:00"/>
    <d v="2025-01-04T11:21:00"/>
    <n v="64.61666666666666"/>
    <x v="0"/>
    <n v="0.78263888889341615"/>
    <x v="1"/>
    <n v="-1.7173611111065838"/>
    <n v="18.783333333441988"/>
    <n v="0"/>
    <n v="18.783333333441988"/>
    <n v="8.3052351374852318"/>
    <x v="0"/>
  </r>
  <r>
    <x v="4"/>
    <x v="1"/>
    <d v="2025-01-03T20:31:37"/>
    <s v="OMHN31TRR"/>
    <x v="1"/>
    <s v="UBJ 707D"/>
    <s v="Konge Husein"/>
    <s v="Kabaco U Ltd-Mbarara"/>
    <n v="151.80000000000001"/>
    <s v="Z82049"/>
    <x v="8"/>
    <x v="1"/>
    <x v="0"/>
    <x v="1"/>
    <x v="8"/>
    <x v="8"/>
    <n v="14"/>
    <n v="3"/>
    <x v="0"/>
    <d v="2025-01-04T07:29:00"/>
    <d v="2025-01-04T07:42:00"/>
    <d v="2025-01-04T08:22:00"/>
    <n v="39.166666666666664"/>
    <n v="51.883333333333333"/>
    <x v="0"/>
    <d v="2025-01-04T09:13:00"/>
    <d v="2025-01-04T12:48:00"/>
    <n v="210.51666666666668"/>
    <x v="0"/>
    <d v="2025-01-04T14:12:00"/>
    <d v="2025-01-04T14:47:00"/>
    <n v="34.266666666666666"/>
    <x v="0"/>
    <n v="0.24305555555474712"/>
    <x v="5"/>
    <n v="-0.55694444444525293"/>
    <n v="5.8333333333139308"/>
    <n v="0"/>
    <n v="5.8333333333139308"/>
    <n v="26.0228571429437"/>
    <x v="0"/>
  </r>
  <r>
    <x v="4"/>
    <x v="1"/>
    <d v="2025-01-03T20:38:28"/>
    <s v="OM4WLDZRR"/>
    <x v="0"/>
    <s v="UBA 523T"/>
    <s v="Kabene John"/>
    <s v="RUGOMA TRADERS CO. LTD NTUNGAM"/>
    <n v="153.60000000000002"/>
    <s v="F15664"/>
    <x v="15"/>
    <x v="1"/>
    <x v="0"/>
    <x v="1"/>
    <x v="15"/>
    <x v="15"/>
    <n v="131"/>
    <n v="1"/>
    <x v="0"/>
    <d v="2025-01-04T08:50:28"/>
    <d v="2025-01-04T08:38:28"/>
    <d v="2025-01-04T09:46:28"/>
    <n v="66.583333333333329"/>
    <n v="54.833333333333336"/>
    <x v="3"/>
    <d v="2025-01-04T12:02:28"/>
    <d v="2025-01-04T15:08:28"/>
    <n v="182.11666666666667"/>
    <x v="0"/>
    <d v="2025-01-04T18:38:28"/>
    <d v="2025-01-04T19:39:28"/>
    <n v="59.716666666666669"/>
    <x v="0"/>
    <n v="0.36944444444816327"/>
    <x v="8"/>
    <n v="-0.63055555555183673"/>
    <n v="8.8666666667559184"/>
    <n v="0"/>
    <n v="8.8666666667559184"/>
    <n v="17.323308270502316"/>
    <x v="0"/>
  </r>
  <r>
    <x v="4"/>
    <x v="1"/>
    <d v="2025-01-03T20:42:06"/>
    <s v="OMF1PUWRR"/>
    <x v="1"/>
    <s v="UBK 875R"/>
    <s v="Bisaso  Ronald"/>
    <s v="Ntale and Sons"/>
    <n v="151.94400000000002"/>
    <s v="A19824"/>
    <x v="19"/>
    <x v="1"/>
    <x v="0"/>
    <x v="1"/>
    <x v="19"/>
    <x v="19"/>
    <n v="819"/>
    <n v="9"/>
    <x v="0"/>
    <d v="2025-01-04T07:58:00"/>
    <d v="2025-01-03T21:30:00"/>
    <d v="2025-01-04T08:53:00"/>
    <n v="668.76666666666665"/>
    <n v="53.85"/>
    <x v="0"/>
    <d v="2025-01-06T14:32:00"/>
    <d v="2025-01-06T18:45:00"/>
    <n v="247.71666666666667"/>
    <x v="0"/>
    <d v="2025-01-07T20:41:00"/>
    <d v="2025-01-07T21:21:00"/>
    <n v="39.15"/>
    <x v="0"/>
    <n v="3.4916666666686069"/>
    <x v="4"/>
    <n v="0.49166666666860692"/>
    <n v="83.800000000046566"/>
    <n v="48"/>
    <n v="35.800000000046566"/>
    <n v="4.2442458100503462"/>
    <x v="0"/>
  </r>
  <r>
    <x v="4"/>
    <x v="1"/>
    <d v="2025-01-03T20:43:12"/>
    <s v="OM7HSU6RR"/>
    <x v="1"/>
    <s v="UBE 287X"/>
    <s v="Isaac Tumuhimbise"/>
    <s v="KATO INVESTMENTS LIMITED-MASAK"/>
    <n v="153.60000000000002"/>
    <s v="F15665"/>
    <x v="14"/>
    <x v="1"/>
    <x v="0"/>
    <x v="1"/>
    <x v="14"/>
    <x v="14"/>
    <n v="296"/>
    <n v="-44"/>
    <x v="0"/>
    <d v="2025-01-04T11:22:00"/>
    <d v="2025-01-04T04:14:00"/>
    <d v="2025-01-04T11:56:00"/>
    <n v="452.36666666666667"/>
    <n v="33.283333333333331"/>
    <x v="1"/>
    <d v="2025-01-05T09:05:00"/>
    <d v="2025-01-05T11:26:00"/>
    <n v="138.05000000000001"/>
    <x v="0"/>
    <d v="2025-01-05T15:58:00"/>
    <d v="2025-01-05T17:30:00"/>
    <n v="90.066666666666663"/>
    <x v="0"/>
    <n v="1.1680555555576575"/>
    <x v="8"/>
    <n v="0.1680555555576575"/>
    <n v="28.03333333338378"/>
    <n v="12"/>
    <n v="16.03333333338378"/>
    <n v="9.5800415800114394"/>
    <x v="0"/>
  </r>
  <r>
    <x v="4"/>
    <x v="0"/>
    <d v="2025-01-03T20:43:57"/>
    <s v="OMS5GYURR"/>
    <x v="1"/>
    <s v="UBP 301H"/>
    <s v="NAMINYA SIRAJE"/>
    <s v="Boniface Harera"/>
    <n v="156"/>
    <s v="F15666"/>
    <x v="10"/>
    <x v="0"/>
    <x v="0"/>
    <x v="0"/>
    <x v="10"/>
    <x v="10"/>
    <n v="492"/>
    <n v="22"/>
    <x v="0"/>
    <d v="2025-01-03T19:24:00"/>
    <d v="2025-01-04T01:30:00"/>
    <d v="2025-01-03T20:07:00"/>
    <n v="-316.28333333333336"/>
    <n v="42.1"/>
    <x v="1"/>
    <d v="2025-01-06T13:44:00"/>
    <d v="2025-01-06T13:48:00"/>
    <n v="3.9"/>
    <x v="0"/>
    <d v="2025-01-07T15:40:00"/>
    <d v="2025-01-07T18:44:00"/>
    <n v="180.15"/>
    <x v="1"/>
    <n v="3.8145833333328483"/>
    <x v="1"/>
    <n v="1.3145833333328483"/>
    <n v="91.549999999988358"/>
    <n v="36"/>
    <n v="55.549999999988358"/>
    <n v="2.8082808280833969"/>
    <x v="12"/>
  </r>
  <r>
    <x v="4"/>
    <x v="0"/>
    <d v="2025-01-03T20:44:46"/>
    <s v="OMF7GZSRR"/>
    <x v="1"/>
    <s v="UBE 680K"/>
    <s v="BYEKWASO TWAHA"/>
    <s v="Kato Investments Ltd-Bulenga"/>
    <n v="156"/>
    <s v="A19825"/>
    <x v="2"/>
    <x v="0"/>
    <x v="0"/>
    <x v="0"/>
    <x v="2"/>
    <x v="2"/>
    <n v="507"/>
    <n v="-53"/>
    <x v="0"/>
    <d v="2025-01-03T19:44:00"/>
    <d v="2025-01-03T21:30:00"/>
    <d v="2025-01-03T20:29:00"/>
    <n v="-59.733333333333334"/>
    <n v="44.05"/>
    <x v="1"/>
    <d v="2025-01-04T16:33:00"/>
    <d v="2025-01-04T21:13:00"/>
    <n v="274.16666666666669"/>
    <x v="0"/>
    <d v="2025-01-05T10:04:00"/>
    <d v="2025-01-05T11:48:00"/>
    <n v="101.83333333333333"/>
    <x v="0"/>
    <n v="1.5659722222262644"/>
    <x v="0"/>
    <n v="-0.43402777777373558"/>
    <n v="37.583333333430346"/>
    <n v="12"/>
    <n v="25.583333333430346"/>
    <n v="6.0977198696837176"/>
    <x v="0"/>
  </r>
  <r>
    <x v="4"/>
    <x v="1"/>
    <d v="2025-01-03T23:38:19"/>
    <s v="OMUDTTERR"/>
    <x v="1"/>
    <s v="UBE 419T"/>
    <s v="Kilabila Ismail"/>
    <s v="Rugoma Traders-Kanungu/Kihihi"/>
    <n v="153.60000000000002"/>
    <s v="F15667"/>
    <x v="23"/>
    <x v="1"/>
    <x v="0"/>
    <x v="1"/>
    <x v="23"/>
    <x v="14"/>
    <n v="338"/>
    <n v="-2"/>
    <x v="0"/>
    <d v="2025-01-04T18:25:00"/>
    <d v="2025-01-04T08:30:00"/>
    <d v="2025-01-04T19:09:00"/>
    <n v="625.68333333333328"/>
    <n v="43.06666666666667"/>
    <x v="1"/>
    <d v="2025-01-05T10:51:00"/>
    <d v="2025-01-05T15:45:00"/>
    <n v="287.86666666666667"/>
    <x v="0"/>
    <d v="2025-01-06T11:17:00"/>
    <d v="2025-01-06T12:34:00"/>
    <n v="75.38333333333334"/>
    <x v="0"/>
    <n v="1.6722222222160781"/>
    <x v="3"/>
    <n v="0.17222222221607808"/>
    <n v="40.133333333185874"/>
    <n v="12"/>
    <n v="28.133333333185874"/>
    <n v="5.4597156398390441"/>
    <x v="0"/>
  </r>
  <r>
    <x v="4"/>
    <x v="1"/>
    <d v="2025-01-03T23:39:11"/>
    <s v="OM8Y8XJRR"/>
    <x v="1"/>
    <s v="UBJ 375N"/>
    <s v="Stephen Musoke "/>
    <s v="Agaba Services"/>
    <n v="153.60000000000002"/>
    <s v="F15668"/>
    <x v="20"/>
    <x v="1"/>
    <x v="0"/>
    <x v="1"/>
    <x v="20"/>
    <x v="20"/>
    <n v="290"/>
    <n v="-12"/>
    <x v="0"/>
    <d v="2025-01-04T13:16:00"/>
    <d v="2025-01-04T08:30:00"/>
    <d v="2025-01-04T14:00:00"/>
    <n v="323.11666666666667"/>
    <n v="43.06666666666667"/>
    <x v="1"/>
    <d v="2025-01-04T18:38:00"/>
    <d v="2025-01-05T10:34:00"/>
    <n v="936.08333333333337"/>
    <x v="0"/>
    <d v="2025-01-05T14:44:00"/>
    <d v="2025-01-05T15:29:00"/>
    <n v="44.05"/>
    <x v="0"/>
    <n v="1.0305555555532919"/>
    <x v="8"/>
    <n v="3.0555555553291924E-2"/>
    <n v="24.733333333279006"/>
    <n v="12"/>
    <n v="12.733333333279006"/>
    <n v="12.062827225182359"/>
    <x v="0"/>
  </r>
  <r>
    <x v="4"/>
    <x v="1"/>
    <d v="2025-01-03T23:39:53"/>
    <s v="OM4CG3KRR"/>
    <x v="0"/>
    <s v="UAY 265V"/>
    <s v="Luyaga Isaac"/>
    <s v="KATO INVESTMENTS LTD- KALISIZO"/>
    <n v="152.00200000000001"/>
    <s v="F15669"/>
    <x v="4"/>
    <x v="1"/>
    <x v="0"/>
    <x v="1"/>
    <x v="4"/>
    <x v="4"/>
    <n v="351"/>
    <n v="1"/>
    <x v="0"/>
    <d v="2025-01-04T11:06:00"/>
    <d v="2025-01-04T08:30:00"/>
    <d v="2025-01-04T11:59:00"/>
    <n v="204.63333333333333"/>
    <n v="51.883333333333333"/>
    <x v="7"/>
    <d v="2025-01-04T19:21:00"/>
    <d v="2025-01-05T13:10:00"/>
    <n v="1046.7166666666667"/>
    <x v="0"/>
    <d v="2025-01-05T18:10:00"/>
    <d v="2025-01-05T18:46:00"/>
    <n v="35.25"/>
    <x v="0"/>
    <n v="1.257638888891961"/>
    <x v="2"/>
    <n v="-0.442361111108039"/>
    <n v="30.183333333407063"/>
    <n v="16"/>
    <n v="14.183333333407063"/>
    <n v="10.716944770802105"/>
    <x v="0"/>
  </r>
  <r>
    <x v="4"/>
    <x v="0"/>
    <d v="2025-01-04T00:00:00"/>
    <s v="OM02L7HP"/>
    <x v="0"/>
    <s v="UBE 690K"/>
    <s v="MUKOSE MUZAMIRU"/>
    <s v="Rugoma Traders-Rukungiri"/>
    <n v="156"/>
    <s v="Z82057"/>
    <x v="17"/>
    <x v="0"/>
    <x v="0"/>
    <x v="0"/>
    <x v="17"/>
    <x v="17"/>
    <n v="265"/>
    <n v="9"/>
    <x v="0"/>
    <d v="2025-01-04T07:58:00"/>
    <d v="2025-01-04T07:30:00"/>
    <d v="2025-01-04T08:38:00"/>
    <n v="66.583333333333329"/>
    <n v="39.166666666666664"/>
    <x v="1"/>
    <d v="2025-01-04T15:38:00"/>
    <d v="2025-01-04T18:02:00"/>
    <n v="140.98333333333332"/>
    <x v="0"/>
    <d v="2025-01-04T21:02:00"/>
    <d v="2025-01-04T21:42:00"/>
    <n v="39.166666666666664"/>
    <x v="0"/>
    <n v="0.51666666666278616"/>
    <x v="8"/>
    <n v="-0.48333333333721384"/>
    <n v="12.399999999906868"/>
    <n v="0"/>
    <n v="12.399999999906868"/>
    <n v="12.580645161384812"/>
    <x v="0"/>
  </r>
  <r>
    <x v="4"/>
    <x v="0"/>
    <d v="2025-01-04T00:00:00"/>
    <s v="OM02L7EK"/>
    <x v="0"/>
    <s v="UBE 690K"/>
    <s v="MUKOSE MUZAMIRU"/>
    <s v="Kato Investment Ltd -Kagadi"/>
    <n v="156"/>
    <s v="A19840"/>
    <x v="12"/>
    <x v="0"/>
    <x v="0"/>
    <x v="0"/>
    <x v="12"/>
    <x v="12"/>
    <n v="612"/>
    <n v="0"/>
    <x v="0"/>
    <d v="2025-01-04T07:32:00"/>
    <d v="2025-01-04T07:30:00"/>
    <d v="2025-01-04T08:04:00"/>
    <n v="33.283333333333331"/>
    <n v="31.316666666666666"/>
    <x v="1"/>
    <d v="2025-01-05T11:34:00"/>
    <d v="2025-01-05T18:24:00"/>
    <n v="401.45"/>
    <x v="0"/>
    <d v="2025-01-06T14:59:31"/>
    <d v="2025-01-06T15:44:31"/>
    <n v="44.05"/>
    <x v="0"/>
    <n v="2.2885555555549217"/>
    <x v="6"/>
    <n v="-1.1444444445078084E-2"/>
    <n v="54.925333333318122"/>
    <n v="24"/>
    <n v="30.925333333318122"/>
    <n v="5.0444080365636612"/>
    <x v="0"/>
  </r>
  <r>
    <x v="4"/>
    <x v="0"/>
    <d v="2025-01-04T00:00:00"/>
    <s v="OM02L7EN"/>
    <x v="0"/>
    <s v="UBE 678K"/>
    <m/>
    <s v="Ntale and Sons Ltd-Kakiri"/>
    <n v="156"/>
    <s v="A19842"/>
    <x v="22"/>
    <x v="0"/>
    <x v="0"/>
    <x v="0"/>
    <x v="22"/>
    <x v="21"/>
    <n v="602"/>
    <n v="-18"/>
    <x v="0"/>
    <d v="2025-01-04T08:11:00"/>
    <d v="2025-01-04T07:30:00"/>
    <d v="2025-01-04T08:38:00"/>
    <n v="66.583333333333329"/>
    <n v="26.433333333333334"/>
    <x v="1"/>
    <d v="2025-01-04T21:08:00"/>
    <d v="2025-01-05T15:22:24"/>
    <n v="1071.5999999999999"/>
    <x v="0"/>
    <d v="2025-01-06T11:10:24"/>
    <d v="2025-01-06T12:01:24"/>
    <n v="49.93333333333333"/>
    <x v="0"/>
    <n v="2.1058333333348855"/>
    <x v="0"/>
    <n v="0.10583333333488554"/>
    <n v="50.540000000037253"/>
    <n v="24"/>
    <n v="26.540000000037253"/>
    <n v="5.87792012056447"/>
    <x v="0"/>
  </r>
  <r>
    <x v="4"/>
    <x v="0"/>
    <d v="2025-01-04T00:00:00"/>
    <s v="OM02L7HG"/>
    <x v="0"/>
    <s v="UBE 690K"/>
    <s v="MUKOSE MUZAMIRU"/>
    <s v="Kobusinge Steven-FPortal"/>
    <n v="156"/>
    <s v="Z82054"/>
    <x v="11"/>
    <x v="0"/>
    <x v="0"/>
    <x v="0"/>
    <x v="11"/>
    <x v="11"/>
    <n v="386"/>
    <n v="-4"/>
    <x v="0"/>
    <d v="2025-01-04T07:58:00"/>
    <d v="2025-01-04T07:30:00"/>
    <d v="2025-01-04T08:38:00"/>
    <n v="66.583333333333329"/>
    <n v="39.166666666666664"/>
    <x v="1"/>
    <d v="2025-01-05T10:08:00"/>
    <d v="2025-01-06T11:34:24"/>
    <n v="1494.5833333333333"/>
    <x v="0"/>
    <d v="2025-01-06T10:51:12"/>
    <d v="2025-01-06T11:48:12"/>
    <n v="55.8"/>
    <x v="0"/>
    <n v="2.0924999999988358"/>
    <x v="0"/>
    <n v="9.2499999998835847E-2"/>
    <n v="50.21999999997206"/>
    <n v="24"/>
    <n v="26.21999999997206"/>
    <n v="5.9496567505784226"/>
    <x v="0"/>
  </r>
  <r>
    <x v="4"/>
    <x v="0"/>
    <d v="2025-01-04T00:00:00"/>
    <s v="OM02L7HR"/>
    <x v="0"/>
    <s v="UBE 690K"/>
    <s v="MUKOSE MUZAMIRU"/>
    <s v="Kato Investment Ltd -Kagadi"/>
    <n v="156"/>
    <s v="A19849"/>
    <x v="12"/>
    <x v="0"/>
    <x v="0"/>
    <x v="0"/>
    <x v="12"/>
    <x v="12"/>
    <n v="603"/>
    <n v="-9"/>
    <x v="0"/>
    <d v="2025-01-04T12:28:00"/>
    <d v="2025-01-04T12:00:00"/>
    <d v="2025-01-04T13:32:00"/>
    <n v="90.066666666666663"/>
    <n v="62.65"/>
    <x v="6"/>
    <d v="2025-01-05T15:32:00"/>
    <d v="2025-01-05T20:20:00"/>
    <n v="281.98333333333335"/>
    <x v="0"/>
    <d v="2025-01-06T16:55:31"/>
    <d v="2025-01-06T17:50:31"/>
    <n v="53.85"/>
    <x v="0"/>
    <n v="2.1413333333330229"/>
    <x v="6"/>
    <n v="-0.15866666666697693"/>
    <n v="51.391999999992549"/>
    <n v="32"/>
    <n v="19.391999999992549"/>
    <n v="8.044554455448635"/>
    <x v="0"/>
  </r>
  <r>
    <x v="4"/>
    <x v="0"/>
    <d v="2025-01-04T00:00:00"/>
    <s v="OM02L7HJ"/>
    <x v="0"/>
    <s v="UBE 678K"/>
    <m/>
    <s v="Kabaco U Ltd"/>
    <n v="156"/>
    <s v="Z82055"/>
    <x v="6"/>
    <x v="0"/>
    <x v="0"/>
    <x v="0"/>
    <x v="6"/>
    <x v="6"/>
    <n v="321"/>
    <n v="1"/>
    <x v="0"/>
    <d v="2025-01-04T07:58:00"/>
    <d v="2025-01-04T07:30:00"/>
    <d v="2025-01-04T08:38:00"/>
    <n v="66.583333333333329"/>
    <n v="39.166666666666664"/>
    <x v="1"/>
    <d v="2025-01-04T14:38:00"/>
    <d v="2025-01-04T17:44:00"/>
    <n v="182.11666666666667"/>
    <x v="0"/>
    <d v="2025-01-05T10:03:12"/>
    <d v="2025-01-05T11:06:12"/>
    <n v="61.68333333333333"/>
    <x v="0"/>
    <n v="1.0591666666659876"/>
    <x v="3"/>
    <n v="-0.44083333333401242"/>
    <n v="25.419999999983702"/>
    <n v="12"/>
    <n v="13.419999999983702"/>
    <n v="11.624441132651972"/>
    <x v="0"/>
  </r>
  <r>
    <x v="4"/>
    <x v="0"/>
    <d v="2025-01-04T00:00:00"/>
    <s v="OM02L7HQ"/>
    <x v="0"/>
    <s v="UBE 678K"/>
    <m/>
    <s v="Kobusinge Steven-Kamwenge"/>
    <n v="156"/>
    <s v="Z82058"/>
    <x v="13"/>
    <x v="0"/>
    <x v="0"/>
    <x v="0"/>
    <x v="13"/>
    <x v="13"/>
    <n v="236"/>
    <n v="6"/>
    <x v="0"/>
    <d v="2025-01-04T07:58:00"/>
    <d v="2025-01-04T07:30:00"/>
    <d v="2025-01-04T08:38:00"/>
    <n v="66.583333333333329"/>
    <n v="39.166666666666664"/>
    <x v="1"/>
    <d v="2025-01-05T09:08:00"/>
    <d v="2025-01-05T13:24:00"/>
    <n v="250.65"/>
    <x v="0"/>
    <d v="2025-01-05T18:54:00"/>
    <d v="2025-01-05T19:59:00"/>
    <n v="63.633333333333333"/>
    <x v="0"/>
    <n v="1.4277777777751908"/>
    <x v="7"/>
    <n v="0.12777777777519073"/>
    <n v="34.266666666604578"/>
    <n v="12"/>
    <n v="22.266666666604578"/>
    <n v="7.0059880239716312"/>
    <x v="0"/>
  </r>
  <r>
    <x v="4"/>
    <x v="1"/>
    <d v="2025-01-04T11:34:15"/>
    <s v="OMWYCZRRR"/>
    <x v="1"/>
    <s v="UBJ 707D"/>
    <s v="Konge Husein"/>
    <s v="KATO INVESTMENTS LTD- KALISIZO"/>
    <n v="153.60000000000002"/>
    <s v="F15670"/>
    <x v="4"/>
    <x v="1"/>
    <x v="0"/>
    <x v="1"/>
    <x v="4"/>
    <x v="4"/>
    <n v="374"/>
    <n v="24"/>
    <x v="0"/>
    <d v="2025-01-04T15:05:00"/>
    <d v="2025-01-05T08:00:00"/>
    <d v="2025-01-04T15:51:00"/>
    <n v="-948.81666666666672"/>
    <n v="45.033333333333331"/>
    <x v="1"/>
    <d v="2025-01-05T09:25:00"/>
    <d v="2025-01-05T15:31:00"/>
    <n v="358.36666666666667"/>
    <x v="0"/>
    <d v="2025-01-06T12:25:00"/>
    <d v="2025-01-06T13:26:00"/>
    <n v="59.716666666666669"/>
    <x v="0"/>
    <n v="1.8569444444437977"/>
    <x v="2"/>
    <n v="0.15694444444379774"/>
    <n v="44.566666666651145"/>
    <n v="12"/>
    <n v="32.566666666651145"/>
    <n v="4.7164790174024533"/>
    <x v="0"/>
  </r>
  <r>
    <x v="4"/>
    <x v="1"/>
    <d v="2025-01-04T11:41:53"/>
    <s v="OM2E5A6RR"/>
    <x v="1"/>
    <s v="UBE 422T"/>
    <s v="Jacob Oneka"/>
    <s v="KATO INVESTMENTS LIMITED-MASAK"/>
    <n v="153.60000000000002"/>
    <s v="F15671"/>
    <x v="14"/>
    <x v="1"/>
    <x v="0"/>
    <x v="1"/>
    <x v="14"/>
    <x v="14"/>
    <n v="299"/>
    <n v="-41"/>
    <x v="0"/>
    <d v="2025-01-04T14:29:00"/>
    <d v="2025-01-05T04:14:00"/>
    <d v="2025-01-04T15:03:00"/>
    <n v="-774.5333333333333"/>
    <n v="33.283333333333331"/>
    <x v="1"/>
    <d v="2025-01-04T18:43:00"/>
    <d v="2025-01-05T13:28:00"/>
    <n v="1101.55"/>
    <x v="0"/>
    <d v="2025-01-05T17:50:00"/>
    <d v="2025-01-05T19:08:00"/>
    <n v="76.36666666666666"/>
    <x v="0"/>
    <n v="1.1159722222218988"/>
    <x v="8"/>
    <n v="0.11597222222189885"/>
    <n v="26.783333333325572"/>
    <n v="12"/>
    <n v="14.783333333325572"/>
    <n v="10.390078917705569"/>
    <x v="0"/>
  </r>
  <r>
    <x v="4"/>
    <x v="0"/>
    <d v="2025-01-04T19:37:50"/>
    <s v="OMO3M45RR"/>
    <x v="1"/>
    <s v="UBK 882R"/>
    <s v="NASASIRA STEPHENE"/>
    <s v="Kato Investment Ltd -Mityana"/>
    <n v="187.20000000000002"/>
    <s v="A19850"/>
    <x v="16"/>
    <x v="0"/>
    <x v="0"/>
    <x v="0"/>
    <x v="16"/>
    <x v="16"/>
    <n v="784"/>
    <n v="94"/>
    <x v="1"/>
    <d v="2025-01-05T10:16:00"/>
    <d v="2025-01-04T21:00:00"/>
    <d v="2025-01-05T11:00:00"/>
    <n v="822.5"/>
    <n v="43.06666666666667"/>
    <x v="1"/>
    <d v="2025-01-06T10:17:00"/>
    <d v="2025-01-06T12:25:00"/>
    <n v="125.31666666666666"/>
    <x v="0"/>
    <d v="2025-01-07T06:25:00"/>
    <d v="2025-01-07T09:45:00"/>
    <n v="195.83333333333334"/>
    <x v="3"/>
    <n v="1.8090277777737356"/>
    <x v="0"/>
    <n v="-0.19097222222626442"/>
    <n v="43.416666666569654"/>
    <n v="12"/>
    <n v="31.416666666569654"/>
    <n v="5.9586206896735732"/>
    <x v="0"/>
  </r>
  <r>
    <x v="4"/>
    <x v="0"/>
    <d v="2025-01-04T19:38:31"/>
    <s v="OMCD8ZSRR"/>
    <x v="0"/>
    <s v="UBJ 417C"/>
    <m/>
    <s v="Boniface Harera"/>
    <n v="156"/>
    <s v="F15672"/>
    <x v="10"/>
    <x v="0"/>
    <x v="0"/>
    <x v="0"/>
    <x v="10"/>
    <x v="10"/>
    <n v="465"/>
    <n v="-5"/>
    <x v="0"/>
    <d v="2025-01-05T08:06:31"/>
    <d v="2025-01-05T07:38:31"/>
    <d v="2025-01-05T09:10:31"/>
    <n v="90.066666666666663"/>
    <n v="62.65"/>
    <x v="6"/>
    <d v="2025-01-06T10:40:31"/>
    <d v="2025-01-06T15:55:31"/>
    <n v="308.43333333333334"/>
    <x v="0"/>
    <d v="2025-01-07T14:43:31"/>
    <d v="2025-01-07T15:43:31"/>
    <n v="58.733333333333334"/>
    <x v="0"/>
    <n v="2.2312499999970896"/>
    <x v="1"/>
    <n v="-0.26875000000291038"/>
    <n v="53.549999999930151"/>
    <n v="32"/>
    <n v="21.549999999930151"/>
    <n v="7.2389791183529297"/>
    <x v="0"/>
  </r>
  <r>
    <x v="4"/>
    <x v="1"/>
    <d v="2025-01-04T19:40:31"/>
    <s v="OMA2QVIRR"/>
    <x v="1"/>
    <s v="UBJ 988D"/>
    <s v="Tumusiime Robert"/>
    <s v="Agaba Services"/>
    <n v="153.60000000000002"/>
    <s v="F15673"/>
    <x v="20"/>
    <x v="1"/>
    <x v="0"/>
    <x v="1"/>
    <x v="20"/>
    <x v="20"/>
    <n v="291"/>
    <n v="-11"/>
    <x v="0"/>
    <d v="2025-01-05T07:35:00"/>
    <d v="2025-01-05T04:15:00"/>
    <d v="2025-01-05T08:22:00"/>
    <n v="241.85"/>
    <n v="46.016666666666666"/>
    <x v="1"/>
    <d v="2025-01-05T14:11:00"/>
    <d v="2025-01-05T16:38:00"/>
    <n v="143.93333333333334"/>
    <x v="0"/>
    <d v="2025-01-06T10:45:00"/>
    <d v="2025-01-06T13:43:00"/>
    <n v="174.28333333333333"/>
    <x v="3"/>
    <n v="1.0993055555518367"/>
    <x v="8"/>
    <n v="9.9305555551836733E-2"/>
    <n v="26.383333333244082"/>
    <n v="12"/>
    <n v="14.383333333244082"/>
    <n v="10.679026651282953"/>
    <x v="0"/>
  </r>
  <r>
    <x v="4"/>
    <x v="1"/>
    <d v="2025-01-04T19:54:57"/>
    <s v="OMG49BWRR"/>
    <x v="0"/>
    <s v="UAT 351G"/>
    <s v="Hamudi Sesanga"/>
    <s v="RUGOMA TRADERS CO. LTD NTUNGAM"/>
    <n v="153.60000000000002"/>
    <s v="F15674"/>
    <x v="15"/>
    <x v="1"/>
    <x v="0"/>
    <x v="1"/>
    <x v="15"/>
    <x v="15"/>
    <n v="131"/>
    <n v="1"/>
    <x v="0"/>
    <d v="2025-01-05T08:22:57"/>
    <d v="2025-01-05T07:54:57"/>
    <d v="2025-01-05T09:06:57"/>
    <n v="70.483333333333334"/>
    <n v="43.06666666666667"/>
    <x v="1"/>
    <d v="2025-01-05T11:36:57"/>
    <d v="2025-01-05T17:36:57"/>
    <n v="352.5"/>
    <x v="0"/>
    <d v="2025-01-05T21:06:57"/>
    <d v="2025-01-05T22:11:57"/>
    <n v="63.633333333333333"/>
    <x v="0"/>
    <n v="0.5"/>
    <x v="8"/>
    <n v="-0.5"/>
    <n v="12"/>
    <n v="0"/>
    <n v="12"/>
    <n v="12.800000000000002"/>
    <x v="0"/>
  </r>
  <r>
    <x v="4"/>
    <x v="1"/>
    <d v="2025-01-04T20:23:20"/>
    <s v="OM96U3ORR"/>
    <x v="1"/>
    <s v="UBA 523T"/>
    <s v="Kabene John"/>
    <s v="Ntale and Sons"/>
    <n v="153.60000000000002"/>
    <s v="A19851"/>
    <x v="19"/>
    <x v="1"/>
    <x v="0"/>
    <x v="1"/>
    <x v="19"/>
    <x v="19"/>
    <n v="812"/>
    <n v="2"/>
    <x v="0"/>
    <d v="2025-01-06T10:29:00"/>
    <d v="2025-01-04T21:30:00"/>
    <d v="2025-01-06T11:13:00"/>
    <n v="2215.85"/>
    <n v="43.06666666666667"/>
    <x v="1"/>
    <d v="2025-01-07T10:10:00"/>
    <d v="2025-01-07T16:19:00"/>
    <n v="361.3"/>
    <x v="0"/>
    <d v="2025-01-08T14:54:00"/>
    <d v="2025-01-08T17:07:00"/>
    <n v="130.21666666666667"/>
    <x v="4"/>
    <n v="2.1534722222204437"/>
    <x v="4"/>
    <n v="-0.84652777777955635"/>
    <n v="51.683333333290648"/>
    <n v="24"/>
    <n v="27.683333333290648"/>
    <n v="5.5484647802614155"/>
    <x v="0"/>
  </r>
  <r>
    <x v="4"/>
    <x v="1"/>
    <d v="2025-01-04T23:12:04"/>
    <s v="OM4RC6WRR"/>
    <x v="1"/>
    <s v="UAV 203T"/>
    <s v="Mugisha  George"/>
    <s v="Kato Investments Ltd-Bulenga"/>
    <n v="153.60000000000002"/>
    <s v="A19856"/>
    <x v="2"/>
    <x v="1"/>
    <x v="0"/>
    <x v="1"/>
    <x v="2"/>
    <x v="2"/>
    <n v="597"/>
    <n v="37"/>
    <x v="3"/>
    <d v="2025-01-05T15:45:00"/>
    <d v="2025-01-05T20:13:00"/>
    <d v="2025-01-05T16:38:00"/>
    <n v="-210.53333333333333"/>
    <n v="51.883333333333333"/>
    <x v="0"/>
    <d v="2025-01-06T11:58:00"/>
    <d v="2025-01-07T14:00:00"/>
    <n v="1529.45"/>
    <x v="0"/>
    <d v="2025-01-08T12:02:00"/>
    <d v="2025-01-08T13:21:00"/>
    <n v="77.349999999999994"/>
    <x v="0"/>
    <n v="2.8083333333270275"/>
    <x v="0"/>
    <n v="0.8083333333270275"/>
    <n v="67.39999999984866"/>
    <n v="32"/>
    <n v="35.39999999984866"/>
    <n v="4.3389830508660081"/>
    <x v="4"/>
  </r>
  <r>
    <x v="4"/>
    <x v="1"/>
    <d v="2025-01-04T23:14:37"/>
    <s v="OM9SFUBRR"/>
    <x v="0"/>
    <s v="UBA 523T"/>
    <s v="Kabene John"/>
    <s v="Kabaco U Ltd-Mbarara"/>
    <n v="153.60000000000002"/>
    <s v="Z82060"/>
    <x v="8"/>
    <x v="1"/>
    <x v="0"/>
    <x v="1"/>
    <x v="8"/>
    <x v="8"/>
    <n v="12"/>
    <n v="1"/>
    <x v="0"/>
    <d v="2025-01-05T11:42:37"/>
    <d v="2025-01-05T11:14:37"/>
    <d v="2025-01-05T12:29:37"/>
    <n v="73.433333333333337"/>
    <n v="46.016666666666666"/>
    <x v="8"/>
    <d v="2025-01-05T13:00:37"/>
    <d v="2025-01-05T16:56:37"/>
    <n v="231.08333333333334"/>
    <x v="0"/>
    <d v="2025-01-05T17:28:37"/>
    <d v="2025-01-05T18:44:37"/>
    <n v="74.400000000000006"/>
    <x v="0"/>
    <n v="0.20763888888905058"/>
    <x v="5"/>
    <n v="-0.59236111111094947"/>
    <n v="4.9833333333372138"/>
    <n v="0"/>
    <n v="4.9833333333372138"/>
    <n v="30.82274247489239"/>
    <x v="0"/>
  </r>
  <r>
    <x v="4"/>
    <x v="1"/>
    <d v="2025-01-04T23:29:34"/>
    <s v="OMC6AUJRR"/>
    <x v="0"/>
    <s v="UAV 051U"/>
    <s v="Angello Lumala"/>
    <s v="KATO INVESTMENTS LTD- KALISIZO"/>
    <n v="153.60000000000002"/>
    <s v="F15675"/>
    <x v="4"/>
    <x v="1"/>
    <x v="0"/>
    <x v="1"/>
    <x v="4"/>
    <x v="4"/>
    <n v="351"/>
    <n v="1"/>
    <x v="0"/>
    <d v="2025-01-05T11:57:34"/>
    <d v="2025-01-05T11:29:34"/>
    <d v="2025-01-05T12:57:34"/>
    <n v="86.15"/>
    <n v="58.733333333333334"/>
    <x v="9"/>
    <d v="2025-01-05T19:57:34"/>
    <d v="2025-01-06T14:09:05"/>
    <n v="1068.7666666666667"/>
    <x v="0"/>
    <d v="2025-01-06T19:09:05"/>
    <d v="2025-01-06T19:53:05"/>
    <n v="43.06666666666667"/>
    <x v="0"/>
    <n v="1.2580000000016298"/>
    <x v="2"/>
    <n v="-0.44199999999837014"/>
    <n v="30.192000000039116"/>
    <n v="16"/>
    <n v="14.192000000039116"/>
    <n v="10.822998872574455"/>
    <x v="0"/>
  </r>
  <r>
    <x v="4"/>
    <x v="0"/>
    <d v="2025-01-05T00:00:00"/>
    <s v="OM02L7NZ"/>
    <x v="0"/>
    <s v="UBE 690K"/>
    <s v="MUKOSE MUZAMIRU"/>
    <s v="Rugoma Traders-Rukungiri"/>
    <n v="156"/>
    <s v="Z82079"/>
    <x v="17"/>
    <x v="0"/>
    <x v="0"/>
    <x v="0"/>
    <x v="17"/>
    <x v="17"/>
    <n v="265"/>
    <n v="9"/>
    <x v="0"/>
    <d v="2025-01-05T07:58:00"/>
    <d v="2025-01-05T07:30:00"/>
    <d v="2025-01-05T09:02:00"/>
    <n v="90.066666666666663"/>
    <n v="62.65"/>
    <x v="6"/>
    <d v="2025-01-05T16:12:00"/>
    <d v="2025-01-05T18:36:00"/>
    <n v="140.98333333333332"/>
    <x v="0"/>
    <d v="2025-01-05T21:36:00"/>
    <d v="2025-01-05T22:52:00"/>
    <n v="74.400000000000006"/>
    <x v="0"/>
    <n v="0.52361111110803904"/>
    <x v="8"/>
    <n v="-0.47638888889196096"/>
    <n v="12.566666666592937"/>
    <n v="0"/>
    <n v="12.566666666592937"/>
    <n v="12.413793103521108"/>
    <x v="0"/>
  </r>
  <r>
    <x v="4"/>
    <x v="0"/>
    <d v="2025-01-05T00:00:00"/>
    <s v="OM02L7P3"/>
    <x v="0"/>
    <s v="UBE 687K"/>
    <m/>
    <s v="Kobusinge Steven-Kamwenge"/>
    <n v="156"/>
    <s v="Z82080"/>
    <x v="13"/>
    <x v="0"/>
    <x v="0"/>
    <x v="0"/>
    <x v="13"/>
    <x v="13"/>
    <n v="234"/>
    <n v="4"/>
    <x v="0"/>
    <d v="2025-01-05T07:58:00"/>
    <d v="2025-01-05T07:30:00"/>
    <d v="2025-01-05T08:42:00"/>
    <n v="70.483333333333334"/>
    <n v="43.06666666666667"/>
    <x v="1"/>
    <d v="2025-01-06T09:12:00"/>
    <d v="2025-01-06T11:19:00"/>
    <n v="124.35"/>
    <x v="0"/>
    <d v="2025-01-06T16:49:00"/>
    <d v="2025-01-06T17:37:00"/>
    <n v="46.983333333333334"/>
    <x v="0"/>
    <n v="1.3381944444408873"/>
    <x v="7"/>
    <n v="3.8194444440887265E-2"/>
    <n v="32.116666666581295"/>
    <n v="12"/>
    <n v="20.116666666581295"/>
    <n v="7.7547638774148488"/>
    <x v="0"/>
  </r>
  <r>
    <x v="4"/>
    <x v="0"/>
    <d v="2025-01-05T00:00:00"/>
    <s v="OM02L7NY"/>
    <x v="0"/>
    <s v="UBP 311H"/>
    <m/>
    <s v="Kobusinge Steven-FPortal"/>
    <n v="156"/>
    <s v="Z82078"/>
    <x v="11"/>
    <x v="0"/>
    <x v="0"/>
    <x v="0"/>
    <x v="11"/>
    <x v="11"/>
    <n v="409"/>
    <n v="19"/>
    <x v="0"/>
    <d v="2025-01-05T07:58:00"/>
    <d v="2025-01-05T07:30:00"/>
    <d v="2025-01-05T08:46:00"/>
    <n v="74.400000000000006"/>
    <n v="46.983333333333334"/>
    <x v="1"/>
    <d v="2025-01-06T10:16:00"/>
    <d v="2025-01-06T15:49:00"/>
    <n v="326.05"/>
    <x v="0"/>
    <d v="2025-01-07T08:55:22"/>
    <d v="2025-01-07T09:31:22"/>
    <n v="35.25"/>
    <x v="0"/>
    <n v="2.0065000000031432"/>
    <x v="0"/>
    <n v="6.5000000031432137E-3"/>
    <n v="48.156000000075437"/>
    <n v="24"/>
    <n v="24.156000000075437"/>
    <n v="6.4580228514453069"/>
    <x v="0"/>
  </r>
  <r>
    <x v="4"/>
    <x v="0"/>
    <d v="2025-01-05T00:00:00"/>
    <s v="OM02L7PK"/>
    <x v="0"/>
    <s v="UBE 690K"/>
    <s v="MUKOSE MUZAMIRU"/>
    <s v="Kobusinge Acaali- Kyenjojo"/>
    <n v="156"/>
    <s v="Z82081"/>
    <x v="3"/>
    <x v="0"/>
    <x v="0"/>
    <x v="0"/>
    <x v="3"/>
    <x v="3"/>
    <n v="496"/>
    <n v="16"/>
    <x v="0"/>
    <d v="2025-01-05T08:11:00"/>
    <d v="2025-01-05T07:30:00"/>
    <d v="2025-01-05T08:38:00"/>
    <n v="66.583333333333329"/>
    <n v="26.433333333333334"/>
    <x v="1"/>
    <d v="2025-01-06T10:38:00"/>
    <d v="2025-01-06T13:58:00"/>
    <n v="195.83333333333334"/>
    <x v="0"/>
    <d v="2025-01-07T16:24:44"/>
    <d v="2025-01-07T17:24:44"/>
    <n v="58.733333333333334"/>
    <x v="0"/>
    <n v="2.3241222222277429"/>
    <x v="1"/>
    <n v="-0.1758777777722571"/>
    <n v="55.778933333465829"/>
    <n v="24"/>
    <n v="31.778933333465829"/>
    <n v="4.9089124031648721"/>
    <x v="0"/>
  </r>
  <r>
    <x v="4"/>
    <x v="0"/>
    <d v="2025-01-05T00:00:00"/>
    <s v="OM02L7LG"/>
    <x v="0"/>
    <s v="UBP 311H"/>
    <m/>
    <s v="Kabaco U Ltd"/>
    <n v="156"/>
    <s v="Z82067"/>
    <x v="6"/>
    <x v="0"/>
    <x v="0"/>
    <x v="0"/>
    <x v="6"/>
    <x v="6"/>
    <n v="323"/>
    <n v="3"/>
    <x v="0"/>
    <d v="2025-01-05T12:28:00"/>
    <d v="2025-01-05T12:00:00"/>
    <d v="2025-01-05T13:12:00"/>
    <n v="70.483333333333334"/>
    <n v="43.06666666666667"/>
    <x v="1"/>
    <d v="2025-01-05T19:12:00"/>
    <d v="2025-01-06T15:00:00"/>
    <n v="1163.2333333333333"/>
    <x v="0"/>
    <d v="2025-01-07T07:19:12"/>
    <d v="2025-01-07T08:16:12"/>
    <n v="55.8"/>
    <x v="0"/>
    <n v="1.7549999999973807"/>
    <x v="3"/>
    <n v="0.25499999999738066"/>
    <n v="42.119999999937136"/>
    <n v="12"/>
    <n v="30.119999999937136"/>
    <n v="5.1792828685367063"/>
    <x v="0"/>
  </r>
  <r>
    <x v="4"/>
    <x v="0"/>
    <d v="2025-01-05T00:00:00"/>
    <s v="OM02L7NX"/>
    <x v="0"/>
    <s v="UBP 311H"/>
    <s v="Ekwalikwa Yusuf"/>
    <s v="Kobusinge Steven-FPortal"/>
    <n v="156"/>
    <s v="Z82077"/>
    <x v="11"/>
    <x v="0"/>
    <x v="0"/>
    <x v="0"/>
    <x v="11"/>
    <x v="11"/>
    <n v="397"/>
    <n v="7"/>
    <x v="0"/>
    <d v="2025-01-05T07:42:00"/>
    <d v="2025-01-05T07:30:00"/>
    <d v="2025-01-05T08:38:00"/>
    <n v="66.583333333333329"/>
    <n v="54.833333333333336"/>
    <x v="6"/>
    <d v="2025-01-06T10:08:00"/>
    <d v="2025-01-06T13:25:00"/>
    <n v="192.88333333333333"/>
    <x v="0"/>
    <d v="2025-01-07T13:15:12"/>
    <d v="2025-01-07T14:31:12"/>
    <n v="74.400000000000006"/>
    <x v="0"/>
    <n v="2.1924999999973807"/>
    <x v="0"/>
    <n v="0.19249999999738066"/>
    <n v="52.619999999937136"/>
    <n v="32"/>
    <n v="20.619999999937136"/>
    <n v="7.56547041709387"/>
    <x v="0"/>
  </r>
  <r>
    <x v="4"/>
    <x v="0"/>
    <d v="2025-01-05T00:00:00"/>
    <s v="OM02L7LH"/>
    <x v="0"/>
    <s v="UBP 311H"/>
    <s v="Ekwalikwa Yusuf"/>
    <s v="Kobusinge Steven-FPortal"/>
    <n v="156"/>
    <s v="Z82068"/>
    <x v="11"/>
    <x v="0"/>
    <x v="0"/>
    <x v="0"/>
    <x v="11"/>
    <x v="11"/>
    <n v="386"/>
    <n v="-4"/>
    <x v="0"/>
    <d v="2025-01-05T07:58:00"/>
    <d v="2025-01-05T07:30:00"/>
    <d v="2025-01-05T08:53:00"/>
    <n v="81.266666666666666"/>
    <n v="53.85"/>
    <x v="2"/>
    <d v="2025-01-06T10:23:00"/>
    <d v="2025-01-06T15:07:00"/>
    <n v="278.08333333333331"/>
    <x v="0"/>
    <d v="2025-01-07T11:06:12"/>
    <d v="2025-01-07T12:01:12"/>
    <n v="53.85"/>
    <x v="0"/>
    <n v="2.0924999999988358"/>
    <x v="0"/>
    <n v="9.2499999998835847E-2"/>
    <n v="50.21999999997206"/>
    <n v="32"/>
    <n v="18.21999999997206"/>
    <n v="8.5620197585202646"/>
    <x v="0"/>
  </r>
  <r>
    <x v="4"/>
    <x v="0"/>
    <d v="2025-01-05T00:00:00"/>
    <s v="OM02L7NV"/>
    <x v="0"/>
    <s v="UBP 311H"/>
    <m/>
    <s v="Kato Investments Ltd- Kakumiro"/>
    <n v="156"/>
    <s v="A19875"/>
    <x v="24"/>
    <x v="0"/>
    <x v="0"/>
    <x v="0"/>
    <x v="24"/>
    <x v="22"/>
    <n v="771"/>
    <n v="6"/>
    <x v="0"/>
    <d v="2025-01-05T07:58:00"/>
    <d v="2025-01-05T07:30:00"/>
    <d v="2025-01-05T08:38:00"/>
    <n v="66.583333333333329"/>
    <n v="39.166666666666664"/>
    <x v="1"/>
    <d v="2025-01-05T17:38:00"/>
    <d v="2025-01-06T12:22:38"/>
    <n v="1101.2"/>
    <x v="0"/>
    <d v="2025-01-07T06:41:22"/>
    <d v="2025-01-07T07:49:22"/>
    <n v="66.583333333333329"/>
    <x v="0"/>
    <n v="1.919000000001688"/>
    <x v="3"/>
    <n v="0.41900000000168802"/>
    <n v="46.056000000040513"/>
    <n v="12"/>
    <n v="34.056000000040513"/>
    <n v="4.5806906271968062"/>
    <x v="0"/>
  </r>
  <r>
    <x v="4"/>
    <x v="0"/>
    <d v="2025-01-05T00:00:00"/>
    <s v="OM02L7P1"/>
    <x v="0"/>
    <s v="UBE 690K"/>
    <s v="MUKOSE MUZAMIRU"/>
    <s v="KATO INVESTMENTS LTD-KATIKARA"/>
    <n v="156"/>
    <s v="A19877"/>
    <x v="5"/>
    <x v="0"/>
    <x v="0"/>
    <x v="0"/>
    <x v="5"/>
    <x v="5"/>
    <n v="842"/>
    <n v="12"/>
    <x v="0"/>
    <d v="2025-01-05T07:58:00"/>
    <d v="2025-01-05T07:30:00"/>
    <d v="2025-01-05T08:47:00"/>
    <n v="75.38333333333334"/>
    <n v="47.966666666666669"/>
    <x v="1"/>
    <d v="2025-01-06T10:32:00"/>
    <d v="2025-01-06T13:53:00"/>
    <n v="196.8"/>
    <x v="0"/>
    <d v="2025-01-07T18:41:00"/>
    <d v="2025-01-07T19:43:00"/>
    <n v="60.7"/>
    <x v="0"/>
    <n v="2.4124999999912689"/>
    <x v="0"/>
    <n v="0.41249999999126885"/>
    <n v="57.899999999790452"/>
    <n v="24"/>
    <n v="33.899999999790452"/>
    <n v="4.6017699115328696"/>
    <x v="0"/>
  </r>
  <r>
    <x v="4"/>
    <x v="0"/>
    <d v="2025-01-05T00:00:00"/>
    <s v="OM02L7LJ"/>
    <x v="0"/>
    <s v="UBP 311H"/>
    <m/>
    <s v="KATO INVESTMENTS LTD-KATIKARA"/>
    <n v="156"/>
    <s v="A19867"/>
    <x v="5"/>
    <x v="0"/>
    <x v="0"/>
    <x v="0"/>
    <x v="5"/>
    <x v="5"/>
    <n v="842"/>
    <n v="12"/>
    <x v="0"/>
    <d v="2025-01-05T07:58:00"/>
    <d v="2025-01-05T07:30:00"/>
    <d v="2025-01-05T08:38:00"/>
    <n v="66.583333333333329"/>
    <n v="39.166666666666664"/>
    <x v="1"/>
    <d v="2025-01-06T09:53:00"/>
    <d v="2025-01-06T14:52:00"/>
    <n v="292.76666666666665"/>
    <x v="0"/>
    <d v="2025-01-07T19:40:00"/>
    <d v="2025-01-07T21:00:00"/>
    <n v="78.316666666666663"/>
    <x v="0"/>
    <n v="2.4597222222218988"/>
    <x v="0"/>
    <n v="0.45972222222189885"/>
    <n v="59.033333333325572"/>
    <n v="24"/>
    <n v="35.033333333325572"/>
    <n v="4.4529019980980369"/>
    <x v="0"/>
  </r>
  <r>
    <x v="4"/>
    <x v="1"/>
    <d v="2025-01-05T13:12:27"/>
    <s v="OMWSZKWRR"/>
    <x v="1"/>
    <s v="UAY 526V"/>
    <s v="Benon Ssempijja"/>
    <s v="Rugoma Traders-Kanungu/Kihihi"/>
    <n v="153.60000000000002"/>
    <s v="F15677"/>
    <x v="23"/>
    <x v="1"/>
    <x v="0"/>
    <x v="1"/>
    <x v="23"/>
    <x v="14"/>
    <n v="335"/>
    <n v="-5"/>
    <x v="0"/>
    <d v="2025-01-05T17:30:00"/>
    <d v="2025-01-06T01:59:00"/>
    <d v="2025-01-05T18:14:00"/>
    <n v="-455.31666666666666"/>
    <n v="43.06666666666667"/>
    <x v="1"/>
    <d v="2025-01-06T12:20:00"/>
    <d v="2025-01-06T17:07:00"/>
    <n v="281.01666666666665"/>
    <x v="0"/>
    <d v="2025-01-07T12:36:00"/>
    <d v="2025-01-07T15:41:00"/>
    <n v="181.13333333333333"/>
    <x v="3"/>
    <n v="1.765277777776646"/>
    <x v="3"/>
    <n v="0.26527777777664596"/>
    <n v="42.366666666639503"/>
    <n v="12"/>
    <n v="30.366666666639503"/>
    <n v="5.0581778265687403"/>
    <x v="0"/>
  </r>
  <r>
    <x v="4"/>
    <x v="0"/>
    <s v="1/9/2025 0:00"/>
    <s v="OM02L96M"/>
    <x v="0"/>
    <s v="UBE 690K"/>
    <s v="MUKOSE MUZAMIRU"/>
    <s v="Ntale and Sons Ltd-Kakiri"/>
    <n v="156"/>
    <s v="A19955"/>
    <x v="22"/>
    <x v="0"/>
    <x v="0"/>
    <x v="0"/>
    <x v="22"/>
    <x v="21"/>
    <n v="612"/>
    <n v="-8"/>
    <x v="0"/>
    <d v="2025-01-09T07:04:00"/>
    <d v="2025-01-09T07:30:00"/>
    <d v="2025-01-09T07:50:00"/>
    <n v="19.583333333333332"/>
    <n v="45.033333333333331"/>
    <x v="1"/>
    <d v="2025-01-09T20:20:00"/>
    <d v="2025-01-10T14:34:24"/>
    <n v="1071.5999999999999"/>
    <x v="0"/>
    <d v="2025-01-11T13:22:24"/>
    <d v="2025-01-11T13:58:24"/>
    <n v="35.25"/>
    <x v="0"/>
    <n v="2.2308333333348855"/>
    <x v="0"/>
    <n v="0.23083333333488554"/>
    <n v="53.540000000037253"/>
    <n v="24"/>
    <n v="29.540000000037253"/>
    <n v="5.2809749492147349"/>
    <x v="0"/>
  </r>
  <r>
    <x v="4"/>
    <x v="0"/>
    <s v="1/9/2025 0:00"/>
    <s v="OM02L96S"/>
    <x v="0"/>
    <s v="UBE 690K"/>
    <s v="MUKOSE MUZAMIRU"/>
    <s v="KATO INVESTMENTS LTD-KATIKARA"/>
    <n v="156"/>
    <s v="A19957"/>
    <x v="5"/>
    <x v="0"/>
    <x v="0"/>
    <x v="0"/>
    <x v="5"/>
    <x v="5"/>
    <n v="842"/>
    <n v="12"/>
    <x v="0"/>
    <d v="2025-01-09T07:13:00"/>
    <d v="2025-01-09T07:30:00"/>
    <d v="2025-01-09T08:00:00"/>
    <n v="29.366666666666667"/>
    <n v="46.016666666666666"/>
    <x v="10"/>
    <d v="2025-01-10T09:45:00"/>
    <d v="2025-01-10T14:31:00"/>
    <n v="280.03333333333336"/>
    <x v="0"/>
    <d v="2025-01-11T19:19:00"/>
    <d v="2025-01-11T19:59:00"/>
    <n v="39.166666666666664"/>
    <x v="0"/>
    <n v="2.4715277777722804"/>
    <x v="0"/>
    <n v="0.47152777777228039"/>
    <n v="59.316666666534729"/>
    <n v="32"/>
    <n v="27.316666666534729"/>
    <n v="5.7107992678738304"/>
    <x v="0"/>
  </r>
  <r>
    <x v="4"/>
    <x v="0"/>
    <s v="1/9/2025 0:00"/>
    <s v="OM02L96H"/>
    <x v="0"/>
    <s v="UBE 690K"/>
    <s v="MUKOSE MUZAMIRU"/>
    <s v="Kobusinge Steven-FPortal"/>
    <n v="156"/>
    <s v="Z82113"/>
    <x v="11"/>
    <x v="0"/>
    <x v="0"/>
    <x v="0"/>
    <x v="11"/>
    <x v="11"/>
    <n v="397"/>
    <n v="7"/>
    <x v="0"/>
    <d v="2025-01-09T07:08:00"/>
    <d v="2025-01-09T07:30:00"/>
    <d v="2025-01-09T07:53:00"/>
    <n v="22.516666666666666"/>
    <n v="44.05"/>
    <x v="6"/>
    <d v="2025-01-10T09:23:00"/>
    <d v="2025-01-11T16:35:00"/>
    <n v="1833"/>
    <x v="0"/>
    <d v="2025-01-11T08:02:22"/>
    <d v="2025-01-11T08:57:22"/>
    <n v="53.85"/>
    <x v="0"/>
    <n v="2.0065000000031432"/>
    <x v="0"/>
    <n v="6.5000000031432137E-3"/>
    <n v="48.156000000075437"/>
    <n v="32"/>
    <n v="16.156000000075437"/>
    <n v="9.6558554097098046"/>
    <x v="0"/>
  </r>
  <r>
    <x v="4"/>
    <x v="0"/>
    <s v="1/9/2025 0:00"/>
    <s v="OM02L8ZZ"/>
    <x v="0"/>
    <s v="UBK 866R"/>
    <m/>
    <s v="Sawan Distributors Ltd-Nabingo"/>
    <n v="156.67500000000001"/>
    <s v="A19942"/>
    <x v="21"/>
    <x v="0"/>
    <x v="0"/>
    <x v="0"/>
    <x v="21"/>
    <x v="2"/>
    <n v="565"/>
    <n v="5"/>
    <x v="0"/>
    <d v="2025-01-09T07:05:00"/>
    <d v="2025-01-09T07:30:00"/>
    <d v="2025-01-09T07:46:00"/>
    <n v="15.65"/>
    <n v="40.133333333333333"/>
    <x v="1"/>
    <d v="2025-01-09T19:46:00"/>
    <d v="2025-01-10T11:32:05"/>
    <n v="926.36666666666667"/>
    <x v="0"/>
    <d v="2025-01-11T09:08:05"/>
    <d v="2025-01-11T10:08:05"/>
    <n v="58.733333333333334"/>
    <x v="0"/>
    <n v="2.0570000000006985"/>
    <x v="0"/>
    <n v="5.7000000000698492E-2"/>
    <n v="49.368000000016764"/>
    <n v="24"/>
    <n v="25.368000000016764"/>
    <n v="6.1760879848587384"/>
    <x v="0"/>
  </r>
  <r>
    <x v="4"/>
    <x v="0"/>
    <s v="1/9/2025 0:00"/>
    <s v="OM02L96G"/>
    <x v="0"/>
    <s v="UBE 690K"/>
    <s v="MUKOSE MUZAMIRU"/>
    <s v="Kato Investment Ltd -Kagadi"/>
    <n v="156"/>
    <s v="A19954"/>
    <x v="12"/>
    <x v="0"/>
    <x v="0"/>
    <x v="0"/>
    <x v="12"/>
    <x v="12"/>
    <n v="603"/>
    <n v="-9"/>
    <x v="0"/>
    <d v="2025-01-09T07:21:00"/>
    <d v="2025-01-09T07:30:00"/>
    <d v="2025-01-09T08:03:00"/>
    <n v="32.299999999999997"/>
    <n v="41.116666666666667"/>
    <x v="1"/>
    <d v="2025-01-10T10:03:00"/>
    <d v="2025-01-10T14:40:00"/>
    <n v="271.21666666666664"/>
    <x v="0"/>
    <d v="2025-01-11T08:51:31"/>
    <d v="2025-01-11T09:51:31"/>
    <n v="58.733333333333334"/>
    <x v="0"/>
    <n v="2.0336944444497931"/>
    <x v="6"/>
    <n v="-0.26630555555020674"/>
    <n v="48.808666666795034"/>
    <n v="24"/>
    <n v="24.808666666795034"/>
    <n v="6.2881251175339052"/>
    <x v="0"/>
  </r>
  <r>
    <x v="4"/>
    <x v="0"/>
    <s v="1/9/2025 0:00"/>
    <s v="OM02L96C"/>
    <x v="0"/>
    <s v="UBE 690K"/>
    <s v="MUKOSE MUZAMIRU"/>
    <s v="Kobusinge Steven-FPortal"/>
    <n v="156"/>
    <s v="Z82111"/>
    <x v="11"/>
    <x v="0"/>
    <x v="0"/>
    <x v="0"/>
    <x v="11"/>
    <x v="11"/>
    <n v="397"/>
    <n v="7"/>
    <x v="0"/>
    <d v="2025-01-09T06:42:00"/>
    <d v="2025-01-09T07:30:00"/>
    <d v="2025-01-09T07:21:00"/>
    <n v="-8.8166666666666664"/>
    <n v="38.18333333333333"/>
    <x v="2"/>
    <d v="2025-01-10T08:51:00"/>
    <d v="2025-01-10T17:20:00"/>
    <n v="498.38333333333333"/>
    <x v="0"/>
    <d v="2025-01-11T09:34:12"/>
    <d v="2025-01-11T10:26:12"/>
    <n v="50.916666666666664"/>
    <x v="0"/>
    <n v="2.0924999999988358"/>
    <x v="0"/>
    <n v="9.2499999998835847E-2"/>
    <n v="50.21999999997206"/>
    <n v="32"/>
    <n v="18.21999999997206"/>
    <n v="8.5620197585202646"/>
    <x v="0"/>
  </r>
  <r>
    <x v="4"/>
    <x v="0"/>
    <s v="1/9/2025 0:00"/>
    <s v="OM02L96T"/>
    <x v="0"/>
    <s v="UBE 690K"/>
    <s v="MUKOSE MUZAMIRU"/>
    <s v="Kato Investment Ltd -Mityana"/>
    <n v="156"/>
    <s v="A19958"/>
    <x v="16"/>
    <x v="0"/>
    <x v="0"/>
    <x v="0"/>
    <x v="16"/>
    <x v="16"/>
    <m/>
    <n v="-690"/>
    <x v="0"/>
    <d v="2025-01-09T07:11:00"/>
    <d v="2025-01-09T07:30:00"/>
    <d v="2025-01-09T07:53:00"/>
    <n v="22.516666666666666"/>
    <n v="41.116666666666667"/>
    <x v="1"/>
    <d v="2025-01-10T09:53:00"/>
    <d v="2025-01-10T14:53:00"/>
    <n v="293.75"/>
    <x v="0"/>
    <d v="2025-01-11T09:54:55"/>
    <d v="2025-01-11T10:39:55"/>
    <n v="44.05"/>
    <x v="0"/>
    <n v="2.0846666666693636"/>
    <x v="0"/>
    <n v="8.4666666669363622E-2"/>
    <n v="50.032000000064727"/>
    <n v="24"/>
    <n v="26.032000000064727"/>
    <n v="5.9926244621854687"/>
    <x v="0"/>
  </r>
  <r>
    <x v="4"/>
    <x v="0"/>
    <s v="1/9/2025 0:00"/>
    <s v="OM02L90Z"/>
    <x v="0"/>
    <s v="UBE 684K"/>
    <m/>
    <s v="KATO INVESTMENTS LTD-KATIKARA"/>
    <n v="156"/>
    <s v="A19946"/>
    <x v="5"/>
    <x v="0"/>
    <x v="0"/>
    <x v="0"/>
    <x v="5"/>
    <x v="5"/>
    <n v="835"/>
    <n v="5"/>
    <x v="0"/>
    <d v="2025-01-10T07:03:00"/>
    <d v="2025-01-10T07:30:00"/>
    <d v="2025-01-10T07:45:00"/>
    <n v="14.683333333333334"/>
    <n v="41.116666666666667"/>
    <x v="1"/>
    <d v="2025-01-11T09:00:00"/>
    <d v="2025-01-11T13:59:00"/>
    <n v="292.76666666666665"/>
    <x v="0"/>
    <d v="2025-01-12T18:47:00"/>
    <d v="2025-01-12T19:44:00"/>
    <n v="55.8"/>
    <x v="0"/>
    <n v="2.4597222222218988"/>
    <x v="0"/>
    <n v="0.45972222222189885"/>
    <n v="59.033333333325572"/>
    <n v="24"/>
    <n v="35.033333333325572"/>
    <n v="4.4529019980980369"/>
    <x v="0"/>
  </r>
  <r>
    <x v="4"/>
    <x v="1"/>
    <s v="1/9/2025 13:46"/>
    <s v="OMDI681RR"/>
    <x v="0"/>
    <s v="UBJ 375N"/>
    <s v="Stephen Musoke "/>
    <s v="Ntale and Sons"/>
    <n v="153.6"/>
    <s v="A19944"/>
    <x v="19"/>
    <x v="1"/>
    <x v="0"/>
    <x v="1"/>
    <x v="19"/>
    <x v="19"/>
    <n v="815"/>
    <n v="5"/>
    <x v="0"/>
    <d v="2025-01-09T16:33:00"/>
    <d v="2025-01-09T16:40:00"/>
    <d v="2025-01-09T17:10:00"/>
    <n v="29.366666666666667"/>
    <n v="36.216666666666669"/>
    <x v="1"/>
    <d v="2025-01-11T10:09:00"/>
    <d v="2025-01-12T12:49:00"/>
    <n v="1566.65"/>
    <x v="0"/>
    <d v="2025-01-13T13:17:48"/>
    <d v="2025-01-13T14:14:48"/>
    <n v="55.8"/>
    <x v="0"/>
    <n v="3.8387499999953434"/>
    <x v="4"/>
    <n v="0.83874999999534339"/>
    <n v="92.129999999888241"/>
    <n v="36"/>
    <n v="56.129999999888241"/>
    <n v="2.7365045430305686"/>
    <x v="0"/>
  </r>
  <r>
    <x v="4"/>
    <x v="0"/>
    <s v="1/9/2025 20:57"/>
    <s v="OMIE805RR"/>
    <x v="0"/>
    <s v="UBM 644D"/>
    <m/>
    <s v="Kabaco U Ltd"/>
    <n v="156"/>
    <s v="Z82109"/>
    <x v="6"/>
    <x v="0"/>
    <x v="0"/>
    <x v="0"/>
    <x v="6"/>
    <x v="6"/>
    <n v="323"/>
    <n v="3"/>
    <x v="0"/>
    <d v="2025-01-09T19:47:00"/>
    <d v="2025-01-10T07:30:00"/>
    <d v="2025-01-09T20:32:00"/>
    <n v="-644.29999999999995"/>
    <n v="44.05"/>
    <x v="1"/>
    <d v="2025-01-10T12:32:00"/>
    <d v="2025-01-10T17:59:00"/>
    <n v="320.18333333333334"/>
    <x v="0"/>
    <d v="2025-01-11T10:18:12"/>
    <d v="2025-01-11T11:12:12"/>
    <n v="52.866666666666667"/>
    <x v="0"/>
    <n v="1.5737499999959255"/>
    <x v="3"/>
    <n v="7.3749999995925464E-2"/>
    <n v="37.769999999902211"/>
    <n v="12"/>
    <n v="25.769999999902211"/>
    <n v="6.0535506403023662"/>
    <x v="0"/>
  </r>
  <r>
    <x v="4"/>
    <x v="1"/>
    <s v="1/9/2025 21:01"/>
    <s v="OMH70U1RR"/>
    <x v="0"/>
    <s v="UAT 351G"/>
    <s v="Hamudi Sesanga"/>
    <s v="Kabaco U Ltd-Mbarara"/>
    <n v="153.6"/>
    <s v="Z82110"/>
    <x v="8"/>
    <x v="1"/>
    <x v="0"/>
    <x v="1"/>
    <x v="8"/>
    <x v="8"/>
    <m/>
    <n v="-11"/>
    <x v="0"/>
    <d v="2025-01-10T08:11:00"/>
    <d v="2025-01-10T07:30:00"/>
    <d v="2025-01-10T08:38:00"/>
    <n v="66.583333333333329"/>
    <n v="26.433333333333334"/>
    <x v="1"/>
    <d v="2025-01-10T09:05:00"/>
    <d v="2025-01-10T12:42:00"/>
    <n v="212.46666666666667"/>
    <x v="0"/>
    <d v="2025-01-10T13:14:00"/>
    <d v="2025-01-10T14:02:00"/>
    <n v="46.983333333333334"/>
    <x v="0"/>
    <n v="0.19166666666569654"/>
    <x v="5"/>
    <n v="-0.60833333333430351"/>
    <n v="4.5999999999767169"/>
    <n v="0"/>
    <n v="4.5999999999767169"/>
    <n v="33.391304347995096"/>
    <x v="0"/>
  </r>
  <r>
    <x v="4"/>
    <x v="1"/>
    <s v="1/9/2025 21:06"/>
    <s v="OMYAPL6RR"/>
    <x v="1"/>
    <s v="UAY 265V"/>
    <s v="Luyaga Isaac"/>
    <s v="RUGOMA TRADERS CO. LTD NTUNGAM"/>
    <n v="151.94399999999999"/>
    <s v="F15699"/>
    <x v="15"/>
    <x v="1"/>
    <x v="0"/>
    <x v="1"/>
    <x v="15"/>
    <x v="15"/>
    <n v="135"/>
    <n v="5"/>
    <x v="0"/>
    <d v="2025-01-10T06:58:00"/>
    <d v="2025-01-10T07:30:00"/>
    <d v="2025-01-10T07:45:00"/>
    <n v="14.683333333333334"/>
    <n v="46.016666666666666"/>
    <x v="1"/>
    <s v="1/10/2025 17:42"/>
    <s v="1/11/2025 13:29"/>
    <n v="1162.2666666666667"/>
    <x v="0"/>
    <d v="2025-01-11T11:59:00"/>
    <d v="2025-01-11T12:47:00"/>
    <n v="46.983333333333334"/>
    <x v="0"/>
    <n v="1.1763888888890506"/>
    <x v="8"/>
    <n v="0.17638888888905058"/>
    <n v="28.233333333337214"/>
    <n v="12"/>
    <n v="16.233333333337214"/>
    <n v="9.3599999999977612"/>
    <x v="0"/>
  </r>
  <r>
    <x v="4"/>
    <x v="1"/>
    <s v="1/9/2025 22:37"/>
    <s v="OM83QSLRR"/>
    <x v="1"/>
    <s v="UAV 203T"/>
    <s v="Mugisha  George"/>
    <s v="KATO INVESTMENTS LIMITED-MASAK"/>
    <n v="153.6"/>
    <s v="F15700"/>
    <x v="14"/>
    <x v="1"/>
    <x v="0"/>
    <x v="1"/>
    <x v="14"/>
    <x v="14"/>
    <n v="279"/>
    <n v="-61"/>
    <x v="0"/>
    <d v="2025-01-10T07:58:00"/>
    <d v="2025-01-10T07:30:00"/>
    <d v="2025-01-10T08:41:00"/>
    <n v="69.516666666666666"/>
    <n v="42.1"/>
    <x v="6"/>
    <d v="2024-01-10T10:57:00"/>
    <d v="2024-01-10T13:36:00"/>
    <n v="155.68333333333334"/>
    <x v="0"/>
    <d v="2025-01-10T19:01:00"/>
    <d v="2025-01-10T19:37:00"/>
    <n v="35.25"/>
    <x v="0"/>
    <n v="0.43055555555474712"/>
    <x v="8"/>
    <n v="-0.56944444444525288"/>
    <n v="10.333333333313931"/>
    <n v="0"/>
    <n v="10.333333333313931"/>
    <n v="14.864516129060169"/>
    <x v="0"/>
  </r>
  <r>
    <x v="4"/>
    <x v="0"/>
    <s v="1/9/2025 22:39"/>
    <s v="OM0QY78RR"/>
    <x v="0"/>
    <s v="UBM 648D"/>
    <m/>
    <s v="Sawan Distributors Ltd-Nabingo"/>
    <n v="156"/>
    <s v="A19962"/>
    <x v="21"/>
    <x v="0"/>
    <x v="0"/>
    <x v="0"/>
    <x v="21"/>
    <x v="2"/>
    <n v="545"/>
    <n v="-15"/>
    <x v="0"/>
    <d v="2025-01-10T07:58:00"/>
    <d v="2025-01-10T07:30:00"/>
    <d v="2025-01-10T08:51:00"/>
    <n v="79.3"/>
    <n v="51.883333333333333"/>
    <x v="1"/>
    <d v="2025-01-10T20:51:00"/>
    <d v="2025-01-11T13:39:00"/>
    <n v="986.98333333333335"/>
    <x v="0"/>
    <d v="2025-01-12T16:03:00"/>
    <d v="2025-01-12T17:03:00"/>
    <n v="58.733333333333334"/>
    <x v="0"/>
    <n v="2.2999999999956344"/>
    <x v="0"/>
    <n v="0.29999999999563443"/>
    <n v="55.199999999895226"/>
    <n v="24"/>
    <n v="31.199999999895226"/>
    <n v="5.000000000016791"/>
    <x v="0"/>
  </r>
  <r>
    <x v="4"/>
    <x v="1"/>
    <s v="1/9/2025 22:45"/>
    <s v="OM8MTW7RR"/>
    <x v="0"/>
    <s v="UBA 523T"/>
    <s v="Kabene John"/>
    <s v="Kato Investments Ltd-Bulenga"/>
    <n v="156"/>
    <s v="A19963"/>
    <x v="2"/>
    <x v="1"/>
    <x v="0"/>
    <x v="1"/>
    <x v="2"/>
    <x v="2"/>
    <n v="556"/>
    <n v="-4"/>
    <x v="0"/>
    <d v="2025-01-10T07:19:00"/>
    <d v="2025-01-10T07:30:00"/>
    <d v="2025-01-10T08:02:00"/>
    <n v="31.316666666666666"/>
    <n v="42.1"/>
    <x v="1"/>
    <d v="2025-01-11T13:43:00"/>
    <d v="2025-01-11T21:08:00"/>
    <n v="435.71666666666664"/>
    <x v="0"/>
    <d v="2025-01-12T14:55:00"/>
    <d v="2025-01-12T15:52:00"/>
    <n v="55.8"/>
    <x v="0"/>
    <n v="2.2868055555591127"/>
    <x v="0"/>
    <n v="0.28680555555911269"/>
    <n v="54.883333333418705"/>
    <n v="24"/>
    <n v="30.883333333418705"/>
    <n v="5.0512682136935378"/>
    <x v="0"/>
  </r>
  <r>
    <x v="4"/>
    <x v="0"/>
    <s v="1/9/2025 22:46"/>
    <s v="OMAB29XRR"/>
    <x v="0"/>
    <s v="UBK 882R"/>
    <s v="NASASIRA STEPHENE"/>
    <s v="Kato Investment Ltd -Mityana"/>
    <n v="187.2"/>
    <s v="A19964"/>
    <x v="16"/>
    <x v="0"/>
    <x v="0"/>
    <x v="0"/>
    <x v="16"/>
    <x v="16"/>
    <m/>
    <n v="-690"/>
    <x v="0"/>
    <d v="2025-01-10T07:58:00"/>
    <d v="2025-01-10T07:30:00"/>
    <d v="2025-01-10T08:41:00"/>
    <n v="69.516666666666666"/>
    <n v="42.1"/>
    <x v="1"/>
    <d v="2025-01-11T10:23:00"/>
    <d v="2025-01-11T15:23:00"/>
    <n v="293.75"/>
    <x v="0"/>
    <d v="2025-01-12T12:48:55"/>
    <d v="2025-01-12T13:39:55"/>
    <n v="49.93333333333333"/>
    <x v="0"/>
    <n v="2.1721666666635429"/>
    <x v="0"/>
    <n v="0.17216666666354286"/>
    <n v="52.131999999925029"/>
    <n v="24"/>
    <n v="28.131999999925029"/>
    <n v="6.6543438077811343"/>
    <x v="0"/>
  </r>
  <r>
    <x v="4"/>
    <x v="0"/>
    <s v="1/10/2025 0:00"/>
    <s v="OM02L9L7"/>
    <x v="0"/>
    <s v="UBE 687K"/>
    <m/>
    <s v="KATO INVESTMENTS LTD-KATIKARA"/>
    <n v="156"/>
    <s v="A19987"/>
    <x v="5"/>
    <x v="0"/>
    <x v="0"/>
    <x v="0"/>
    <x v="5"/>
    <x v="5"/>
    <n v="835"/>
    <n v="5"/>
    <x v="0"/>
    <d v="2025-01-10T07:58:00"/>
    <d v="2025-01-10T07:30:00"/>
    <d v="2025-01-10T08:41:00"/>
    <n v="69.516666666666666"/>
    <n v="42.1"/>
    <x v="7"/>
    <d v="2025-01-11T09:56:00"/>
    <d v="2025-01-12T14:38:14"/>
    <n v="1686.35"/>
    <x v="0"/>
    <d v="2025-01-13T19:26:14"/>
    <d v="2025-01-13T20:21:14"/>
    <n v="53.85"/>
    <x v="0"/>
    <n v="3.4480833333363989"/>
    <x v="0"/>
    <n v="1.4480833333363989"/>
    <n v="82.754000000073574"/>
    <n v="48"/>
    <n v="34.754000000073574"/>
    <n v="4.488691949118655"/>
    <x v="5"/>
  </r>
  <r>
    <x v="4"/>
    <x v="0"/>
    <s v="1/10/2025 0:00"/>
    <s v="OM02L9KE"/>
    <x v="0"/>
    <s v="UBP 311H"/>
    <m/>
    <s v="KATO INVESTMENTS LTD-KATIKARA"/>
    <n v="156"/>
    <s v="A19981"/>
    <x v="5"/>
    <x v="0"/>
    <x v="0"/>
    <x v="0"/>
    <x v="5"/>
    <x v="5"/>
    <n v="835"/>
    <n v="5"/>
    <x v="0"/>
    <d v="2025-01-10T07:16:00"/>
    <d v="2025-01-10T07:30:00"/>
    <d v="2025-01-10T07:49:00"/>
    <n v="18.600000000000001"/>
    <n v="32.299999999999997"/>
    <x v="1"/>
    <d v="2025-01-11T09:34:00"/>
    <d v="2025-01-11T14:40:00"/>
    <n v="299.61666666666667"/>
    <x v="0"/>
    <d v="2025-01-12T19:28:00"/>
    <d v="2025-01-12T20:04:00"/>
    <n v="35.25"/>
    <x v="0"/>
    <n v="2.4854166666627862"/>
    <x v="0"/>
    <n v="0.48541666666278616"/>
    <n v="59.649999999906868"/>
    <n v="24"/>
    <n v="35.649999999906868"/>
    <n v="4.3758765778515434"/>
    <x v="0"/>
  </r>
  <r>
    <x v="4"/>
    <x v="0"/>
    <s v="1/10/2025 0:00"/>
    <s v="OM02L9L4"/>
    <x v="0"/>
    <s v="UBE 687K"/>
    <m/>
    <s v="Kobusinge Acaali- Kyenjojo"/>
    <n v="156"/>
    <s v="Z82131"/>
    <x v="3"/>
    <x v="0"/>
    <x v="0"/>
    <x v="0"/>
    <x v="3"/>
    <x v="3"/>
    <n v="469"/>
    <n v="-11"/>
    <x v="0"/>
    <d v="2025-01-10T07:58:00"/>
    <d v="2025-01-10T07:30:00"/>
    <d v="2025-01-10T08:41:00"/>
    <n v="69.516666666666666"/>
    <n v="42.1"/>
    <x v="1"/>
    <d v="2025-01-11T10:41:00"/>
    <d v="2025-01-12T15:43:24"/>
    <n v="1706.0833333333333"/>
    <x v="0"/>
    <d v="2025-01-13T18:10:08"/>
    <d v="2025-01-13T18:54:08"/>
    <n v="43.06666666666667"/>
    <x v="0"/>
    <n v="3.395233333336364"/>
    <x v="1"/>
    <n v="0.89523333333636401"/>
    <n v="81.485600000072736"/>
    <n v="36"/>
    <n v="45.485600000072736"/>
    <n v="3.4296568584288334"/>
    <x v="9"/>
  </r>
  <r>
    <x v="4"/>
    <x v="0"/>
    <s v="1/10/2025 0:00"/>
    <s v="OM02L9L6"/>
    <x v="0"/>
    <s v="UBE 687K"/>
    <m/>
    <s v="Kobusinge Steven-Kamwenge"/>
    <n v="156"/>
    <s v="Z82132"/>
    <x v="13"/>
    <x v="0"/>
    <x v="0"/>
    <x v="0"/>
    <x v="13"/>
    <x v="23"/>
    <n v="234"/>
    <n v="-70"/>
    <x v="0"/>
    <d v="2025-01-10T07:01:00"/>
    <d v="2025-01-10T07:30:00"/>
    <d v="2025-01-10T07:47:00"/>
    <n v="16.633333333333333"/>
    <n v="45.033333333333331"/>
    <x v="1"/>
    <d v="2025-01-11T08:39:00"/>
    <d v="2025-01-11T14:05:00"/>
    <n v="319.2"/>
    <x v="0"/>
    <d v="2025-01-11T19:35:00"/>
    <d v="2025-01-11T20:35:00"/>
    <n v="58.733333333333334"/>
    <x v="0"/>
    <n v="1.4916666666686069"/>
    <x v="7"/>
    <n v="0.19166666666860688"/>
    <n v="35.800000000046566"/>
    <n v="12"/>
    <n v="23.800000000046566"/>
    <n v="6.5546218487266712"/>
    <x v="0"/>
  </r>
  <r>
    <x v="4"/>
    <x v="0"/>
    <s v="1/10/2025 0:00"/>
    <s v="OM02L9L1"/>
    <x v="0"/>
    <s v="UBP 311H"/>
    <s v="Ekwalikwa Yusuf"/>
    <s v="Kabaco U Ltd"/>
    <n v="153.84"/>
    <s v="Z82129"/>
    <x v="6"/>
    <x v="0"/>
    <x v="0"/>
    <x v="0"/>
    <x v="6"/>
    <x v="6"/>
    <n v="323"/>
    <n v="3"/>
    <x v="0"/>
    <d v="2025-01-10T07:58:00"/>
    <d v="2025-01-10T07:30:00"/>
    <d v="2025-01-10T09:01:00"/>
    <n v="89.1"/>
    <n v="61.68333333333333"/>
    <x v="0"/>
    <d v="2025-01-10T15:01:00"/>
    <d v="2025-01-10T18:07:00"/>
    <n v="182.11666666666667"/>
    <x v="0"/>
    <d v="2025-01-11T10:26:12"/>
    <d v="2025-01-11T11:27:12"/>
    <n v="59.716666666666669"/>
    <x v="0"/>
    <n v="1.0591666666659876"/>
    <x v="3"/>
    <n v="-0.44083333333401242"/>
    <n v="25.419999999983702"/>
    <n v="16"/>
    <n v="9.4199999999837019"/>
    <n v="16.331210191111058"/>
    <x v="0"/>
  </r>
  <r>
    <x v="4"/>
    <x v="0"/>
    <s v="1/10/2025 0:00"/>
    <s v="OM02L9K6"/>
    <x v="0"/>
    <s v="UBP 311H"/>
    <m/>
    <s v="Kobusinge Steven-FPortal"/>
    <n v="156"/>
    <s v="Z82123"/>
    <x v="11"/>
    <x v="0"/>
    <x v="0"/>
    <x v="0"/>
    <x v="11"/>
    <x v="11"/>
    <n v="397"/>
    <n v="7"/>
    <x v="0"/>
    <d v="2025-01-10T06:45:00"/>
    <d v="2025-01-10T07:30:00"/>
    <d v="2025-01-10T07:28:00"/>
    <n v="-1.9666666666666666"/>
    <n v="42.1"/>
    <x v="1"/>
    <d v="2025-01-11T08:58:00"/>
    <d v="2025-01-11T12:15:00"/>
    <n v="192.88333333333333"/>
    <x v="0"/>
    <d v="2025-01-12T08:20:34"/>
    <d v="2025-01-12T08:58:34"/>
    <n v="37.200000000000003"/>
    <x v="0"/>
    <n v="2.0365000000019791"/>
    <x v="0"/>
    <n v="3.650000000197906E-2"/>
    <n v="48.876000000047497"/>
    <n v="24"/>
    <n v="24.876000000047497"/>
    <n v="6.2711046791969025"/>
    <x v="0"/>
  </r>
  <r>
    <x v="4"/>
    <x v="0"/>
    <s v="1/10/2025 0:00"/>
    <s v="OM02L9K3"/>
    <x v="0"/>
    <s v="UBP 311H"/>
    <s v="Ekwalikwa Yusuf"/>
    <s v="Kabaco U Ltd"/>
    <n v="156"/>
    <s v="Z82122"/>
    <x v="6"/>
    <x v="0"/>
    <x v="0"/>
    <x v="0"/>
    <x v="6"/>
    <x v="6"/>
    <n v="323"/>
    <n v="3"/>
    <x v="0"/>
    <d v="2025-01-10T07:42:00"/>
    <d v="2025-01-10T07:30:00"/>
    <d v="2025-01-10T08:23:00"/>
    <n v="51.883333333333333"/>
    <n v="40.133333333333333"/>
    <x v="6"/>
    <d v="2025-01-10T14:23:00"/>
    <d v="2025-01-10T19:10:00"/>
    <n v="281.01666666666665"/>
    <x v="0"/>
    <d v="2025-01-11T11:29:12"/>
    <d v="2025-01-11T12:26:12"/>
    <n v="55.8"/>
    <x v="0"/>
    <n v="1.1293055555579485"/>
    <x v="3"/>
    <n v="-0.37069444444205146"/>
    <n v="27.103333333390765"/>
    <n v="16"/>
    <n v="11.103333333390765"/>
    <n v="14.049834884346421"/>
    <x v="0"/>
  </r>
  <r>
    <x v="4"/>
    <x v="1"/>
    <s v="1/10/2025 15:07"/>
    <s v="OMJWAFWRR"/>
    <x v="0"/>
    <s v="UBE 419T"/>
    <s v="Kilabila Ismail"/>
    <s v="Rugoma Traders-Kanungu/Kihihi"/>
    <n v="153.6"/>
    <s v="F15702"/>
    <x v="23"/>
    <x v="1"/>
    <x v="0"/>
    <x v="1"/>
    <x v="23"/>
    <x v="14"/>
    <n v="339"/>
    <n v="-1"/>
    <x v="0"/>
    <d v="2025-01-10T16:05:00"/>
    <d v="2025-01-10T15:37:00"/>
    <d v="2025-01-10T16:48:00"/>
    <n v="69.516666666666666"/>
    <n v="42.1"/>
    <x v="6"/>
    <d v="2025-01-11T09:23:00"/>
    <d v="2025-01-11T12:43:00"/>
    <n v="195.83333333333334"/>
    <x v="0"/>
    <d v="2025-01-11T19:18:00"/>
    <d v="2025-01-11T19:48:00"/>
    <n v="29.366666666666667"/>
    <x v="0"/>
    <n v="1.1041666666642413"/>
    <x v="3"/>
    <n v="-0.39583333333575865"/>
    <n v="26.499999999941792"/>
    <n v="16"/>
    <n v="10.499999999941792"/>
    <n v="14.628571428652522"/>
    <x v="0"/>
  </r>
  <r>
    <x v="4"/>
    <x v="1"/>
    <s v="1/10/2025 22:19"/>
    <s v="OM1JXA8RR"/>
    <x v="0"/>
    <s v="UAV 203T"/>
    <s v="Mugisha  George"/>
    <s v="Kato Investments Ltd-Bulenga"/>
    <n v="153.6"/>
    <s v="A19982"/>
    <x v="2"/>
    <x v="1"/>
    <x v="0"/>
    <x v="1"/>
    <x v="2"/>
    <x v="2"/>
    <n v="589"/>
    <n v="29"/>
    <x v="0"/>
    <d v="2025-01-11T07:19:00"/>
    <d v="2025-01-11T07:30:00"/>
    <d v="2025-01-11T08:05:00"/>
    <n v="34.266666666666666"/>
    <n v="45.033333333333331"/>
    <x v="1"/>
    <d v="2025-01-12T08:05:00"/>
    <d v="2025-01-12T11:26:00"/>
    <n v="196.8"/>
    <x v="0"/>
    <d v="2025-01-13T07:21:48"/>
    <d v="2025-01-13T08:01:48"/>
    <n v="39.166666666666664"/>
    <x v="0"/>
    <n v="1.9700000000011642"/>
    <x v="0"/>
    <n v="-2.9999999998835847E-2"/>
    <n v="47.28000000002794"/>
    <n v="12"/>
    <n v="35.28000000002794"/>
    <n v="4.3537414965951911"/>
    <x v="0"/>
  </r>
  <r>
    <x v="4"/>
    <x v="0"/>
    <s v="1/10/2025 22:21"/>
    <s v="OMGN3M9RR"/>
    <x v="0"/>
    <s v="UBJ 420C"/>
    <s v="ZIWA ABASI"/>
    <s v="KATO INVESTMENTS LTD-KATIKARA"/>
    <n v="156"/>
    <s v="A19984"/>
    <x v="5"/>
    <x v="0"/>
    <x v="0"/>
    <x v="0"/>
    <x v="5"/>
    <x v="5"/>
    <n v="842"/>
    <n v="12"/>
    <x v="0"/>
    <d v="2025-01-11T07:27:00"/>
    <d v="2025-01-11T07:30:00"/>
    <d v="2025-01-11T08:06:00"/>
    <n v="35.25"/>
    <n v="38.18333333333333"/>
    <x v="8"/>
    <d v="2025-01-12T09:21:00"/>
    <d v="2025-01-12T12:45:00"/>
    <n v="199.75"/>
    <x v="0"/>
    <d v="2025-01-13T17:33:00"/>
    <d v="2025-01-13T18:18:00"/>
    <n v="44.05"/>
    <x v="0"/>
    <n v="2.3937500000029104"/>
    <x v="0"/>
    <n v="0.39375000000291038"/>
    <n v="57.450000000069849"/>
    <n v="32"/>
    <n v="25.450000000069849"/>
    <n v="6.129666011770996"/>
    <x v="0"/>
  </r>
  <r>
    <x v="4"/>
    <x v="0"/>
    <s v="1/10/2025 22:26"/>
    <s v="OMOOBE9RR"/>
    <x v="1"/>
    <s v="UBE 680K"/>
    <s v="BYEKWASO TWAHA"/>
    <s v="Kato Investment Ltd -Mityana"/>
    <n v="156"/>
    <s v="A19986"/>
    <x v="16"/>
    <x v="0"/>
    <x v="0"/>
    <x v="0"/>
    <x v="16"/>
    <x v="16"/>
    <n v="567"/>
    <n v="-123"/>
    <x v="0"/>
    <d v="2025-01-11T07:41:00"/>
    <d v="2025-01-11T07:30:00"/>
    <d v="2025-01-11T08:26:00"/>
    <n v="54.833333333333336"/>
    <n v="44.05"/>
    <x v="1"/>
    <d v="2025-01-11T10:50:00"/>
    <d v="2025-01-11T15:50:00"/>
    <n v="293.73333333333335"/>
    <x v="0"/>
    <d v="2025-01-13T09:52:00"/>
    <d v="2025-01-13T10:49:00"/>
    <n v="55.8"/>
    <x v="0"/>
    <n v="2.0597222222204437"/>
    <x v="0"/>
    <n v="5.9722222220443655E-2"/>
    <n v="49.433333333290648"/>
    <n v="24"/>
    <n v="25.433333333290648"/>
    <n v="6.133682830940832"/>
    <x v="0"/>
  </r>
  <r>
    <x v="4"/>
    <x v="0"/>
    <s v="1/10/2025 22:33"/>
    <s v="OMB1O81RR"/>
    <x v="0"/>
    <s v="UBJ 419C"/>
    <m/>
    <s v="Kobusinge Steven-FPortal"/>
    <n v="156"/>
    <s v="Z82128"/>
    <x v="11"/>
    <x v="0"/>
    <x v="0"/>
    <x v="0"/>
    <x v="11"/>
    <x v="11"/>
    <n v="397"/>
    <n v="7"/>
    <x v="0"/>
    <d v="2025-01-11T07:58:00"/>
    <d v="2025-01-11T07:30:00"/>
    <d v="2025-01-11T08:46:00"/>
    <n v="74.400000000000006"/>
    <n v="46.983333333333334"/>
    <x v="1"/>
    <d v="2025-01-12T10:16:00"/>
    <d v="2025-01-12T15:00:00"/>
    <n v="278.08333333333331"/>
    <x v="0"/>
    <d v="2025-01-13T13:23:12"/>
    <d v="2025-01-13T14:07:12"/>
    <n v="43.06666666666667"/>
    <x v="0"/>
    <n v="2.1924999999973807"/>
    <x v="0"/>
    <n v="0.19249999999738066"/>
    <n v="52.619999999937136"/>
    <n v="24"/>
    <n v="28.619999999937136"/>
    <n v="5.4507337526325177"/>
    <x v="0"/>
  </r>
  <r>
    <x v="4"/>
    <x v="0"/>
    <s v="1/11/2025 0:00"/>
    <s v="OM02L9ST"/>
    <x v="0"/>
    <s v="UBK 866R"/>
    <m/>
    <s v="Kobusinge Steven-FPortal"/>
    <n v="156"/>
    <s v="Z82134"/>
    <x v="11"/>
    <x v="0"/>
    <x v="0"/>
    <x v="0"/>
    <x v="11"/>
    <x v="11"/>
    <n v="397"/>
    <n v="7"/>
    <x v="0"/>
    <d v="2025-01-11T06:48:00"/>
    <d v="2025-01-11T07:30:00"/>
    <d v="2025-01-11T07:31:00"/>
    <n v="0.96666666666666667"/>
    <n v="42.1"/>
    <x v="1"/>
    <d v="2025-01-12T09:01:00"/>
    <d v="2025-01-13T16:00:02"/>
    <n v="1820.3"/>
    <x v="0"/>
    <d v="2025-01-13T07:40:22"/>
    <d v="2025-01-13T08:16:22"/>
    <n v="35.25"/>
    <x v="0"/>
    <n v="2.0065000000031432"/>
    <x v="0"/>
    <n v="6.5000000031432137E-3"/>
    <n v="48.156000000075437"/>
    <n v="24"/>
    <n v="24.156000000075437"/>
    <n v="6.4580228514453069"/>
    <x v="0"/>
  </r>
  <r>
    <x v="4"/>
    <x v="0"/>
    <s v="1/11/2025 0:00"/>
    <s v="OM02L9WP"/>
    <x v="0"/>
    <s v="UBE 673K"/>
    <s v="Bulega Sperito"/>
    <s v="Rugoma Traders-Rukungiri"/>
    <n v="156"/>
    <s v="Z82143"/>
    <x v="17"/>
    <x v="0"/>
    <x v="0"/>
    <x v="0"/>
    <x v="17"/>
    <x v="17"/>
    <n v="254"/>
    <n v="-2"/>
    <x v="0"/>
    <d v="2025-01-11T07:16:00"/>
    <d v="2025-01-11T07:30:00"/>
    <d v="2025-01-11T08:03:00"/>
    <n v="32.299999999999997"/>
    <n v="46.016666666666666"/>
    <x v="1"/>
    <d v="2025-01-11T15:03:00"/>
    <d v="2025-01-11T19:51:00"/>
    <n v="281.98333333333335"/>
    <x v="0"/>
    <d v="2025-01-12T08:51:00"/>
    <d v="2025-01-12T09:43:00"/>
    <n v="50.916666666666664"/>
    <x v="0"/>
    <n v="1.0333333333255723"/>
    <x v="8"/>
    <n v="3.3333333325572312E-2"/>
    <n v="24.799999999813735"/>
    <n v="12"/>
    <n v="12.799999999813735"/>
    <n v="12.187500000177351"/>
    <x v="0"/>
  </r>
  <r>
    <x v="4"/>
    <x v="0"/>
    <s v="1/11/2025 0:00"/>
    <s v="OM02L9X7"/>
    <x v="0"/>
    <s v="UBB 115P"/>
    <s v="Kakembo Masuud"/>
    <s v="Kato Investments Ltd- Kyegegwa"/>
    <n v="156"/>
    <s v="A20004"/>
    <x v="18"/>
    <x v="0"/>
    <x v="0"/>
    <x v="0"/>
    <x v="18"/>
    <x v="18"/>
    <n v="572"/>
    <n v="7"/>
    <x v="0"/>
    <d v="2025-01-11T07:26:00"/>
    <d v="2025-01-11T07:30:00"/>
    <d v="2025-01-11T08:02:00"/>
    <n v="31.316666666666666"/>
    <n v="35.25"/>
    <x v="1"/>
    <d v="2025-01-12T10:22:00"/>
    <d v="2025-01-12T13:38:00"/>
    <n v="191.9"/>
    <x v="0"/>
    <d v="2025-01-12T20:28:00"/>
    <d v="2025-01-12T21:28:00"/>
    <n v="58.733333333333334"/>
    <x v="0"/>
    <n v="1.5180555555489263"/>
    <x v="0"/>
    <n v="-0.48194444445107365"/>
    <n v="36.433333333174232"/>
    <n v="12"/>
    <n v="24.433333333174232"/>
    <n v="6.3847203274631301"/>
    <x v="0"/>
  </r>
  <r>
    <x v="4"/>
    <x v="0"/>
    <s v="1/11/2025 0:00"/>
    <s v="OM02L9SS"/>
    <x v="0"/>
    <s v="UBK 866R"/>
    <m/>
    <s v="Kato Investment Ltd -Mityana"/>
    <n v="156"/>
    <s v="A19989"/>
    <x v="16"/>
    <x v="0"/>
    <x v="0"/>
    <x v="0"/>
    <x v="16"/>
    <x v="16"/>
    <m/>
    <n v="-690"/>
    <x v="0"/>
    <d v="2025-01-11T07:10:00"/>
    <d v="2025-01-11T07:30:00"/>
    <d v="2025-01-11T07:47:00"/>
    <n v="16.633333333333333"/>
    <n v="36.216666666666669"/>
    <x v="1"/>
    <d v="2025-01-12T09:47:00"/>
    <d v="2025-01-12T15:36:00"/>
    <n v="341.71666666666664"/>
    <x v="0"/>
    <d v="2025-01-13T11:06:43"/>
    <d v="2025-01-13T11:54:43"/>
    <n v="46.983333333333334"/>
    <x v="0"/>
    <n v="2.1386944444457185"/>
    <x v="0"/>
    <n v="0.13869444444571855"/>
    <n v="51.328666666697245"/>
    <n v="24"/>
    <n v="27.328666666697245"/>
    <n v="5.7082916595452433"/>
    <x v="0"/>
  </r>
  <r>
    <x v="4"/>
    <x v="0"/>
    <s v="1/11/2025 0:00"/>
    <s v="OM02L9X9"/>
    <x v="0"/>
    <s v="UBF 374L "/>
    <m/>
    <s v="Kato Investments Ltd-Bulenga"/>
    <n v="156"/>
    <s v="A20006"/>
    <x v="2"/>
    <x v="0"/>
    <x v="0"/>
    <x v="0"/>
    <x v="2"/>
    <x v="2"/>
    <n v="556"/>
    <n v="-4"/>
    <x v="0"/>
    <d v="2025-01-11T07:15:00"/>
    <d v="2025-01-11T07:30:00"/>
    <d v="2025-01-11T07:58:00"/>
    <n v="27.416666666666668"/>
    <n v="42.1"/>
    <x v="1"/>
    <d v="2025-01-12T07:58:00"/>
    <d v="2025-01-12T13:02:00"/>
    <n v="297.64999999999998"/>
    <x v="0"/>
    <d v="2025-01-13T05:34:00"/>
    <d v="2025-01-13T06:25:00"/>
    <n v="49.93333333333333"/>
    <x v="0"/>
    <n v="1.9000000000014552"/>
    <x v="0"/>
    <n v="-9.9999999998544808E-2"/>
    <n v="45.600000000034925"/>
    <n v="12"/>
    <n v="33.600000000034925"/>
    <n v="4.6428571428523169"/>
    <x v="0"/>
  </r>
  <r>
    <x v="4"/>
    <x v="0"/>
    <s v="1/11/2025 0:00"/>
    <s v="OM02L9X3"/>
    <x v="0"/>
    <s v="UBF 379L"/>
    <m/>
    <s v="Kato Investment Ltd -Mubende"/>
    <n v="156"/>
    <s v="A20002"/>
    <x v="1"/>
    <x v="0"/>
    <x v="0"/>
    <x v="0"/>
    <x v="1"/>
    <x v="1"/>
    <n v="686"/>
    <n v="6"/>
    <x v="0"/>
    <d v="2025-01-11T06:55:00"/>
    <d v="2025-01-11T07:30:00"/>
    <d v="2025-01-11T07:41:00"/>
    <n v="10.766666666666667"/>
    <n v="45.033333333333331"/>
    <x v="1"/>
    <d v="2025-01-12T09:58:00"/>
    <d v="2025-01-12T15:28:00"/>
    <n v="323.11666666666667"/>
    <x v="0"/>
    <d v="2025-01-13T18:20:48"/>
    <d v="2025-01-13T19:15:48"/>
    <n v="53.85"/>
    <x v="0"/>
    <n v="2.4443055555530009"/>
    <x v="1"/>
    <n v="-5.5694444446999114E-2"/>
    <n v="58.663333333272021"/>
    <n v="24"/>
    <n v="34.663333333272021"/>
    <n v="4.5004327339246828"/>
    <x v="0"/>
  </r>
  <r>
    <x v="4"/>
    <x v="0"/>
    <s v="1/11/2025 0:00"/>
    <s v="OM02L9WX"/>
    <x v="0"/>
    <s v="UBF 379L"/>
    <m/>
    <s v="Kato Investments Ltd- Kakumiro"/>
    <n v="156"/>
    <s v="A20001"/>
    <x v="24"/>
    <x v="0"/>
    <x v="0"/>
    <x v="0"/>
    <x v="24"/>
    <x v="22"/>
    <n v="764"/>
    <n v="-1"/>
    <x v="0"/>
    <d v="2025-01-11T08:11:00"/>
    <d v="2025-01-11T07:30:00"/>
    <d v="2025-01-11T08:55:00"/>
    <n v="83.216666666666669"/>
    <n v="43.06666666666667"/>
    <x v="1"/>
    <d v="2025-01-11T17:25:00"/>
    <d v="2025-01-12T14:04:50"/>
    <n v="1214"/>
    <x v="0"/>
    <d v="2025-01-13T08:23:34"/>
    <d v="2025-01-13T09:20:34"/>
    <n v="55.8"/>
    <x v="0"/>
    <n v="1.9781666666603996"/>
    <x v="3"/>
    <n v="0.47816666666039964"/>
    <n v="47.475999999849591"/>
    <n v="12"/>
    <n v="35.475999999849591"/>
    <n v="4.3973390461343271"/>
    <x v="0"/>
  </r>
  <r>
    <x v="4"/>
    <x v="1"/>
    <s v="1/11/2025 15:46"/>
    <s v="OM2JI92RR"/>
    <x v="0"/>
    <s v="UBJ 988D"/>
    <s v="Tumusiime Robert"/>
    <s v="KATO INVESTMENTS LIMITED-MASAK"/>
    <n v="153.6"/>
    <s v="F15705"/>
    <x v="14"/>
    <x v="1"/>
    <x v="0"/>
    <x v="1"/>
    <x v="14"/>
    <x v="14"/>
    <n v="396"/>
    <n v="56"/>
    <x v="0"/>
    <d v="2025-01-11T16:42:00"/>
    <d v="2025-01-11T16:14:00"/>
    <d v="2025-01-11T17:34:00"/>
    <n v="78.316666666666663"/>
    <n v="50.916666666666664"/>
    <x v="1"/>
    <d v="2025-01-12T12:55:00"/>
    <d v="2025-01-12T16:26:00"/>
    <n v="206.6"/>
    <x v="0"/>
    <d v="2025-01-13T06:50:00"/>
    <d v="2025-01-13T07:38:00"/>
    <n v="46.983333333333334"/>
    <x v="0"/>
    <n v="1.5527777777751908"/>
    <x v="8"/>
    <n v="0.55277777777519077"/>
    <n v="37.266666666604578"/>
    <n v="12"/>
    <n v="25.266666666604578"/>
    <n v="6.0791556728381568"/>
    <x v="0"/>
  </r>
  <r>
    <x v="4"/>
    <x v="1"/>
    <s v="1/11/2025 15:49"/>
    <s v="OMVRJE1RR"/>
    <x v="0"/>
    <s v="UAV 051U"/>
    <s v="Angello Lumala"/>
    <s v="KATO INVESTMENTS LIMITED-MASAK"/>
    <n v="153.6"/>
    <s v="F15706"/>
    <x v="14"/>
    <x v="1"/>
    <x v="0"/>
    <x v="1"/>
    <x v="14"/>
    <x v="14"/>
    <n v="328"/>
    <n v="-12"/>
    <x v="0"/>
    <d v="2025-01-11T15:56:00"/>
    <d v="2025-01-11T16:11:00"/>
    <d v="2025-01-11T16:41:00"/>
    <n v="29.366666666666667"/>
    <n v="44.05"/>
    <x v="1"/>
    <d v="2025-01-11T19:54:00"/>
    <d v="2025-01-12T11:30:00"/>
    <n v="916.5"/>
    <x v="0"/>
    <d v="2025-01-12T14:10:00"/>
    <d v="2025-01-12T14:46:00"/>
    <n v="35.25"/>
    <x v="0"/>
    <n v="0.89513888888905058"/>
    <x v="8"/>
    <n v="-0.10486111111094942"/>
    <n v="21.483333333337214"/>
    <n v="0"/>
    <n v="21.483333333337214"/>
    <n v="7.1497284716821836"/>
    <x v="0"/>
  </r>
  <r>
    <x v="4"/>
    <x v="0"/>
    <s v="1/11/2025 18:41"/>
    <s v="OMUXKCDRR"/>
    <x v="0"/>
    <s v="UBJ 705D"/>
    <s v="KASULE JOHNBOSC"/>
    <s v="Kobusinge Steven-FPortal"/>
    <n v="156"/>
    <s v="Z82137"/>
    <x v="11"/>
    <x v="0"/>
    <x v="0"/>
    <x v="0"/>
    <x v="11"/>
    <x v="11"/>
    <n v="397"/>
    <n v="7"/>
    <x v="0"/>
    <d v="2025-01-12T07:10:00"/>
    <d v="2025-01-12T07:30:00"/>
    <d v="2025-01-12T08:02:00"/>
    <n v="31.316666666666666"/>
    <n v="50.916666666666664"/>
    <x v="1"/>
    <d v="2025-01-13T09:32:00"/>
    <d v="2025-01-14T12:24:48"/>
    <n v="1579.2"/>
    <x v="0"/>
    <d v="2025-01-14T11:17:07"/>
    <d v="2025-01-14T12:14:07"/>
    <n v="55.8"/>
    <x v="0"/>
    <n v="2.1354999999966822"/>
    <x v="0"/>
    <n v="0.13549999999668216"/>
    <n v="51.251999999920372"/>
    <n v="24"/>
    <n v="27.251999999920372"/>
    <n v="5.7243505064015787"/>
    <x v="0"/>
  </r>
  <r>
    <x v="4"/>
    <x v="1"/>
    <s v="1/11/2025 21:59"/>
    <s v="OMVAW55RR"/>
    <x v="0"/>
    <s v="UAR 731Q"/>
    <s v="Godwin Niwensiima"/>
    <s v="KATO INVESTMENTS LTD- KALISIZO"/>
    <n v="153.6"/>
    <s v="F15707"/>
    <x v="4"/>
    <x v="1"/>
    <x v="0"/>
    <x v="1"/>
    <x v="4"/>
    <x v="4"/>
    <n v="374"/>
    <n v="24"/>
    <x v="0"/>
    <d v="2025-01-12T07:58:00"/>
    <d v="2025-01-12T07:30:00"/>
    <d v="2025-01-12T08:50:00"/>
    <n v="78.316666666666663"/>
    <n v="50.916666666666664"/>
    <x v="8"/>
    <d v="2025-01-12T15:50:00"/>
    <d v="2025-01-12T19:20:00"/>
    <n v="205.61666666666667"/>
    <x v="0"/>
    <d v="2025-01-13T14:46:24"/>
    <d v="2025-01-13T15:26:24"/>
    <n v="39.166666666666664"/>
    <x v="0"/>
    <n v="1.2474999999976717"/>
    <x v="2"/>
    <n v="-0.45250000000232826"/>
    <n v="29.939999999944121"/>
    <n v="16"/>
    <n v="13.939999999944121"/>
    <n v="11.018651363028386"/>
    <x v="0"/>
  </r>
  <r>
    <x v="4"/>
    <x v="0"/>
    <s v="1/11/2025 22:07"/>
    <s v="OMD2AZURR"/>
    <x v="0"/>
    <s v="UBM 648D"/>
    <m/>
    <s v="Boniface Harera"/>
    <n v="156"/>
    <s v="F15708"/>
    <x v="10"/>
    <x v="0"/>
    <x v="0"/>
    <x v="0"/>
    <x v="10"/>
    <x v="10"/>
    <n v="474"/>
    <n v="4"/>
    <x v="0"/>
    <d v="2025-01-12T07:23:00"/>
    <d v="2025-01-12T07:30:00"/>
    <d v="2025-01-12T08:12:00"/>
    <n v="41.116666666666667"/>
    <n v="47.966666666666669"/>
    <x v="1"/>
    <d v="2025-01-13T08:12:00"/>
    <d v="2025-01-13T13:27:00"/>
    <n v="308.43333333333334"/>
    <x v="0"/>
    <d v="2025-01-14T12:15:00"/>
    <d v="2025-01-14T13:15:00"/>
    <n v="58.733333333333334"/>
    <x v="0"/>
    <n v="2.1687499999970896"/>
    <x v="1"/>
    <n v="-0.33125000000291038"/>
    <n v="52.049999999930151"/>
    <n v="24"/>
    <n v="28.049999999930151"/>
    <n v="5.5614973262170579"/>
    <x v="0"/>
  </r>
  <r>
    <x v="4"/>
    <x v="0"/>
    <s v="1/11/2025 22:37"/>
    <s v="OMEBNQDRR"/>
    <x v="0"/>
    <s v="UBP 298H"/>
    <s v="SENTONG DAVID"/>
    <s v="KATO INVESTMENTS LTD-KATIKARA"/>
    <n v="156"/>
    <s v="A19998"/>
    <x v="5"/>
    <x v="0"/>
    <x v="0"/>
    <x v="0"/>
    <x v="5"/>
    <x v="5"/>
    <n v="842"/>
    <n v="12"/>
    <x v="0"/>
    <d v="2025-01-12T07:03:00"/>
    <d v="2025-01-12T07:30:00"/>
    <d v="2025-01-12T07:46:00"/>
    <n v="15.65"/>
    <n v="42.1"/>
    <x v="1"/>
    <d v="2025-01-13T09:01:00"/>
    <d v="2025-01-13T14:00:00"/>
    <n v="292.76666666666665"/>
    <x v="0"/>
    <d v="2025-01-14T18:48:00"/>
    <d v="2025-01-14T19:49:00"/>
    <n v="59.716666666666669"/>
    <x v="0"/>
    <n v="2.4597222222218988"/>
    <x v="0"/>
    <n v="0.45972222222189885"/>
    <n v="59.033333333325572"/>
    <n v="24"/>
    <n v="35.033333333325572"/>
    <n v="4.4529019980980369"/>
    <x v="0"/>
  </r>
  <r>
    <x v="4"/>
    <x v="0"/>
    <s v="1/11/2025 22:38"/>
    <s v="OM1TLA6RR"/>
    <x v="0"/>
    <s v="UBK 862R"/>
    <s v="SULAIMAN MUBIRU"/>
    <s v="Kato Investment Ltd -Kagadi"/>
    <n v="156"/>
    <s v="A19999"/>
    <x v="12"/>
    <x v="0"/>
    <x v="0"/>
    <x v="0"/>
    <x v="12"/>
    <x v="12"/>
    <n v="623"/>
    <n v="11"/>
    <x v="0"/>
    <d v="2025-01-12T07:02:00"/>
    <d v="2025-01-12T07:30:00"/>
    <d v="2025-01-12T07:47:00"/>
    <n v="16.633333333333333"/>
    <n v="44.05"/>
    <x v="1"/>
    <d v="2025-01-13T09:17:00"/>
    <d v="2025-01-13T14:36:00"/>
    <n v="312.35000000000002"/>
    <x v="0"/>
    <d v="2025-01-14T08:47:31"/>
    <d v="2025-01-14T09:32:31"/>
    <n v="44.05"/>
    <x v="0"/>
    <n v="2.0420277777811862"/>
    <x v="6"/>
    <n v="-0.25797222221881366"/>
    <n v="49.008666666748468"/>
    <n v="24"/>
    <n v="25.008666666748468"/>
    <n v="6.2378375496290515"/>
    <x v="0"/>
  </r>
  <r>
    <x v="4"/>
    <x v="1"/>
    <s v="1/11/2025 22:42"/>
    <s v="OMZQAG7RR"/>
    <x v="0"/>
    <s v="UBK 881R"/>
    <s v="James  Kironde"/>
    <s v="Kato Investments Ltd-Bulenga"/>
    <n v="156"/>
    <s v="A20000"/>
    <x v="2"/>
    <x v="1"/>
    <x v="0"/>
    <x v="1"/>
    <x v="2"/>
    <x v="2"/>
    <n v="607"/>
    <n v="47"/>
    <x v="0"/>
    <d v="2025-01-12T07:00:00"/>
    <d v="2025-01-12T07:30:00"/>
    <d v="2025-01-12T07:52:00"/>
    <n v="21.533333333333335"/>
    <n v="50.916666666666664"/>
    <x v="1"/>
    <d v="2025-01-13T07:52:00"/>
    <d v="2025-01-13T12:27:00"/>
    <n v="269.26666666666665"/>
    <x v="0"/>
    <d v="2025-01-14T07:52:00"/>
    <d v="2025-01-14T08:49:00"/>
    <n v="55.8"/>
    <x v="0"/>
    <n v="2"/>
    <x v="0"/>
    <n v="0"/>
    <n v="48"/>
    <n v="24"/>
    <n v="24"/>
    <n v="6.5"/>
    <x v="0"/>
  </r>
  <r>
    <x v="4"/>
    <x v="0"/>
    <s v="1/12/2025 0:00"/>
    <s v="OM02L9YU"/>
    <x v="0"/>
    <s v="UBK 866R"/>
    <m/>
    <s v="Kobusinge Steven-FPortal"/>
    <n v="156"/>
    <s v="Z82149"/>
    <x v="11"/>
    <x v="0"/>
    <x v="0"/>
    <x v="0"/>
    <x v="11"/>
    <x v="11"/>
    <n v="397"/>
    <n v="7"/>
    <x v="0"/>
    <d v="2025-01-12T07:01:00"/>
    <d v="2025-01-12T07:30:00"/>
    <d v="2025-01-12T07:53:00"/>
    <n v="22.516666666666666"/>
    <n v="50.916666666666664"/>
    <x v="1"/>
    <d v="2025-01-13T09:23:00"/>
    <d v="2025-01-13T16:16:00"/>
    <n v="404.38333333333333"/>
    <x v="0"/>
    <d v="2025-01-14T08:45:34"/>
    <d v="2025-01-14T09:39:34"/>
    <n v="52.866666666666667"/>
    <x v="0"/>
    <n v="2.0365000000019791"/>
    <x v="0"/>
    <n v="3.650000000197906E-2"/>
    <n v="48.876000000047497"/>
    <n v="24"/>
    <n v="24.876000000047497"/>
    <n v="6.2711046791969025"/>
    <x v="0"/>
  </r>
  <r>
    <x v="4"/>
    <x v="0"/>
    <s v="1/12/2025 0:00"/>
    <s v="OM02L9Z9"/>
    <x v="0"/>
    <s v="UBE 681K"/>
    <s v="KYAPA AKIMU"/>
    <s v="Ntale and Sons Ltd-Kakiri"/>
    <n v="156"/>
    <s v="A20014"/>
    <x v="22"/>
    <x v="0"/>
    <x v="0"/>
    <x v="0"/>
    <x v="22"/>
    <x v="21"/>
    <n v="612"/>
    <n v="-8"/>
    <x v="0"/>
    <d v="2025-01-12T08:08:00"/>
    <d v="2025-01-12T07:30:00"/>
    <d v="2025-01-12T09:00:00"/>
    <n v="88.11666666666666"/>
    <n v="50.916666666666664"/>
    <x v="1"/>
    <d v="2025-01-13T08:30:00"/>
    <d v="2025-01-13T13:07:00"/>
    <n v="271.21666666666664"/>
    <x v="0"/>
    <d v="2025-01-14T11:55:00"/>
    <d v="2025-01-14T12:43:00"/>
    <n v="46.983333333333334"/>
    <x v="0"/>
    <n v="2.1215277777737356"/>
    <x v="0"/>
    <n v="0.12152777777373558"/>
    <n v="50.916666666569654"/>
    <n v="24"/>
    <n v="26.916666666569654"/>
    <n v="5.7956656346958111"/>
    <x v="0"/>
  </r>
  <r>
    <x v="4"/>
    <x v="0"/>
    <s v="1/12/2025 0:00"/>
    <s v="OM02L9Z8"/>
    <x v="0"/>
    <s v="UBE 681K"/>
    <s v="KYAPA AKIMU"/>
    <s v="Boniface Harera"/>
    <n v="156"/>
    <s v="F15711"/>
    <x v="10"/>
    <x v="0"/>
    <x v="0"/>
    <x v="0"/>
    <x v="10"/>
    <x v="10"/>
    <n v="474"/>
    <n v="4"/>
    <x v="0"/>
    <d v="2025-01-12T06:58:00"/>
    <d v="2025-01-12T07:30:00"/>
    <d v="2025-01-12T07:43:00"/>
    <n v="12.716666666666667"/>
    <n v="44.05"/>
    <x v="1"/>
    <d v="2025-01-13T09:13:00"/>
    <d v="2025-01-13T14:01:00"/>
    <n v="281.98333333333335"/>
    <x v="0"/>
    <d v="2025-01-14T12:49:00"/>
    <d v="2025-01-14T13:40:00"/>
    <n v="49.93333333333333"/>
    <x v="0"/>
    <n v="2.2124999999941792"/>
    <x v="1"/>
    <n v="-0.28750000000582077"/>
    <n v="53.099999999860302"/>
    <n v="24"/>
    <n v="29.099999999860302"/>
    <n v="5.3608247422937767"/>
    <x v="0"/>
  </r>
  <r>
    <x v="4"/>
    <x v="1"/>
    <s v="1/12/2025 17:25"/>
    <s v="OM0AHLTRR"/>
    <x v="0"/>
    <s v="UBJ 415C"/>
    <s v="Abel Mark naffa"/>
    <s v="Kato Investments Ltd-Bulenga"/>
    <n v="153.6"/>
    <s v="A20012"/>
    <x v="2"/>
    <x v="1"/>
    <x v="0"/>
    <x v="1"/>
    <x v="2"/>
    <x v="2"/>
    <n v="568"/>
    <n v="8"/>
    <x v="0"/>
    <d v="2025-01-12T18:23:00"/>
    <d v="2025-01-12T17:55:00"/>
    <d v="2025-01-12T19:15:00"/>
    <n v="78.316666666666663"/>
    <n v="50.916666666666664"/>
    <x v="1"/>
    <d v="2025-01-13T19:15:00"/>
    <d v="2025-01-14T00:03:00"/>
    <n v="281.98333333333335"/>
    <x v="0"/>
    <d v="2025-01-14T20:27:00"/>
    <d v="2025-01-14T21:22:00"/>
    <n v="53.85"/>
    <x v="0"/>
    <n v="2.0500000000029104"/>
    <x v="0"/>
    <n v="5.0000000002910383E-2"/>
    <n v="49.200000000069849"/>
    <n v="24"/>
    <n v="25.200000000069849"/>
    <n v="6.0952380952212"/>
    <x v="0"/>
  </r>
  <r>
    <x v="4"/>
    <x v="1"/>
    <s v="1/13/2025 11:38"/>
    <s v="OMQX5ETRR"/>
    <x v="0"/>
    <s v="UBJ 375N"/>
    <s v="Stephen Musoke "/>
    <s v="KATO INVESTMENTS LIMITED-MASAK"/>
    <n v="153.6"/>
    <s v="F15712"/>
    <x v="14"/>
    <x v="1"/>
    <x v="0"/>
    <x v="1"/>
    <x v="14"/>
    <x v="14"/>
    <n v="290"/>
    <n v="-50"/>
    <x v="0"/>
    <d v="2025-01-13T12:36:00"/>
    <d v="2025-01-13T12:08:00"/>
    <d v="2025-01-13T13:23:00"/>
    <n v="73.433333333333337"/>
    <n v="46.016666666666666"/>
    <x v="1"/>
    <d v="2025-01-13T16:36:00"/>
    <d v="2025-01-13T22:28:00"/>
    <n v="344.65"/>
    <x v="0"/>
    <d v="2025-01-14T12:52:00"/>
    <d v="2025-01-14T13:52:00"/>
    <n v="58.733333333333334"/>
    <x v="0"/>
    <n v="0.97847222221753327"/>
    <x v="8"/>
    <n v="-2.1527777782466728E-2"/>
    <n v="23.483333333220799"/>
    <n v="0"/>
    <n v="23.483333333220799"/>
    <n v="6.5408090844884059"/>
    <x v="0"/>
  </r>
  <r>
    <x v="4"/>
    <x v="1"/>
    <s v="1/13/2025 11:39"/>
    <s v="OM9Z9PSRR"/>
    <x v="0"/>
    <s v="UBE 422T"/>
    <s v="Jacob Oneka"/>
    <s v="KATO INVESTMENTS LTD- KALISIZO"/>
    <n v="153.6"/>
    <s v="F15713"/>
    <x v="4"/>
    <x v="1"/>
    <x v="0"/>
    <x v="1"/>
    <x v="4"/>
    <x v="4"/>
    <n v="353"/>
    <n v="3"/>
    <x v="0"/>
    <d v="2025-01-13T12:37:00"/>
    <d v="2025-01-13T12:09:00"/>
    <d v="2025-01-13T13:23:00"/>
    <n v="72.45"/>
    <n v="45.033333333333331"/>
    <x v="1"/>
    <d v="2025-01-13T20:23:00"/>
    <d v="2025-01-14T15:06:12"/>
    <n v="1099.7833333333333"/>
    <x v="0"/>
    <d v="2025-01-15T10:32:36"/>
    <d v="2025-01-15T11:08:36"/>
    <n v="35.25"/>
    <x v="0"/>
    <n v="1.8816666666607489"/>
    <x v="2"/>
    <n v="0.18166666666074893"/>
    <n v="45.159999999857973"/>
    <n v="12"/>
    <n v="33.159999999857973"/>
    <n v="4.6320868516483076"/>
    <x v="0"/>
  </r>
  <r>
    <x v="4"/>
    <x v="1"/>
    <s v="1/13/2025 18:06"/>
    <s v="OMFNVKRRR"/>
    <x v="0"/>
    <s v="UBJ 707D"/>
    <s v="Konge Husein"/>
    <s v="Kato Investments Ltd-Bulenga"/>
    <n v="153.6"/>
    <s v="A20021"/>
    <x v="2"/>
    <x v="1"/>
    <x v="0"/>
    <x v="1"/>
    <x v="2"/>
    <x v="2"/>
    <n v="687"/>
    <n v="127"/>
    <x v="0"/>
    <d v="2025-01-14T08:05:00"/>
    <d v="2025-01-14T07:30:00"/>
    <d v="2025-01-14T08:48:00"/>
    <n v="76.36666666666666"/>
    <n v="42.1"/>
    <x v="1"/>
    <d v="2025-01-15T08:48:00"/>
    <d v="2025-01-15T13:24:00"/>
    <n v="270.23333333333335"/>
    <x v="0"/>
    <d v="2025-01-16T14:19:12"/>
    <d v="2025-01-16T15:16:12"/>
    <n v="55.8"/>
    <x v="0"/>
    <n v="2.2300000000032014"/>
    <x v="0"/>
    <n v="0.23000000000320142"/>
    <n v="53.520000000076834"/>
    <n v="24"/>
    <n v="29.520000000076834"/>
    <n v="5.2032520325067821"/>
    <x v="0"/>
  </r>
  <r>
    <x v="4"/>
    <x v="1"/>
    <s v="1/13/2025 18:50"/>
    <s v="OMFCW0FRR"/>
    <x v="0"/>
    <s v="UAV 203T"/>
    <s v="Mugisha  George"/>
    <s v="Kato Investment Ltd -Mityana"/>
    <n v="144"/>
    <s v="A20026"/>
    <x v="16"/>
    <x v="1"/>
    <x v="0"/>
    <x v="1"/>
    <x v="16"/>
    <x v="16"/>
    <n v="768"/>
    <n v="78"/>
    <x v="0"/>
    <d v="2025-01-14T06:51:00"/>
    <d v="2025-01-14T07:30:00"/>
    <d v="2025-01-14T07:30:00"/>
    <n v="0"/>
    <n v="38.18333333333333"/>
    <x v="1"/>
    <d v="2025-01-15T09:30:00"/>
    <d v="2025-01-15T14:30:00"/>
    <n v="293.75"/>
    <x v="0"/>
    <d v="2025-01-16T11:55:55"/>
    <d v="2025-01-16T12:47:55"/>
    <n v="50.916666666666664"/>
    <x v="0"/>
    <n v="2.1846666666679084"/>
    <x v="0"/>
    <n v="0.18466666666790843"/>
    <n v="52.432000000029802"/>
    <n v="24"/>
    <n v="28.432000000029802"/>
    <n v="5.0647158131629526"/>
    <x v="0"/>
  </r>
  <r>
    <x v="4"/>
    <x v="1"/>
    <s v="1/14/2025 19:35"/>
    <s v="OM11DLNRR"/>
    <x v="0"/>
    <s v="UBJ 988D"/>
    <s v="Tumusiime Robert"/>
    <s v="Rugoma Traders-Kanungu/Kihihi"/>
    <n v="153.6"/>
    <s v="F15716"/>
    <x v="23"/>
    <x v="1"/>
    <x v="0"/>
    <x v="1"/>
    <x v="23"/>
    <x v="14"/>
    <n v="359"/>
    <n v="19"/>
    <x v="0"/>
    <d v="2025-01-15T08:11:00"/>
    <d v="2025-01-15T07:30:00"/>
    <d v="2025-01-15T08:51:00"/>
    <n v="79.3"/>
    <n v="39.166666666666664"/>
    <x v="1"/>
    <d v="2025-01-15T15:26:00"/>
    <d v="2025-01-15T18:46:00"/>
    <n v="195.83333333333334"/>
    <x v="0"/>
    <d v="2025-01-16T13:01:00"/>
    <d v="2025-01-16T13:39:00"/>
    <n v="37.200000000000003"/>
    <x v="0"/>
    <n v="1.1736111111094942"/>
    <x v="3"/>
    <n v="-0.32638888889050577"/>
    <n v="28.166666666627862"/>
    <n v="12"/>
    <n v="16.166666666627862"/>
    <n v="9.5010309278578564"/>
    <x v="0"/>
  </r>
  <r>
    <x v="4"/>
    <x v="1"/>
    <s v="1/14/2025 22:26"/>
    <s v="OMGQ7FPRR"/>
    <x v="0"/>
    <s v="UAY 265V"/>
    <s v="Luyaga Isaac"/>
    <s v="KATO INVESTMENTS LIMITED-MASAK"/>
    <n v="153.6"/>
    <s v="F15717"/>
    <x v="14"/>
    <x v="1"/>
    <x v="0"/>
    <x v="1"/>
    <x v="14"/>
    <x v="14"/>
    <n v="296"/>
    <n v="-44"/>
    <x v="0"/>
    <d v="2025-01-15T07:18:00"/>
    <d v="2025-01-15T07:30:00"/>
    <d v="2025-01-15T08:01:00"/>
    <n v="30.35"/>
    <n v="42.1"/>
    <x v="1"/>
    <d v="2025-01-15T11:14:00"/>
    <d v="2025-01-15T17:06:00"/>
    <n v="344.65"/>
    <x v="0"/>
    <d v="2025-01-16T07:30:00"/>
    <d v="2025-01-16T08:15:00"/>
    <n v="44.05"/>
    <x v="0"/>
    <n v="0.97847222221753327"/>
    <x v="8"/>
    <n v="-2.1527777782466728E-2"/>
    <n v="23.483333333220799"/>
    <n v="0"/>
    <n v="23.483333333220799"/>
    <n v="6.5408090844884059"/>
    <x v="0"/>
  </r>
  <r>
    <x v="4"/>
    <x v="0"/>
    <s v="1/15/2025 0:00"/>
    <s v="OM02LAWQ"/>
    <x v="0"/>
    <s v="UBE 673K"/>
    <s v="Bulega Sperito"/>
    <s v="Kato Investment Ltd -Mityana"/>
    <n v="156"/>
    <s v="A20068"/>
    <x v="16"/>
    <x v="0"/>
    <x v="0"/>
    <x v="0"/>
    <x v="16"/>
    <x v="16"/>
    <m/>
    <n v="-690"/>
    <x v="0"/>
    <d v="2025-01-15T07:11:00"/>
    <d v="2025-01-15T07:30:00"/>
    <d v="2025-01-15T08:00:00"/>
    <n v="29.366666666666667"/>
    <n v="47.966666666666669"/>
    <x v="1"/>
    <d v="2025-01-16T10:00:00"/>
    <d v="2025-01-16T16:48:00"/>
    <n v="399.48333333333335"/>
    <x v="0"/>
    <d v="2025-01-17T14:13:55"/>
    <d v="2025-01-17T14:53:55"/>
    <n v="39.166666666666664"/>
    <x v="0"/>
    <n v="2.259666666664998"/>
    <x v="0"/>
    <n v="0.25966666666499805"/>
    <n v="54.231999999959953"/>
    <n v="24"/>
    <n v="30.231999999959953"/>
    <n v="5.1600952633040036"/>
    <x v="0"/>
  </r>
  <r>
    <x v="4"/>
    <x v="0"/>
    <s v="1/15/2025 0:00"/>
    <s v="OM02LAVB"/>
    <x v="0"/>
    <s v="UBE 673K"/>
    <s v="Bulega Sperito"/>
    <s v="Kobusinge Steven-FPortal"/>
    <n v="156"/>
    <s v="Z82179"/>
    <x v="11"/>
    <x v="0"/>
    <x v="0"/>
    <x v="0"/>
    <x v="11"/>
    <x v="11"/>
    <n v="387"/>
    <n v="-3"/>
    <x v="0"/>
    <d v="2025-01-15T07:05:00"/>
    <d v="2025-01-15T07:30:00"/>
    <d v="2025-01-15T07:44:00"/>
    <n v="13.7"/>
    <n v="38.18333333333333"/>
    <x v="3"/>
    <d v="2025-01-16T09:14:00"/>
    <d v="2025-01-16T12:31:00"/>
    <n v="192.88333333333333"/>
    <x v="0"/>
    <d v="2025-01-17T09:57:12"/>
    <d v="2025-01-17T10:27:12"/>
    <n v="29.366666666666667"/>
    <x v="0"/>
    <n v="2.0924999999988358"/>
    <x v="0"/>
    <n v="9.2499999998835847E-2"/>
    <n v="50.21999999997206"/>
    <n v="32"/>
    <n v="18.21999999997206"/>
    <n v="8.5620197585202646"/>
    <x v="0"/>
  </r>
  <r>
    <x v="4"/>
    <x v="0"/>
    <s v="1/15/2025 0:00"/>
    <s v="OM02LAUT"/>
    <x v="0"/>
    <s v="UBE 684K"/>
    <m/>
    <s v="Kabaco U Ltd"/>
    <n v="156"/>
    <s v="Z82173"/>
    <x v="6"/>
    <x v="0"/>
    <x v="0"/>
    <x v="0"/>
    <x v="6"/>
    <x v="6"/>
    <n v="321"/>
    <n v="1"/>
    <x v="0"/>
    <d v="2025-01-15T07:08:00"/>
    <d v="2025-01-15T07:30:00"/>
    <d v="2025-01-15T07:58:00"/>
    <n v="27.4"/>
    <n v="48.95"/>
    <x v="1"/>
    <d v="2025-01-15T13:58:00"/>
    <d v="2025-01-15T17:04:00"/>
    <n v="182.11666666666667"/>
    <x v="0"/>
    <d v="2025-01-16T09:23:12"/>
    <d v="2025-01-16T10:18:12"/>
    <n v="53.85"/>
    <x v="0"/>
    <n v="1.0591666666659876"/>
    <x v="3"/>
    <n v="-0.44083333333401242"/>
    <n v="25.419999999983702"/>
    <n v="12"/>
    <n v="13.419999999983702"/>
    <n v="11.624441132651972"/>
    <x v="0"/>
  </r>
  <r>
    <x v="4"/>
    <x v="0"/>
    <s v="1/15/2025 0:00"/>
    <s v="OM02LAVY"/>
    <x v="0"/>
    <s v="UBP 311H"/>
    <m/>
    <s v="KATO INVESTMENTS LTD-KATIKARA"/>
    <n v="156"/>
    <s v="A20065"/>
    <x v="5"/>
    <x v="0"/>
    <x v="0"/>
    <x v="0"/>
    <x v="5"/>
    <x v="5"/>
    <n v="842"/>
    <n v="12"/>
    <x v="0"/>
    <d v="2025-01-15T06:58:00"/>
    <d v="2025-01-15T07:30:00"/>
    <d v="2025-01-15T07:50:00"/>
    <n v="19.583333333333332"/>
    <n v="50.916666666666664"/>
    <x v="1"/>
    <d v="2025-01-16T09:35:00"/>
    <d v="2025-01-16T13:00:00"/>
    <n v="200.71666666666667"/>
    <x v="0"/>
    <d v="2025-01-17T17:48:00"/>
    <d v="2025-01-17T18:48:00"/>
    <n v="58.733333333333334"/>
    <x v="0"/>
    <n v="2.4152777777708252"/>
    <x v="0"/>
    <n v="0.4152777777708252"/>
    <n v="57.966666666499805"/>
    <n v="24"/>
    <n v="33.966666666499805"/>
    <n v="4.5927379784327682"/>
    <x v="0"/>
  </r>
  <r>
    <x v="4"/>
    <x v="1"/>
    <s v="1/15/2025 16:36"/>
    <s v="OMKTVPSRR"/>
    <x v="0"/>
    <s v="UBE 422T"/>
    <s v="Jacob Oneka"/>
    <s v="Ntale and Sons"/>
    <n v="153.6"/>
    <s v="A20057"/>
    <x v="19"/>
    <x v="1"/>
    <x v="0"/>
    <x v="1"/>
    <x v="19"/>
    <x v="19"/>
    <n v="801"/>
    <n v="-9"/>
    <x v="0"/>
    <d v="2025-01-15T17:34:00"/>
    <d v="2025-01-15T17:06:00"/>
    <d v="2025-01-15T18:18:00"/>
    <n v="70.483333333333334"/>
    <n v="43.06666666666667"/>
    <x v="1"/>
    <d v="2025-01-17T07:18:00"/>
    <d v="2025-01-17T12:00:00"/>
    <n v="276.11666666666667"/>
    <x v="0"/>
    <d v="2025-01-18T12:28:48"/>
    <d v="2025-01-18T13:04:48"/>
    <n v="35.25"/>
    <x v="0"/>
    <n v="2.757499999992433"/>
    <x v="4"/>
    <n v="-0.242500000007567"/>
    <n v="66.179999999818392"/>
    <n v="24"/>
    <n v="42.179999999818392"/>
    <n v="3.6415362731308991"/>
    <x v="0"/>
  </r>
  <r>
    <x v="4"/>
    <x v="1"/>
    <s v="1/15/2025 19:03"/>
    <s v="OMHKA77RR"/>
    <x v="0"/>
    <s v="UBK 881R"/>
    <s v="James  Kironde"/>
    <s v="Kabaco U Ltd-Mbarara"/>
    <n v="153.6"/>
    <s v="Z82174"/>
    <x v="8"/>
    <x v="1"/>
    <x v="0"/>
    <x v="1"/>
    <x v="8"/>
    <x v="8"/>
    <n v="15"/>
    <n v="4"/>
    <x v="0"/>
    <d v="2025-01-16T07:58:00"/>
    <d v="2025-01-16T07:30:00"/>
    <d v="2025-01-16T08:38:00"/>
    <n v="66.583333333333329"/>
    <n v="39.166666666666664"/>
    <x v="1"/>
    <d v="2025-01-16T09:09:00"/>
    <d v="2025-01-16T14:52:00"/>
    <n v="335.85"/>
    <x v="0"/>
    <d v="2025-01-16T15:21:00"/>
    <d v="2025-01-16T16:05:00"/>
    <n v="43.06666666666667"/>
    <x v="0"/>
    <n v="0.27986111110658385"/>
    <x v="5"/>
    <n v="-0.5201388888934162"/>
    <n v="6.7166666665580124"/>
    <n v="0"/>
    <n v="6.7166666665580124"/>
    <n v="22.86848635272726"/>
    <x v="0"/>
  </r>
  <r>
    <x v="4"/>
    <x v="1"/>
    <s v="1/15/2025 19:07"/>
    <s v="OMA4JMWRR"/>
    <x v="0"/>
    <s v="UBJ 375N"/>
    <s v="Stephen Musoke "/>
    <s v="Ntale and Sons"/>
    <n v="148.63200000000001"/>
    <s v="A20061"/>
    <x v="19"/>
    <x v="1"/>
    <x v="0"/>
    <x v="1"/>
    <x v="19"/>
    <x v="19"/>
    <n v="820"/>
    <n v="10"/>
    <x v="0"/>
    <d v="2025-01-16T08:11:00"/>
    <d v="2025-01-16T07:30:00"/>
    <d v="2025-01-16T08:54:00"/>
    <n v="82.25"/>
    <n v="42.1"/>
    <x v="1"/>
    <d v="2025-01-17T14:54:00"/>
    <d v="2025-01-17T19:36:00"/>
    <n v="276.11666666666667"/>
    <x v="0"/>
    <d v="2025-01-19T08:04:48"/>
    <d v="2025-01-19T08:55:48"/>
    <n v="49.93333333333333"/>
    <x v="0"/>
    <n v="2.9658333333281917"/>
    <x v="4"/>
    <n v="-3.4166666671808343E-2"/>
    <n v="71.1799999998766"/>
    <n v="24"/>
    <n v="47.1799999998766"/>
    <n v="3.1503179313350733"/>
    <x v="0"/>
  </r>
  <r>
    <x v="4"/>
    <x v="0"/>
    <s v="1/15/2025 19:10"/>
    <s v="OMTLPXHRR"/>
    <x v="0"/>
    <s v="UBJ 417C"/>
    <m/>
    <s v="Kabaco U Ltd"/>
    <n v="156"/>
    <s v="Z82175"/>
    <x v="6"/>
    <x v="0"/>
    <x v="0"/>
    <x v="0"/>
    <x v="6"/>
    <x v="6"/>
    <n v="321"/>
    <n v="1"/>
    <x v="0"/>
    <d v="2025-01-15T19:45:00"/>
    <d v="2025-01-16T07:30:00"/>
    <d v="2025-01-15T20:29:00"/>
    <n v="-647.23333333333335"/>
    <n v="43.06666666666667"/>
    <x v="1"/>
    <d v="2025-01-16T09:29:00"/>
    <d v="2025-01-16T14:16:00"/>
    <n v="281.01666666666665"/>
    <x v="0"/>
    <d v="2025-01-16T19:36:00"/>
    <d v="2025-01-16T20:37:00"/>
    <n v="59.716666666666669"/>
    <x v="0"/>
    <n v="0.96319444444088731"/>
    <x v="3"/>
    <n v="-0.53680555555911269"/>
    <n v="23.116666666581295"/>
    <n v="0"/>
    <n v="23.116666666581295"/>
    <n v="6.7483777938244893"/>
    <x v="0"/>
  </r>
  <r>
    <x v="4"/>
    <x v="1"/>
    <s v="1/15/2025 19:30"/>
    <s v="OMFZU8RRR"/>
    <x v="0"/>
    <s v="UBJ 415C"/>
    <s v="Abel Mark naffa"/>
    <s v="KATO INVESTMENTS LIMITED-MASAK"/>
    <n v="156.30000000000001"/>
    <s v="F15719"/>
    <x v="14"/>
    <x v="1"/>
    <x v="0"/>
    <x v="1"/>
    <x v="14"/>
    <x v="14"/>
    <n v="245"/>
    <n v="-95"/>
    <x v="0"/>
    <d v="2025-01-16T07:58:00"/>
    <d v="2025-01-16T07:30:00"/>
    <d v="2025-01-16T08:40:00"/>
    <n v="68.533333333333331"/>
    <n v="41.116666666666667"/>
    <x v="1"/>
    <d v="2025-01-16T11:53:00"/>
    <d v="2025-01-16T17:01:00"/>
    <n v="301.56666666666666"/>
    <x v="0"/>
    <d v="2025-01-17T07:25:00"/>
    <d v="2025-01-17T08:13:00"/>
    <n v="46.983333333333334"/>
    <x v="0"/>
    <n v="0.94791666666424135"/>
    <x v="8"/>
    <n v="-5.2083333335758653E-2"/>
    <n v="22.749999999941792"/>
    <n v="0"/>
    <n v="22.749999999941792"/>
    <n v="6.8703296703472487"/>
    <x v="0"/>
  </r>
  <r>
    <x v="4"/>
    <x v="0"/>
    <s v="1/15/2025 21:55"/>
    <s v="OML9M4PRR"/>
    <x v="0"/>
    <s v="UBM 644D"/>
    <m/>
    <s v="Boniface Harera"/>
    <n v="156"/>
    <s v="F15721"/>
    <x v="10"/>
    <x v="0"/>
    <x v="0"/>
    <x v="0"/>
    <x v="10"/>
    <x v="10"/>
    <n v="474"/>
    <n v="4"/>
    <x v="0"/>
    <d v="2025-01-15T19:45:00"/>
    <d v="2025-01-16T07:30:00"/>
    <d v="2025-01-15T20:29:00"/>
    <n v="-647.23333333333335"/>
    <n v="43.06666666666667"/>
    <x v="1"/>
    <d v="2025-01-16T20:29:00"/>
    <d v="2025-01-17T12:55:24"/>
    <n v="965.83333333333337"/>
    <x v="0"/>
    <d v="2025-01-18T11:43:24"/>
    <d v="2025-01-18T12:40:24"/>
    <n v="55.8"/>
    <x v="0"/>
    <n v="2.6349999999947613"/>
    <x v="1"/>
    <n v="0.13499999999476131"/>
    <n v="63.239999999874271"/>
    <n v="24"/>
    <n v="39.239999999874271"/>
    <n v="3.9755351682084568"/>
    <x v="0"/>
  </r>
  <r>
    <x v="4"/>
    <x v="0"/>
    <s v="1/16/2025 0:00"/>
    <s v="OM02LB9W"/>
    <x v="0"/>
    <s v="UBK 866R"/>
    <m/>
    <s v="Sawan Distributors Ltd-Kayabwe"/>
    <n v="156"/>
    <s v="A20089"/>
    <x v="9"/>
    <x v="0"/>
    <x v="0"/>
    <x v="0"/>
    <x v="9"/>
    <x v="9"/>
    <n v="402"/>
    <n v="2"/>
    <x v="0"/>
    <d v="2025-01-16T07:05:00"/>
    <d v="2025-01-16T07:30:00"/>
    <d v="2025-01-16T07:54:00"/>
    <n v="23.5"/>
    <n v="47.966666666666669"/>
    <x v="1"/>
    <d v="2025-01-17T10:54:00"/>
    <d v="2025-01-17T15:23:00"/>
    <n v="263.38333333333333"/>
    <x v="0"/>
    <d v="2025-01-18T10:35:00"/>
    <d v="2025-01-18T11:32:00"/>
    <n v="55.8"/>
    <x v="0"/>
    <n v="2.1118055555562023"/>
    <x v="0"/>
    <n v="0.11180555555620231"/>
    <n v="50.683333333348855"/>
    <n v="24"/>
    <n v="26.683333333348855"/>
    <n v="5.8463460337255189"/>
    <x v="0"/>
  </r>
  <r>
    <x v="4"/>
    <x v="1"/>
    <s v="1/16/2025 0:00"/>
    <s v="OM02LBA6"/>
    <x v="0"/>
    <s v="UAR 731Q"/>
    <s v="Godwin Niwensiima"/>
    <s v="Kabaco U Ltd-Mbarara"/>
    <n v="153.6"/>
    <s v="Z82196"/>
    <x v="8"/>
    <x v="1"/>
    <x v="0"/>
    <x v="1"/>
    <x v="8"/>
    <x v="8"/>
    <n v="13"/>
    <n v="2"/>
    <x v="0"/>
    <d v="2025-01-16T07:00:00"/>
    <d v="2025-01-16T07:30:00"/>
    <d v="2025-01-16T07:40:00"/>
    <n v="9.7833333333333332"/>
    <n v="39.166666666666664"/>
    <x v="1"/>
    <d v="2025-01-16T08:05:00"/>
    <d v="2025-01-16T11:42:00"/>
    <n v="212.46666666666667"/>
    <x v="0"/>
    <d v="2025-01-16T12:11:00"/>
    <d v="2025-01-16T13:08:00"/>
    <n v="55.8"/>
    <x v="0"/>
    <n v="0.18819444443943212"/>
    <x v="5"/>
    <n v="-0.61180555556056793"/>
    <n v="4.5166666665463708"/>
    <n v="0"/>
    <n v="4.5166666665463708"/>
    <n v="34.007380074706482"/>
    <x v="0"/>
  </r>
  <r>
    <x v="4"/>
    <x v="0"/>
    <s v="1/16/2025 0:00"/>
    <s v="OM02LBA3"/>
    <x v="0"/>
    <s v="UBE 673K"/>
    <s v="Bulega Sperito"/>
    <s v="Kobusinge Steven-Kamwenge"/>
    <n v="156"/>
    <s v="Z82193"/>
    <x v="13"/>
    <x v="0"/>
    <x v="0"/>
    <x v="0"/>
    <x v="13"/>
    <x v="23"/>
    <n v="236"/>
    <n v="-68"/>
    <x v="0"/>
    <d v="2025-01-16T06:59:00"/>
    <d v="2025-01-16T07:30:00"/>
    <d v="2025-01-16T07:43:00"/>
    <n v="12.716666666666667"/>
    <n v="43.06666666666667"/>
    <x v="1"/>
    <d v="2025-01-17T09:13:00"/>
    <d v="2025-01-17T13:54:00"/>
    <n v="275.13333333333333"/>
    <x v="0"/>
    <d v="2025-01-17T19:24:00"/>
    <d v="2025-01-17T20:19:00"/>
    <n v="53.85"/>
    <x v="0"/>
    <n v="1.4868055555562023"/>
    <x v="7"/>
    <n v="0.18680555555620226"/>
    <n v="35.683333333348855"/>
    <n v="12"/>
    <n v="23.683333333348855"/>
    <n v="6.5869106263151762"/>
    <x v="0"/>
  </r>
  <r>
    <x v="4"/>
    <x v="0"/>
    <s v="1/16/2025 0:00"/>
    <s v="OM02LB9Z"/>
    <x v="0"/>
    <s v="UBK 866R"/>
    <m/>
    <s v="Kabaco U Ltd"/>
    <n v="156"/>
    <s v="Z82192"/>
    <x v="6"/>
    <x v="0"/>
    <x v="0"/>
    <x v="0"/>
    <x v="6"/>
    <x v="6"/>
    <n v="321"/>
    <n v="1"/>
    <x v="0"/>
    <d v="2025-01-16T07:05:00"/>
    <d v="2025-01-16T07:30:00"/>
    <d v="2025-01-16T07:52:00"/>
    <n v="21.533333333333335"/>
    <n v="46.016666666666666"/>
    <x v="1"/>
    <d v="2025-01-16T13:52:00"/>
    <d v="2025-01-16T19:19:00"/>
    <n v="320.18333333333334"/>
    <x v="0"/>
    <d v="2025-01-17T11:38:12"/>
    <d v="2025-01-17T12:30:12"/>
    <n v="50.916666666666664"/>
    <x v="0"/>
    <n v="1.1570833333316841"/>
    <x v="3"/>
    <n v="-0.34291666666831588"/>
    <n v="27.769999999960419"/>
    <n v="12"/>
    <n v="15.769999999960419"/>
    <n v="9.8922003804940744"/>
    <x v="0"/>
  </r>
  <r>
    <x v="4"/>
    <x v="0"/>
    <s v="1/16/2025 0:00"/>
    <s v="OM02LBA4"/>
    <x v="0"/>
    <s v="UBE 673K"/>
    <s v="Bulega Sperito"/>
    <s v="Kobusinge Steven-FPortal"/>
    <n v="156"/>
    <s v="Z82194"/>
    <x v="11"/>
    <x v="0"/>
    <x v="0"/>
    <x v="0"/>
    <x v="11"/>
    <x v="11"/>
    <n v="387"/>
    <n v="-3"/>
    <x v="0"/>
    <d v="2025-01-16T06:52:00"/>
    <d v="2025-01-16T07:30:00"/>
    <d v="2025-01-16T07:36:00"/>
    <n v="5.8666666666666663"/>
    <n v="43.06666666666667"/>
    <x v="1"/>
    <d v="2025-01-17T09:06:00"/>
    <d v="2025-01-17T18:15:00"/>
    <n v="537.54999999999995"/>
    <x v="0"/>
    <d v="2025-01-18T09:49:12"/>
    <d v="2025-01-18T10:49:12"/>
    <n v="58.733333333333334"/>
    <x v="0"/>
    <n v="2.0924999999988358"/>
    <x v="0"/>
    <n v="9.2499999998835847E-2"/>
    <n v="50.21999999997206"/>
    <n v="24"/>
    <n v="26.21999999997206"/>
    <n v="5.9496567505784226"/>
    <x v="0"/>
  </r>
  <r>
    <x v="4"/>
    <x v="0"/>
    <s v="1/16/2025 0:00"/>
    <s v="OM02LB8Y"/>
    <x v="0"/>
    <s v="UBK 866R"/>
    <m/>
    <s v="Bates Enterprises Ltd-Ntoroko"/>
    <n v="156"/>
    <s v="Z82191"/>
    <x v="25"/>
    <x v="0"/>
    <x v="0"/>
    <x v="0"/>
    <x v="25"/>
    <x v="24"/>
    <n v="509"/>
    <n v="-3"/>
    <x v="0"/>
    <d v="2025-01-16T07:05:00"/>
    <d v="2025-01-16T07:30:00"/>
    <d v="2025-01-16T07:59:00"/>
    <n v="28.383333333333333"/>
    <n v="52.866666666666667"/>
    <x v="6"/>
    <d v="2025-01-18T07:59:00"/>
    <d v="2025-01-18T13:09:00"/>
    <n v="303.53333333333336"/>
    <x v="0"/>
    <d v="2025-01-19T13:52:12"/>
    <d v="2025-01-19T14:37:12"/>
    <n v="44.05"/>
    <x v="0"/>
    <n v="3.2452777777798474"/>
    <x v="4"/>
    <n v="0.24527777777984738"/>
    <n v="77.886666666716337"/>
    <n v="48"/>
    <n v="29.886666666716337"/>
    <n v="5.2197189382023446"/>
    <x v="9"/>
  </r>
  <r>
    <x v="4"/>
    <x v="0"/>
    <s v="1/16/2025 0:00"/>
    <s v="OM02LBAM"/>
    <x v="0"/>
    <s v="UBP 311H"/>
    <s v="Ekwalikwa Yusuf"/>
    <s v="Kato Investments Ltd- Kyegegwa"/>
    <n v="156"/>
    <s v="A20096"/>
    <x v="18"/>
    <x v="0"/>
    <x v="0"/>
    <x v="0"/>
    <x v="18"/>
    <x v="18"/>
    <n v="572"/>
    <n v="7"/>
    <x v="0"/>
    <d v="2025-01-16T07:06:00"/>
    <d v="2025-01-16T07:30:00"/>
    <d v="2025-01-16T07:50:00"/>
    <n v="19.566666666666666"/>
    <n v="43.06666666666667"/>
    <x v="6"/>
    <d v="2025-01-17T10:10:00"/>
    <d v="2025-01-17T13:30:00"/>
    <n v="195.83333333333334"/>
    <x v="0"/>
    <d v="2025-01-17T20:20:00"/>
    <d v="2025-01-17T21:11:00"/>
    <n v="49.93333333333333"/>
    <x v="0"/>
    <n v="1.5208333333284827"/>
    <x v="0"/>
    <n v="-0.47916666667151731"/>
    <n v="36.499999999883585"/>
    <n v="16"/>
    <n v="20.499999999883585"/>
    <n v="7.6097560976041896"/>
    <x v="0"/>
  </r>
  <r>
    <x v="4"/>
    <x v="1"/>
    <s v="1/16/2025 12:20"/>
    <s v="OMFSKSARR"/>
    <x v="0"/>
    <s v="UAY 265V"/>
    <s v="Luyaga Isaac"/>
    <s v="Kabaco U Ltd-Mbarara"/>
    <n v="153.6"/>
    <s v="Z82183"/>
    <x v="8"/>
    <x v="1"/>
    <x v="0"/>
    <x v="1"/>
    <x v="8"/>
    <x v="8"/>
    <n v="13"/>
    <n v="2"/>
    <x v="0"/>
    <d v="2025-01-17T13:18:00"/>
    <d v="2025-01-17T12:50:00"/>
    <d v="2025-01-17T14:05:00"/>
    <n v="73.433333333333337"/>
    <n v="46.016666666666666"/>
    <x v="1"/>
    <d v="2025-01-17T14:41:00"/>
    <d v="2025-01-17T18:18:00"/>
    <n v="212.46666666666667"/>
    <x v="0"/>
    <d v="2025-01-17T18:47:00"/>
    <d v="2025-01-17T19:41:00"/>
    <n v="52.866666666666667"/>
    <x v="0"/>
    <n v="0.19583333333139308"/>
    <x v="5"/>
    <n v="-0.60416666666860697"/>
    <n v="4.6999999999534339"/>
    <n v="0"/>
    <n v="4.6999999999534339"/>
    <n v="32.680851064153579"/>
    <x v="0"/>
  </r>
  <r>
    <x v="4"/>
    <x v="1"/>
    <s v="1/16/2025 12:27"/>
    <s v="OMYHRN8RR"/>
    <x v="0"/>
    <s v="UBK 881R"/>
    <s v="James  Kironde"/>
    <s v="KATO INVESTMENTS LIMITED-MASAK"/>
    <n v="153.6"/>
    <s v="F15722"/>
    <x v="14"/>
    <x v="1"/>
    <x v="0"/>
    <x v="1"/>
    <x v="14"/>
    <x v="14"/>
    <n v="427"/>
    <n v="87"/>
    <x v="0"/>
    <d v="2025-01-17T13:25:00"/>
    <d v="2025-01-17T12:57:00"/>
    <d v="2025-01-17T14:09:00"/>
    <n v="70.5"/>
    <n v="43.06666666666667"/>
    <x v="1"/>
    <d v="2025-01-17T17:22:00"/>
    <d v="2025-01-18T11:43:36"/>
    <n v="1078.6333333333334"/>
    <x v="0"/>
    <d v="2025-01-18T14:23:36"/>
    <d v="2025-01-18T14:59:36"/>
    <n v="35.25"/>
    <x v="0"/>
    <n v="1.0101388888870133"/>
    <x v="8"/>
    <n v="1.0138888887013309E-2"/>
    <n v="24.243333333288319"/>
    <n v="12"/>
    <n v="12.243333333288319"/>
    <n v="12.545603049324644"/>
    <x v="0"/>
  </r>
  <r>
    <x v="4"/>
    <x v="0"/>
    <s v="1/16/2025 19:06"/>
    <s v="OM76BJHRR"/>
    <x v="0"/>
    <s v="UBK 862R"/>
    <s v="SULAIMAN MUBIRU"/>
    <s v="Rugoma Traders-Rukungiri"/>
    <n v="156"/>
    <s v="Z82187"/>
    <x v="17"/>
    <x v="0"/>
    <x v="0"/>
    <x v="0"/>
    <x v="17"/>
    <x v="17"/>
    <n v="249"/>
    <n v="-7"/>
    <x v="0"/>
    <d v="2025-01-16T19:38:00"/>
    <d v="2025-01-17T07:30:00"/>
    <d v="2025-01-16T20:26:00"/>
    <n v="-650.16666666666663"/>
    <n v="46.983333333333334"/>
    <x v="1"/>
    <d v="2025-01-17T13:26:00"/>
    <d v="2025-01-17T16:18:48"/>
    <n v="169.2"/>
    <x v="0"/>
    <d v="2025-01-17T19:18:48"/>
    <d v="2025-01-17T20:15:48"/>
    <n v="55.8"/>
    <x v="0"/>
    <n v="0.953333333338378"/>
    <x v="8"/>
    <n v="-4.6666666661622003E-2"/>
    <n v="22.880000000121072"/>
    <n v="0"/>
    <n v="22.880000000121072"/>
    <n v="6.8181818181457388"/>
    <x v="0"/>
  </r>
  <r>
    <x v="4"/>
    <x v="0"/>
    <s v="1/16/2025 19:27"/>
    <s v="OMEFURERR"/>
    <x v="0"/>
    <s v="UBK 858R"/>
    <s v="ALIPA EREKU"/>
    <s v="KATO INVESTMENTS LTD-KATIKARA"/>
    <n v="156"/>
    <s v="A20087"/>
    <x v="5"/>
    <x v="0"/>
    <x v="0"/>
    <x v="0"/>
    <x v="5"/>
    <x v="5"/>
    <n v="847"/>
    <n v="17"/>
    <x v="0"/>
    <d v="2025-01-16T19:38:00"/>
    <d v="2025-01-17T07:30:00"/>
    <d v="2025-01-16T20:22:00"/>
    <n v="-654.08333333333337"/>
    <n v="43.06666666666667"/>
    <x v="1"/>
    <d v="2025-01-17T21:37:00"/>
    <d v="2025-01-18T02:23:00"/>
    <n v="280.03333333333336"/>
    <x v="0"/>
    <d v="2025-01-19T07:11:00"/>
    <d v="2025-01-19T07:51:00"/>
    <n v="39.166666666666664"/>
    <x v="0"/>
    <n v="2.4506944444437977"/>
    <x v="0"/>
    <n v="0.45069444444379769"/>
    <n v="58.816666666651145"/>
    <n v="24"/>
    <n v="34.816666666651145"/>
    <n v="4.4806127333672441"/>
    <x v="0"/>
  </r>
  <r>
    <x v="4"/>
    <x v="1"/>
    <s v="1/16/2025 20:10"/>
    <s v="OMM2WUDRR"/>
    <x v="0"/>
    <s v="UAV 051U"/>
    <s v="Angello Lumala"/>
    <s v="KATO INVESTMENTS LIMITED-MASAK"/>
    <n v="153.6"/>
    <s v="F15724"/>
    <x v="14"/>
    <x v="1"/>
    <x v="0"/>
    <x v="1"/>
    <x v="14"/>
    <x v="14"/>
    <n v="328"/>
    <n v="-12"/>
    <x v="0"/>
    <d v="2025-01-17T07:58:00"/>
    <d v="2025-01-17T07:30:00"/>
    <d v="2025-01-17T08:39:00"/>
    <n v="67.55"/>
    <n v="40.133333333333333"/>
    <x v="1"/>
    <d v="2025-01-17T11:52:00"/>
    <d v="2025-01-17T19:23:00"/>
    <n v="441.6"/>
    <x v="0"/>
    <d v="2025-01-18T09:47:00"/>
    <d v="2025-01-18T10:35:00"/>
    <n v="46.983333333333334"/>
    <x v="0"/>
    <n v="1.047222222223354"/>
    <x v="8"/>
    <n v="4.7222222223354038E-2"/>
    <n v="25.133333333360497"/>
    <n v="12"/>
    <n v="13.133333333360497"/>
    <n v="11.695431472057029"/>
    <x v="0"/>
  </r>
  <r>
    <x v="4"/>
    <x v="0"/>
    <s v="1/16/2025 23:14"/>
    <s v="OM6WM2BRR"/>
    <x v="0"/>
    <s v="UBJ 420C"/>
    <s v="ZIWA ABASI"/>
    <s v="Kato Investment Ltd -Mityana"/>
    <n v="156"/>
    <s v="A20094"/>
    <x v="16"/>
    <x v="0"/>
    <x v="0"/>
    <x v="0"/>
    <x v="16"/>
    <x v="16"/>
    <m/>
    <n v="-690"/>
    <x v="0"/>
    <d v="2025-01-16T07:58:00"/>
    <d v="2025-01-16T07:30:00"/>
    <d v="2025-01-16T08:42:00"/>
    <n v="70.483333333333334"/>
    <n v="43.06666666666667"/>
    <x v="1"/>
    <d v="2025-01-17T10:42:00"/>
    <d v="2025-01-17T15:44:00"/>
    <n v="295.7"/>
    <x v="0"/>
    <d v="2025-01-18T11:00:19"/>
    <d v="2025-01-18T11:44:19"/>
    <n v="43.06666666666667"/>
    <x v="0"/>
    <n v="2.0960555555575411"/>
    <x v="0"/>
    <n v="9.6055555557541084E-2"/>
    <n v="50.305333333380986"/>
    <n v="24"/>
    <n v="26.305333333380986"/>
    <n v="5.9303563282370142"/>
    <x v="0"/>
  </r>
  <r>
    <x v="4"/>
    <x v="0"/>
    <s v="1/17/2025 0:00"/>
    <s v="OM02LBJ8"/>
    <x v="0"/>
    <s v="UBF 382L"/>
    <m/>
    <s v="Sawan Distributors Ltd-Nabingo"/>
    <n v="156"/>
    <s v="A20099"/>
    <x v="21"/>
    <x v="0"/>
    <x v="0"/>
    <x v="0"/>
    <x v="21"/>
    <x v="2"/>
    <n v="556"/>
    <n v="-4"/>
    <x v="0"/>
    <d v="2025-01-17T07:58:00"/>
    <d v="2025-01-17T07:30:00"/>
    <d v="2025-01-17T08:42:00"/>
    <n v="70.483333333333334"/>
    <n v="43.06666666666667"/>
    <x v="1"/>
    <d v="2025-01-18T09:57:00"/>
    <d v="2025-01-18T15:14:00"/>
    <n v="310.38333333333333"/>
    <x v="0"/>
    <d v="2025-01-19T15:14:00"/>
    <d v="2025-01-19T16:03:00"/>
    <n v="47.966666666666669"/>
    <x v="0"/>
    <n v="2.2722222222218988"/>
    <x v="0"/>
    <n v="0.27222222222189885"/>
    <n v="54.533333333325572"/>
    <n v="24"/>
    <n v="30.533333333325572"/>
    <n v="5.1091703056781546"/>
    <x v="0"/>
  </r>
  <r>
    <x v="4"/>
    <x v="0"/>
    <s v="1/17/2025 0:00"/>
    <s v="OM02LBJY"/>
    <x v="0"/>
    <s v="UBJ 705D"/>
    <s v="KASULE JOHNBOSC"/>
    <s v="Kato Investment Ltd -Mubende"/>
    <n v="156"/>
    <s v="A20100"/>
    <x v="1"/>
    <x v="0"/>
    <x v="0"/>
    <x v="0"/>
    <x v="1"/>
    <x v="1"/>
    <n v="686"/>
    <n v="6"/>
    <x v="0"/>
    <d v="2025-01-17T07:58:00"/>
    <d v="2025-01-17T07:30:00"/>
    <d v="2025-01-17T08:47:00"/>
    <n v="75.38333333333334"/>
    <n v="47.966666666666669"/>
    <x v="3"/>
    <d v="2025-01-18T11:04:00"/>
    <d v="2025-01-18T17:09:00"/>
    <n v="357.38333333333333"/>
    <x v="0"/>
    <d v="2025-01-19T09:57:00"/>
    <d v="2025-01-19T10:45:00"/>
    <n v="46.983333333333334"/>
    <x v="0"/>
    <n v="2.0486111111022183"/>
    <x v="1"/>
    <n v="-0.45138888889778173"/>
    <n v="49.166666666453239"/>
    <n v="32"/>
    <n v="17.166666666453239"/>
    <n v="9.0873786408896802"/>
    <x v="0"/>
  </r>
  <r>
    <x v="4"/>
    <x v="0"/>
    <s v="1/17/2025 0:00"/>
    <s v="OM02LBK8"/>
    <x v="0"/>
    <s v="UBB 115P"/>
    <s v="Kakembo Masuud"/>
    <s v="Kato Investment Ltd -Kagadi"/>
    <n v="156"/>
    <s v="A20101"/>
    <x v="12"/>
    <x v="0"/>
    <x v="0"/>
    <x v="0"/>
    <x v="12"/>
    <x v="12"/>
    <n v="623"/>
    <n v="11"/>
    <x v="0"/>
    <d v="2025-01-17T07:11:00"/>
    <d v="2025-01-17T07:30:00"/>
    <d v="2025-01-17T08:10:00"/>
    <n v="39.166666666666664"/>
    <n v="57.766666666666666"/>
    <x v="6"/>
    <d v="2025-01-18T11:40:00"/>
    <d v="2025-01-18T16:28:00"/>
    <n v="281.98333333333335"/>
    <x v="0"/>
    <d v="2025-01-19T10:39:31"/>
    <d v="2025-01-19T11:34:31"/>
    <n v="53.85"/>
    <x v="0"/>
    <n v="2.1038333333344781"/>
    <x v="6"/>
    <n v="-0.19616666666552174"/>
    <n v="50.492000000027474"/>
    <n v="32"/>
    <n v="18.492000000027474"/>
    <n v="8.4360804672165379"/>
    <x v="0"/>
  </r>
  <r>
    <x v="4"/>
    <x v="1"/>
    <s v="1/17/2025 20:40"/>
    <s v="OMLEMO6RR"/>
    <x v="0"/>
    <s v="UBJ 707D"/>
    <s v="Konge Husein"/>
    <s v="Rugoma Traders-Kanungu/Kihihi"/>
    <n v="153.6"/>
    <s v="F15733"/>
    <x v="23"/>
    <x v="1"/>
    <x v="0"/>
    <x v="1"/>
    <x v="23"/>
    <x v="14"/>
    <n v="332"/>
    <n v="-8"/>
    <x v="0"/>
    <d v="2025-01-18T07:58:00"/>
    <d v="2025-01-18T07:30:00"/>
    <d v="2025-01-18T08:42:00"/>
    <n v="70.483333333333334"/>
    <n v="43.06666666666667"/>
    <x v="1"/>
    <d v="2025-01-18T15:17:00"/>
    <d v="2025-01-18T18:37:00"/>
    <n v="195.83333333333334"/>
    <x v="0"/>
    <d v="2025-01-19T11:12:00"/>
    <d v="2025-01-19T12:12:00"/>
    <n v="58.733333333333334"/>
    <x v="0"/>
    <n v="1.1041666666642413"/>
    <x v="3"/>
    <n v="-0.39583333333575865"/>
    <n v="26.499999999941792"/>
    <n v="12"/>
    <n v="14.499999999941792"/>
    <n v="10.593103448318386"/>
    <x v="0"/>
  </r>
  <r>
    <x v="4"/>
    <x v="1"/>
    <s v="1/17/2025 20:41"/>
    <s v="OMV7CFMRR"/>
    <x v="0"/>
    <s v="UBJ 415C"/>
    <s v="Abel Mark naffa"/>
    <s v="Kabaco U Ltd"/>
    <n v="151.94399999999999"/>
    <s v="Z82208"/>
    <x v="6"/>
    <x v="1"/>
    <x v="0"/>
    <x v="1"/>
    <x v="6"/>
    <x v="6"/>
    <n v="99"/>
    <n v="-221"/>
    <x v="0"/>
    <d v="2025-01-18T07:58:00"/>
    <d v="2025-01-18T07:30:00"/>
    <d v="2025-01-18T08:45:00"/>
    <n v="73.433333333333337"/>
    <n v="46.016666666666666"/>
    <x v="1"/>
    <d v="2025-01-18T14:45:00"/>
    <d v="2025-01-18T19:42:00"/>
    <n v="290.8"/>
    <x v="0"/>
    <d v="2025-01-19T12:01:12"/>
    <d v="2025-01-19T12:37:12"/>
    <n v="35.25"/>
    <x v="0"/>
    <n v="1.1362500000032014"/>
    <x v="3"/>
    <n v="-0.36374999999679858"/>
    <n v="27.270000000076834"/>
    <n v="12"/>
    <n v="15.270000000076834"/>
    <n v="9.950491159085491"/>
    <x v="0"/>
  </r>
  <r>
    <x v="4"/>
    <x v="1"/>
    <s v="1/17/2025 20:45"/>
    <s v="OMCMTZIRR"/>
    <x v="0"/>
    <s v="UAT 351G"/>
    <s v="Hamudi Sesanga"/>
    <s v="Kabaco U Ltd-Mbarara"/>
    <n v="153.6"/>
    <s v="Z82209"/>
    <x v="8"/>
    <x v="1"/>
    <x v="0"/>
    <x v="1"/>
    <x v="8"/>
    <x v="8"/>
    <n v="13"/>
    <n v="2"/>
    <x v="0"/>
    <d v="2025-01-18T07:58:00"/>
    <d v="2025-01-18T07:30:00"/>
    <d v="2025-01-18T08:42:00"/>
    <n v="70.483333333333334"/>
    <n v="43.06666666666667"/>
    <x v="1"/>
    <d v="2025-01-18T09:24:00"/>
    <d v="2025-01-18T13:20:00"/>
    <n v="231.08333333333334"/>
    <x v="0"/>
    <d v="2025-01-18T13:49:00"/>
    <d v="2025-01-18T14:50:00"/>
    <n v="59.716666666666669"/>
    <x v="0"/>
    <n v="0.21319444444816327"/>
    <x v="5"/>
    <n v="-0.58680555555183678"/>
    <n v="5.1166666667559184"/>
    <n v="0"/>
    <n v="5.1166666667559184"/>
    <n v="30.019543973417726"/>
    <x v="0"/>
  </r>
  <r>
    <x v="4"/>
    <x v="0"/>
    <s v="1/17/2025 20:55"/>
    <s v="OMHC7UARR"/>
    <x v="0"/>
    <s v="UBP 301H"/>
    <s v="NAMINYA SIRAJE"/>
    <s v="KATO INVESTMENTS LTD-KATIKARA"/>
    <n v="154.34399999999999"/>
    <s v="A20119"/>
    <x v="5"/>
    <x v="0"/>
    <x v="0"/>
    <x v="0"/>
    <x v="5"/>
    <x v="5"/>
    <n v="796"/>
    <n v="-34"/>
    <x v="0"/>
    <d v="2025-01-17T19:38:00"/>
    <d v="2025-01-18T07:30:00"/>
    <d v="2025-01-17T20:22:00"/>
    <n v="-654.08333333333337"/>
    <n v="43.06666666666667"/>
    <x v="1"/>
    <d v="2025-01-19T07:07:00"/>
    <d v="2025-01-20T13:50:12"/>
    <n v="1804.7833333333333"/>
    <x v="0"/>
    <d v="2025-01-21T18:38:12"/>
    <d v="2025-01-21T19:35:12"/>
    <n v="55.8"/>
    <x v="0"/>
    <n v="3.9279166666601668"/>
    <x v="0"/>
    <n v="1.9279166666601668"/>
    <n v="94.269999999844003"/>
    <n v="36"/>
    <n v="58.269999999844003"/>
    <n v="2.6487729534994542"/>
    <x v="0"/>
  </r>
  <r>
    <x v="4"/>
    <x v="1"/>
    <s v="1/17/2025 23:03"/>
    <s v="OMZTRHKRR"/>
    <x v="0"/>
    <s v="UAY 265V"/>
    <s v="Luyaga Isaac"/>
    <s v="KATO INVESTMENTS LIMITED-MASAK"/>
    <n v="153.6"/>
    <s v="F15736"/>
    <x v="14"/>
    <x v="1"/>
    <x v="0"/>
    <x v="1"/>
    <x v="14"/>
    <x v="14"/>
    <n v="328"/>
    <n v="-12"/>
    <x v="0"/>
    <d v="2025-01-17T07:01:00"/>
    <d v="2025-01-17T07:30:00"/>
    <d v="2025-01-17T08:08:00"/>
    <n v="37.200000000000003"/>
    <n v="65.599999999999994"/>
    <x v="6"/>
    <d v="2025-01-17T11:21:00"/>
    <d v="2025-01-17T16:13:00"/>
    <n v="285.89999999999998"/>
    <x v="0"/>
    <d v="2025-01-17T18:53:00"/>
    <d v="2025-01-17T19:38:00"/>
    <n v="44.05"/>
    <x v="0"/>
    <n v="0.44791666666424135"/>
    <x v="8"/>
    <n v="-0.55208333333575865"/>
    <n v="10.749999999941792"/>
    <n v="0"/>
    <n v="10.749999999941792"/>
    <n v="14.288372093100621"/>
    <x v="0"/>
  </r>
  <r>
    <x v="4"/>
    <x v="0"/>
    <s v="1/18/2025 0:00"/>
    <s v="OM02LBTT"/>
    <x v="0"/>
    <s v="UBJ 705D"/>
    <s v="KASULE JOHNBOSC"/>
    <s v="Kato Investment Ltd -Mubende"/>
    <n v="156"/>
    <s v="A20133"/>
    <x v="1"/>
    <x v="0"/>
    <x v="0"/>
    <x v="0"/>
    <x v="1"/>
    <x v="1"/>
    <n v="686"/>
    <n v="6"/>
    <x v="0"/>
    <d v="2025-01-18T07:05:00"/>
    <d v="2025-01-18T07:30:00"/>
    <d v="2025-01-18T08:08:00"/>
    <n v="37.200000000000003"/>
    <n v="61.68333333333333"/>
    <x v="8"/>
    <d v="2025-01-19T10:25:00"/>
    <d v="2025-01-19T15:03:00"/>
    <n v="272.2"/>
    <x v="0"/>
    <d v="2025-01-20T17:55:48"/>
    <d v="2025-01-20T18:47:48"/>
    <n v="50.916666666666664"/>
    <x v="0"/>
    <n v="2.4081944444478722"/>
    <x v="1"/>
    <n v="-9.1805555552127771E-2"/>
    <n v="57.796666666748933"/>
    <n v="32"/>
    <n v="25.796666666748933"/>
    <n v="6.0472929318840611"/>
    <x v="0"/>
  </r>
  <r>
    <x v="4"/>
    <x v="0"/>
    <s v="1/18/2025 0:00"/>
    <s v="OM02LBTE"/>
    <x v="0"/>
    <s v="UBJ 705D"/>
    <s v="KASULE JOHNBOSC"/>
    <s v="Sawan Distributors Ltd-Nabingo"/>
    <n v="156"/>
    <s v="A20129"/>
    <x v="21"/>
    <x v="0"/>
    <x v="0"/>
    <x v="0"/>
    <x v="21"/>
    <x v="2"/>
    <n v="556"/>
    <n v="-4"/>
    <x v="0"/>
    <d v="2025-01-18T06:58:00"/>
    <d v="2025-01-18T07:30:00"/>
    <d v="2025-01-18T07:42:00"/>
    <n v="11.733333333333333"/>
    <n v="43.06666666666667"/>
    <x v="1"/>
    <d v="2025-01-18T19:42:00"/>
    <d v="2025-01-19T13:13:12"/>
    <n v="1029.3"/>
    <x v="0"/>
    <d v="2025-01-20T15:22:48"/>
    <d v="2025-01-20T16:16:48"/>
    <n v="52.866666666666667"/>
    <x v="0"/>
    <n v="2.319999999999709"/>
    <x v="0"/>
    <n v="0.31999999999970896"/>
    <n v="55.679999999993015"/>
    <n v="24"/>
    <n v="31.679999999993015"/>
    <n v="4.9242424242435101"/>
    <x v="0"/>
  </r>
  <r>
    <x v="4"/>
    <x v="0"/>
    <s v="1/18/2025 14:10"/>
    <s v="OMVHOMFRR"/>
    <x v="0"/>
    <s v="UBJ 417C"/>
    <m/>
    <s v="Kato Investments Ltd- Kakumiro"/>
    <n v="156"/>
    <s v="A20125"/>
    <x v="24"/>
    <x v="0"/>
    <x v="0"/>
    <x v="0"/>
    <x v="24"/>
    <x v="22"/>
    <n v="764"/>
    <n v="-1"/>
    <x v="0"/>
    <d v="2025-01-18T15:08:00"/>
    <d v="2025-01-18T14:40:00"/>
    <d v="2025-01-18T15:54:00"/>
    <n v="72.45"/>
    <n v="45.033333333333331"/>
    <x v="1"/>
    <d v="2025-01-19T00:54:00"/>
    <d v="2025-01-19T05:56:00"/>
    <n v="295.7"/>
    <x v="0"/>
    <d v="2025-01-19T14:26:00"/>
    <d v="2025-01-19T15:06:00"/>
    <n v="39.166666666666664"/>
    <x v="0"/>
    <n v="0.93888888888614019"/>
    <x v="3"/>
    <n v="-0.56111111111385981"/>
    <n v="22.533333333267365"/>
    <n v="0"/>
    <n v="22.533333333267365"/>
    <n v="6.9230769230971907"/>
    <x v="0"/>
  </r>
  <r>
    <x v="4"/>
    <x v="1"/>
    <s v="1/18/2025 19:28"/>
    <s v="OMWNYE2RR"/>
    <x v="0"/>
    <s v="UBK 881R"/>
    <s v="James  Kironde"/>
    <s v="Kabaco U Ltd-Mbarara"/>
    <n v="153.6"/>
    <s v="Z82216"/>
    <x v="8"/>
    <x v="1"/>
    <x v="0"/>
    <x v="1"/>
    <x v="8"/>
    <x v="8"/>
    <n v="175"/>
    <n v="164"/>
    <x v="0"/>
    <d v="2025-01-19T07:06:00"/>
    <d v="2025-01-19T07:30:00"/>
    <d v="2025-01-19T07:40:00"/>
    <n v="9.7833333333333332"/>
    <n v="33.283333333333331"/>
    <x v="1"/>
    <d v="2025-01-19T08:11:00"/>
    <d v="2025-01-19T10:29:00"/>
    <n v="135.11666666666667"/>
    <x v="0"/>
    <d v="2025-01-19T10:58:00"/>
    <d v="2025-01-19T11:49:00"/>
    <n v="49.93333333333333"/>
    <x v="0"/>
    <n v="0.13749999999708962"/>
    <x v="5"/>
    <n v="-0.66250000000291043"/>
    <n v="3.2999999999301508"/>
    <n v="0"/>
    <n v="3.2999999999301508"/>
    <n v="46.545454546439743"/>
    <x v="0"/>
  </r>
  <r>
    <x v="4"/>
    <x v="1"/>
    <s v="1/18/2025 19:44"/>
    <s v="OMN5I4FRR"/>
    <x v="0"/>
    <s v="UAR 731Q"/>
    <s v="Godwin Niwensiima"/>
    <s v="KATO INVESTMENTS LIMITED-MASAK"/>
    <n v="153.6"/>
    <s v="F15739"/>
    <x v="14"/>
    <x v="1"/>
    <x v="0"/>
    <x v="1"/>
    <x v="14"/>
    <x v="14"/>
    <n v="151"/>
    <n v="-189"/>
    <x v="0"/>
    <d v="2025-01-19T07:51:00"/>
    <d v="2025-01-19T07:30:00"/>
    <d v="2025-01-19T08:37:00"/>
    <n v="65.599999999999994"/>
    <n v="45.033333333333331"/>
    <x v="1"/>
    <d v="2025-01-19T11:50:00"/>
    <d v="2025-01-19T17:02:00"/>
    <n v="305.5"/>
    <x v="0"/>
    <d v="2025-01-20T07:26:00"/>
    <d v="2025-01-20T07:56:00"/>
    <n v="29.366666666666667"/>
    <x v="0"/>
    <n v="0.95069444444379769"/>
    <x v="8"/>
    <n v="-4.9305555556202307E-2"/>
    <n v="22.816666666651145"/>
    <n v="0"/>
    <n v="22.816666666651145"/>
    <n v="6.7319211103040679"/>
    <x v="0"/>
  </r>
  <r>
    <x v="4"/>
    <x v="1"/>
    <s v="1/18/2025 19:49"/>
    <s v="OMEIG2DRR"/>
    <x v="0"/>
    <s v="UAV 203T"/>
    <s v="Mugisha  George"/>
    <s v="Ntale and Sons"/>
    <n v="153.6"/>
    <s v="A20131"/>
    <x v="19"/>
    <x v="1"/>
    <x v="0"/>
    <x v="1"/>
    <x v="19"/>
    <x v="19"/>
    <n v="796"/>
    <n v="-14"/>
    <x v="0"/>
    <d v="2025-01-19T07:00:00"/>
    <d v="2025-01-19T07:30:00"/>
    <d v="2025-01-19T07:45:00"/>
    <n v="14.683333333333334"/>
    <n v="44.05"/>
    <x v="2"/>
    <d v="2025-01-20T13:45:00"/>
    <d v="2025-01-20T18:17:00"/>
    <n v="266.31666666666666"/>
    <x v="0"/>
    <d v="2025-01-21T18:58:46"/>
    <d v="2025-01-21T19:53:46"/>
    <n v="53.85"/>
    <x v="0"/>
    <n v="2.4678888888884103"/>
    <x v="4"/>
    <n v="-0.53211111111158971"/>
    <n v="59.229333333321847"/>
    <n v="32"/>
    <n v="27.229333333321847"/>
    <n v="5.6409754186685239"/>
    <x v="0"/>
  </r>
  <r>
    <x v="4"/>
    <x v="1"/>
    <s v="1/18/2025 19:50"/>
    <s v="OMDI4J3RR"/>
    <x v="0"/>
    <s v="UBJ 375N"/>
    <s v="Stephen Musoke "/>
    <s v="Kato Investments Ltd-Bulenga"/>
    <n v="153.6"/>
    <s v="A20132"/>
    <x v="2"/>
    <x v="1"/>
    <x v="0"/>
    <x v="1"/>
    <x v="2"/>
    <x v="2"/>
    <n v="577"/>
    <n v="17"/>
    <x v="0"/>
    <d v="2025-01-19T07:02:00"/>
    <d v="2025-01-19T07:30:00"/>
    <d v="2025-01-19T07:51:00"/>
    <n v="20.55"/>
    <n v="47.966666666666669"/>
    <x v="1"/>
    <d v="2025-01-20T07:51:00"/>
    <d v="2025-01-20T13:06:00"/>
    <n v="308.43333333333334"/>
    <x v="0"/>
    <d v="2025-01-21T07:51:00"/>
    <d v="2025-01-21T08:35:00"/>
    <n v="43.06666666666667"/>
    <x v="0"/>
    <n v="2"/>
    <x v="0"/>
    <n v="0"/>
    <n v="48"/>
    <n v="24"/>
    <n v="24"/>
    <n v="6.3999999999999995"/>
    <x v="0"/>
  </r>
  <r>
    <x v="4"/>
    <x v="0"/>
    <s v="1/19/2025 0:00"/>
    <s v="OM02LBVG"/>
    <x v="0"/>
    <s v="UBB 115P"/>
    <s v="Kakembo Masuud"/>
    <s v="Sawan Distributors Ltd-Nabingo"/>
    <n v="156"/>
    <s v="A20141"/>
    <x v="21"/>
    <x v="0"/>
    <x v="0"/>
    <x v="0"/>
    <x v="21"/>
    <x v="2"/>
    <n v="564"/>
    <n v="4"/>
    <x v="0"/>
    <d v="2025-01-19T06:57:00"/>
    <d v="2025-01-19T07:30:00"/>
    <d v="2025-01-19T07:43:00"/>
    <n v="12.716666666666667"/>
    <n v="45.033333333333331"/>
    <x v="1"/>
    <d v="2025-01-19T19:43:00"/>
    <d v="2025-01-20T11:29:05"/>
    <n v="926.36666666666667"/>
    <x v="0"/>
    <d v="2025-01-21T09:05:05"/>
    <d v="2025-01-21T10:05:05"/>
    <n v="58.733333333333334"/>
    <x v="0"/>
    <n v="2.0570000000006985"/>
    <x v="0"/>
    <n v="5.7000000000698492E-2"/>
    <n v="49.368000000016764"/>
    <n v="24"/>
    <n v="25.368000000016764"/>
    <n v="6.1494796594093701"/>
    <x v="0"/>
  </r>
  <r>
    <x v="4"/>
    <x v="0"/>
    <s v="1/19/2025 0:00"/>
    <s v="OM02LBVJ"/>
    <x v="0"/>
    <s v="UBB 115P"/>
    <s v="Kakembo Masuud"/>
    <s v="Sawan Distributors Ltd-Kayabwe"/>
    <n v="156"/>
    <s v="A20142"/>
    <x v="9"/>
    <x v="0"/>
    <x v="0"/>
    <x v="0"/>
    <x v="9"/>
    <x v="9"/>
    <n v="402"/>
    <n v="2"/>
    <x v="0"/>
    <d v="2025-01-19T06:54:00"/>
    <d v="2025-01-19T07:30:00"/>
    <d v="2025-01-19T07:40:00"/>
    <n v="9.7833333333333332"/>
    <n v="45.033333333333331"/>
    <x v="6"/>
    <d v="2025-01-20T09:40:00"/>
    <d v="2025-01-20T14:41:00"/>
    <n v="294.71666666666664"/>
    <x v="0"/>
    <d v="2025-01-21T09:24:12"/>
    <d v="2025-01-21T10:24:12"/>
    <n v="58.733333333333334"/>
    <x v="0"/>
    <n v="2.0723611111097853"/>
    <x v="0"/>
    <n v="7.236111110978527E-2"/>
    <n v="49.736666666634846"/>
    <n v="32"/>
    <n v="17.736666666634846"/>
    <n v="8.7953392219665396"/>
    <x v="0"/>
  </r>
  <r>
    <x v="4"/>
    <x v="0"/>
    <s v="1/19/2025 0:00"/>
    <s v="OM02LBXQ"/>
    <x v="0"/>
    <s v="UBE 681K"/>
    <s v="KYAPA AKIMU"/>
    <s v="Boniface Harera"/>
    <n v="156"/>
    <s v="F15745"/>
    <x v="10"/>
    <x v="0"/>
    <x v="0"/>
    <x v="0"/>
    <x v="10"/>
    <x v="10"/>
    <n v="474"/>
    <n v="4"/>
    <x v="0"/>
    <d v="2025-01-19T07:42:00"/>
    <d v="2025-01-19T07:30:00"/>
    <d v="2025-01-19T08:28:00"/>
    <n v="56.783333333333331"/>
    <n v="45.033333333333331"/>
    <x v="7"/>
    <d v="2025-01-20T08:28:00"/>
    <d v="2025-01-20T13:16:00"/>
    <n v="281.98333333333335"/>
    <x v="0"/>
    <d v="2025-01-21T12:04:00"/>
    <d v="2025-01-21T13:01:00"/>
    <n v="55.8"/>
    <x v="0"/>
    <n v="2.1499999999941792"/>
    <x v="1"/>
    <n v="-0.35000000000582077"/>
    <n v="51.599999999860302"/>
    <n v="32"/>
    <n v="19.599999999860302"/>
    <n v="7.959183673526117"/>
    <x v="0"/>
  </r>
  <r>
    <x v="4"/>
    <x v="0"/>
    <s v="1/19/2025 0:00"/>
    <s v="OM02LBVE"/>
    <x v="0"/>
    <s v="UBB 115P"/>
    <s v="Kakembo Masuud"/>
    <s v="Kobusinge Steven-Kamwenge"/>
    <n v="156"/>
    <s v="Z82221"/>
    <x v="13"/>
    <x v="0"/>
    <x v="0"/>
    <x v="0"/>
    <x v="13"/>
    <x v="23"/>
    <n v="236"/>
    <n v="-68"/>
    <x v="0"/>
    <d v="2025-01-19T08:11:00"/>
    <d v="2025-01-19T07:30:00"/>
    <d v="2025-01-19T08:52:00"/>
    <n v="80.283333333333331"/>
    <n v="40.133333333333333"/>
    <x v="1"/>
    <d v="2025-01-20T09:22:00"/>
    <d v="2025-01-20T13:38:00"/>
    <n v="250.65"/>
    <x v="0"/>
    <d v="2025-01-20T19:08:00"/>
    <d v="2025-01-20T19:46:00"/>
    <n v="37.200000000000003"/>
    <x v="0"/>
    <n v="1.4277777777751908"/>
    <x v="7"/>
    <n v="0.12777777777519073"/>
    <n v="34.266666666604578"/>
    <n v="12"/>
    <n v="22.266666666604578"/>
    <n v="7.0059880239716312"/>
    <x v="0"/>
  </r>
  <r>
    <x v="4"/>
    <x v="0"/>
    <s v="1/19/2025 0:00"/>
    <s v="OM02LBWV"/>
    <x v="0"/>
    <s v="UBP 311H"/>
    <m/>
    <s v="Kobusinge Steven-FPortal"/>
    <n v="156"/>
    <s v="Z82228"/>
    <x v="11"/>
    <x v="0"/>
    <x v="0"/>
    <x v="0"/>
    <x v="11"/>
    <x v="11"/>
    <n v="397"/>
    <n v="7"/>
    <x v="0"/>
    <d v="2025-01-19T07:58:00"/>
    <d v="2025-01-19T07:30:00"/>
    <d v="2025-01-19T08:44:00"/>
    <n v="72.45"/>
    <n v="45.033333333333331"/>
    <x v="1"/>
    <d v="2025-01-20T10:14:00"/>
    <d v="2025-01-20T15:47:00"/>
    <n v="326.05"/>
    <x v="0"/>
    <d v="2025-01-21T13:21:12"/>
    <d v="2025-01-21T13:57:12"/>
    <n v="35.25"/>
    <x v="0"/>
    <n v="2.1924999999973807"/>
    <x v="0"/>
    <n v="0.19249999999738066"/>
    <n v="52.619999999937136"/>
    <n v="24"/>
    <n v="28.619999999937136"/>
    <n v="5.4507337526325177"/>
    <x v="0"/>
  </r>
  <r>
    <x v="4"/>
    <x v="1"/>
    <s v="1/19/2025 13:46"/>
    <s v="OMFAF47RR"/>
    <x v="0"/>
    <s v="UAY 265V"/>
    <s v="Luyaga Isaac"/>
    <s v="Ntale and Sons"/>
    <n v="153.6"/>
    <s v="A20148"/>
    <x v="19"/>
    <x v="1"/>
    <x v="0"/>
    <x v="1"/>
    <x v="19"/>
    <x v="19"/>
    <n v="819"/>
    <n v="9"/>
    <x v="0"/>
    <d v="2025-01-19T14:42:00"/>
    <d v="2025-01-19T14:14:00"/>
    <d v="2025-01-19T15:28:00"/>
    <n v="72.45"/>
    <n v="45.033333333333331"/>
    <x v="1"/>
    <d v="2025-01-20T21:28:00"/>
    <d v="2025-01-21T16:24:00"/>
    <n v="1112.3166666666666"/>
    <x v="0"/>
    <d v="2025-01-22T16:52:48"/>
    <d v="2025-01-22T17:40:48"/>
    <n v="46.983333333333334"/>
    <x v="0"/>
    <n v="3.0588888888814836"/>
    <x v="4"/>
    <n v="5.8888888881483581E-2"/>
    <n v="73.413333333155606"/>
    <n v="36"/>
    <n v="37.413333333155606"/>
    <n v="4.1054882395063164"/>
    <x v="0"/>
  </r>
  <r>
    <x v="4"/>
    <x v="1"/>
    <s v="1/19/2025 16:34"/>
    <s v="OM1B0C6RR"/>
    <x v="0"/>
    <s v="UAV 051U"/>
    <s v="Angello Lumala"/>
    <s v="RUGOMA TRADERS CO. LTD NTUNGAM"/>
    <n v="153.6"/>
    <s v="F15744"/>
    <x v="15"/>
    <x v="1"/>
    <x v="0"/>
    <x v="1"/>
    <x v="15"/>
    <x v="15"/>
    <n v="129"/>
    <n v="-1"/>
    <x v="0"/>
    <d v="2025-01-19T17:32:00"/>
    <d v="2025-01-19T17:04:00"/>
    <d v="2025-01-19T18:48:00"/>
    <n v="101.83333333333333"/>
    <n v="74.400000000000006"/>
    <x v="6"/>
    <d v="2025-01-20T08:18:00"/>
    <d v="2025-01-20T11:24:00"/>
    <n v="182.11666666666667"/>
    <x v="0"/>
    <d v="2025-01-20T13:34:00"/>
    <d v="2025-01-20T14:31:00"/>
    <n v="55.8"/>
    <x v="0"/>
    <n v="0.78194444444670808"/>
    <x v="8"/>
    <n v="-0.21805555555329192"/>
    <n v="18.766666666720994"/>
    <n v="0"/>
    <n v="18.766666666720994"/>
    <n v="8.1847246891414933"/>
    <x v="0"/>
  </r>
  <r>
    <x v="4"/>
    <x v="0"/>
    <s v="1/19/2025 16:39"/>
    <s v="OMJR6JZRR"/>
    <x v="0"/>
    <s v="UBM 644D"/>
    <m/>
    <s v="Sawan Distributors Ltd-Nabingo"/>
    <n v="156"/>
    <s v="A20150"/>
    <x v="21"/>
    <x v="0"/>
    <x v="0"/>
    <x v="0"/>
    <x v="21"/>
    <x v="2"/>
    <n v="546"/>
    <n v="-14"/>
    <x v="0"/>
    <d v="2025-01-19T17:37:00"/>
    <d v="2025-01-19T17:09:00"/>
    <d v="2025-01-19T18:20:00"/>
    <n v="69.516666666666666"/>
    <n v="42.1"/>
    <x v="1"/>
    <d v="2025-01-20T06:20:00"/>
    <d v="2025-01-20T11:57:00"/>
    <n v="329.96666666666664"/>
    <x v="0"/>
    <d v="2025-01-21T14:21:00"/>
    <d v="2025-01-21T15:21:00"/>
    <n v="58.733333333333334"/>
    <x v="0"/>
    <n v="1.8340277777751908"/>
    <x v="0"/>
    <n v="-0.16597222222480923"/>
    <n v="44.016666666604578"/>
    <n v="12"/>
    <n v="32.016666666604578"/>
    <n v="4.8724622592494278"/>
    <x v="0"/>
  </r>
  <r>
    <x v="4"/>
    <x v="0"/>
    <s v="1/20/2025 0:00"/>
    <s v="OM02LC2K"/>
    <x v="0"/>
    <s v="UBK 866R"/>
    <m/>
    <s v="Sawan Distributors Ltd-Kayabwe"/>
    <n v="156"/>
    <s v="A20153"/>
    <x v="9"/>
    <x v="0"/>
    <x v="0"/>
    <x v="0"/>
    <x v="9"/>
    <x v="9"/>
    <n v="402"/>
    <n v="2"/>
    <x v="0"/>
    <d v="2025-01-20T08:11:00"/>
    <d v="2025-01-20T07:30:00"/>
    <d v="2025-01-20T08:57:00"/>
    <n v="85.183333333333337"/>
    <n v="45.033333333333331"/>
    <x v="1"/>
    <d v="2025-01-21T11:57:00"/>
    <d v="2025-01-21T16:58:00"/>
    <n v="294.71666666666664"/>
    <x v="0"/>
    <d v="2025-01-22T14:34:00"/>
    <d v="2025-01-22T15:29:00"/>
    <n v="53.85"/>
    <x v="0"/>
    <n v="2.234027777776646"/>
    <x v="0"/>
    <n v="0.23402777777664596"/>
    <n v="53.616666666639503"/>
    <n v="24"/>
    <n v="29.616666666639503"/>
    <n v="5.2673044456998221"/>
    <x v="0"/>
  </r>
  <r>
    <x v="4"/>
    <x v="0"/>
    <s v="1/20/2025 0:00"/>
    <s v="OM02LC2N"/>
    <x v="0"/>
    <s v="UBP 311H"/>
    <s v="Ekwalikwa Yusuf"/>
    <s v="Kobusinge Steven-FPortal"/>
    <n v="156"/>
    <s v="Z82233"/>
    <x v="11"/>
    <x v="0"/>
    <x v="0"/>
    <x v="0"/>
    <x v="11"/>
    <x v="11"/>
    <n v="397"/>
    <n v="7"/>
    <x v="0"/>
    <d v="2025-01-20T06:58:00"/>
    <d v="2025-01-20T07:30:00"/>
    <d v="2025-01-20T07:57:00"/>
    <n v="26.433333333333334"/>
    <n v="57.766666666666666"/>
    <x v="8"/>
    <d v="2025-01-21T09:27:00"/>
    <d v="2025-01-21T15:00:00"/>
    <n v="326.05"/>
    <x v="0"/>
    <d v="2025-01-22T08:49:34"/>
    <d v="2025-01-22T09:49:34"/>
    <n v="58.733333333333334"/>
    <x v="0"/>
    <n v="2.0365000000019791"/>
    <x v="0"/>
    <n v="3.650000000197906E-2"/>
    <n v="48.876000000047497"/>
    <n v="32"/>
    <n v="16.876000000047497"/>
    <n v="9.2438966579498061"/>
    <x v="0"/>
  </r>
  <r>
    <x v="4"/>
    <x v="1"/>
    <s v="1/20/2025 0:00"/>
    <s v="OM02LCCV"/>
    <x v="0"/>
    <s v="UAT 351G"/>
    <s v="Hamudi Sesanga"/>
    <s v="KATO INVESTMENTS LIMITED-MASAK"/>
    <n v="153.6"/>
    <s v="F15752"/>
    <x v="14"/>
    <x v="1"/>
    <x v="0"/>
    <x v="1"/>
    <x v="14"/>
    <x v="14"/>
    <n v="328"/>
    <n v="-12"/>
    <x v="0"/>
    <d v="2025-01-20T07:00:00"/>
    <d v="2025-01-20T07:30:00"/>
    <d v="2025-01-20T07:46:00"/>
    <n v="15.65"/>
    <n v="45.033333333333331"/>
    <x v="1"/>
    <d v="2025-01-20T10:59:00"/>
    <d v="2025-01-20T15:57:00"/>
    <n v="291.78333333333336"/>
    <x v="0"/>
    <d v="2025-01-20T18:37:00"/>
    <d v="2025-01-20T19:28:00"/>
    <n v="49.93333333333333"/>
    <x v="0"/>
    <n v="0.45208333332993789"/>
    <x v="8"/>
    <n v="-0.54791666667006211"/>
    <n v="10.849999999918509"/>
    <n v="0"/>
    <n v="10.849999999918509"/>
    <n v="14.156682027756094"/>
    <x v="0"/>
  </r>
  <r>
    <x v="4"/>
    <x v="0"/>
    <s v="1/20/2025 0:00"/>
    <s v="OM02LCBL"/>
    <x v="0"/>
    <s v="UBJ 419C"/>
    <m/>
    <s v="Kabaco U Ltd"/>
    <n v="156"/>
    <s v="Z82237"/>
    <x v="6"/>
    <x v="0"/>
    <x v="0"/>
    <x v="0"/>
    <x v="6"/>
    <x v="6"/>
    <n v="321"/>
    <n v="1"/>
    <x v="0"/>
    <d v="2025-01-20T07:58:00"/>
    <d v="2025-01-20T07:30:00"/>
    <d v="2025-01-20T08:48:00"/>
    <n v="76.36666666666666"/>
    <n v="48.95"/>
    <x v="4"/>
    <d v="2025-01-20T14:48:00"/>
    <d v="2025-01-20T17:54:00"/>
    <n v="182.11666666666667"/>
    <x v="0"/>
    <d v="2025-01-21T10:13:12"/>
    <d v="2025-01-21T10:58:12"/>
    <n v="44.05"/>
    <x v="0"/>
    <n v="1.0591666666659876"/>
    <x v="3"/>
    <n v="-0.44083333333401242"/>
    <n v="25.419999999983702"/>
    <n v="16"/>
    <n v="9.4199999999837019"/>
    <n v="16.560509554168778"/>
    <x v="0"/>
  </r>
  <r>
    <x v="4"/>
    <x v="0"/>
    <s v="1/20/2025 0:00"/>
    <s v="OM02LCBH"/>
    <x v="0"/>
    <s v="UBJ 705D"/>
    <s v="KASULE JOHNBOSC"/>
    <s v="Kato Investment Ltd -Kagadi"/>
    <n v="156"/>
    <s v="A20163"/>
    <x v="12"/>
    <x v="0"/>
    <x v="0"/>
    <x v="0"/>
    <x v="12"/>
    <x v="12"/>
    <n v="603"/>
    <n v="-9"/>
    <x v="0"/>
    <d v="2025-01-20T07:07:00"/>
    <d v="2025-01-20T07:30:00"/>
    <d v="2025-01-20T07:53:00"/>
    <n v="22.516666666666666"/>
    <n v="45.033333333333331"/>
    <x v="1"/>
    <d v="2025-01-21T09:23:00"/>
    <d v="2025-01-21T14:23:00"/>
    <n v="293.75"/>
    <x v="0"/>
    <d v="2025-01-22T08:34:31"/>
    <d v="2025-01-22T09:31:31"/>
    <n v="55.8"/>
    <x v="0"/>
    <n v="2.0288333333373885"/>
    <x v="6"/>
    <n v="-0.27116666666261136"/>
    <n v="48.692000000097323"/>
    <n v="24"/>
    <n v="24.692000000097323"/>
    <n v="6.3178357362459554"/>
    <x v="0"/>
  </r>
  <r>
    <x v="4"/>
    <x v="0"/>
    <s v="1/20/2025 0:00"/>
    <s v="OM02LCBJ"/>
    <x v="0"/>
    <s v="UBJ 705D"/>
    <s v="KASULE JOHNBOSC"/>
    <s v="Rugoma Traders-Rukungiri"/>
    <n v="156"/>
    <s v="Z82236"/>
    <x v="17"/>
    <x v="0"/>
    <x v="0"/>
    <x v="0"/>
    <x v="17"/>
    <x v="17"/>
    <n v="254"/>
    <n v="-2"/>
    <x v="0"/>
    <d v="2025-01-20T07:11:00"/>
    <d v="2025-01-20T07:30:00"/>
    <d v="2025-01-20T07:58:00"/>
    <n v="27.4"/>
    <n v="46.016666666666666"/>
    <x v="1"/>
    <d v="2025-01-20T14:58:00"/>
    <d v="2025-01-20T17:22:00"/>
    <n v="140.98333333333332"/>
    <x v="0"/>
    <d v="2025-01-20T20:22:00"/>
    <d v="2025-01-20T21:16:00"/>
    <n v="52.866666666666667"/>
    <x v="0"/>
    <n v="0.51666666666278616"/>
    <x v="8"/>
    <n v="-0.48333333333721384"/>
    <n v="12.399999999906868"/>
    <n v="0"/>
    <n v="12.399999999906868"/>
    <n v="12.580645161384812"/>
    <x v="0"/>
  </r>
  <r>
    <x v="4"/>
    <x v="0"/>
    <s v="1/20/2025 0:00"/>
    <s v="OM02LCC0"/>
    <x v="0"/>
    <s v="UBE 681K"/>
    <s v="KYAPA AKIMU"/>
    <s v="Sawan Distributors Ltd-Kayabwe"/>
    <n v="155.47499999999999"/>
    <s v="A20167"/>
    <x v="9"/>
    <x v="0"/>
    <x v="0"/>
    <x v="0"/>
    <x v="9"/>
    <x v="9"/>
    <n v="384"/>
    <n v="-16"/>
    <x v="0"/>
    <d v="2025-01-20T07:09:00"/>
    <d v="2025-01-20T07:30:00"/>
    <d v="2025-01-20T07:55:00"/>
    <n v="24.466666666666665"/>
    <n v="45.033333333333331"/>
    <x v="1"/>
    <d v="2025-01-21T09:55:00"/>
    <d v="2025-01-21T14:24:00"/>
    <n v="263.38333333333333"/>
    <x v="0"/>
    <d v="2025-01-22T09:36:00"/>
    <d v="2025-01-22T10:16:00"/>
    <n v="39.166666666666664"/>
    <x v="0"/>
    <n v="2.070138888891961"/>
    <x v="0"/>
    <n v="7.013888889196096E-2"/>
    <n v="49.683333333407063"/>
    <n v="24"/>
    <n v="25.683333333407063"/>
    <n v="6.0535366644861908"/>
    <x v="0"/>
  </r>
  <r>
    <x v="4"/>
    <x v="0"/>
    <s v="1/20/2025 0:00"/>
    <s v="OM02LCC6"/>
    <x v="0"/>
    <s v="UBE 673K"/>
    <s v="Bulega Sperito"/>
    <s v="Sawan Distributors Ltd-Nabingo"/>
    <n v="156"/>
    <s v="A20171"/>
    <x v="21"/>
    <x v="0"/>
    <x v="0"/>
    <x v="0"/>
    <x v="21"/>
    <x v="2"/>
    <n v="541"/>
    <n v="-19"/>
    <x v="0"/>
    <d v="2025-01-20T07:42:00"/>
    <d v="2025-01-20T07:30:00"/>
    <d v="2025-01-20T08:41:00"/>
    <n v="69.516666666666666"/>
    <n v="57.766666666666666"/>
    <x v="3"/>
    <d v="2025-01-20T20:41:00"/>
    <d v="2025-01-21T13:29:00"/>
    <n v="986.98333333333335"/>
    <x v="0"/>
    <d v="2025-01-22T13:29:00"/>
    <d v="2025-01-22T14:05:00"/>
    <n v="35.25"/>
    <x v="0"/>
    <n v="2.1999999999970896"/>
    <x v="0"/>
    <n v="0.19999999999708962"/>
    <n v="52.799999999930151"/>
    <n v="32"/>
    <n v="20.799999999930151"/>
    <n v="7.5000000000251861"/>
    <x v="0"/>
  </r>
  <r>
    <x v="4"/>
    <x v="1"/>
    <s v="1/20/2025 12:05"/>
    <s v="OMBS3H2RR"/>
    <x v="0"/>
    <s v="UBK 881R"/>
    <s v="James  Kironde"/>
    <s v="Rugoma Traders-Kanungu/Kihihi"/>
    <n v="153.6"/>
    <s v="F15747"/>
    <x v="23"/>
    <x v="1"/>
    <x v="0"/>
    <x v="1"/>
    <x v="23"/>
    <x v="14"/>
    <n v="352"/>
    <n v="12"/>
    <x v="0"/>
    <d v="2025-01-21T14:03:00"/>
    <d v="2025-01-21T13:35:00"/>
    <d v="2025-01-21T15:09:00"/>
    <n v="92.033333333333331"/>
    <n v="64.61666666666666"/>
    <x v="6"/>
    <d v="2025-01-22T08:04:00"/>
    <d v="2025-01-22T11:24:00"/>
    <n v="195.83333333333334"/>
    <x v="0"/>
    <d v="2025-01-22T17:59:00"/>
    <d v="2025-01-22T19:00:00"/>
    <n v="59.716666666666669"/>
    <x v="0"/>
    <n v="1.1180555555547471"/>
    <x v="3"/>
    <n v="-0.38194444444525288"/>
    <n v="26.833333333313931"/>
    <n v="16"/>
    <n v="10.833333333313931"/>
    <n v="14.178461538486932"/>
    <x v="0"/>
  </r>
  <r>
    <x v="4"/>
    <x v="1"/>
    <s v="1/20/2025 20:56"/>
    <s v="OME3SK2RR"/>
    <x v="0"/>
    <s v="UAY 526V"/>
    <s v="Benon Ssempijja"/>
    <s v="Kabaco U Ltd-Mbarara"/>
    <n v="153.6"/>
    <s v="Z82238"/>
    <x v="8"/>
    <x v="1"/>
    <x v="0"/>
    <x v="1"/>
    <x v="8"/>
    <x v="8"/>
    <n v="13"/>
    <n v="2"/>
    <x v="0"/>
    <d v="2025-01-21T06:58:00"/>
    <d v="2025-01-21T07:30:00"/>
    <d v="2025-01-21T07:39:00"/>
    <n v="8.8000000000000007"/>
    <n v="40.133333333333333"/>
    <x v="1"/>
    <d v="2025-01-21T08:10:00"/>
    <d v="2025-01-21T11:27:00"/>
    <n v="192.88333333333333"/>
    <x v="0"/>
    <d v="2025-01-21T11:56:00"/>
    <d v="2025-01-21T12:44:00"/>
    <n v="46.983333333333334"/>
    <x v="0"/>
    <n v="0.17847222222189885"/>
    <x v="5"/>
    <n v="-0.6215277777781012"/>
    <n v="4.2833333333255723"/>
    <n v="0"/>
    <n v="4.2833333333255723"/>
    <n v="35.859922179053299"/>
    <x v="0"/>
  </r>
  <r>
    <x v="4"/>
    <x v="1"/>
    <s v="1/20/2025 20:58"/>
    <s v="OMEQ5RNRR"/>
    <x v="0"/>
    <s v="UBE 287X"/>
    <s v="Isaac Tumuhimbise"/>
    <s v="KATO INVESTMENTS LTD- KALISIZO"/>
    <n v="153.6"/>
    <s v="F15749"/>
    <x v="4"/>
    <x v="1"/>
    <x v="0"/>
    <x v="1"/>
    <x v="4"/>
    <x v="4"/>
    <n v="349"/>
    <n v="-1"/>
    <x v="0"/>
    <d v="2025-01-21T07:13:00"/>
    <d v="2025-01-21T07:30:00"/>
    <d v="2025-01-21T07:56:00"/>
    <n v="25.45"/>
    <n v="42.1"/>
    <x v="1"/>
    <d v="2025-01-21T14:56:00"/>
    <d v="2025-01-21T19:34:00"/>
    <n v="272.2"/>
    <x v="0"/>
    <d v="2025-01-22T15:00:24"/>
    <d v="2025-01-22T15:52:24"/>
    <n v="50.916666666666664"/>
    <x v="0"/>
    <n v="1.2947222222210257"/>
    <x v="2"/>
    <n v="-0.40527777777897422"/>
    <n v="31.073333333304618"/>
    <n v="12"/>
    <n v="19.073333333304618"/>
    <n v="8.0531282768384091"/>
    <x v="0"/>
  </r>
  <r>
    <x v="4"/>
    <x v="0"/>
    <s v="1/20/2025 20:59"/>
    <s v="OMN1E5GRR"/>
    <x v="0"/>
    <s v="UBJ 417C"/>
    <m/>
    <s v="Boniface Harera"/>
    <n v="156"/>
    <s v="F15750"/>
    <x v="10"/>
    <x v="0"/>
    <x v="0"/>
    <x v="0"/>
    <x v="10"/>
    <x v="10"/>
    <n v="474"/>
    <n v="4"/>
    <x v="0"/>
    <d v="2025-01-20T19:45:00"/>
    <d v="2025-01-21T07:30:00"/>
    <d v="2025-01-20T20:29:00"/>
    <n v="-647.23333333333335"/>
    <n v="43.06666666666667"/>
    <x v="1"/>
    <d v="2025-01-21T22:29:00"/>
    <d v="2025-01-22T14:55:24"/>
    <n v="965.83333333333337"/>
    <x v="0"/>
    <d v="2025-01-23T13:43:24"/>
    <d v="2025-01-23T14:27:24"/>
    <n v="43.06666666666667"/>
    <x v="0"/>
    <n v="2.71833333333052"/>
    <x v="1"/>
    <n v="0.21833333333051996"/>
    <n v="65.239999999932479"/>
    <n v="24"/>
    <n v="41.239999999932479"/>
    <n v="3.7827352085415957"/>
    <x v="0"/>
  </r>
  <r>
    <x v="4"/>
    <x v="1"/>
    <s v="1/20/2025 21:18"/>
    <s v="OM9T6MTRR"/>
    <x v="0"/>
    <s v="UBE 419T"/>
    <s v="Kilabila Ismail"/>
    <s v="Ntale and Sons"/>
    <n v="151.94399999999999"/>
    <s v="A20168"/>
    <x v="19"/>
    <x v="1"/>
    <x v="0"/>
    <x v="1"/>
    <x v="19"/>
    <x v="19"/>
    <n v="804"/>
    <n v="-6"/>
    <x v="0"/>
    <d v="2025-01-21T07:11:00"/>
    <d v="2025-01-21T07:30:00"/>
    <d v="2025-01-21T07:56:00"/>
    <n v="25.45"/>
    <n v="44.05"/>
    <x v="1"/>
    <d v="2025-01-22T13:56:00"/>
    <d v="2025-01-22T18:28:00"/>
    <n v="266.31666666666666"/>
    <x v="0"/>
    <d v="2025-01-23T18:56:48"/>
    <d v="2025-01-23T19:56:48"/>
    <n v="58.733333333333334"/>
    <x v="0"/>
    <n v="2.4588888888829388"/>
    <x v="4"/>
    <n v="-0.54111111111706123"/>
    <n v="59.013333333190531"/>
    <n v="24"/>
    <n v="35.013333333190531"/>
    <n v="4.3396039604137382"/>
    <x v="0"/>
  </r>
  <r>
    <x v="4"/>
    <x v="1"/>
    <s v="1/20/2025 21:49"/>
    <s v="OM1P2PSRR"/>
    <x v="0"/>
    <s v="UBE 422T"/>
    <s v="Jacob Oneka"/>
    <s v="RUGOMA TRADERS CO. LTD NTUNGAM"/>
    <n v="153.6"/>
    <s v="F15751"/>
    <x v="15"/>
    <x v="1"/>
    <x v="0"/>
    <x v="1"/>
    <x v="15"/>
    <x v="15"/>
    <n v="131"/>
    <n v="1"/>
    <x v="0"/>
    <d v="2025-01-21T07:06:00"/>
    <d v="2025-01-21T07:30:00"/>
    <d v="2025-01-21T07:52:00"/>
    <n v="21.533333333333335"/>
    <n v="45.033333333333331"/>
    <x v="1"/>
    <d v="2025-01-21T10:22:00"/>
    <d v="2025-01-21T15:02:00"/>
    <n v="274.16666666666669"/>
    <x v="0"/>
    <d v="2025-01-21T17:32:00"/>
    <d v="2025-01-21T18:29:00"/>
    <n v="55.8"/>
    <x v="0"/>
    <n v="0.40277777777373558"/>
    <x v="8"/>
    <n v="-0.59722222222626442"/>
    <n v="9.6666666665696539"/>
    <n v="0"/>
    <n v="9.6666666665696539"/>
    <n v="15.889655172573258"/>
    <x v="0"/>
  </r>
  <r>
    <x v="4"/>
    <x v="1"/>
    <s v="1/20/2025 22:16"/>
    <s v="OMGWQZERR"/>
    <x v="0"/>
    <s v="UBJ 375N"/>
    <s v="Stephen Musoke "/>
    <s v="Ntale and Sons"/>
    <n v="151.94399999999999"/>
    <s v="A20174"/>
    <x v="19"/>
    <x v="1"/>
    <x v="0"/>
    <x v="1"/>
    <x v="19"/>
    <x v="19"/>
    <n v="813"/>
    <n v="3"/>
    <x v="0"/>
    <d v="2025-01-21T07:31:00"/>
    <d v="2025-01-21T07:30:00"/>
    <d v="2025-01-21T08:16:00"/>
    <n v="45.033333333333331"/>
    <n v="44.05"/>
    <x v="1"/>
    <d v="2025-01-22T14:16:00"/>
    <d v="2025-01-24T19:04:00"/>
    <n v="3101.9833333333331"/>
    <x v="0"/>
    <d v="2025-01-25T19:41:26"/>
    <d v="2025-01-25T20:36:26"/>
    <n v="53.85"/>
    <x v="0"/>
    <n v="4.4759999999951106"/>
    <x v="4"/>
    <n v="1.4759999999951106"/>
    <n v="107.42399999988265"/>
    <n v="48"/>
    <n v="59.423999999882653"/>
    <n v="2.5569466882118341"/>
    <x v="0"/>
  </r>
  <r>
    <x v="4"/>
    <x v="1"/>
    <s v="1/20/2025 22:17"/>
    <s v="OMIOF82RR"/>
    <x v="0"/>
    <s v="UAV 051U"/>
    <s v="Angello Lumala"/>
    <s v="Kato Investments Ltd-Bulenga"/>
    <n v="153.6"/>
    <s v="A20175"/>
    <x v="2"/>
    <x v="1"/>
    <x v="0"/>
    <x v="1"/>
    <x v="2"/>
    <x v="2"/>
    <n v="556"/>
    <n v="-4"/>
    <x v="0"/>
    <d v="2025-01-21T07:58:00"/>
    <d v="2025-01-21T07:30:00"/>
    <d v="2025-01-21T08:44:00"/>
    <n v="72.45"/>
    <n v="45.033333333333331"/>
    <x v="1"/>
    <d v="2025-01-22T08:44:00"/>
    <d v="2025-01-22T12:05:00"/>
    <n v="196.8"/>
    <x v="0"/>
    <d v="2025-01-23T09:56:00"/>
    <d v="2025-01-23T10:47:00"/>
    <n v="49.93333333333333"/>
    <x v="0"/>
    <n v="2.0500000000029104"/>
    <x v="0"/>
    <n v="5.0000000002910383E-2"/>
    <n v="49.200000000069849"/>
    <n v="24"/>
    <n v="25.200000000069849"/>
    <n v="6.0952380952212"/>
    <x v="0"/>
  </r>
  <r>
    <x v="4"/>
    <x v="0"/>
    <s v="1/21/2025 0:00"/>
    <s v="OM02LCRS"/>
    <x v="0"/>
    <s v="UBB 115P"/>
    <s v="Kakembo Masuud"/>
    <s v="Kobusinge Acaali- Kyenjojo"/>
    <n v="156"/>
    <s v="Z82251"/>
    <x v="3"/>
    <x v="0"/>
    <x v="0"/>
    <x v="0"/>
    <x v="3"/>
    <x v="3"/>
    <n v="496"/>
    <n v="16"/>
    <x v="0"/>
    <d v="2025-01-21T07:23:00"/>
    <d v="2025-01-21T07:30:00"/>
    <d v="2025-01-21T08:19:00"/>
    <n v="47.966666666666669"/>
    <n v="54.833333333333336"/>
    <x v="8"/>
    <d v="2025-01-22T10:04:00"/>
    <d v="2025-01-22T13:24:00"/>
    <n v="195.83333333333334"/>
    <x v="0"/>
    <d v="2025-01-23T15:50:44"/>
    <d v="2025-01-23T16:20:44"/>
    <n v="29.366666666666667"/>
    <x v="0"/>
    <n v="2.3137055555562256"/>
    <x v="1"/>
    <n v="-0.18629444444377441"/>
    <n v="55.528933333349414"/>
    <n v="32"/>
    <n v="23.528933333349414"/>
    <n v="6.6301348127366611"/>
    <x v="0"/>
  </r>
  <r>
    <x v="4"/>
    <x v="0"/>
    <s v="1/21/2025 0:00"/>
    <s v="OM02LCS7"/>
    <x v="0"/>
    <s v="UBB 115P"/>
    <s v="Kakembo Masuud"/>
    <s v="Kabaco U Ltd"/>
    <n v="156"/>
    <s v="Z82252"/>
    <x v="6"/>
    <x v="0"/>
    <x v="0"/>
    <x v="0"/>
    <x v="6"/>
    <x v="6"/>
    <n v="120"/>
    <n v="-200"/>
    <x v="0"/>
    <d v="2025-01-21T07:21:00"/>
    <d v="2025-01-21T07:30:00"/>
    <d v="2025-01-21T08:06:00"/>
    <n v="35.25"/>
    <n v="44.05"/>
    <x v="1"/>
    <d v="2025-01-21T14:06:00"/>
    <d v="2025-01-21T19:02:00"/>
    <n v="289.83333333333331"/>
    <x v="0"/>
    <d v="2025-01-22T11:21:12"/>
    <d v="2025-01-22T12:06:12"/>
    <n v="44.05"/>
    <x v="0"/>
    <n v="1.1355555555564933"/>
    <x v="3"/>
    <n v="-0.36444444444350665"/>
    <n v="27.25333333335584"/>
    <n v="12"/>
    <n v="15.25333333335584"/>
    <n v="10.227272727257636"/>
    <x v="0"/>
  </r>
  <r>
    <x v="4"/>
    <x v="0"/>
    <s v="1/21/2025 0:00"/>
    <s v="OM02LCTQ"/>
    <x v="0"/>
    <s v="UBB 115P"/>
    <s v="Kakembo Masuud"/>
    <s v="Kobusinge Steven-Kamwenge"/>
    <n v="156"/>
    <s v="Z82254"/>
    <x v="13"/>
    <x v="0"/>
    <x v="0"/>
    <x v="0"/>
    <x v="13"/>
    <x v="23"/>
    <n v="236"/>
    <n v="-68"/>
    <x v="0"/>
    <d v="2025-01-21T08:11:00"/>
    <d v="2025-01-21T07:30:00"/>
    <d v="2025-01-21T08:53:00"/>
    <n v="81.266666666666666"/>
    <n v="41.116666666666667"/>
    <x v="1"/>
    <d v="2025-01-22T09:53:00"/>
    <d v="2025-01-22T14:34:00"/>
    <n v="275.13333333333333"/>
    <x v="0"/>
    <d v="2025-01-22T20:04:00"/>
    <d v="2025-01-22T21:01:00"/>
    <n v="55.8"/>
    <x v="0"/>
    <n v="1.4659722222204437"/>
    <x v="7"/>
    <n v="0.16597222222044361"/>
    <n v="35.183333333290648"/>
    <n v="12"/>
    <n v="23.183333333290648"/>
    <n v="6.7289719626292124"/>
    <x v="0"/>
  </r>
  <r>
    <x v="4"/>
    <x v="0"/>
    <s v="1/21/2025 0:00"/>
    <s v="OM02LCTX"/>
    <x v="0"/>
    <s v="UBB 115P"/>
    <s v="Kakembo Masuud"/>
    <s v="Kato Investment Ltd -Kagadi"/>
    <n v="156"/>
    <s v="A20187"/>
    <x v="12"/>
    <x v="0"/>
    <x v="0"/>
    <x v="0"/>
    <x v="12"/>
    <x v="12"/>
    <n v="603"/>
    <n v="-9"/>
    <x v="0"/>
    <d v="2025-01-21T07:02:00"/>
    <d v="2025-01-21T07:30:00"/>
    <d v="2025-01-21T08:13:00"/>
    <n v="42.1"/>
    <n v="69.516666666666666"/>
    <x v="6"/>
    <d v="2025-01-22T11:43:00"/>
    <d v="2025-01-22T15:22:00"/>
    <n v="214.43333333333334"/>
    <x v="0"/>
    <d v="2025-01-23T09:33:31"/>
    <d v="2025-01-23T10:21:31"/>
    <n v="46.983333333333334"/>
    <x v="0"/>
    <n v="2.0559166666716919"/>
    <x v="6"/>
    <n v="-0.24408333332830789"/>
    <n v="49.342000000120606"/>
    <n v="32"/>
    <n v="17.342000000120606"/>
    <n v="8.9955022488130023"/>
    <x v="0"/>
  </r>
  <r>
    <x v="4"/>
    <x v="0"/>
    <s v="1/21/2025 0:00"/>
    <s v="OM02LCUU"/>
    <x v="0"/>
    <s v="UBF 379L"/>
    <m/>
    <s v="Kobusinge Steven-Kamwenge"/>
    <n v="156"/>
    <s v="Z82265"/>
    <x v="13"/>
    <x v="0"/>
    <x v="0"/>
    <x v="0"/>
    <x v="13"/>
    <x v="23"/>
    <n v="236"/>
    <n v="-68"/>
    <x v="0"/>
    <d v="2025-01-21T07:37:00"/>
    <d v="2025-01-21T07:30:00"/>
    <d v="2025-01-21T08:19:00"/>
    <n v="47.966666666666669"/>
    <n v="41.116666666666667"/>
    <x v="1"/>
    <d v="2025-01-22T09:11:00"/>
    <d v="2025-01-22T14:37:00"/>
    <n v="319.2"/>
    <x v="0"/>
    <d v="2025-01-22T20:07:00"/>
    <d v="2025-01-22T20:43:00"/>
    <n v="35.25"/>
    <x v="0"/>
    <n v="1.4916666666686069"/>
    <x v="7"/>
    <n v="0.19166666666860688"/>
    <n v="35.800000000046566"/>
    <n v="12"/>
    <n v="23.800000000046566"/>
    <n v="6.5546218487266712"/>
    <x v="0"/>
  </r>
  <r>
    <x v="4"/>
    <x v="0"/>
    <s v="1/21/2025 0:00"/>
    <s v="OM02LCUK"/>
    <x v="0"/>
    <s v="UBP 311H"/>
    <m/>
    <s v="Bates Enterprises U Ltd"/>
    <n v="156"/>
    <s v="Z82259"/>
    <x v="7"/>
    <x v="0"/>
    <x v="0"/>
    <x v="0"/>
    <x v="7"/>
    <x v="7"/>
    <n v="580"/>
    <n v="-26"/>
    <x v="0"/>
    <d v="2025-01-21T07:04:00"/>
    <d v="2025-01-21T07:30:00"/>
    <d v="2025-01-21T07:49:00"/>
    <n v="18.600000000000001"/>
    <n v="44.05"/>
    <x v="1"/>
    <d v="2025-01-23T07:49:00"/>
    <d v="2025-01-23T12:49:00"/>
    <n v="293.75"/>
    <x v="0"/>
    <d v="2025-01-24T15:13:00"/>
    <d v="2025-01-24T15:53:00"/>
    <n v="39.166666666666664"/>
    <x v="0"/>
    <n v="3.3083333333343035"/>
    <x v="4"/>
    <n v="0.30833333333430346"/>
    <n v="79.400000000023283"/>
    <n v="36"/>
    <n v="43.400000000023283"/>
    <n v="3.5944700460810211"/>
    <x v="0"/>
  </r>
  <r>
    <x v="4"/>
    <x v="0"/>
    <s v="1/21/2025 0:00"/>
    <s v="OM02LCRR"/>
    <x v="0"/>
    <s v="UBB 115P"/>
    <s v="Kakembo Masuud"/>
    <s v="Kabaco U Ltd"/>
    <n v="154.34399999999999"/>
    <s v="Z82250"/>
    <x v="6"/>
    <x v="0"/>
    <x v="0"/>
    <x v="0"/>
    <x v="6"/>
    <x v="6"/>
    <n v="120"/>
    <n v="-200"/>
    <x v="0"/>
    <d v="2025-01-21T07:06:00"/>
    <d v="2025-01-21T07:30:00"/>
    <d v="2025-01-21T07:52:00"/>
    <n v="21.533333333333335"/>
    <n v="45.033333333333331"/>
    <x v="1"/>
    <d v="2025-01-21T13:52:00"/>
    <d v="2025-01-21T18:49:00"/>
    <n v="290.8"/>
    <x v="0"/>
    <d v="2025-01-22T11:08:12"/>
    <d v="2025-01-22T12:08:12"/>
    <n v="58.733333333333334"/>
    <x v="0"/>
    <n v="1.1362500000032014"/>
    <x v="3"/>
    <n v="-0.36374999999679858"/>
    <n v="27.270000000076834"/>
    <n v="12"/>
    <n v="15.270000000076834"/>
    <n v="10.107662082463875"/>
    <x v="0"/>
  </r>
  <r>
    <x v="4"/>
    <x v="0"/>
    <s v="1/21/2025 0:00"/>
    <s v="OM02LCUS"/>
    <x v="0"/>
    <s v="UBE 678K"/>
    <m/>
    <s v="Kabaco U Ltd"/>
    <n v="156"/>
    <s v="Z82261"/>
    <x v="6"/>
    <x v="0"/>
    <x v="0"/>
    <x v="0"/>
    <x v="6"/>
    <x v="6"/>
    <n v="321"/>
    <n v="1"/>
    <x v="0"/>
    <d v="2025-01-21T07:00:00"/>
    <d v="2025-01-21T07:30:00"/>
    <d v="2025-01-21T07:45:00"/>
    <n v="14.683333333333334"/>
    <n v="44.05"/>
    <x v="1"/>
    <d v="2025-01-21T13:45:00"/>
    <d v="2025-01-21T18:32:00"/>
    <n v="281.01666666666665"/>
    <x v="0"/>
    <d v="2025-01-22T10:51:12"/>
    <d v="2025-01-22T11:48:12"/>
    <n v="55.8"/>
    <x v="0"/>
    <n v="1.1293055555579485"/>
    <x v="3"/>
    <n v="-0.37069444444205146"/>
    <n v="27.103333333390765"/>
    <n v="12"/>
    <n v="15.103333333390765"/>
    <n v="10.328845729380278"/>
    <x v="0"/>
  </r>
  <r>
    <x v="4"/>
    <x v="0"/>
    <s v="1/21/2025 0:00"/>
    <s v="OM02LCRQ"/>
    <x v="0"/>
    <s v="UBB 115P"/>
    <s v="Kakembo Masuud"/>
    <s v="Kabaco U Ltd"/>
    <n v="156"/>
    <s v="Z82249"/>
    <x v="6"/>
    <x v="0"/>
    <x v="0"/>
    <x v="0"/>
    <x v="6"/>
    <x v="6"/>
    <n v="99"/>
    <n v="-221"/>
    <x v="0"/>
    <d v="2025-01-21T07:08:00"/>
    <d v="2025-01-21T07:30:00"/>
    <d v="2025-01-21T07:53:00"/>
    <n v="22.516666666666666"/>
    <n v="44.05"/>
    <x v="1"/>
    <d v="2025-01-21T13:53:00"/>
    <d v="2025-01-21T18:40:00"/>
    <n v="281.01666666666665"/>
    <x v="0"/>
    <d v="2025-01-22T10:59:12"/>
    <d v="2025-01-22T12:00:12"/>
    <n v="59.716666666666669"/>
    <x v="0"/>
    <n v="1.1293055555579485"/>
    <x v="3"/>
    <n v="-0.37069444444205146"/>
    <n v="27.103333333390765"/>
    <n v="12"/>
    <n v="15.103333333390765"/>
    <n v="10.328845729380278"/>
    <x v="0"/>
  </r>
  <r>
    <x v="4"/>
    <x v="0"/>
    <s v="1/21/2025 0:00"/>
    <s v="OM02LCUP"/>
    <x v="0"/>
    <s v="UBP 311H"/>
    <m/>
    <s v="Kato Investment Ltd -Mubende"/>
    <n v="156"/>
    <s v="A20192"/>
    <x v="1"/>
    <x v="0"/>
    <x v="0"/>
    <x v="0"/>
    <x v="1"/>
    <x v="1"/>
    <n v="686"/>
    <n v="6"/>
    <x v="0"/>
    <d v="2025-01-21T06:55:00"/>
    <d v="2025-01-21T07:30:00"/>
    <d v="2025-01-21T07:38:00"/>
    <n v="7.833333333333333"/>
    <n v="42.1"/>
    <x v="1"/>
    <d v="2025-01-22T09:55:00"/>
    <d v="2025-01-22T15:25:00"/>
    <n v="323.11666666666667"/>
    <x v="0"/>
    <d v="2025-01-23T18:17:48"/>
    <d v="2025-01-23T19:12:48"/>
    <n v="53.85"/>
    <x v="0"/>
    <n v="2.4443055555530009"/>
    <x v="1"/>
    <n v="-5.5694444446999114E-2"/>
    <n v="58.663333333272021"/>
    <n v="24"/>
    <n v="34.663333333272021"/>
    <n v="4.5004327339246828"/>
    <x v="0"/>
  </r>
  <r>
    <x v="4"/>
    <x v="1"/>
    <s v="1/21/2025 13:49"/>
    <s v="OMA38PYRR"/>
    <x v="0"/>
    <s v="UBJ 415C"/>
    <s v="Abel Mark naffa"/>
    <s v="KATO INVESTMENTS LTD- KALISIZO"/>
    <n v="153.6"/>
    <s v="F15754"/>
    <x v="4"/>
    <x v="1"/>
    <x v="0"/>
    <x v="1"/>
    <x v="4"/>
    <x v="4"/>
    <n v="340"/>
    <n v="-10"/>
    <x v="0"/>
    <d v="2025-01-21T14:52:00"/>
    <d v="2025-01-21T14:11:00"/>
    <d v="2025-01-21T15:38:00"/>
    <n v="85.183333333333337"/>
    <n v="45.033333333333331"/>
    <x v="1"/>
    <d v="2025-01-21T22:38:00"/>
    <d v="2025-01-22T17:32:43"/>
    <n v="1111.0666666666666"/>
    <x v="0"/>
    <d v="2025-01-23T12:59:07"/>
    <d v="2025-01-23T13:50:07"/>
    <n v="49.93333333333333"/>
    <x v="0"/>
    <n v="1.8896666666623787"/>
    <x v="2"/>
    <n v="0.18966666666237875"/>
    <n v="45.351999999897089"/>
    <n v="12"/>
    <n v="33.351999999897089"/>
    <n v="4.6054209642742245"/>
    <x v="0"/>
  </r>
  <r>
    <x v="4"/>
    <x v="1"/>
    <s v="1/21/2025 20:38"/>
    <s v="OM1ZFNARR"/>
    <x v="0"/>
    <s v="UBJ 988D"/>
    <s v="Tumusiime Robert"/>
    <s v="Rugoma Traders-Kanungu/Kihihi"/>
    <n v="153.6"/>
    <s v="F15755"/>
    <x v="23"/>
    <x v="1"/>
    <x v="0"/>
    <x v="1"/>
    <x v="23"/>
    <x v="14"/>
    <n v="333"/>
    <n v="-7"/>
    <x v="0"/>
    <d v="2025-01-22T07:00:00"/>
    <d v="2025-01-22T07:30:00"/>
    <d v="2025-01-22T07:43:00"/>
    <n v="12.716666666666667"/>
    <n v="42.1"/>
    <x v="1"/>
    <d v="2025-01-22T14:18:00"/>
    <d v="2025-01-22T17:38:00"/>
    <n v="195.83333333333334"/>
    <x v="0"/>
    <d v="2025-01-23T11:13:00"/>
    <d v="2025-01-23T11:57:00"/>
    <n v="43.06666666666667"/>
    <x v="0"/>
    <n v="1.1458333333357587"/>
    <x v="3"/>
    <n v="-0.35416666666424135"/>
    <n v="27.500000000058208"/>
    <n v="12"/>
    <n v="15.500000000058208"/>
    <n v="9.9096774193176245"/>
    <x v="0"/>
  </r>
  <r>
    <x v="4"/>
    <x v="0"/>
    <s v="1/21/2025 20:47"/>
    <s v="OMFP5Z5RR"/>
    <x v="0"/>
    <s v="UBM 648D"/>
    <m/>
    <s v="Bates Enterprises U Ltd"/>
    <n v="156"/>
    <s v="Z82257"/>
    <x v="7"/>
    <x v="0"/>
    <x v="0"/>
    <x v="0"/>
    <x v="7"/>
    <x v="7"/>
    <n v="580"/>
    <n v="-26"/>
    <x v="0"/>
    <d v="2025-01-21T19:38:00"/>
    <d v="2025-01-22T07:30:00"/>
    <d v="2025-01-21T20:24:00"/>
    <n v="-652.13333333333333"/>
    <n v="45.033333333333331"/>
    <x v="1"/>
    <d v="2025-01-23T08:24:00"/>
    <d v="2025-01-23T13:34:00"/>
    <n v="303.53333333333336"/>
    <x v="0"/>
    <d v="2025-01-24T15:58:00"/>
    <d v="2025-01-24T16:52:00"/>
    <n v="52.866666666666667"/>
    <x v="0"/>
    <n v="2.8152777777795563"/>
    <x v="4"/>
    <n v="-0.18472222222044365"/>
    <n v="67.566666666709352"/>
    <n v="24"/>
    <n v="43.566666666709352"/>
    <n v="3.5807192042811131"/>
    <x v="0"/>
  </r>
  <r>
    <x v="4"/>
    <x v="0"/>
    <s v="1/21/2025 20:48"/>
    <s v="OM94HICRR"/>
    <x v="0"/>
    <s v="UBM 644D"/>
    <m/>
    <s v="Kabaco U Ltd"/>
    <n v="156"/>
    <s v="Z82258"/>
    <x v="6"/>
    <x v="0"/>
    <x v="0"/>
    <x v="0"/>
    <x v="6"/>
    <x v="6"/>
    <n v="321"/>
    <n v="1"/>
    <x v="0"/>
    <d v="2025-01-21T20:02:00"/>
    <d v="2025-01-22T07:30:00"/>
    <d v="2025-01-21T20:45:00"/>
    <n v="-631.56666666666672"/>
    <n v="42.1"/>
    <x v="1"/>
    <d v="2025-01-22T08:45:00"/>
    <d v="2025-01-22T11:51:00"/>
    <n v="182.11666666666667"/>
    <x v="0"/>
    <d v="2025-01-22T17:11:00"/>
    <d v="2025-01-22T18:08:00"/>
    <n v="55.8"/>
    <x v="0"/>
    <n v="0.851388888884685"/>
    <x v="3"/>
    <n v="-0.648611111115315"/>
    <n v="20.43333333323244"/>
    <n v="0"/>
    <n v="20.43333333323244"/>
    <n v="7.6345840130882685"/>
    <x v="0"/>
  </r>
  <r>
    <x v="4"/>
    <x v="0"/>
    <s v="1/21/2025 20:51"/>
    <s v="OMU53XPRR"/>
    <x v="0"/>
    <s v="UBJ 420C"/>
    <s v="ZIWA ABASI"/>
    <s v="Kato Investment Ltd -Mityana"/>
    <n v="156"/>
    <s v="A20188"/>
    <x v="16"/>
    <x v="0"/>
    <x v="0"/>
    <x v="0"/>
    <x v="16"/>
    <x v="16"/>
    <m/>
    <n v="-690"/>
    <x v="0"/>
    <d v="2025-01-21T19:47:00"/>
    <d v="2025-01-22T07:30:00"/>
    <d v="2025-01-21T20:33:00"/>
    <n v="-643.31666666666672"/>
    <n v="45.033333333333331"/>
    <x v="1"/>
    <d v="2025-01-23T10:33:00"/>
    <d v="2025-01-23T17:14:00"/>
    <n v="392.63333333333333"/>
    <x v="0"/>
    <d v="2025-01-24T12:30:19"/>
    <d v="2025-01-24T13:18:19"/>
    <n v="46.983333333333334"/>
    <x v="0"/>
    <n v="2.6648055555488099"/>
    <x v="0"/>
    <n v="0.66480555554880993"/>
    <n v="63.955333333171438"/>
    <n v="24"/>
    <n v="39.955333333171438"/>
    <n v="3.9043598685356673"/>
    <x v="4"/>
  </r>
  <r>
    <x v="4"/>
    <x v="1"/>
    <s v="1/21/2025 22:08"/>
    <s v="OM20K37RR"/>
    <x v="0"/>
    <s v="UBE 422T"/>
    <s v="Jacob Oneka"/>
    <s v="Boniface Harera"/>
    <n v="156"/>
    <s v="F15756"/>
    <x v="10"/>
    <x v="1"/>
    <x v="0"/>
    <x v="1"/>
    <x v="10"/>
    <x v="10"/>
    <n v="474"/>
    <n v="4"/>
    <x v="0"/>
    <d v="2025-01-22T07:08:00"/>
    <d v="2025-01-22T07:30:00"/>
    <d v="2025-01-22T07:51:00"/>
    <n v="20.55"/>
    <n v="42.1"/>
    <x v="1"/>
    <d v="2025-01-23T07:51:00"/>
    <d v="2025-01-23T12:39:00"/>
    <n v="281.98333333333335"/>
    <x v="0"/>
    <d v="2025-01-24T11:27:00"/>
    <d v="2025-01-24T12:03:00"/>
    <n v="35.25"/>
    <x v="0"/>
    <n v="2.1499999999941792"/>
    <x v="1"/>
    <n v="-0.35000000000582077"/>
    <n v="51.599999999860302"/>
    <n v="24"/>
    <n v="27.599999999860302"/>
    <n v="5.6521739130720867"/>
    <x v="0"/>
  </r>
  <r>
    <x v="4"/>
    <x v="1"/>
    <s v="1/21/2025 22:37"/>
    <s v="OMIBUHDRR"/>
    <x v="0"/>
    <s v="UBE 287X"/>
    <s v="Isaac Tumuhimbise"/>
    <s v="Kabaco U Ltd-Mbarara"/>
    <n v="153.6"/>
    <s v="Z82264"/>
    <x v="8"/>
    <x v="1"/>
    <x v="0"/>
    <x v="1"/>
    <x v="8"/>
    <x v="8"/>
    <n v="13"/>
    <n v="2"/>
    <x v="0"/>
    <d v="2025-01-22T07:58:00"/>
    <d v="2025-01-22T07:30:00"/>
    <d v="2025-01-22T08:44:00"/>
    <n v="72.45"/>
    <n v="45.033333333333331"/>
    <x v="8"/>
    <d v="2025-01-22T09:26:00"/>
    <d v="2025-01-22T13:03:00"/>
    <n v="212.46666666666667"/>
    <x v="0"/>
    <d v="2025-01-22T13:32:00"/>
    <d v="2025-01-22T14:17:00"/>
    <n v="44.05"/>
    <x v="0"/>
    <n v="0.19999999999708962"/>
    <x v="5"/>
    <n v="-0.60000000000291043"/>
    <n v="4.7999999999301508"/>
    <n v="0"/>
    <n v="4.7999999999301508"/>
    <n v="32.000000000465661"/>
    <x v="0"/>
  </r>
  <r>
    <x v="4"/>
    <x v="0"/>
    <s v="1/22/2025 0:00"/>
    <s v="OM02LD88"/>
    <x v="0"/>
    <s v="UBE 681K"/>
    <s v="KYAPA AKIMU"/>
    <s v="Boniface Harera"/>
    <n v="156"/>
    <s v="F15758"/>
    <x v="10"/>
    <x v="0"/>
    <x v="0"/>
    <x v="0"/>
    <x v="10"/>
    <x v="10"/>
    <n v="465"/>
    <n v="-5"/>
    <x v="0"/>
    <d v="2025-01-22T08:11:00"/>
    <d v="2025-01-22T07:30:00"/>
    <d v="2025-01-22T08:57:00"/>
    <n v="85.183333333333337"/>
    <n v="45.033333333333331"/>
    <x v="1"/>
    <d v="2025-01-23T08:57:00"/>
    <d v="2025-01-23T14:42:00"/>
    <n v="337.8"/>
    <x v="0"/>
    <d v="2025-01-24T13:30:00"/>
    <d v="2025-01-24T14:25:00"/>
    <n v="53.85"/>
    <x v="0"/>
    <n v="2.1895833333328483"/>
    <x v="1"/>
    <n v="-0.31041666666715173"/>
    <n v="52.549999999988358"/>
    <n v="24"/>
    <n v="28.549999999988358"/>
    <n v="5.4640980735573947"/>
    <x v="0"/>
  </r>
  <r>
    <x v="4"/>
    <x v="0"/>
    <s v="1/22/2025 0:00"/>
    <s v="OM02LD8P"/>
    <x v="0"/>
    <s v="UBP 311H"/>
    <m/>
    <s v="Kato Investments Ltd-Bulenga"/>
    <n v="156"/>
    <s v="A20200"/>
    <x v="2"/>
    <x v="0"/>
    <x v="0"/>
    <x v="0"/>
    <x v="2"/>
    <x v="2"/>
    <n v="556"/>
    <n v="-4"/>
    <x v="0"/>
    <d v="2025-01-22T07:58:00"/>
    <d v="2025-01-22T07:30:00"/>
    <d v="2025-01-22T08:41:00"/>
    <n v="69.516666666666666"/>
    <n v="42.1"/>
    <x v="1"/>
    <d v="2025-01-23T08:41:00"/>
    <d v="2025-01-23T13:56:00"/>
    <n v="308.43333333333334"/>
    <x v="0"/>
    <d v="2025-01-24T06:17:00"/>
    <d v="2025-01-24T07:09:00"/>
    <n v="50.916666666666664"/>
    <x v="0"/>
    <n v="1.9000000000014552"/>
    <x v="0"/>
    <n v="-9.9999999998544808E-2"/>
    <n v="45.600000000034925"/>
    <n v="12"/>
    <n v="33.600000000034925"/>
    <n v="4.6428571428523169"/>
    <x v="0"/>
  </r>
  <r>
    <x v="4"/>
    <x v="1"/>
    <s v="1/22/2025 11:20"/>
    <s v="OMA00HKRR"/>
    <x v="0"/>
    <s v="UBK 881R"/>
    <s v="James  Kironde"/>
    <s v="Kabaco U Ltd-Mbarara"/>
    <n v="153.6"/>
    <s v="Z82270"/>
    <x v="8"/>
    <x v="1"/>
    <x v="0"/>
    <x v="1"/>
    <x v="8"/>
    <x v="8"/>
    <n v="14"/>
    <n v="3"/>
    <x v="0"/>
    <d v="2025-01-22T12:18:00"/>
    <d v="2025-01-22T11:50:00"/>
    <d v="2025-01-22T13:32:00"/>
    <n v="99.86666666666666"/>
    <n v="72.45"/>
    <x v="6"/>
    <d v="2025-01-22T14:08:00"/>
    <d v="2025-01-22T18:04:00"/>
    <n v="231.08333333333334"/>
    <x v="0"/>
    <d v="2025-01-22T18:33:00"/>
    <d v="2025-01-22T19:11:00"/>
    <n v="37.200000000000003"/>
    <x v="0"/>
    <n v="0.20902777778246673"/>
    <x v="5"/>
    <n v="-0.59097222221753332"/>
    <n v="5.0166666667792015"/>
    <n v="0"/>
    <n v="5.0166666667792015"/>
    <n v="30.617940198648721"/>
    <x v="0"/>
  </r>
  <r>
    <x v="4"/>
    <x v="1"/>
    <s v="1/22/2025 11:56"/>
    <s v="OMYSW8ERR"/>
    <x v="0"/>
    <s v="UAT 351G"/>
    <s v="Hamudi Sesanga"/>
    <s v="KATO INVESTMENTS LIMITED-MASAK"/>
    <n v="153.6"/>
    <s v="F15757"/>
    <x v="14"/>
    <x v="1"/>
    <x v="0"/>
    <x v="1"/>
    <x v="14"/>
    <x v="14"/>
    <n v="328"/>
    <n v="-12"/>
    <x v="0"/>
    <d v="2025-01-22T12:36:00"/>
    <d v="2025-01-22T12:24:00"/>
    <d v="2025-01-22T13:25:00"/>
    <n v="59.716666666666669"/>
    <n v="47.966666666666669"/>
    <x v="2"/>
    <d v="2025-01-22T16:38:00"/>
    <d v="2025-01-22T22:30:00"/>
    <n v="344.65"/>
    <x v="0"/>
    <d v="2025-01-23T12:54:00"/>
    <d v="2025-01-23T13:55:00"/>
    <n v="59.716666666666669"/>
    <x v="0"/>
    <n v="0.97847222221753327"/>
    <x v="8"/>
    <n v="-2.1527777782466728E-2"/>
    <n v="23.483333333220799"/>
    <n v="0"/>
    <n v="23.483333333220799"/>
    <n v="6.5408090844884059"/>
    <x v="0"/>
  </r>
  <r>
    <x v="4"/>
    <x v="1"/>
    <s v="1/22/2025 14:06"/>
    <s v="OMZR9FXRR"/>
    <x v="0"/>
    <s v="UBK 881R"/>
    <s v="James  Kironde"/>
    <s v="Ntale and Sons"/>
    <n v="153.6"/>
    <s v="A20197"/>
    <x v="19"/>
    <x v="1"/>
    <x v="0"/>
    <x v="1"/>
    <x v="19"/>
    <x v="19"/>
    <n v="834"/>
    <n v="24"/>
    <x v="0"/>
    <d v="2025-01-22T15:04:00"/>
    <d v="2025-01-22T14:36:00"/>
    <d v="2025-01-22T15:47:00"/>
    <n v="69.516666666666666"/>
    <n v="42.1"/>
    <x v="1"/>
    <d v="2025-01-23T21:47:00"/>
    <d v="2025-01-24T14:19:00"/>
    <n v="971.31666666666672"/>
    <x v="0"/>
    <d v="2025-01-25T14:47:48"/>
    <d v="2025-01-25T15:27:48"/>
    <n v="39.166666666666664"/>
    <x v="0"/>
    <n v="2.9588888888829388"/>
    <x v="4"/>
    <n v="-4.1111111117061228E-2"/>
    <n v="71.013333333190531"/>
    <n v="24"/>
    <n v="47.013333333190531"/>
    <n v="3.2671582529878025"/>
    <x v="0"/>
  </r>
  <r>
    <x v="4"/>
    <x v="1"/>
    <s v="1/22/2025 19:33"/>
    <s v="OMKC6QWRR"/>
    <x v="0"/>
    <s v="UBE 287X"/>
    <s v="Isaac Tumuhimbise"/>
    <s v="KATO INVESTMENTS LTD- KALISIZO"/>
    <n v="153.6"/>
    <s v="F15759"/>
    <x v="4"/>
    <x v="1"/>
    <x v="0"/>
    <x v="1"/>
    <x v="4"/>
    <x v="4"/>
    <n v="349"/>
    <n v="-1"/>
    <x v="0"/>
    <d v="2025-01-23T06:56:00"/>
    <d v="2025-01-23T07:30:00"/>
    <d v="2025-01-23T07:42:00"/>
    <n v="11.75"/>
    <n v="45.033333333333331"/>
    <x v="1"/>
    <d v="2025-01-23T14:42:00"/>
    <d v="2025-01-23T19:42:00"/>
    <n v="293.75"/>
    <x v="0"/>
    <d v="2025-01-24T14:26:38"/>
    <d v="2025-01-24T15:26:38"/>
    <n v="58.733333333333334"/>
    <x v="0"/>
    <n v="1.2810000000026776"/>
    <x v="2"/>
    <n v="-0.4189999999973224"/>
    <n v="30.744000000064261"/>
    <n v="12"/>
    <n v="18.744000000064261"/>
    <n v="8.1946222791012264"/>
    <x v="0"/>
  </r>
  <r>
    <x v="4"/>
    <x v="0"/>
    <s v="1/22/2025 19:37"/>
    <s v="OMAUPPQRR"/>
    <x v="0"/>
    <s v="UBM 644D"/>
    <m/>
    <s v="Boniface Harera"/>
    <n v="156"/>
    <s v="F15760"/>
    <x v="10"/>
    <x v="0"/>
    <x v="0"/>
    <x v="0"/>
    <x v="10"/>
    <x v="10"/>
    <n v="465"/>
    <n v="-5"/>
    <x v="0"/>
    <d v="2025-01-23T06:58:00"/>
    <d v="2025-01-23T07:30:00"/>
    <d v="2025-01-23T07:41:00"/>
    <n v="10.766666666666667"/>
    <n v="42.1"/>
    <x v="1"/>
    <d v="2025-01-24T09:11:00"/>
    <d v="2025-01-24T13:59:00"/>
    <n v="281.98333333333335"/>
    <x v="0"/>
    <d v="2025-01-25T12:47:00"/>
    <d v="2025-01-25T13:44:00"/>
    <n v="55.8"/>
    <x v="0"/>
    <n v="2.2124999999941792"/>
    <x v="1"/>
    <n v="-0.28750000000582077"/>
    <n v="53.099999999860302"/>
    <n v="24"/>
    <n v="29.099999999860302"/>
    <n v="5.3608247422937767"/>
    <x v="0"/>
  </r>
  <r>
    <x v="4"/>
    <x v="1"/>
    <s v="1/22/2025 20:00"/>
    <s v="OM28Z36RR"/>
    <x v="0"/>
    <s v="UAV 203T"/>
    <s v="Mugisha  George"/>
    <s v="Kato Investments Ltd-Bulenga"/>
    <n v="153.6"/>
    <s v="A20203"/>
    <x v="2"/>
    <x v="1"/>
    <x v="0"/>
    <x v="1"/>
    <x v="2"/>
    <x v="2"/>
    <n v="689"/>
    <n v="129"/>
    <x v="0"/>
    <d v="2025-01-23T08:11:00"/>
    <d v="2025-01-23T07:30:00"/>
    <d v="2025-01-23T08:58:00"/>
    <n v="86.15"/>
    <n v="46.016666666666666"/>
    <x v="1"/>
    <d v="2025-01-24T08:58:00"/>
    <d v="2025-01-24T14:02:00"/>
    <n v="297.64999999999998"/>
    <x v="0"/>
    <d v="2025-01-25T08:58:00"/>
    <d v="2025-01-25T09:49:00"/>
    <n v="49.93333333333333"/>
    <x v="0"/>
    <n v="2"/>
    <x v="0"/>
    <n v="0"/>
    <n v="48"/>
    <n v="24"/>
    <n v="24"/>
    <n v="6.3999999999999995"/>
    <x v="0"/>
  </r>
  <r>
    <x v="4"/>
    <x v="0"/>
    <s v="1/23/2025 20:47"/>
    <s v="OMADQMKRR"/>
    <x v="0"/>
    <s v="UBJ 705D"/>
    <s v="KASULE JOHNBOSC"/>
    <s v="Sawan Distributors Ltd-Kayabwe"/>
    <n v="156"/>
    <s v="A20221"/>
    <x v="9"/>
    <x v="0"/>
    <x v="0"/>
    <x v="0"/>
    <x v="9"/>
    <x v="9"/>
    <n v="402"/>
    <n v="2"/>
    <x v="0"/>
    <d v="2025-01-23T19:45:00"/>
    <d v="2025-01-23T07:30:00"/>
    <d v="2025-01-23T20:26:00"/>
    <n v="759.81666666666672"/>
    <n v="40.133333333333333"/>
    <x v="1"/>
    <d v="2025-01-24T05:26:00"/>
    <d v="2025-01-25T05:01:31"/>
    <n v="1386.0166666666667"/>
    <x v="0"/>
    <d v="2025-01-26T11:44:43"/>
    <d v="2025-01-26T12:41:43"/>
    <n v="55.8"/>
    <x v="0"/>
    <n v="2.6379999999990105"/>
    <x v="0"/>
    <n v="0.63799999999901047"/>
    <n v="63.311999999976251"/>
    <n v="24"/>
    <n v="39.311999999976251"/>
    <n v="3.9682539682563656"/>
    <x v="0"/>
  </r>
  <r>
    <x v="4"/>
    <x v="0"/>
    <s v="1/23/2025 20:54"/>
    <s v="OMOD2P9RR"/>
    <x v="0"/>
    <s v="UBP 310H"/>
    <m/>
    <s v="Kato Investment Ltd -Mityana"/>
    <n v="156"/>
    <s v="A20223"/>
    <x v="16"/>
    <x v="0"/>
    <x v="0"/>
    <x v="0"/>
    <x v="16"/>
    <x v="16"/>
    <m/>
    <n v="-690"/>
    <x v="0"/>
    <d v="2025-01-23T19:38:00"/>
    <d v="2025-01-23T07:30:00"/>
    <d v="2025-01-23T20:23:00"/>
    <n v="756.88333333333333"/>
    <n v="44.05"/>
    <x v="1"/>
    <d v="2025-01-24T21:23:00"/>
    <d v="2025-01-25T14:39:48"/>
    <n v="1015.2"/>
    <x v="0"/>
    <d v="2025-01-26T12:05:43"/>
    <d v="2025-01-26T12:53:43"/>
    <n v="46.983333333333334"/>
    <x v="0"/>
    <n v="2.6546666666617966"/>
    <x v="0"/>
    <n v="0.65466666666179663"/>
    <n v="63.711999999883119"/>
    <n v="24"/>
    <n v="39.711999999883119"/>
    <n v="3.9282836422355745"/>
    <x v="4"/>
  </r>
  <r>
    <x v="4"/>
    <x v="0"/>
    <s v="1/23/2025 21:29"/>
    <s v="OMPQ3TMRR"/>
    <x v="0"/>
    <s v="UBR 535W"/>
    <m/>
    <s v="Kato Investment Ltd -Mityana"/>
    <n v="156"/>
    <s v="A20224"/>
    <x v="16"/>
    <x v="0"/>
    <x v="0"/>
    <x v="0"/>
    <x v="16"/>
    <x v="16"/>
    <m/>
    <n v="-690"/>
    <x v="0"/>
    <d v="2025-01-24T08:11:00"/>
    <d v="2025-01-23T07:30:00"/>
    <d v="2025-01-24T08:52:00"/>
    <n v="1490.2833333333333"/>
    <n v="40.133333333333333"/>
    <x v="1"/>
    <d v="2025-01-25T09:52:00"/>
    <d v="2025-01-25T14:52:00"/>
    <n v="293.75"/>
    <x v="0"/>
    <d v="2025-01-26T10:22:43"/>
    <d v="2025-01-26T10:52:43"/>
    <n v="29.366666666666667"/>
    <x v="0"/>
    <n v="2.0630000000019209"/>
    <x v="0"/>
    <n v="6.3000000001920853E-2"/>
    <n v="49.5120000000461"/>
    <n v="24"/>
    <n v="25.5120000000461"/>
    <n v="6.1147695202147263"/>
    <x v="0"/>
  </r>
  <r>
    <x v="4"/>
    <x v="0"/>
    <s v="1/23/2025 21:51"/>
    <s v="OMDJFBZRR"/>
    <x v="0"/>
    <s v="UBP 298H"/>
    <s v="SENTONG DAVID"/>
    <s v="Kato Investment Ltd -Mubende"/>
    <n v="156"/>
    <s v="A20226"/>
    <x v="1"/>
    <x v="0"/>
    <x v="0"/>
    <x v="0"/>
    <x v="1"/>
    <x v="1"/>
    <n v="664"/>
    <n v="-16"/>
    <x v="0"/>
    <d v="2025-01-24T07:58:00"/>
    <d v="2025-01-23T07:30:00"/>
    <d v="2025-01-24T08:52:00"/>
    <n v="1490.2833333333333"/>
    <n v="52.866666666666667"/>
    <x v="3"/>
    <d v="2025-01-25T11:09:00"/>
    <d v="2025-01-25T15:47:00"/>
    <n v="272.2"/>
    <x v="0"/>
    <d v="2025-01-26T16:04:17"/>
    <d v="2025-01-26T16:59:17"/>
    <n v="53.85"/>
    <x v="0"/>
    <n v="2.3001944444476976"/>
    <x v="1"/>
    <n v="-0.19980555555230239"/>
    <n v="55.204666666744743"/>
    <n v="32"/>
    <n v="23.204666666744743"/>
    <n v="6.722785646542726"/>
    <x v="0"/>
  </r>
  <r>
    <x v="4"/>
    <x v="0"/>
    <s v="1/23/2025 21:52"/>
    <s v="OMH0BEVRR"/>
    <x v="0"/>
    <s v="UBR 539W"/>
    <m/>
    <s v="Sawan Distributors Ltd-Nabingo"/>
    <n v="156"/>
    <s v="A20227"/>
    <x v="21"/>
    <x v="0"/>
    <x v="0"/>
    <x v="0"/>
    <x v="21"/>
    <x v="2"/>
    <n v="539"/>
    <n v="-21"/>
    <x v="0"/>
    <d v="2025-01-24T07:58:00"/>
    <d v="2025-01-23T07:30:00"/>
    <d v="2025-01-24T08:39:00"/>
    <n v="1477.55"/>
    <n v="40.133333333333333"/>
    <x v="1"/>
    <d v="2025-01-25T09:54:00"/>
    <d v="2025-01-25T15:11:00"/>
    <n v="310.38333333333333"/>
    <x v="0"/>
    <d v="2025-01-26T15:11:00"/>
    <d v="2025-01-26T16:11:00"/>
    <n v="58.733333333333334"/>
    <x v="0"/>
    <n v="2.2722222222218988"/>
    <x v="0"/>
    <n v="0.27222222222189885"/>
    <n v="54.533333333325572"/>
    <n v="24"/>
    <n v="30.533333333325572"/>
    <n v="5.1091703056781546"/>
    <x v="0"/>
  </r>
  <r>
    <x v="4"/>
    <x v="1"/>
    <s v="1/23/2025 21:58"/>
    <s v="OM044RKRR"/>
    <x v="0"/>
    <s v="UBK 875R"/>
    <s v="Bisaso  Ronald"/>
    <s v="Kato Investments Ltd-Bulenga"/>
    <n v="153.6"/>
    <s v="A20228"/>
    <x v="2"/>
    <x v="1"/>
    <x v="0"/>
    <x v="1"/>
    <x v="2"/>
    <x v="2"/>
    <n v="702"/>
    <n v="142"/>
    <x v="0"/>
    <d v="2025-01-24T07:58:00"/>
    <d v="2025-01-23T07:30:00"/>
    <d v="2025-01-24T08:43:00"/>
    <n v="1481.4666666666667"/>
    <n v="44.05"/>
    <x v="1"/>
    <d v="2025-01-25T08:43:00"/>
    <d v="2025-01-25T13:19:00"/>
    <n v="270.23333333333335"/>
    <x v="0"/>
    <d v="2025-01-26T07:59:48"/>
    <d v="2025-01-26T09:00:48"/>
    <n v="59.716666666666669"/>
    <x v="0"/>
    <n v="1.9700000000011642"/>
    <x v="0"/>
    <n v="-2.9999999998835847E-2"/>
    <n v="47.28000000002794"/>
    <n v="12"/>
    <n v="35.28000000002794"/>
    <n v="4.3537414965951911"/>
    <x v="0"/>
  </r>
  <r>
    <x v="4"/>
    <x v="1"/>
    <s v="1/23/2025 23:10"/>
    <s v="OM3SI8DRR"/>
    <x v="0"/>
    <s v="UBJ 988D"/>
    <s v="Tumusiime Robert"/>
    <s v="KATO INVESTMENTS LIMITED-MASAK"/>
    <n v="153.6"/>
    <s v="F15766"/>
    <x v="14"/>
    <x v="1"/>
    <x v="0"/>
    <x v="1"/>
    <x v="14"/>
    <x v="14"/>
    <n v="298"/>
    <n v="-42"/>
    <x v="0"/>
    <d v="2025-01-24T07:58:00"/>
    <d v="2025-01-23T07:30:00"/>
    <d v="2025-01-24T08:39:00"/>
    <n v="1477.55"/>
    <n v="40.133333333333333"/>
    <x v="1"/>
    <d v="2025-01-24T11:52:00"/>
    <d v="2025-01-24T17:01:00"/>
    <n v="302.55"/>
    <x v="0"/>
    <d v="2025-01-25T07:25:00"/>
    <d v="2025-01-25T08:01:00"/>
    <n v="35.25"/>
    <x v="0"/>
    <n v="0.94861111111094942"/>
    <x v="8"/>
    <n v="-5.1388888889050577E-2"/>
    <n v="22.766666666662786"/>
    <n v="0"/>
    <n v="22.766666666662786"/>
    <n v="6.7467057101036385"/>
    <x v="0"/>
  </r>
  <r>
    <x v="4"/>
    <x v="1"/>
    <s v="1/23/2025 23:12"/>
    <s v="OM7GSFVRR"/>
    <x v="0"/>
    <s v="UAT 351G"/>
    <s v="Hamudi Sesanga"/>
    <s v="KATO INVESTMENTS LIMITED-MASAK"/>
    <n v="153.6"/>
    <s v="F15767"/>
    <x v="14"/>
    <x v="1"/>
    <x v="0"/>
    <x v="1"/>
    <x v="14"/>
    <x v="14"/>
    <n v="151"/>
    <n v="-189"/>
    <x v="0"/>
    <d v="2025-01-24T07:58:00"/>
    <d v="2025-01-23T07:30:00"/>
    <d v="2025-01-24T08:43:00"/>
    <n v="1481.4666666666667"/>
    <n v="44.05"/>
    <x v="1"/>
    <d v="2025-01-24T11:56:00"/>
    <d v="2025-01-24T17:48:00"/>
    <n v="344.65"/>
    <x v="0"/>
    <d v="2025-01-25T08:12:00"/>
    <d v="2025-01-25T08:56:00"/>
    <n v="43.06666666666667"/>
    <x v="0"/>
    <n v="0.97847222221753327"/>
    <x v="8"/>
    <n v="-2.1527777782466728E-2"/>
    <n v="23.483333333220799"/>
    <n v="0"/>
    <n v="23.483333333220799"/>
    <n v="6.5408090844884059"/>
    <x v="0"/>
  </r>
  <r>
    <x v="4"/>
    <x v="1"/>
    <s v="1/23/2025 23:26"/>
    <s v="OMNK92IRR"/>
    <x v="0"/>
    <s v="UBJ 707D"/>
    <s v="Konge Husein"/>
    <s v="KATO INVESTMENTS LTD- KALISIZO"/>
    <n v="153.6"/>
    <s v="F15770"/>
    <x v="4"/>
    <x v="1"/>
    <x v="0"/>
    <x v="1"/>
    <x v="4"/>
    <x v="4"/>
    <n v="347"/>
    <n v="-3"/>
    <x v="0"/>
    <d v="2025-01-24T07:58:00"/>
    <d v="2025-01-23T07:30:00"/>
    <d v="2025-01-24T09:18:00"/>
    <n v="1515.7333333333333"/>
    <n v="78.316666666666663"/>
    <x v="6"/>
    <d v="2025-01-24T16:18:00"/>
    <d v="2025-01-24T20:00:00"/>
    <n v="217.36666666666667"/>
    <x v="0"/>
    <d v="2025-01-25T15:26:24"/>
    <d v="2025-01-25T16:11:24"/>
    <n v="44.05"/>
    <x v="0"/>
    <n v="1.2558333333290648"/>
    <x v="2"/>
    <n v="-0.44416666667093518"/>
    <n v="30.139999999897555"/>
    <n v="16"/>
    <n v="14.139999999897555"/>
    <n v="10.862800565849565"/>
    <x v="0"/>
  </r>
  <r>
    <x v="4"/>
    <x v="0"/>
    <s v="1/24/2025 0:00"/>
    <s v="OM02LDRB"/>
    <x v="0"/>
    <s v="UBK 866R"/>
    <m/>
    <s v="Kobusinge Steven-FPortal"/>
    <n v="156"/>
    <s v="Z82314"/>
    <x v="11"/>
    <x v="0"/>
    <x v="0"/>
    <x v="0"/>
    <x v="11"/>
    <x v="11"/>
    <n v="385"/>
    <n v="-5"/>
    <x v="0"/>
    <d v="2025-01-24T07:58:00"/>
    <d v="2025-01-23T07:30:00"/>
    <d v="2025-01-24T08:43:00"/>
    <n v="1481.4666666666667"/>
    <n v="44.05"/>
    <x v="1"/>
    <d v="2025-01-25T10:13:00"/>
    <d v="2025-01-25T15:02:00"/>
    <n v="282.96666666666664"/>
    <x v="0"/>
    <d v="2025-01-26T10:56:12"/>
    <d v="2025-01-26T11:56:12"/>
    <n v="58.733333333333334"/>
    <x v="0"/>
    <n v="2.0924999999988358"/>
    <x v="0"/>
    <n v="9.2499999998835847E-2"/>
    <n v="50.21999999997206"/>
    <n v="24"/>
    <n v="26.21999999997206"/>
    <n v="5.9496567505784226"/>
    <x v="0"/>
  </r>
  <r>
    <x v="4"/>
    <x v="0"/>
    <s v="1/24/2025 18:02"/>
    <s v="OMBT9DORR"/>
    <x v="0"/>
    <s v="UBJ 419C"/>
    <m/>
    <s v="Kabaco U Ltd"/>
    <n v="156"/>
    <s v="Z82307"/>
    <x v="6"/>
    <x v="0"/>
    <x v="0"/>
    <x v="0"/>
    <x v="6"/>
    <x v="6"/>
    <n v="120"/>
    <n v="-200"/>
    <x v="0"/>
    <d v="2025-01-24T19:38:00"/>
    <d v="2025-01-25T07:30:00"/>
    <d v="2025-01-24T20:19:00"/>
    <n v="-657.0333333333333"/>
    <n v="40.133333333333333"/>
    <x v="1"/>
    <d v="2025-01-25T09:19:00"/>
    <d v="2025-01-25T14:16:00"/>
    <n v="290.8"/>
    <x v="0"/>
    <d v="2025-01-25T19:36:00"/>
    <d v="2025-01-25T20:24:00"/>
    <n v="46.983333333333334"/>
    <x v="0"/>
    <n v="0.97013888888614019"/>
    <x v="3"/>
    <n v="-0.52986111111385981"/>
    <n v="23.283333333267365"/>
    <n v="0"/>
    <n v="23.283333333267365"/>
    <n v="6.7000715819803291"/>
    <x v="0"/>
  </r>
  <r>
    <x v="4"/>
    <x v="0"/>
    <s v="1/24/2025 18:08"/>
    <s v="OM7O563RR"/>
    <x v="0"/>
    <s v="UBR 533W"/>
    <m/>
    <s v="Kabaco U Ltd"/>
    <n v="156"/>
    <s v="Z82308"/>
    <x v="6"/>
    <x v="0"/>
    <x v="0"/>
    <x v="0"/>
    <x v="6"/>
    <x v="6"/>
    <n v="120"/>
    <n v="-200"/>
    <x v="0"/>
    <d v="2025-01-24T19:38:00"/>
    <d v="2025-01-25T07:30:00"/>
    <d v="2025-01-24T20:21:00"/>
    <n v="-655.06666666666672"/>
    <n v="42.1"/>
    <x v="1"/>
    <d v="2025-01-25T09:21:00"/>
    <d v="2025-01-25T14:50:00"/>
    <n v="322.13333333333333"/>
    <x v="0"/>
    <d v="2025-01-26T07:09:12"/>
    <d v="2025-01-26T07:53:12"/>
    <n v="43.06666666666667"/>
    <x v="0"/>
    <n v="1.4501388888893416"/>
    <x v="3"/>
    <n v="-4.9861111110658385E-2"/>
    <n v="34.803333333344199"/>
    <n v="12"/>
    <n v="22.803333333344199"/>
    <n v="6.8411051015900748"/>
    <x v="0"/>
  </r>
  <r>
    <x v="4"/>
    <x v="0"/>
    <s v="1/24/2025 18:11"/>
    <s v="OMUHIL2RR"/>
    <x v="0"/>
    <s v="UBF 379L"/>
    <m/>
    <s v="Kabaco U Ltd"/>
    <n v="156"/>
    <s v="Z82309"/>
    <x v="6"/>
    <x v="0"/>
    <x v="0"/>
    <x v="0"/>
    <x v="6"/>
    <x v="6"/>
    <n v="99"/>
    <n v="-221"/>
    <x v="0"/>
    <d v="2025-01-24T19:38:00"/>
    <d v="2025-01-25T07:30:00"/>
    <d v="2025-01-24T20:19:00"/>
    <n v="-657.0333333333333"/>
    <n v="40.133333333333333"/>
    <x v="1"/>
    <d v="2025-01-25T10:19:00"/>
    <d v="2025-01-25T15:15:00"/>
    <n v="289.83333333333331"/>
    <x v="0"/>
    <d v="2025-01-26T07:34:12"/>
    <d v="2025-01-26T08:25:12"/>
    <n v="49.93333333333333"/>
    <x v="0"/>
    <n v="1.468888888892252"/>
    <x v="3"/>
    <n v="-3.1111111107748002E-2"/>
    <n v="35.253333333414048"/>
    <n v="12"/>
    <n v="23.253333333414048"/>
    <n v="6.7087155963069884"/>
    <x v="0"/>
  </r>
  <r>
    <x v="4"/>
    <x v="0"/>
    <s v="1/24/2025 18:14"/>
    <s v="OMMHI3IRR"/>
    <x v="0"/>
    <s v="UBJ 703D"/>
    <m/>
    <s v="Kobusinge Steven-FPortal"/>
    <n v="156"/>
    <s v="Z82310"/>
    <x v="11"/>
    <x v="0"/>
    <x v="0"/>
    <x v="0"/>
    <x v="11"/>
    <x v="11"/>
    <n v="385"/>
    <n v="-5"/>
    <x v="0"/>
    <d v="2025-01-24T19:45:00"/>
    <d v="2025-01-25T07:30:00"/>
    <d v="2025-01-24T20:28:00"/>
    <n v="-648.2166666666667"/>
    <n v="42.1"/>
    <x v="1"/>
    <d v="2025-01-25T18:58:00"/>
    <d v="2025-01-26T19:02:19"/>
    <n v="1414.2166666666667"/>
    <x v="0"/>
    <d v="2025-01-26T18:20:34"/>
    <d v="2025-01-26T19:00:34"/>
    <n v="39.166666666666664"/>
    <x v="0"/>
    <n v="1.9115000000019791"/>
    <x v="0"/>
    <n v="-8.849999999802094E-2"/>
    <n v="45.876000000047497"/>
    <n v="12"/>
    <n v="33.876000000047497"/>
    <n v="4.6050301098058002"/>
    <x v="0"/>
  </r>
  <r>
    <x v="4"/>
    <x v="0"/>
    <s v="1/24/2025 18:19"/>
    <s v="OM125VZRR"/>
    <x v="0"/>
    <s v="UBR 541W"/>
    <m/>
    <s v="Sawan Distributors Ltd-Nabingo"/>
    <n v="156"/>
    <s v="A20268"/>
    <x v="21"/>
    <x v="0"/>
    <x v="0"/>
    <x v="0"/>
    <x v="21"/>
    <x v="2"/>
    <n v="538"/>
    <n v="-22"/>
    <x v="0"/>
    <d v="2025-01-24T19:45:00"/>
    <d v="2025-01-25T07:30:00"/>
    <d v="2025-01-24T20:26:00"/>
    <n v="-650.18333333333328"/>
    <n v="40.133333333333333"/>
    <x v="1"/>
    <d v="2025-01-25T08:26:00"/>
    <d v="2025-01-25T13:53:00"/>
    <n v="320.18333333333334"/>
    <x v="0"/>
    <d v="2025-01-26T16:17:00"/>
    <d v="2025-01-26T17:11:00"/>
    <n v="52.866666666666667"/>
    <x v="0"/>
    <n v="1.8270833333299379"/>
    <x v="0"/>
    <n v="-0.17291666667006211"/>
    <n v="43.849999999918509"/>
    <n v="12"/>
    <n v="31.849999999918509"/>
    <n v="4.8979591836860008"/>
    <x v="0"/>
  </r>
  <r>
    <x v="4"/>
    <x v="0"/>
    <s v="1/24/2025 18:42"/>
    <s v="OMB3ZJVRR"/>
    <x v="0"/>
    <s v="UBE 684K"/>
    <m/>
    <s v="KATO INVESTMENTS LTD-KATIKARA"/>
    <n v="156"/>
    <s v="A20272"/>
    <x v="5"/>
    <x v="0"/>
    <x v="0"/>
    <x v="0"/>
    <x v="5"/>
    <x v="5"/>
    <n v="796"/>
    <n v="-34"/>
    <x v="0"/>
    <d v="2025-01-24T19:38:00"/>
    <d v="2025-01-25T07:30:00"/>
    <d v="2025-01-24T20:19:00"/>
    <n v="-657.0333333333333"/>
    <n v="40.133333333333333"/>
    <x v="1"/>
    <d v="2025-01-25T21:34:00"/>
    <d v="2025-01-26T00:55:00"/>
    <n v="196.8"/>
    <x v="0"/>
    <d v="2025-01-27T05:43:00"/>
    <d v="2025-01-27T06:35:00"/>
    <n v="50.916666666666664"/>
    <x v="0"/>
    <n v="2.3916666666627862"/>
    <x v="0"/>
    <n v="0.39166666666278616"/>
    <n v="57.399999999906868"/>
    <n v="24"/>
    <n v="33.399999999906868"/>
    <n v="4.6706586826477539"/>
    <x v="0"/>
  </r>
  <r>
    <x v="4"/>
    <x v="0"/>
    <s v="1/24/2025 18:46"/>
    <s v="OMJ55Z8RR"/>
    <x v="0"/>
    <s v="UBR 537W"/>
    <m/>
    <s v="Ntale and Sons Ltd-Kakiri"/>
    <n v="156"/>
    <s v="A20273"/>
    <x v="22"/>
    <x v="0"/>
    <x v="0"/>
    <x v="0"/>
    <x v="22"/>
    <x v="21"/>
    <n v="612"/>
    <n v="-8"/>
    <x v="0"/>
    <d v="2025-01-25T07:09:00"/>
    <d v="2025-01-25T07:30:00"/>
    <d v="2025-01-25T07:52:00"/>
    <n v="21.533333333333335"/>
    <n v="42.1"/>
    <x v="1"/>
    <d v="2025-01-25T20:22:00"/>
    <d v="2025-01-26T14:36:24"/>
    <n v="1071.5999999999999"/>
    <x v="0"/>
    <d v="2025-01-27T12:34:00"/>
    <d v="2025-01-27T13:31:00"/>
    <n v="55.8"/>
    <x v="0"/>
    <n v="2.195833333338669"/>
    <x v="0"/>
    <n v="0.19583333333866904"/>
    <n v="52.700000000128057"/>
    <n v="24"/>
    <n v="28.700000000128057"/>
    <n v="5.4355400696621583"/>
    <x v="0"/>
  </r>
  <r>
    <x v="4"/>
    <x v="0"/>
    <s v="1/25/2025 0:00"/>
    <s v="OM02LEAW"/>
    <x v="0"/>
    <s v="UBP 311H"/>
    <m/>
    <s v="Rugoma Traders-Rukungiri"/>
    <n v="156"/>
    <s v="Z82331"/>
    <x v="17"/>
    <x v="0"/>
    <x v="0"/>
    <x v="0"/>
    <x v="17"/>
    <x v="17"/>
    <n v="254"/>
    <n v="-2"/>
    <x v="0"/>
    <d v="2025-01-25T07:21:00"/>
    <d v="2025-01-25T07:30:00"/>
    <d v="2025-01-25T08:02:00"/>
    <n v="31.316666666666666"/>
    <n v="40.133333333333333"/>
    <x v="1"/>
    <d v="2025-01-25T15:02:00"/>
    <d v="2025-01-25T18:23:36"/>
    <n v="197.38333333333333"/>
    <x v="0"/>
    <d v="2025-01-25T21:23:36"/>
    <d v="2025-01-25T22:18:36"/>
    <n v="53.85"/>
    <x v="0"/>
    <n v="0.55666666666365927"/>
    <x v="8"/>
    <n v="-0.44333333333634073"/>
    <n v="13.359999999927823"/>
    <n v="0"/>
    <n v="13.359999999927823"/>
    <n v="11.67664670664991"/>
    <x v="0"/>
  </r>
  <r>
    <x v="4"/>
    <x v="0"/>
    <s v="1/25/2025 0:00"/>
    <s v="OM02LEAB"/>
    <x v="0"/>
    <s v="UBE 678K"/>
    <m/>
    <s v="Kabaco U Ltd"/>
    <n v="156"/>
    <s v="Z82326"/>
    <x v="6"/>
    <x v="0"/>
    <x v="0"/>
    <x v="0"/>
    <x v="6"/>
    <x v="6"/>
    <n v="321"/>
    <n v="1"/>
    <x v="0"/>
    <d v="2025-01-25T07:14:00"/>
    <d v="2025-01-25T07:30:00"/>
    <d v="2025-01-25T08:18:00"/>
    <n v="46.983333333333334"/>
    <n v="62.65"/>
    <x v="5"/>
    <d v="2025-01-25T14:18:00"/>
    <d v="2025-01-25T19:15:00"/>
    <n v="290.8"/>
    <x v="0"/>
    <d v="2025-01-26T11:34:12"/>
    <d v="2025-01-26T12:10:12"/>
    <n v="35.25"/>
    <x v="0"/>
    <n v="1.1362500000032014"/>
    <x v="3"/>
    <n v="-0.36374999999679858"/>
    <n v="27.270000000076834"/>
    <n v="16"/>
    <n v="11.270000000076834"/>
    <n v="13.842058562461087"/>
    <x v="0"/>
  </r>
  <r>
    <x v="4"/>
    <x v="0"/>
    <s v="1/25/2025 13:38"/>
    <s v="OMCMG36RR"/>
    <x v="0"/>
    <s v="UBR 533W"/>
    <m/>
    <s v="KATO INVESTMENTS LTD-KATIKARA"/>
    <n v="156"/>
    <s v="A20287"/>
    <x v="5"/>
    <x v="0"/>
    <x v="0"/>
    <x v="0"/>
    <x v="5"/>
    <x v="5"/>
    <n v="835"/>
    <n v="5"/>
    <x v="0"/>
    <d v="2025-01-25T14:36:00"/>
    <d v="2025-01-25T14:08:00"/>
    <d v="2025-01-25T15:17:00"/>
    <n v="67.55"/>
    <n v="40.133333333333333"/>
    <x v="1"/>
    <d v="2025-01-26T17:02:00"/>
    <d v="2025-01-27T16:47:27"/>
    <n v="1395.75"/>
    <x v="0"/>
    <d v="2025-01-28T21:35:27"/>
    <d v="2025-01-28T22:20:27"/>
    <n v="44.05"/>
    <x v="0"/>
    <n v="3.2628166666618199"/>
    <x v="0"/>
    <n v="1.2628166666618199"/>
    <n v="78.307599999883678"/>
    <n v="36"/>
    <n v="42.307599999883678"/>
    <n v="3.6872807722590957"/>
    <x v="9"/>
  </r>
  <r>
    <x v="4"/>
    <x v="0"/>
    <s v="1/25/2025 13:50"/>
    <s v="OMTBWC2RR"/>
    <x v="0"/>
    <s v="UBR 539W"/>
    <m/>
    <s v="Kato Investment Ltd -Mityana"/>
    <n v="154.34399999999999"/>
    <s v="A20288"/>
    <x v="16"/>
    <x v="0"/>
    <x v="0"/>
    <x v="0"/>
    <x v="16"/>
    <x v="16"/>
    <m/>
    <n v="-690"/>
    <x v="0"/>
    <d v="2025-01-25T14:48:00"/>
    <d v="2025-01-25T14:20:00"/>
    <d v="2025-01-25T15:27:00"/>
    <n v="65.599999999999994"/>
    <n v="38.18333333333333"/>
    <x v="1"/>
    <d v="2025-01-26T17:27:00"/>
    <d v="2025-01-26T22:17:00"/>
    <n v="283.95"/>
    <x v="0"/>
    <d v="2025-01-27T17:33:19"/>
    <d v="2025-01-27T18:33:19"/>
    <n v="58.733333333333334"/>
    <x v="0"/>
    <n v="2.087722222226148"/>
    <x v="0"/>
    <n v="8.7722222226148006E-2"/>
    <n v="50.105333333427552"/>
    <n v="24"/>
    <n v="26.105333333427552"/>
    <n v="5.9123550742929778"/>
    <x v="0"/>
  </r>
  <r>
    <x v="4"/>
    <x v="1"/>
    <s v="1/25/2025 13:51"/>
    <s v="OMJ2NW3RR"/>
    <x v="0"/>
    <s v="UBK 881R"/>
    <m/>
    <s v="Kato Investments Ltd-Bulenga"/>
    <n v="153.6"/>
    <s v="A20289"/>
    <x v="2"/>
    <x v="1"/>
    <x v="0"/>
    <x v="1"/>
    <x v="2"/>
    <x v="2"/>
    <n v="593"/>
    <n v="33"/>
    <x v="0"/>
    <d v="2025-01-25T14:57:00"/>
    <d v="2025-01-25T14:29:00"/>
    <d v="2025-01-25T15:36:00"/>
    <n v="65.599999999999994"/>
    <n v="38.18333333333333"/>
    <x v="1"/>
    <d v="2025-01-26T15:36:00"/>
    <d v="2025-01-26T18:57:00"/>
    <n v="196.8"/>
    <x v="0"/>
    <d v="2025-01-27T15:36:00"/>
    <d v="2025-01-27T16:33:00"/>
    <n v="55.8"/>
    <x v="0"/>
    <n v="2"/>
    <x v="0"/>
    <n v="0"/>
    <n v="48"/>
    <n v="24"/>
    <n v="24"/>
    <n v="6.3999999999999995"/>
    <x v="0"/>
  </r>
  <r>
    <x v="4"/>
    <x v="1"/>
    <s v="1/25/2025 13:55"/>
    <s v="OMJFSBHRR"/>
    <x v="0"/>
    <s v="UAV 051U"/>
    <s v="Angello Lumala"/>
    <s v="KATO INVESTMENTS LIMITED-MASAK"/>
    <n v="153.6"/>
    <s v="F15776"/>
    <x v="14"/>
    <x v="1"/>
    <x v="0"/>
    <x v="1"/>
    <x v="14"/>
    <x v="14"/>
    <n v="328"/>
    <n v="-12"/>
    <x v="0"/>
    <d v="2025-01-25T14:53:00"/>
    <d v="2025-01-25T14:25:00"/>
    <d v="2025-01-25T15:34:00"/>
    <n v="67.55"/>
    <n v="40.133333333333333"/>
    <x v="1"/>
    <d v="2025-01-25T18:47:00"/>
    <d v="2025-01-26T12:18:12"/>
    <n v="1029.3"/>
    <x v="0"/>
    <d v="2025-01-26T14:58:12"/>
    <d v="2025-01-26T15:52:12"/>
    <n v="52.866666666666667"/>
    <x v="0"/>
    <n v="0.97513888889079681"/>
    <x v="8"/>
    <n v="-2.4861111109203193E-2"/>
    <n v="23.403333333379123"/>
    <n v="0"/>
    <n v="23.403333333379123"/>
    <n v="6.5631676399244894"/>
    <x v="0"/>
  </r>
  <r>
    <x v="4"/>
    <x v="1"/>
    <s v="1/25/2025 13:57"/>
    <s v="OMTT02QRR"/>
    <x v="0"/>
    <s v="UBE 287X"/>
    <s v="Isaac Tumuhimbise"/>
    <s v="KATO INVESTMENTS LIMITED-MASAK"/>
    <n v="153.6"/>
    <s v="F15777"/>
    <x v="14"/>
    <x v="1"/>
    <x v="0"/>
    <x v="1"/>
    <x v="14"/>
    <x v="14"/>
    <n v="328"/>
    <n v="-12"/>
    <x v="0"/>
    <d v="2025-01-25T14:51:00"/>
    <d v="2025-01-25T14:23:00"/>
    <d v="2025-01-25T15:30:00"/>
    <n v="65.599999999999994"/>
    <n v="38.18333333333333"/>
    <x v="1"/>
    <d v="2025-01-25T18:43:00"/>
    <d v="2025-01-26T13:04:36"/>
    <n v="1078.6333333333334"/>
    <x v="0"/>
    <d v="2025-01-26T15:44:36"/>
    <d v="2025-01-26T16:41:36"/>
    <n v="55.8"/>
    <x v="0"/>
    <n v="1.0101388888870133"/>
    <x v="8"/>
    <n v="1.0138888887013309E-2"/>
    <n v="24.243333333288319"/>
    <n v="12"/>
    <n v="12.243333333288319"/>
    <n v="12.545603049324644"/>
    <x v="0"/>
  </r>
  <r>
    <x v="4"/>
    <x v="0"/>
    <s v="1/25/2025 14:02"/>
    <s v="OMS0DQ4RR"/>
    <x v="0"/>
    <s v="UBR 534W"/>
    <m/>
    <s v="KATO INVESTMENTS LTD-KATIKARA"/>
    <n v="156"/>
    <s v="A20292"/>
    <x v="5"/>
    <x v="0"/>
    <x v="0"/>
    <x v="0"/>
    <x v="5"/>
    <x v="5"/>
    <n v="835"/>
    <n v="5"/>
    <x v="0"/>
    <d v="2025-01-25T15:00:00"/>
    <d v="2025-01-25T14:32:00"/>
    <d v="2025-01-25T15:39:00"/>
    <n v="65.599999999999994"/>
    <n v="38.18333333333333"/>
    <x v="1"/>
    <d v="2025-01-26T16:54:00"/>
    <d v="2025-01-26T21:53:00"/>
    <n v="292.76666666666665"/>
    <x v="0"/>
    <d v="2025-01-27T21:53:00"/>
    <d v="2025-01-27T22:41:00"/>
    <n v="46.983333333333334"/>
    <x v="0"/>
    <n v="2.2597222222248092"/>
    <x v="0"/>
    <n v="0.25972222222480923"/>
    <n v="54.233333333395422"/>
    <n v="24"/>
    <n v="30.233333333395422"/>
    <n v="5.1598676956895142"/>
    <x v="0"/>
  </r>
  <r>
    <x v="4"/>
    <x v="0"/>
    <s v="1/25/2025 14:05"/>
    <s v="OMBGPVURR"/>
    <x v="0"/>
    <s v="UBR 538W"/>
    <s v="Musa Matovu"/>
    <s v="Kato Investment Ltd -Mityana"/>
    <n v="156"/>
    <s v="A20294"/>
    <x v="16"/>
    <x v="0"/>
    <x v="0"/>
    <x v="0"/>
    <x v="16"/>
    <x v="16"/>
    <m/>
    <n v="-690"/>
    <x v="0"/>
    <d v="2025-01-25T14:47:00"/>
    <d v="2025-01-25T14:35:00"/>
    <d v="2025-01-25T16:06:00"/>
    <n v="89.1"/>
    <n v="77.349999999999994"/>
    <x v="7"/>
    <d v="2025-01-26T18:06:00"/>
    <d v="2025-01-27T13:35:17"/>
    <n v="1144.9166666666667"/>
    <x v="0"/>
    <d v="2025-01-28T08:37:12"/>
    <d v="2025-01-28T09:28:12"/>
    <n v="49.93333333333333"/>
    <x v="0"/>
    <n v="2.6883333333316841"/>
    <x v="0"/>
    <n v="0.68833333333168412"/>
    <n v="64.519999999960419"/>
    <n v="32"/>
    <n v="32.519999999960419"/>
    <n v="4.7970479704855435"/>
    <x v="4"/>
  </r>
  <r>
    <x v="4"/>
    <x v="0"/>
    <s v="1/25/2025 14:08"/>
    <s v="OM1XDUMRR"/>
    <x v="0"/>
    <s v="UBM 648D"/>
    <m/>
    <s v="Kabaco U Ltd"/>
    <n v="156"/>
    <s v="Z82325"/>
    <x v="6"/>
    <x v="0"/>
    <x v="0"/>
    <x v="0"/>
    <x v="6"/>
    <x v="6"/>
    <n v="321"/>
    <n v="1"/>
    <x v="0"/>
    <d v="2025-01-25T15:19:00"/>
    <d v="2025-01-25T14:38:00"/>
    <d v="2025-01-25T16:00:00"/>
    <n v="80.283333333333331"/>
    <n v="40.133333333333333"/>
    <x v="1"/>
    <d v="2025-01-25T22:00:00"/>
    <d v="2025-01-26T17:12:00"/>
    <n v="1128"/>
    <x v="0"/>
    <d v="2025-01-27T09:31:12"/>
    <d v="2025-01-27T10:11:12"/>
    <n v="39.166666666666664"/>
    <x v="0"/>
    <n v="1.7300000000032014"/>
    <x v="3"/>
    <n v="0.23000000000320142"/>
    <n v="41.520000000076834"/>
    <n v="12"/>
    <n v="29.520000000076834"/>
    <n v="5.2845528455147006"/>
    <x v="0"/>
  </r>
  <r>
    <x v="4"/>
    <x v="1"/>
    <s v="1/25/2025 16:25"/>
    <s v="OMN2ZGCRR"/>
    <x v="0"/>
    <s v="UAV 203T"/>
    <s v="Mugisha  George"/>
    <s v="Ntale and Sons"/>
    <n v="153.6"/>
    <s v="A20296"/>
    <x v="19"/>
    <x v="1"/>
    <x v="0"/>
    <x v="1"/>
    <x v="19"/>
    <x v="19"/>
    <n v="819"/>
    <n v="9"/>
    <x v="0"/>
    <d v="2025-01-25T17:23:00"/>
    <d v="2025-01-25T16:55:00"/>
    <d v="2025-01-25T18:02:00"/>
    <n v="65.599999999999994"/>
    <n v="38.18333333333333"/>
    <x v="1"/>
    <d v="2025-01-27T09:02:00"/>
    <d v="2025-01-27T12:54:00"/>
    <n v="227.16666666666666"/>
    <x v="0"/>
    <d v="2025-01-28T13:22:48"/>
    <d v="2025-01-28T14:17:48"/>
    <n v="53.85"/>
    <x v="0"/>
    <n v="2.8061111111092032"/>
    <x v="4"/>
    <n v="-0.19388888889079681"/>
    <n v="67.346666666620877"/>
    <n v="24"/>
    <n v="43.346666666620877"/>
    <n v="3.5435250692132172"/>
    <x v="14"/>
  </r>
  <r>
    <x v="4"/>
    <x v="1"/>
    <s v="1/25/2025 16:33"/>
    <s v="OMGZNVWRR"/>
    <x v="0"/>
    <s v="UAR 731Q"/>
    <s v="Godwin Niwensiima"/>
    <s v="Kabaco U Ltd-Mbarara"/>
    <n v="153.6"/>
    <s v="Z82327"/>
    <x v="8"/>
    <x v="1"/>
    <x v="0"/>
    <x v="1"/>
    <x v="8"/>
    <x v="8"/>
    <n v="13"/>
    <n v="2"/>
    <x v="0"/>
    <d v="2025-01-25T17:31:00"/>
    <d v="2025-01-25T17:03:00"/>
    <d v="2025-01-25T18:10:00"/>
    <n v="65.599999999999994"/>
    <n v="38.18333333333333"/>
    <x v="1"/>
    <d v="2025-01-25T18:35:00"/>
    <d v="2025-01-26T10:54:12"/>
    <n v="958.8"/>
    <x v="0"/>
    <d v="2025-01-26T11:23:12"/>
    <d v="2025-01-26T12:15:12"/>
    <n v="50.916666666666664"/>
    <x v="0"/>
    <n v="0.71749999999883585"/>
    <x v="5"/>
    <n v="-8.2500000001164198E-2"/>
    <n v="17.21999999997206"/>
    <n v="0"/>
    <n v="17.21999999997206"/>
    <n v="8.9198606271921719"/>
    <x v="0"/>
  </r>
  <r>
    <x v="4"/>
    <x v="1"/>
    <s v="1/25/2025 16:38"/>
    <s v="OMJ4U1ARR"/>
    <x v="0"/>
    <s v="UAT 351G"/>
    <s v="Hamudi Sesanga"/>
    <s v="Kabaco U Ltd-Mbarara"/>
    <n v="153.6"/>
    <s v="Z82328"/>
    <x v="8"/>
    <x v="1"/>
    <x v="0"/>
    <x v="1"/>
    <x v="8"/>
    <x v="8"/>
    <n v="13"/>
    <n v="2"/>
    <x v="0"/>
    <d v="2025-01-25T17:36:00"/>
    <d v="2025-01-25T17:08:00"/>
    <d v="2025-01-25T18:17:00"/>
    <n v="67.55"/>
    <n v="40.133333333333333"/>
    <x v="1"/>
    <d v="2025-01-25T18:48:00"/>
    <d v="2025-01-26T12:37:55"/>
    <n v="1047.6166666666666"/>
    <x v="0"/>
    <d v="2025-01-26T13:06:55"/>
    <d v="2025-01-26T14:06:55"/>
    <n v="58.733333333333334"/>
    <x v="0"/>
    <n v="0.78466666666645324"/>
    <x v="5"/>
    <n v="-1.5333333333546806E-2"/>
    <n v="18.831999999994878"/>
    <n v="0"/>
    <n v="18.831999999994878"/>
    <n v="8.1563296516589734"/>
    <x v="0"/>
  </r>
  <r>
    <x v="4"/>
    <x v="1"/>
    <s v="1/25/2025 16:41"/>
    <s v="OMCHRVVRR"/>
    <x v="0"/>
    <s v="UAR 731Q"/>
    <s v="Godwin Niwensiima"/>
    <s v="Kabaco U Ltd-Mbarara"/>
    <n v="153.6"/>
    <s v="Z82329"/>
    <x v="8"/>
    <x v="1"/>
    <x v="0"/>
    <x v="1"/>
    <x v="8"/>
    <x v="8"/>
    <n v="13"/>
    <n v="2"/>
    <x v="0"/>
    <d v="2025-01-25T17:47:00"/>
    <d v="2025-01-25T17:19:00"/>
    <d v="2025-01-25T18:33:00"/>
    <n v="72.45"/>
    <n v="45.033333333333331"/>
    <x v="1"/>
    <d v="2025-01-25T19:15:00"/>
    <d v="2025-01-26T14:16:55"/>
    <n v="1118.1166666666666"/>
    <x v="0"/>
    <d v="2025-01-26T14:45:55"/>
    <d v="2025-01-26T15:21:55"/>
    <n v="35.25"/>
    <x v="0"/>
    <n v="0.84230555555404862"/>
    <x v="5"/>
    <n v="4.2305555554048579E-2"/>
    <n v="20.215333333297167"/>
    <n v="0"/>
    <n v="20.215333333297167"/>
    <n v="7.5981927909643572"/>
    <x v="0"/>
  </r>
  <r>
    <x v="4"/>
    <x v="1"/>
    <s v="1/25/2025 16:49"/>
    <s v="OM3UCLERR"/>
    <x v="0"/>
    <s v="UAV 051U"/>
    <s v="Angello Lumala"/>
    <s v="Kabaco U Ltd-Mbarara"/>
    <n v="153.6"/>
    <s v="Z82330"/>
    <x v="8"/>
    <x v="1"/>
    <x v="0"/>
    <x v="1"/>
    <x v="8"/>
    <x v="8"/>
    <n v="13"/>
    <n v="2"/>
    <x v="0"/>
    <d v="2025-01-25T17:39:00"/>
    <d v="2025-01-25T17:11:00"/>
    <d v="2025-01-25T18:38:00"/>
    <n v="85.183333333333337"/>
    <n v="57.766666666666666"/>
    <x v="3"/>
    <d v="2025-01-25T19:05:00"/>
    <d v="2025-01-26T13:38:07"/>
    <n v="1089.9166666666667"/>
    <x v="0"/>
    <d v="2025-01-26T14:07:07"/>
    <d v="2025-01-26T15:08:07"/>
    <n v="59.716666666666669"/>
    <x v="0"/>
    <n v="0.8118888888930087"/>
    <x v="5"/>
    <n v="1.1888888893008653E-2"/>
    <n v="19.485333333432209"/>
    <n v="0"/>
    <n v="19.485333333432209"/>
    <n v="7.8828520596288101"/>
    <x v="0"/>
  </r>
  <r>
    <x v="4"/>
    <x v="1"/>
    <s v="1/25/2025 17:06"/>
    <s v="OMQO1VARR"/>
    <x v="0"/>
    <s v="UBJ 707D"/>
    <s v="Konge Husein"/>
    <s v="KATO INVESTMENTS LIMITED-MASAK"/>
    <n v="153.6"/>
    <s v="F15779"/>
    <x v="14"/>
    <x v="1"/>
    <x v="0"/>
    <x v="1"/>
    <x v="14"/>
    <x v="14"/>
    <n v="151"/>
    <n v="-189"/>
    <x v="0"/>
    <d v="2025-01-25T18:04:00"/>
    <d v="2025-01-25T17:36:00"/>
    <d v="2025-01-25T19:17:00"/>
    <n v="98.88333333333334"/>
    <n v="71.466666666666669"/>
    <x v="6"/>
    <d v="2025-01-26T10:30:00"/>
    <d v="2025-01-26T15:22:00"/>
    <n v="285.89999999999998"/>
    <x v="0"/>
    <d v="2025-01-26T18:02:00"/>
    <d v="2025-01-26T18:59:00"/>
    <n v="55.8"/>
    <x v="0"/>
    <n v="0.94791666666424135"/>
    <x v="8"/>
    <n v="-5.2083333335758653E-2"/>
    <n v="22.749999999941792"/>
    <n v="0"/>
    <n v="22.749999999941792"/>
    <n v="6.7516483516656258"/>
    <x v="0"/>
  </r>
  <r>
    <x v="4"/>
    <x v="0"/>
    <s v="1/26/2025 12:25"/>
    <s v="OMONKILRR"/>
    <x v="0"/>
    <s v="UBJ 419C"/>
    <m/>
    <s v="Rugoma Traders-Rukungiri"/>
    <n v="156"/>
    <s v="Z82340"/>
    <x v="17"/>
    <x v="0"/>
    <x v="0"/>
    <x v="0"/>
    <x v="17"/>
    <x v="17"/>
    <n v="254"/>
    <n v="-2"/>
    <x v="0"/>
    <d v="2025-01-26T14:23:00"/>
    <d v="2025-01-26T13:55:00"/>
    <d v="2025-01-26T15:09:00"/>
    <n v="72.45"/>
    <n v="45.033333333333331"/>
    <x v="1"/>
    <d v="2025-01-27T08:09:00"/>
    <d v="2025-01-27T10:33:00"/>
    <n v="140.98333333333332"/>
    <x v="0"/>
    <d v="2025-01-27T13:33:00"/>
    <d v="2025-01-27T14:18:00"/>
    <n v="44.05"/>
    <x v="0"/>
    <n v="0.93333333333430346"/>
    <x v="8"/>
    <n v="-6.6666666665696539E-2"/>
    <n v="22.400000000023283"/>
    <n v="0"/>
    <n v="22.400000000023283"/>
    <n v="6.9642857142784758"/>
    <x v="0"/>
  </r>
  <r>
    <x v="4"/>
    <x v="0"/>
    <s v="1/26/2025 12:35"/>
    <s v="OMOGCZPRR"/>
    <x v="0"/>
    <s v="UBP 310H"/>
    <m/>
    <s v="Bates Enterprises U Ltd"/>
    <n v="156"/>
    <s v="Z82341"/>
    <x v="7"/>
    <x v="0"/>
    <x v="0"/>
    <x v="0"/>
    <x v="7"/>
    <x v="7"/>
    <n v="580"/>
    <n v="-26"/>
    <x v="0"/>
    <d v="2025-01-26T13:33:00"/>
    <d v="2025-01-26T13:05:00"/>
    <d v="2025-01-26T14:12:00"/>
    <n v="65.599999999999994"/>
    <n v="38.18333333333333"/>
    <x v="1"/>
    <d v="2025-01-28T04:36:00"/>
    <d v="2025-01-28T08:42:00"/>
    <n v="240.86666666666667"/>
    <x v="0"/>
    <d v="2025-01-29T11:06:00"/>
    <d v="2025-01-29T11:36:00"/>
    <n v="29.366666666666667"/>
    <x v="0"/>
    <n v="2.8708333333270275"/>
    <x v="4"/>
    <n v="-0.1291666666729725"/>
    <n v="68.89999999984866"/>
    <n v="24"/>
    <n v="44.89999999984866"/>
    <n v="3.4743875278513543"/>
    <x v="0"/>
  </r>
  <r>
    <x v="4"/>
    <x v="0"/>
    <s v="1/26/2025 12:54"/>
    <s v="OMNSRZJRR"/>
    <x v="0"/>
    <s v="UBJ 703D"/>
    <m/>
    <s v="Kobusinge Steven-Kamwenge"/>
    <n v="156"/>
    <s v="Z82342"/>
    <x v="13"/>
    <x v="0"/>
    <x v="0"/>
    <x v="0"/>
    <x v="13"/>
    <x v="23"/>
    <n v="230"/>
    <n v="-74"/>
    <x v="0"/>
    <d v="2025-01-26T13:54:00"/>
    <d v="2025-01-26T13:26:00"/>
    <d v="2025-01-26T14:40:00"/>
    <n v="72.45"/>
    <n v="45.033333333333331"/>
    <x v="1"/>
    <d v="2025-01-27T15:40:00"/>
    <d v="2025-01-28T18:51:31"/>
    <n v="1597.5166666666667"/>
    <x v="0"/>
    <d v="2025-01-29T15:29:55"/>
    <d v="2025-01-29T16:13:55"/>
    <n v="43.06666666666667"/>
    <x v="0"/>
    <n v="3.0346666666664532"/>
    <x v="7"/>
    <n v="1.7346666666664532"/>
    <n v="72.831999999994878"/>
    <n v="36"/>
    <n v="36.831999999994878"/>
    <n v="4.2354474370118833"/>
    <x v="8"/>
  </r>
  <r>
    <x v="4"/>
    <x v="0"/>
    <s v="1/26/2025 12:59"/>
    <s v="OMIC9Y5RR"/>
    <x v="0"/>
    <s v="UBR 541W"/>
    <m/>
    <s v="KATO INVESTMENTS LTD-KATIKARA"/>
    <n v="156"/>
    <s v="A20309"/>
    <x v="5"/>
    <x v="0"/>
    <x v="0"/>
    <x v="0"/>
    <x v="5"/>
    <x v="5"/>
    <n v="835"/>
    <n v="5"/>
    <x v="0"/>
    <d v="2025-01-26T13:57:00"/>
    <d v="2025-01-26T13:29:00"/>
    <d v="2025-01-26T14:36:00"/>
    <n v="65.599999999999994"/>
    <n v="38.18333333333333"/>
    <x v="1"/>
    <d v="2025-01-27T15:51:00"/>
    <d v="2025-01-27T20:37:00"/>
    <n v="280.03333333333336"/>
    <x v="0"/>
    <d v="2025-01-28T20:37:00"/>
    <d v="2025-01-28T21:34:00"/>
    <n v="55.8"/>
    <x v="0"/>
    <n v="2.2506944444467081"/>
    <x v="0"/>
    <n v="0.25069444444670808"/>
    <n v="54.016666666720994"/>
    <n v="24"/>
    <n v="30.016666666720994"/>
    <n v="5.1971127151488394"/>
    <x v="0"/>
  </r>
  <r>
    <x v="4"/>
    <x v="0"/>
    <s v="1/26/2025 13:06"/>
    <s v="OMDQUKWRR"/>
    <x v="0"/>
    <s v="UBR 903Y"/>
    <m/>
    <s v="Kato Investment Ltd -Kagadi"/>
    <n v="156"/>
    <s v="A20310"/>
    <x v="12"/>
    <x v="0"/>
    <x v="0"/>
    <x v="0"/>
    <x v="12"/>
    <x v="12"/>
    <n v="603"/>
    <n v="-9"/>
    <x v="0"/>
    <d v="2025-01-26T14:17:00"/>
    <d v="2025-01-26T13:36:00"/>
    <d v="2025-01-26T14:56:00"/>
    <n v="78.316666666666663"/>
    <n v="38.18333333333333"/>
    <x v="1"/>
    <d v="2025-01-27T16:26:00"/>
    <d v="2025-01-28T13:05:50"/>
    <n v="1214"/>
    <x v="0"/>
    <d v="2025-01-29T07:17:22"/>
    <d v="2025-01-29T08:18:22"/>
    <n v="59.716666666666669"/>
    <x v="0"/>
    <n v="2.6814999999987776"/>
    <x v="6"/>
    <n v="0.38149999999877782"/>
    <n v="64.355999999970663"/>
    <n v="24"/>
    <n v="40.355999999970663"/>
    <n v="3.8655961938773267"/>
    <x v="0"/>
  </r>
  <r>
    <x v="4"/>
    <x v="0"/>
    <s v="1/26/2025 14:18"/>
    <s v="OMPNNO8RR"/>
    <x v="0"/>
    <s v="UBP 298H"/>
    <s v="SENTONG DAVID"/>
    <s v="Kobusinge Steven-FPortal"/>
    <n v="156"/>
    <s v="Z82344"/>
    <x v="11"/>
    <x v="0"/>
    <x v="0"/>
    <x v="0"/>
    <x v="11"/>
    <x v="11"/>
    <n v="387"/>
    <n v="-3"/>
    <x v="0"/>
    <d v="2025-01-26T15:16:00"/>
    <d v="2025-01-26T14:48:00"/>
    <d v="2025-01-26T16:02:00"/>
    <n v="72.45"/>
    <n v="45.033333333333331"/>
    <x v="1"/>
    <d v="2025-01-27T14:32:00"/>
    <d v="2025-01-27T19:16:00"/>
    <n v="278.08333333333331"/>
    <x v="0"/>
    <d v="2025-01-28T16:17:07"/>
    <d v="2025-01-28T17:05:07"/>
    <n v="46.983333333333334"/>
    <x v="0"/>
    <n v="2.0104999999966822"/>
    <x v="0"/>
    <n v="1.0499999996682163E-2"/>
    <n v="48.251999999920372"/>
    <n v="24"/>
    <n v="24.251999999920372"/>
    <n v="6.4324591786455638"/>
    <x v="0"/>
  </r>
  <r>
    <x v="4"/>
    <x v="0"/>
    <s v="1/26/2025 14:19"/>
    <s v="OMXCQVZRR"/>
    <x v="0"/>
    <s v="UBJ 417C"/>
    <m/>
    <s v="Kobusinge Steven-FPortal"/>
    <n v="156"/>
    <s v="Z82345"/>
    <x v="11"/>
    <x v="0"/>
    <x v="0"/>
    <x v="0"/>
    <x v="11"/>
    <x v="11"/>
    <n v="387"/>
    <n v="-3"/>
    <x v="0"/>
    <d v="2025-01-26T15:17:00"/>
    <d v="2025-01-26T14:49:00"/>
    <d v="2025-01-26T15:56:00"/>
    <n v="65.599999999999994"/>
    <n v="38.18333333333333"/>
    <x v="1"/>
    <d v="2025-01-27T14:26:00"/>
    <d v="2025-01-27T19:59:00"/>
    <n v="326.05"/>
    <x v="0"/>
    <d v="2025-01-28T13:05:22"/>
    <d v="2025-01-28T14:00:22"/>
    <n v="53.85"/>
    <x v="0"/>
    <n v="1.8815000000031432"/>
    <x v="0"/>
    <n v="-0.11849999999685679"/>
    <n v="45.156000000075437"/>
    <n v="12"/>
    <n v="33.156000000075437"/>
    <n v="4.7050307636519806"/>
    <x v="0"/>
  </r>
  <r>
    <x v="4"/>
    <x v="0"/>
    <s v="1/26/2025 17:44"/>
    <s v="OM6H5A3RR"/>
    <x v="0"/>
    <s v="UBK 862R"/>
    <m/>
    <s v="Kobusinge Steven-Kamwenge"/>
    <n v="156"/>
    <s v="Z82346"/>
    <x v="13"/>
    <x v="0"/>
    <x v="0"/>
    <x v="0"/>
    <x v="13"/>
    <x v="23"/>
    <n v="230"/>
    <n v="-74"/>
    <x v="0"/>
    <d v="2025-01-26T06:16:00"/>
    <d v="2025-01-26T18:16:00"/>
    <d v="2025-01-26T06:55:00"/>
    <n v="-666.81666666666672"/>
    <n v="38.18333333333333"/>
    <x v="1"/>
    <d v="2025-01-27T08:25:00"/>
    <d v="2025-01-27T17:52:00"/>
    <n v="555.18333333333328"/>
    <x v="0"/>
    <d v="2025-01-28T10:54:24"/>
    <d v="2025-01-28T11:32:24"/>
    <n v="37.200000000000003"/>
    <x v="0"/>
    <n v="2.1662500000020373"/>
    <x v="7"/>
    <n v="0.86625000000203722"/>
    <n v="51.990000000048894"/>
    <n v="24"/>
    <n v="27.990000000048894"/>
    <n v="5.5734190782324937"/>
    <x v="0"/>
  </r>
  <r>
    <x v="4"/>
    <x v="0"/>
    <s v="1/26/2025 18:10"/>
    <s v="OMGAO33RR"/>
    <x v="0"/>
    <s v="UBP 312H"/>
    <m/>
    <s v="Kobusinge Acaali- Kyenjojo"/>
    <n v="156"/>
    <s v="Z82347"/>
    <x v="3"/>
    <x v="0"/>
    <x v="0"/>
    <x v="0"/>
    <x v="3"/>
    <x v="3"/>
    <n v="469"/>
    <n v="-11"/>
    <x v="0"/>
    <d v="2025-01-26T17:30:00"/>
    <d v="2025-01-27T07:30:00"/>
    <d v="2025-01-26T18:14:00"/>
    <n v="-779.43333333333328"/>
    <n v="43.06666666666667"/>
    <x v="1"/>
    <d v="2025-01-27T20:14:00"/>
    <d v="2025-01-28T14:03:55"/>
    <n v="1047.6166666666666"/>
    <x v="0"/>
    <d v="2025-01-29T16:40:53"/>
    <d v="2025-01-29T17:41:53"/>
    <n v="59.716666666666669"/>
    <x v="0"/>
    <n v="2.9353333333347109"/>
    <x v="1"/>
    <n v="0.43533333333471091"/>
    <n v="70.448000000033062"/>
    <n v="24"/>
    <n v="46.448000000033062"/>
    <n v="3.3585945573520704"/>
    <x v="0"/>
  </r>
  <r>
    <x v="4"/>
    <x v="0"/>
    <s v="1/26/2025 18:55"/>
    <s v="OMTMFZERR"/>
    <x v="0"/>
    <s v="UBE 680K"/>
    <s v="BYEKWASO TWAHA"/>
    <s v="Boniface Harera"/>
    <n v="156"/>
    <s v="F15780"/>
    <x v="10"/>
    <x v="0"/>
    <x v="0"/>
    <x v="0"/>
    <x v="10"/>
    <x v="10"/>
    <n v="465"/>
    <n v="-5"/>
    <x v="0"/>
    <d v="2025-01-26T17:30:00"/>
    <d v="2025-01-27T07:30:00"/>
    <d v="2025-01-26T18:23:00"/>
    <n v="-770.61666666666667"/>
    <n v="51.883333333333333"/>
    <x v="1"/>
    <d v="2025-01-27T20:23:00"/>
    <d v="2025-01-28T12:49:24"/>
    <n v="965.83333333333337"/>
    <x v="0"/>
    <d v="2025-01-29T11:37:24"/>
    <d v="2025-01-29T12:25:24"/>
    <n v="46.983333333333334"/>
    <x v="0"/>
    <n v="2.71833333333052"/>
    <x v="1"/>
    <n v="0.21833333333051996"/>
    <n v="65.239999999932479"/>
    <n v="24"/>
    <n v="41.239999999932479"/>
    <n v="3.7827352085415957"/>
    <x v="0"/>
  </r>
  <r>
    <x v="4"/>
    <x v="1"/>
    <s v="1/26/2025 19:10"/>
    <s v="OM5073MRR"/>
    <x v="0"/>
    <s v="UBK 875R"/>
    <s v="Bisaso  Ronald"/>
    <s v="Sawan Distributors Ltd-Nabingo"/>
    <n v="153.6"/>
    <s v="A20317"/>
    <x v="21"/>
    <x v="1"/>
    <x v="0"/>
    <x v="1"/>
    <x v="21"/>
    <x v="2"/>
    <n v="549"/>
    <n v="-11"/>
    <x v="0"/>
    <d v="2025-01-27T07:00:00"/>
    <d v="2025-01-27T07:30:00"/>
    <d v="2025-01-27T07:47:00"/>
    <n v="16.633333333333333"/>
    <n v="46.016666666666666"/>
    <x v="1"/>
    <d v="2025-01-28T09:02:00"/>
    <d v="2025-01-28T14:19:00"/>
    <n v="310.38333333333333"/>
    <x v="0"/>
    <d v="2025-01-29T11:55:00"/>
    <d v="2025-01-29T12:44:00"/>
    <n v="47.966666666666669"/>
    <x v="0"/>
    <n v="2.172222222223354"/>
    <x v="0"/>
    <n v="0.17222222222335404"/>
    <n v="52.133333333360497"/>
    <n v="24"/>
    <n v="28.133333333360497"/>
    <n v="5.4597156398051547"/>
    <x v="0"/>
  </r>
  <r>
    <x v="4"/>
    <x v="0"/>
    <s v="1/27/2025 0:00"/>
    <s v="OM02LG6Z"/>
    <x v="0"/>
    <s v="UBK 862R"/>
    <m/>
    <s v="Kabaco U Ltd"/>
    <n v="156"/>
    <s v="Z82371"/>
    <x v="6"/>
    <x v="0"/>
    <x v="0"/>
    <x v="0"/>
    <x v="6"/>
    <x v="6"/>
    <n v="120"/>
    <n v="-200"/>
    <x v="0"/>
    <d v="2025-01-27T07:08:00"/>
    <d v="2025-01-27T07:30:00"/>
    <d v="2025-01-27T07:41:00"/>
    <n v="10.766666666666667"/>
    <n v="32.299999999999997"/>
    <x v="1"/>
    <d v="2025-01-27T13:41:00"/>
    <d v="2025-01-27T18:38:00"/>
    <n v="290.8"/>
    <x v="0"/>
    <d v="2025-01-28T10:57:12"/>
    <d v="2025-01-28T11:54:12"/>
    <n v="55.8"/>
    <x v="0"/>
    <n v="1.1362500000032014"/>
    <x v="3"/>
    <n v="-0.36374999999679858"/>
    <n v="27.270000000076834"/>
    <n v="12"/>
    <n v="15.270000000076834"/>
    <n v="10.216110019594961"/>
    <x v="0"/>
  </r>
  <r>
    <x v="4"/>
    <x v="0"/>
    <s v="1/27/2025 0:00"/>
    <s v="OM02LER0"/>
    <x v="0"/>
    <s v="UBP 311H"/>
    <m/>
    <s v="Boniface Harera"/>
    <n v="152.68799999999999"/>
    <s v="F15781"/>
    <x v="10"/>
    <x v="0"/>
    <x v="0"/>
    <x v="0"/>
    <x v="10"/>
    <x v="10"/>
    <n v="474"/>
    <n v="4"/>
    <x v="0"/>
    <d v="2025-01-27T06:58:00"/>
    <d v="2025-01-27T07:30:00"/>
    <d v="2025-01-27T07:41:00"/>
    <n v="10.766666666666667"/>
    <n v="42.1"/>
    <x v="1"/>
    <d v="2025-01-28T09:11:00"/>
    <d v="2025-01-28T13:59:00"/>
    <n v="281.98333333333335"/>
    <x v="0"/>
    <d v="2025-01-29T12:47:00"/>
    <d v="2025-01-29T13:47:00"/>
    <n v="58.733333333333334"/>
    <x v="0"/>
    <n v="2.2124999999941792"/>
    <x v="1"/>
    <n v="-0.28750000000582077"/>
    <n v="53.099999999860302"/>
    <n v="24"/>
    <n v="29.099999999860302"/>
    <n v="5.2470103093035387"/>
    <x v="0"/>
  </r>
  <r>
    <x v="4"/>
    <x v="0"/>
    <s v="1/27/2025 0:00"/>
    <s v="OM02LEQ6"/>
    <x v="0"/>
    <s v="UBE 678K"/>
    <m/>
    <s v="Kato Investments Ltd-Bulenga"/>
    <n v="155.1"/>
    <s v="A20336"/>
    <x v="2"/>
    <x v="0"/>
    <x v="0"/>
    <x v="0"/>
    <x v="2"/>
    <x v="2"/>
    <n v="593"/>
    <n v="33"/>
    <x v="0"/>
    <d v="2025-01-27T07:01:00"/>
    <d v="2025-01-27T07:30:00"/>
    <d v="2025-01-27T07:50:00"/>
    <n v="19.583333333333332"/>
    <n v="47.966666666666669"/>
    <x v="1"/>
    <d v="2025-01-28T07:50:00"/>
    <d v="2025-01-28T13:05:00"/>
    <n v="308.43333333333334"/>
    <x v="0"/>
    <d v="2025-01-29T15:02:00"/>
    <d v="2025-01-29T15:42:00"/>
    <n v="39.166666666666664"/>
    <x v="0"/>
    <n v="2.3000000000029104"/>
    <x v="0"/>
    <n v="0.30000000000291038"/>
    <n v="55.200000000069849"/>
    <n v="24"/>
    <n v="31.200000000069849"/>
    <n v="4.9711538461427169"/>
    <x v="0"/>
  </r>
  <r>
    <x v="4"/>
    <x v="0"/>
    <s v="1/27/2025 0:00"/>
    <s v="OM02LEQN"/>
    <x v="0"/>
    <s v="UBE 678K"/>
    <m/>
    <s v="KATO INVESTMENTS LTD-KATIKARA"/>
    <n v="155.1"/>
    <s v="A20347"/>
    <x v="5"/>
    <x v="0"/>
    <x v="0"/>
    <x v="0"/>
    <x v="5"/>
    <x v="5"/>
    <n v="796"/>
    <n v="-34"/>
    <x v="0"/>
    <d v="2025-01-27T07:04:00"/>
    <d v="2025-01-27T07:30:00"/>
    <d v="2025-01-27T07:47:00"/>
    <n v="16.633333333333333"/>
    <n v="42.1"/>
    <x v="1"/>
    <d v="2025-01-28T09:02:00"/>
    <d v="2025-01-28T12:31:00"/>
    <n v="204.63333333333333"/>
    <x v="0"/>
    <d v="2025-01-29T17:19:00"/>
    <d v="2025-01-29T17:55:00"/>
    <n v="35.25"/>
    <x v="0"/>
    <n v="2.3972222222218988"/>
    <x v="0"/>
    <n v="0.39722222222189885"/>
    <n v="57.533333333325572"/>
    <n v="24"/>
    <n v="33.533333333325572"/>
    <n v="4.6252485089473927"/>
    <x v="0"/>
  </r>
  <r>
    <x v="4"/>
    <x v="0"/>
    <s v="1/27/2025 0:00"/>
    <s v="OM02LEQC"/>
    <x v="0"/>
    <s v="UBP 311H"/>
    <s v="Ekwalikwa Yusuf"/>
    <s v="Kato Investment Ltd -Mubende"/>
    <n v="156"/>
    <s v="A20339"/>
    <x v="1"/>
    <x v="0"/>
    <x v="0"/>
    <x v="0"/>
    <x v="1"/>
    <x v="1"/>
    <n v="665"/>
    <n v="-15"/>
    <x v="0"/>
    <d v="2025-01-27T07:19:00"/>
    <d v="2025-01-27T07:30:00"/>
    <d v="2025-01-27T08:42:00"/>
    <n v="70.483333333333334"/>
    <n v="81.266666666666666"/>
    <x v="6"/>
    <d v="2025-01-28T10:59:00"/>
    <d v="2025-01-28T16:02:00"/>
    <n v="296.68333333333334"/>
    <x v="0"/>
    <d v="2025-01-29T18:54:48"/>
    <d v="2025-01-29T19:39:48"/>
    <n v="44.05"/>
    <x v="0"/>
    <n v="2.4255555555573665"/>
    <x v="1"/>
    <n v="-7.4444444442633539E-2"/>
    <n v="58.213333333376795"/>
    <n v="32"/>
    <n v="26.213333333376795"/>
    <n v="5.9511698880877928"/>
    <x v="0"/>
  </r>
  <r>
    <x v="4"/>
    <x v="0"/>
    <s v="1/27/2025 0:00"/>
    <s v="OM02LEUN"/>
    <x v="0"/>
    <s v="UBK 866R"/>
    <m/>
    <s v="Kobusinge Steven-FPortal"/>
    <n v="156"/>
    <s v="Z82361"/>
    <x v="11"/>
    <x v="0"/>
    <x v="0"/>
    <x v="0"/>
    <x v="11"/>
    <x v="11"/>
    <n v="385"/>
    <n v="-5"/>
    <x v="0"/>
    <d v="2025-01-27T07:13:00"/>
    <d v="2025-01-27T07:30:00"/>
    <d v="2025-01-27T07:56:00"/>
    <n v="25.45"/>
    <n v="42.1"/>
    <x v="1"/>
    <d v="2025-01-28T09:26:00"/>
    <d v="2025-01-28T18:35:00"/>
    <n v="537.54999999999995"/>
    <x v="0"/>
    <d v="2025-01-29T10:09:12"/>
    <d v="2025-01-29T11:00:12"/>
    <n v="49.93333333333333"/>
    <x v="0"/>
    <n v="2.0924999999988358"/>
    <x v="0"/>
    <n v="9.2499999998835847E-2"/>
    <n v="50.21999999997206"/>
    <n v="24"/>
    <n v="26.21999999997206"/>
    <n v="5.9496567505784226"/>
    <x v="0"/>
  </r>
  <r>
    <x v="4"/>
    <x v="0"/>
    <s v="1/27/2025 14:57"/>
    <s v="OMKCYGBRR"/>
    <x v="0"/>
    <s v="UBM 648D"/>
    <m/>
    <s v="Kato Investment Ltd -Kagadi"/>
    <n v="156"/>
    <s v="A20349"/>
    <x v="12"/>
    <x v="0"/>
    <x v="0"/>
    <x v="0"/>
    <x v="12"/>
    <x v="12"/>
    <n v="603"/>
    <n v="-9"/>
    <x v="0"/>
    <d v="2025-01-27T15:55:00"/>
    <d v="2025-01-27T15:27:00"/>
    <d v="2025-01-27T16:35:00"/>
    <n v="66.566666666666663"/>
    <n v="39.15"/>
    <x v="1"/>
    <d v="2025-01-28T18:05:00"/>
    <d v="2025-01-29T13:47:14"/>
    <n v="1157.5999999999999"/>
    <x v="0"/>
    <d v="2025-01-30T07:58:46"/>
    <d v="2025-01-30T08:50:46"/>
    <n v="50.916666666666664"/>
    <x v="0"/>
    <n v="2.6415000000051805"/>
    <x v="6"/>
    <n v="0.34150000000518066"/>
    <n v="63.396000000124332"/>
    <n v="24"/>
    <n v="39.396000000124332"/>
    <n v="3.9597928723603331"/>
    <x v="0"/>
  </r>
  <r>
    <x v="4"/>
    <x v="0"/>
    <s v="1/27/2025 15:09"/>
    <s v="OMP8OJNRR"/>
    <x v="0"/>
    <s v="UBR 534W"/>
    <m/>
    <s v="Kato Investments Ltd- Kakumiro"/>
    <n v="156"/>
    <s v="A20350"/>
    <x v="24"/>
    <x v="0"/>
    <x v="0"/>
    <x v="0"/>
    <x v="24"/>
    <x v="22"/>
    <n v="771"/>
    <n v="6"/>
    <x v="0"/>
    <d v="2025-01-27T16:07:00"/>
    <d v="2025-01-27T15:39:00"/>
    <d v="2025-01-27T16:51:00"/>
    <n v="70.483333333333334"/>
    <n v="43.06666666666667"/>
    <x v="1"/>
    <d v="2025-01-28T14:51:00"/>
    <d v="2025-01-28T19:53:00"/>
    <n v="295.7"/>
    <x v="0"/>
    <d v="2025-01-29T14:11:43"/>
    <d v="2025-01-29T15:08:43"/>
    <n v="55.8"/>
    <x v="0"/>
    <n v="1.8893888888851507"/>
    <x v="3"/>
    <n v="0.38938888888515066"/>
    <n v="45.345333333243616"/>
    <n v="12"/>
    <n v="33.345333333243616"/>
    <n v="4.678315806322316"/>
    <x v="0"/>
  </r>
  <r>
    <x v="4"/>
    <x v="1"/>
    <s v="1/27/2025 15:56"/>
    <s v="OM2CIYSRR"/>
    <x v="0"/>
    <s v="UBE 287X"/>
    <s v="Isaac Tumuhimbise"/>
    <s v="RUGOMA TRADERS CO. LTD NTUNGAM"/>
    <n v="151.80000000000001"/>
    <s v="F15783"/>
    <x v="15"/>
    <x v="1"/>
    <x v="0"/>
    <x v="1"/>
    <x v="15"/>
    <x v="15"/>
    <n v="129"/>
    <n v="-1"/>
    <x v="0"/>
    <d v="2025-01-27T16:52:00"/>
    <d v="2025-01-27T16:24:00"/>
    <d v="2025-01-27T17:36:00"/>
    <n v="70.483333333333334"/>
    <n v="43.06666666666667"/>
    <x v="1"/>
    <d v="2025-01-28T08:06:00"/>
    <d v="2025-01-28T13:06:00"/>
    <n v="293.75"/>
    <x v="0"/>
    <d v="2025-01-28T16:36:00"/>
    <d v="2025-01-28T17:33:00"/>
    <n v="55.8"/>
    <x v="0"/>
    <n v="0.95833333333575865"/>
    <x v="8"/>
    <n v="-4.1666666664241347E-2"/>
    <n v="23.000000000058208"/>
    <n v="0"/>
    <n v="23.000000000058208"/>
    <n v="6.5999999999832974"/>
    <x v="0"/>
  </r>
  <r>
    <x v="4"/>
    <x v="1"/>
    <s v="1/27/2025 16:01"/>
    <s v="OMZSTEPRR"/>
    <x v="0"/>
    <s v="UAR 731Q"/>
    <s v="Godwin Niwensiima"/>
    <s v="KATO INVESTMENTS LIMITED-MASAK"/>
    <n v="153.6"/>
    <s v="F15784"/>
    <x v="14"/>
    <x v="1"/>
    <x v="0"/>
    <x v="1"/>
    <x v="14"/>
    <x v="14"/>
    <n v="151"/>
    <n v="-189"/>
    <x v="0"/>
    <d v="2025-01-27T16:59:00"/>
    <d v="2025-01-27T16:31:00"/>
    <d v="2025-01-27T18:03:00"/>
    <n v="90.066666666666663"/>
    <n v="62.65"/>
    <x v="6"/>
    <d v="2025-01-28T09:16:00"/>
    <d v="2025-01-28T14:08:00"/>
    <n v="285.89999999999998"/>
    <x v="0"/>
    <d v="2025-01-28T16:48:00"/>
    <d v="2025-01-28T17:43:00"/>
    <n v="53.85"/>
    <x v="0"/>
    <n v="0.94791666666424135"/>
    <x v="8"/>
    <n v="-5.2083333335758653E-2"/>
    <n v="22.749999999941792"/>
    <n v="0"/>
    <n v="22.749999999941792"/>
    <n v="6.7516483516656258"/>
    <x v="0"/>
  </r>
  <r>
    <x v="4"/>
    <x v="1"/>
    <s v="1/27/2025 16:05"/>
    <s v="OMVOCF4RR"/>
    <x v="0"/>
    <s v="UBJ 707D"/>
    <m/>
    <s v="KATO INVESTMENTS LTD- KALISIZO"/>
    <n v="150.28800000000001"/>
    <s v="F15785"/>
    <x v="4"/>
    <x v="1"/>
    <x v="0"/>
    <x v="1"/>
    <x v="4"/>
    <x v="4"/>
    <n v="374"/>
    <n v="24"/>
    <x v="0"/>
    <d v="2025-01-27T16:58:00"/>
    <d v="2025-01-27T16:30:00"/>
    <d v="2025-01-27T17:42:00"/>
    <n v="70.5"/>
    <n v="43.083333333333336"/>
    <x v="1"/>
    <d v="2025-01-29T09:42:00"/>
    <d v="2025-01-29T14:42:00"/>
    <n v="293.75"/>
    <x v="0"/>
    <d v="2025-01-30T11:21:50"/>
    <d v="2025-01-30T12:09:50"/>
    <n v="46.983333333333334"/>
    <x v="0"/>
    <n v="2.7359999999971478"/>
    <x v="2"/>
    <n v="1.0359999999971479"/>
    <n v="65.663999999931548"/>
    <n v="24"/>
    <n v="41.663999999931548"/>
    <n v="3.6071428571487836"/>
    <x v="4"/>
  </r>
  <r>
    <x v="4"/>
    <x v="0"/>
    <s v="1/27/2025 21:45"/>
    <s v="OMY00SQRR"/>
    <x v="0"/>
    <s v="UBJ 703D"/>
    <m/>
    <s v="Kobusinge Steven-Kamwenge"/>
    <n v="156"/>
    <s v="Z82367"/>
    <x v="13"/>
    <x v="0"/>
    <x v="0"/>
    <x v="0"/>
    <x v="13"/>
    <x v="23"/>
    <n v="230"/>
    <n v="-74"/>
    <x v="0"/>
    <d v="2025-01-28T08:11:00"/>
    <d v="2025-01-28T07:30:00"/>
    <d v="2025-01-28T08:38:00"/>
    <n v="66.583333333333329"/>
    <n v="26.433333333333334"/>
    <x v="1"/>
    <d v="2025-01-29T09:38:00"/>
    <d v="2025-01-29T15:45:00"/>
    <n v="359.35"/>
    <x v="0"/>
    <d v="2025-01-29T21:15:00"/>
    <d v="2025-01-29T22:15:00"/>
    <n v="58.733333333333334"/>
    <x v="0"/>
    <n v="1.5256944444408873"/>
    <x v="7"/>
    <n v="0.22569444444088727"/>
    <n v="36.616666666581295"/>
    <n v="12"/>
    <n v="24.616666666581295"/>
    <n v="6.3371699390876515"/>
    <x v="0"/>
  </r>
  <r>
    <x v="4"/>
    <x v="0"/>
    <s v="1/27/2025 21:49"/>
    <s v="OMM7YE3RR"/>
    <x v="0"/>
    <s v="UBR 533W"/>
    <m/>
    <s v="Kabaco U Ltd"/>
    <n v="156"/>
    <s v="Z82368"/>
    <x v="6"/>
    <x v="0"/>
    <x v="0"/>
    <x v="0"/>
    <x v="6"/>
    <x v="6"/>
    <n v="321"/>
    <n v="1"/>
    <x v="0"/>
    <d v="2025-01-28T07:58:00"/>
    <d v="2025-01-28T07:30:00"/>
    <d v="2025-01-28T08:42:00"/>
    <n v="70.5"/>
    <n v="43.083333333333336"/>
    <x v="1"/>
    <d v="2025-01-28T14:42:00"/>
    <d v="2025-01-28T19:39:00"/>
    <n v="290.8"/>
    <x v="0"/>
    <d v="2025-01-29T11:58:12"/>
    <d v="2025-01-29T12:42:12"/>
    <n v="43.06666666666667"/>
    <x v="0"/>
    <n v="1.1362500000032014"/>
    <x v="3"/>
    <n v="-0.36374999999679858"/>
    <n v="27.270000000076834"/>
    <n v="12"/>
    <n v="15.270000000076834"/>
    <n v="10.216110019594961"/>
    <x v="0"/>
  </r>
  <r>
    <x v="4"/>
    <x v="1"/>
    <s v="1/27/2025 21:55"/>
    <s v="OMR9L61RR"/>
    <x v="0"/>
    <s v="UAV 051U"/>
    <s v="Angello Lumala"/>
    <s v="Kabaco U Ltd-Mbarara"/>
    <n v="151.80000000000001"/>
    <s v="Z82369"/>
    <x v="8"/>
    <x v="1"/>
    <x v="0"/>
    <x v="1"/>
    <x v="8"/>
    <x v="8"/>
    <n v="13"/>
    <n v="2"/>
    <x v="0"/>
    <d v="2025-01-28T07:58:00"/>
    <d v="2025-01-28T07:30:00"/>
    <d v="2025-01-28T08:38:00"/>
    <n v="66.583333333333329"/>
    <n v="39.166666666666664"/>
    <x v="1"/>
    <d v="2025-01-28T09:14:00"/>
    <d v="2025-01-28T13:10:00"/>
    <n v="231.08333333333334"/>
    <x v="0"/>
    <d v="2025-01-28T13:39:00"/>
    <d v="2025-01-28T14:15:00"/>
    <n v="35.25"/>
    <x v="0"/>
    <n v="0.20902777778246673"/>
    <x v="5"/>
    <n v="-0.59097222221753332"/>
    <n v="5.0166666667792015"/>
    <n v="0"/>
    <n v="5.0166666667792015"/>
    <n v="30.259136211945808"/>
    <x v="0"/>
  </r>
  <r>
    <x v="4"/>
    <x v="0"/>
    <s v="1/27/2025 22:00"/>
    <s v="OMNPD66RR"/>
    <x v="0"/>
    <s v="UBJ 705D"/>
    <s v="KASULE JOHNBOSC"/>
    <s v="Kobusinge Steven-FPortal"/>
    <n v="156"/>
    <s v="Z82370"/>
    <x v="11"/>
    <x v="0"/>
    <x v="0"/>
    <x v="0"/>
    <x v="11"/>
    <x v="11"/>
    <n v="385"/>
    <n v="-5"/>
    <x v="0"/>
    <d v="2025-01-28T07:58:00"/>
    <d v="2025-01-28T07:30:00"/>
    <d v="2025-01-28T08:46:00"/>
    <n v="74.400000000000006"/>
    <n v="46.983333333333334"/>
    <x v="1"/>
    <d v="2025-01-29T10:16:00"/>
    <d v="2025-01-30T11:42:24"/>
    <n v="1494.5833333333333"/>
    <x v="0"/>
    <d v="2025-01-30T13:23:12"/>
    <d v="2025-01-30T14:08:12"/>
    <n v="44.05"/>
    <x v="0"/>
    <n v="2.1924999999973807"/>
    <x v="0"/>
    <n v="0.19249999999738066"/>
    <n v="52.619999999937136"/>
    <n v="24"/>
    <n v="28.619999999937136"/>
    <n v="5.4507337526325177"/>
    <x v="0"/>
  </r>
  <r>
    <x v="4"/>
    <x v="0"/>
    <s v="1/27/2025 22:04"/>
    <s v="OMY66SFRR"/>
    <x v="0"/>
    <s v="UBJ 419C"/>
    <m/>
    <s v="Kato Investment Ltd -Mubende"/>
    <n v="156"/>
    <s v="A20361"/>
    <x v="1"/>
    <x v="0"/>
    <x v="0"/>
    <x v="0"/>
    <x v="1"/>
    <x v="1"/>
    <n v="665"/>
    <n v="-15"/>
    <x v="0"/>
    <d v="2025-01-28T08:11:00"/>
    <d v="2025-01-28T07:30:00"/>
    <d v="2025-01-28T08:38:00"/>
    <n v="66.583333333333329"/>
    <n v="26.433333333333334"/>
    <x v="1"/>
    <d v="2025-01-29T10:55:00"/>
    <d v="2025-01-29T16:25:00"/>
    <n v="323.11666666666667"/>
    <x v="0"/>
    <d v="2025-01-30T16:42:17"/>
    <d v="2025-01-30T17:22:17"/>
    <n v="39.166666666666664"/>
    <x v="0"/>
    <n v="2.3363055555528263"/>
    <x v="1"/>
    <n v="-0.16369444444717374"/>
    <n v="56.07133333326783"/>
    <n v="24"/>
    <n v="32.07133333326783"/>
    <n v="4.8641569834011253"/>
    <x v="0"/>
  </r>
  <r>
    <x v="4"/>
    <x v="0"/>
    <s v="1/27/2025 22:09"/>
    <s v="OM09EFQRR"/>
    <x v="0"/>
    <s v="UBR 535W"/>
    <m/>
    <s v="Kato Investment Ltd -Kagadi"/>
    <n v="156"/>
    <s v="A20362"/>
    <x v="12"/>
    <x v="0"/>
    <x v="0"/>
    <x v="0"/>
    <x v="12"/>
    <x v="12"/>
    <n v="603"/>
    <n v="-9"/>
    <x v="0"/>
    <d v="2025-01-28T07:58:00"/>
    <d v="2025-01-28T07:30:00"/>
    <d v="2025-01-28T08:45:00"/>
    <n v="73.433333333333337"/>
    <n v="46.016666666666666"/>
    <x v="1"/>
    <d v="2025-01-29T10:45:00"/>
    <d v="2025-01-29T17:35:00"/>
    <n v="401.45"/>
    <x v="0"/>
    <d v="2025-01-30T11:46:31"/>
    <d v="2025-01-30T12:16:31"/>
    <n v="29.366666666666667"/>
    <x v="0"/>
    <n v="2.1260555555563769"/>
    <x v="6"/>
    <n v="-0.17394444444362289"/>
    <n v="51.025333333353046"/>
    <n v="24"/>
    <n v="27.025333333353046"/>
    <n v="5.7723617346644955"/>
    <x v="0"/>
  </r>
  <r>
    <x v="4"/>
    <x v="1"/>
    <s v="1/27/2025 22:12"/>
    <s v="OM25Y0RRR"/>
    <x v="0"/>
    <s v="UAV 051U"/>
    <s v="Angello Lumala"/>
    <s v="KATO INVESTMENTS LTD- KALISIZO"/>
    <n v="153.6"/>
    <s v="F15786"/>
    <x v="4"/>
    <x v="1"/>
    <x v="0"/>
    <x v="1"/>
    <x v="4"/>
    <x v="4"/>
    <n v="374"/>
    <n v="24"/>
    <x v="0"/>
    <d v="2025-01-28T07:58:00"/>
    <d v="2025-01-28T07:30:00"/>
    <d v="2025-01-28T08:40:00"/>
    <n v="68.533333333333331"/>
    <n v="41.116666666666667"/>
    <x v="1"/>
    <d v="2025-01-28T15:40:00"/>
    <d v="2025-01-28T20:40:00"/>
    <n v="293.75"/>
    <x v="0"/>
    <d v="2025-01-29T16:06:24"/>
    <d v="2025-01-29T17:00:24"/>
    <n v="52.866666666666667"/>
    <x v="0"/>
    <n v="1.3099999999976717"/>
    <x v="2"/>
    <n v="-0.39000000000232826"/>
    <n v="31.439999999944121"/>
    <n v="12"/>
    <n v="19.439999999944121"/>
    <n v="7.9012345679239457"/>
    <x v="0"/>
  </r>
  <r>
    <x v="4"/>
    <x v="0"/>
    <s v="1/27/2025 22:16"/>
    <s v="OME0QY2RR"/>
    <x v="0"/>
    <s v="UBR 903Y"/>
    <s v="Mbogo Bashir"/>
    <s v="KATO INVESTMENTS LTD-KATIKARA"/>
    <n v="156"/>
    <s v="A20363"/>
    <x v="5"/>
    <x v="0"/>
    <x v="0"/>
    <x v="0"/>
    <x v="5"/>
    <x v="5"/>
    <n v="796"/>
    <n v="-34"/>
    <x v="0"/>
    <d v="2025-01-28T07:58:00"/>
    <d v="2025-01-28T07:30:00"/>
    <d v="2025-01-28T09:02:00"/>
    <n v="90.066666666666663"/>
    <n v="62.65"/>
    <x v="6"/>
    <d v="2025-01-29T10:47:00"/>
    <d v="2025-01-29T15:46:00"/>
    <n v="292.76666666666665"/>
    <x v="0"/>
    <d v="2025-01-30T20:34:00"/>
    <d v="2025-01-30T21:25:00"/>
    <n v="49.93333333333333"/>
    <x v="0"/>
    <n v="2.4805555555503815"/>
    <x v="0"/>
    <n v="0.48055555555038154"/>
    <n v="59.533333333209157"/>
    <n v="32"/>
    <n v="27.533333333209157"/>
    <n v="5.6658595641902023"/>
    <x v="0"/>
  </r>
  <r>
    <x v="4"/>
    <x v="0"/>
    <s v="1/27/2025 22:33"/>
    <s v="OMAC38NRR"/>
    <x v="0"/>
    <s v="UBR 539W"/>
    <s v="Isiko Faluku Abey"/>
    <s v="Kobusinge Steven-FPortal"/>
    <n v="156"/>
    <s v="Z82372"/>
    <x v="11"/>
    <x v="0"/>
    <x v="0"/>
    <x v="0"/>
    <x v="11"/>
    <x v="11"/>
    <n v="387"/>
    <n v="-3"/>
    <x v="0"/>
    <d v="2025-01-28T07:58:00"/>
    <d v="2025-01-28T07:30:00"/>
    <d v="2025-01-28T09:02:00"/>
    <n v="90.066666666666663"/>
    <n v="62.65"/>
    <x v="6"/>
    <d v="2025-01-29T10:32:00"/>
    <d v="2025-01-29T15:21:00"/>
    <n v="282.96666666666664"/>
    <x v="0"/>
    <d v="2025-01-30T09:54:34"/>
    <d v="2025-01-30T10:54:34"/>
    <n v="58.733333333333334"/>
    <x v="0"/>
    <n v="2.0365000000019791"/>
    <x v="0"/>
    <n v="3.650000000197906E-2"/>
    <n v="48.876000000047497"/>
    <n v="32"/>
    <n v="16.876000000047497"/>
    <n v="9.2438966579498061"/>
    <x v="0"/>
  </r>
  <r>
    <x v="0"/>
    <x v="0"/>
    <d v="2024-09-30T18:41:30"/>
    <s v="OMR5OILRR"/>
    <x v="1"/>
    <s v="UBK 858R"/>
    <s v="ALIPA EREKU"/>
    <s v="Kobusinge Steven-FPortal"/>
    <n v="156"/>
    <s v="Z80389"/>
    <x v="11"/>
    <x v="0"/>
    <x v="0"/>
    <x v="0"/>
    <x v="11"/>
    <x v="11"/>
    <n v="386"/>
    <n v="-4"/>
    <x v="0"/>
    <d v="2024-09-30T18:55:00"/>
    <d v="2024-09-30T20:25:00"/>
    <d v="2024-09-30T19:45:00"/>
    <n v="-39.18333333333333"/>
    <n v="48.95"/>
    <x v="8"/>
    <d v="2024-10-01T11:20:00"/>
    <d v="2024-10-01T17:40:00"/>
    <n v="372.08333333333331"/>
    <x v="0"/>
    <d v="2024-10-02T14:53:00"/>
    <d v="2024-10-02T17:16:00"/>
    <n v="140.01666666666668"/>
    <x v="5"/>
    <n v="1.797222222223354"/>
    <x v="0"/>
    <n v="-0.20277777777664596"/>
    <n v="43.133333333360497"/>
    <n v="16"/>
    <n v="27.133333333360497"/>
    <n v="5.7493857493799938"/>
    <x v="0"/>
  </r>
  <r>
    <x v="0"/>
    <x v="0"/>
    <d v="2024-09-30T18:42:35"/>
    <s v="OMV17I0RR"/>
    <x v="1"/>
    <s v="UBK 882R"/>
    <s v="NASASIRA STEPHENE"/>
    <s v="Kato Investment Ltd -Mityana"/>
    <n v="172.8"/>
    <s v="A17237"/>
    <x v="16"/>
    <x v="0"/>
    <x v="0"/>
    <x v="0"/>
    <x v="16"/>
    <x v="16"/>
    <n v="680"/>
    <n v="-10"/>
    <x v="0"/>
    <d v="2024-09-30T20:00:00"/>
    <d v="2024-09-30T19:35:00"/>
    <d v="2024-09-30T20:37:00"/>
    <n v="60.7"/>
    <n v="36.216666666666669"/>
    <x v="1"/>
    <d v="2024-10-01T14:57:00"/>
    <d v="2024-10-01T18:24:00"/>
    <n v="202.68333333333334"/>
    <x v="0"/>
    <d v="2024-10-02T10:12:00"/>
    <d v="2024-10-02T11:24:00"/>
    <n v="70.483333333333334"/>
    <x v="0"/>
    <n v="1.5659722222262644"/>
    <x v="0"/>
    <n v="-0.43402777777373558"/>
    <n v="37.583333333430346"/>
    <n v="12"/>
    <n v="25.583333333430346"/>
    <n v="6.7543973941111952"/>
    <x v="0"/>
  </r>
  <r>
    <x v="0"/>
    <x v="0"/>
    <d v="2024-09-30T19:31:30"/>
    <s v="OMTJL8LRR"/>
    <x v="1"/>
    <s v="UBE 680K"/>
    <s v="BYEKWASO TWAHA"/>
    <s v="Sawan Distributors Ltd-Nabingo"/>
    <n v="156"/>
    <s v="A17238"/>
    <x v="21"/>
    <x v="0"/>
    <x v="0"/>
    <x v="0"/>
    <x v="21"/>
    <x v="2"/>
    <n v="562"/>
    <n v="2"/>
    <x v="0"/>
    <d v="2024-09-30T19:37:00"/>
    <d v="2024-10-01T02:30:00"/>
    <d v="2024-09-30T20:13:00"/>
    <n v="-369.15"/>
    <n v="35.25"/>
    <x v="1"/>
    <d v="2024-10-01T10:01:00"/>
    <d v="2024-10-01T15:07:00"/>
    <n v="299.61666666666667"/>
    <x v="0"/>
    <d v="2024-10-02T18:41:00"/>
    <d v="2024-10-02T21:22:00"/>
    <n v="157.63333333333333"/>
    <x v="2"/>
    <n v="1.9361111111065838"/>
    <x v="0"/>
    <n v="-6.3888888893416151E-2"/>
    <n v="46.466666666558012"/>
    <n v="12"/>
    <n v="34.466666666558012"/>
    <n v="4.5261121857009217"/>
    <x v="0"/>
  </r>
  <r>
    <x v="0"/>
    <x v="1"/>
    <d v="2024-09-30T19:38:21"/>
    <s v="OMP5WV5RR"/>
    <x v="1"/>
    <s v="UBE 419T"/>
    <s v="Kilabila Ismail"/>
    <s v="KATO INVESTMENTS LIMITED-MASAK"/>
    <n v="153.60000000000002"/>
    <s v="F15087"/>
    <x v="14"/>
    <x v="1"/>
    <x v="0"/>
    <x v="1"/>
    <x v="14"/>
    <x v="14"/>
    <n v="153"/>
    <n v="-187"/>
    <x v="2"/>
    <d v="2024-10-02T09:26:00"/>
    <d v="2024-10-01T08:30:00"/>
    <d v="2024-10-02T10:10:00"/>
    <n v="1507.9166666666667"/>
    <n v="43.06666666666667"/>
    <x v="1"/>
    <d v="2024-10-02T12:34:00"/>
    <d v="2024-10-02T16:35:00"/>
    <n v="235.96666666666667"/>
    <x v="0"/>
    <d v="2024-10-02T19:06:00"/>
    <d v="2024-10-02T20:19:00"/>
    <n v="71.466666666666669"/>
    <x v="3"/>
    <n v="0.37222222222044365"/>
    <x v="8"/>
    <n v="-0.62777777777955635"/>
    <n v="8.9333333332906477"/>
    <n v="0"/>
    <n v="8.9333333332906477"/>
    <n v="17.194029850828429"/>
    <x v="0"/>
  </r>
  <r>
    <x v="0"/>
    <x v="0"/>
    <d v="2024-09-30T22:57:49"/>
    <s v="OMDC4GBRR"/>
    <x v="1"/>
    <s v="UBM 644D"/>
    <s v="KAJUBI ISMA"/>
    <s v="Kobusinge Acaali- Kyenjojo"/>
    <n v="156"/>
    <s v="Z80398"/>
    <x v="3"/>
    <x v="0"/>
    <x v="0"/>
    <x v="0"/>
    <x v="3"/>
    <x v="3"/>
    <n v="476"/>
    <n v="-4"/>
    <x v="0"/>
    <d v="2024-10-02T15:05:00"/>
    <d v="2024-10-01T09:30:00"/>
    <d v="2024-10-02T15:52:00"/>
    <n v="1784.0333333333333"/>
    <n v="46.016666666666666"/>
    <x v="1"/>
    <d v="2024-10-03T13:12:00"/>
    <d v="2024-10-03T17:18:00"/>
    <n v="240.86666666666667"/>
    <x v="0"/>
    <d v="2024-10-04T11:08:00"/>
    <d v="2024-10-04T13:03:00"/>
    <n v="112.6"/>
    <x v="1"/>
    <n v="1.8027777777751908"/>
    <x v="1"/>
    <n v="-0.69722222222480923"/>
    <n v="43.266666666604578"/>
    <n v="12"/>
    <n v="31.266666666604578"/>
    <n v="4.9893390191996732"/>
    <x v="0"/>
  </r>
  <r>
    <x v="0"/>
    <x v="0"/>
    <d v="2024-09-30T23:01:18"/>
    <s v="OMQWMO0RR"/>
    <x v="1"/>
    <s v="UBE 681K"/>
    <s v="KYAPA AKIMU"/>
    <s v="Kato Investment Ltd -Mityana"/>
    <n v="156"/>
    <s v="A17250"/>
    <x v="16"/>
    <x v="0"/>
    <x v="0"/>
    <x v="0"/>
    <x v="16"/>
    <x v="16"/>
    <n v="655"/>
    <n v="-35"/>
    <x v="0"/>
    <d v="2024-10-02T09:24:00"/>
    <d v="2024-10-01T19:35:00"/>
    <d v="2024-10-02T10:04:00"/>
    <n v="850.88333333333333"/>
    <n v="39.15"/>
    <x v="1"/>
    <d v="2024-10-03T07:31:00"/>
    <d v="2024-10-03T15:09:00"/>
    <n v="448.45"/>
    <x v="0"/>
    <d v="2024-10-04T13:36:00"/>
    <d v="2024-10-04T15:29:00"/>
    <n v="110.63333333333334"/>
    <x v="0"/>
    <n v="2.1472222222218988"/>
    <x v="0"/>
    <n v="0.14722222222189885"/>
    <n v="51.533333333325572"/>
    <n v="24"/>
    <n v="27.533333333325572"/>
    <n v="5.6658595641662464"/>
    <x v="0"/>
  </r>
  <r>
    <x v="0"/>
    <x v="1"/>
    <d v="2024-09-30T23:16:10"/>
    <s v="OMHFFO6RR"/>
    <x v="1"/>
    <s v="UBJ 375N"/>
    <s v="Stephen Musoke "/>
    <s v="Kobusinge Steven-Kamwenge"/>
    <n v="153.60000000000002"/>
    <s v="Z80401"/>
    <x v="13"/>
    <x v="1"/>
    <x v="0"/>
    <x v="1"/>
    <x v="13"/>
    <x v="13"/>
    <n v="240"/>
    <n v="10"/>
    <x v="0"/>
    <d v="2024-10-02T10:12:00"/>
    <d v="2024-10-01T09:30:00"/>
    <d v="2024-10-02T11:00:00"/>
    <n v="1498.1166666666666"/>
    <n v="46.983333333333334"/>
    <x v="8"/>
    <d v="2024-10-03T13:34:00"/>
    <d v="2024-10-03T18:07:00"/>
    <n v="267.3"/>
    <x v="0"/>
    <d v="2024-10-04T16:30:00"/>
    <d v="2024-10-04T17:33:00"/>
    <n v="61.68333333333333"/>
    <x v="0"/>
    <n v="2.2291666666642413"/>
    <x v="7"/>
    <n v="0.9291666666642413"/>
    <n v="53.499999999941792"/>
    <n v="32"/>
    <n v="21.499999999941792"/>
    <n v="7.1441860465309706"/>
    <x v="0"/>
  </r>
  <r>
    <x v="1"/>
    <x v="0"/>
    <d v="2024-10-01T00:00:00"/>
    <s v="OM02K6M5"/>
    <x v="0"/>
    <s v="UBP 312H"/>
    <m/>
    <s v="Sawan Distributors Ltd-Nabingo"/>
    <n v="156"/>
    <s v="A17256"/>
    <x v="21"/>
    <x v="0"/>
    <x v="0"/>
    <x v="0"/>
    <x v="21"/>
    <x v="2"/>
    <n v="560"/>
    <n v="0"/>
    <x v="0"/>
    <d v="2024-10-01T07:58:00"/>
    <d v="2024-10-01T07:30:00"/>
    <d v="2024-10-01T08:42:00"/>
    <n v="70.483333333333334"/>
    <n v="43.06666666666667"/>
    <x v="1"/>
    <d v="2024-10-02T10:42:00"/>
    <d v="2024-10-02T14:42:00"/>
    <n v="234.98333333333332"/>
    <x v="0"/>
    <d v="2024-10-03T12:18:00"/>
    <d v="2024-10-03T13:23:00"/>
    <n v="63.633333333333333"/>
    <x v="0"/>
    <n v="2.1500000000014552"/>
    <x v="0"/>
    <n v="0.15000000000145519"/>
    <n v="51.600000000034925"/>
    <n v="24"/>
    <n v="27.600000000034925"/>
    <n v="5.652173913036326"/>
    <x v="0"/>
  </r>
  <r>
    <x v="1"/>
    <x v="0"/>
    <d v="2024-10-01T17:41:26"/>
    <s v="OMRJFDBRR"/>
    <x v="1"/>
    <s v="UBK 862R"/>
    <s v="SULAIMAN MUBIRU"/>
    <s v="Bates Enterprises U Ltd"/>
    <n v="156"/>
    <s v="Z80402"/>
    <x v="7"/>
    <x v="0"/>
    <x v="0"/>
    <x v="0"/>
    <x v="7"/>
    <x v="7"/>
    <n v="560"/>
    <n v="-46"/>
    <x v="0"/>
    <d v="2024-10-02T10:58:00"/>
    <d v="2024-10-01T19:30:00"/>
    <d v="2024-10-02T11:44:00"/>
    <n v="953.7"/>
    <n v="45.033333333333331"/>
    <x v="1"/>
    <d v="2024-10-03T16:50:00"/>
    <d v="2024-10-04T13:18:00"/>
    <n v="1202.4166666666667"/>
    <x v="0"/>
    <d v="2024-10-05T09:17:00"/>
    <d v="2024-10-05T11:49:00"/>
    <n v="148.81666666666666"/>
    <x v="6"/>
    <n v="2.8979166666686069"/>
    <x v="4"/>
    <n v="-0.10208333333139308"/>
    <n v="69.550000000046566"/>
    <n v="24"/>
    <n v="45.550000000046566"/>
    <n v="3.4248079033993526"/>
    <x v="0"/>
  </r>
  <r>
    <x v="1"/>
    <x v="0"/>
    <d v="2024-10-01T17:42:12"/>
    <s v="OMPTVOKRR"/>
    <x v="1"/>
    <s v="UBJ 417C"/>
    <s v="FARUK   ABEL"/>
    <s v="Bates Enterprises U Ltd"/>
    <n v="156"/>
    <s v="Z80403"/>
    <x v="7"/>
    <x v="0"/>
    <x v="0"/>
    <x v="0"/>
    <x v="7"/>
    <x v="7"/>
    <n v="579"/>
    <n v="-27"/>
    <x v="0"/>
    <d v="2024-10-02T16:04:00"/>
    <d v="2024-10-01T19:55:00"/>
    <d v="2024-10-02T16:50:00"/>
    <n v="1228.8499999999999"/>
    <n v="45.033333333333331"/>
    <x v="1"/>
    <d v="2024-10-05T14:29:00"/>
    <d v="2024-10-05T19:34:00"/>
    <n v="298.63333333333333"/>
    <x v="0"/>
    <d v="2024-10-06T10:52:00"/>
    <d v="2024-10-06T12:54:00"/>
    <n v="119.45"/>
    <x v="2"/>
    <n v="3.7513888888861402"/>
    <x v="4"/>
    <n v="0.75138888888614019"/>
    <n v="90.033333333267365"/>
    <n v="36"/>
    <n v="54.033333333267365"/>
    <n v="2.8871067242478183"/>
    <x v="8"/>
  </r>
  <r>
    <x v="1"/>
    <x v="0"/>
    <d v="2024-10-01T17:51:57"/>
    <s v="OM0GO1NRR"/>
    <x v="1"/>
    <s v="UBP 298H"/>
    <s v="SENTONG DAVID"/>
    <s v="Sawan Distributors Ltd-Nabingo"/>
    <n v="156"/>
    <s v="A17255"/>
    <x v="21"/>
    <x v="0"/>
    <x v="0"/>
    <x v="0"/>
    <x v="21"/>
    <x v="2"/>
    <n v="546"/>
    <n v="-14"/>
    <x v="0"/>
    <d v="2024-10-02T09:42:00"/>
    <d v="2024-10-02T02:30:00"/>
    <d v="2024-10-02T10:26:00"/>
    <n v="466.08333333333331"/>
    <n v="43.06666666666667"/>
    <x v="1"/>
    <d v="2024-10-05T10:20:00"/>
    <d v="2024-10-05T14:01:00"/>
    <n v="216.38333333333333"/>
    <x v="0"/>
    <d v="2024-10-06T08:09:00"/>
    <d v="2024-10-06T11:13:00"/>
    <n v="180.16666666666666"/>
    <x v="1"/>
    <n v="3.9048611111138598"/>
    <x v="0"/>
    <n v="1.9048611111138598"/>
    <n v="93.716666666732635"/>
    <n v="36"/>
    <n v="57.716666666732635"/>
    <n v="2.7028587929509968"/>
    <x v="6"/>
  </r>
  <r>
    <x v="1"/>
    <x v="0"/>
    <d v="2024-10-02T00:00:00"/>
    <s v="OM02K6SX"/>
    <x v="0"/>
    <s v="UBJ 703D"/>
    <m/>
    <s v="Kato Investment Ltd -Mubende"/>
    <n v="156"/>
    <s v="A17274"/>
    <x v="1"/>
    <x v="0"/>
    <x v="0"/>
    <x v="0"/>
    <x v="1"/>
    <x v="1"/>
    <n v="686"/>
    <n v="6"/>
    <x v="0"/>
    <d v="2024-10-02T07:42:00"/>
    <d v="2024-10-02T07:30:00"/>
    <d v="2024-10-02T08:38:00"/>
    <n v="66.583333333333329"/>
    <n v="54.833333333333336"/>
    <x v="6"/>
    <d v="2024-10-03T10:55:00"/>
    <d v="2024-10-03T16:25:00"/>
    <n v="323.11666666666667"/>
    <x v="0"/>
    <d v="2024-10-04T19:17:48"/>
    <d v="2024-10-04T20:33:48"/>
    <n v="74.400000000000006"/>
    <x v="0"/>
    <n v="2.4443055555530009"/>
    <x v="1"/>
    <n v="-5.5694444446999114E-2"/>
    <n v="58.663333333272021"/>
    <n v="32"/>
    <n v="26.663333333272021"/>
    <n v="5.850731341431131"/>
    <x v="0"/>
  </r>
  <r>
    <x v="1"/>
    <x v="0"/>
    <d v="2024-10-02T14:29:16"/>
    <s v="OMWIAGKRR"/>
    <x v="1"/>
    <s v="UBE 674K"/>
    <s v="SSENOGA AMOS "/>
    <s v="Kabaco U Ltd"/>
    <n v="156"/>
    <s v="Z80412"/>
    <x v="6"/>
    <x v="0"/>
    <x v="0"/>
    <x v="0"/>
    <x v="6"/>
    <x v="6"/>
    <n v="318"/>
    <n v="-2"/>
    <x v="0"/>
    <d v="2024-10-02T20:14:00"/>
    <d v="2024-10-03T02:22:00"/>
    <d v="2024-10-02T20:58:00"/>
    <n v="-317.25"/>
    <n v="43.083333333333336"/>
    <x v="1"/>
    <d v="2024-10-04T12:44:00"/>
    <d v="2024-10-04T18:59:00"/>
    <n v="367.18333333333334"/>
    <x v="0"/>
    <d v="2024-10-06T08:18:00"/>
    <d v="2024-10-06T11:10:00"/>
    <n v="168.41666666666666"/>
    <x v="4"/>
    <n v="3.4722222222189885"/>
    <x v="3"/>
    <n v="1.9722222222189885"/>
    <n v="83.333333333255723"/>
    <n v="36"/>
    <n v="47.333333333255723"/>
    <n v="3.2957746478927277"/>
    <x v="1"/>
  </r>
  <r>
    <x v="1"/>
    <x v="1"/>
    <d v="2024-10-02T14:30:37"/>
    <s v="OMVU90VRR"/>
    <x v="1"/>
    <s v="UBK 881R"/>
    <s v="James  Kironde"/>
    <s v="Kabaco U Ltd"/>
    <n v="153.60000000000002"/>
    <s v="Z80413"/>
    <x v="6"/>
    <x v="1"/>
    <x v="0"/>
    <x v="1"/>
    <x v="6"/>
    <x v="6"/>
    <n v="151"/>
    <n v="-169"/>
    <x v="4"/>
    <d v="2024-10-02T18:39:00"/>
    <d v="2024-10-03T02:22:00"/>
    <d v="2024-10-02T19:23:00"/>
    <n v="-410.28333333333336"/>
    <n v="43.06666666666667"/>
    <x v="1"/>
    <d v="2024-10-03T09:59:00"/>
    <d v="2024-10-03T14:09:00"/>
    <n v="244.78333333333333"/>
    <x v="0"/>
    <d v="2024-10-03T18:42:00"/>
    <d v="2024-10-03T20:00:00"/>
    <n v="76.36666666666666"/>
    <x v="0"/>
    <n v="0.97152777777955635"/>
    <x v="3"/>
    <n v="-0.52847222222044365"/>
    <n v="23.316666666709352"/>
    <n v="0"/>
    <n v="23.316666666709352"/>
    <n v="6.5875625446627089"/>
    <x v="0"/>
  </r>
  <r>
    <x v="1"/>
    <x v="1"/>
    <d v="2024-10-02T14:32:12"/>
    <s v="OMUK6B6RR"/>
    <x v="0"/>
    <s v="UAR 731Q"/>
    <s v="Godwin Niwensiima"/>
    <s v="RUGOMA TRADERS CO. LTD NTUNGAM"/>
    <n v="153.60000000000002"/>
    <s v="F15091"/>
    <x v="15"/>
    <x v="1"/>
    <x v="0"/>
    <x v="1"/>
    <x v="15"/>
    <x v="15"/>
    <n v="131"/>
    <n v="1"/>
    <x v="0"/>
    <d v="2024-10-02T15:30:12"/>
    <d v="2024-10-02T15:02:12"/>
    <d v="2024-10-02T16:47:12"/>
    <n v="102.8"/>
    <n v="75.38333333333334"/>
    <x v="8"/>
    <d v="2024-10-02T18:47:12"/>
    <d v="2024-10-03T13:44:48"/>
    <n v="1113.9000000000001"/>
    <x v="0"/>
    <d v="2024-10-03T16:14:48"/>
    <d v="2024-10-03T17:34:48"/>
    <n v="78.316666666666663"/>
    <x v="0"/>
    <n v="0.97749999999359716"/>
    <x v="8"/>
    <n v="-2.2500000006402843E-2"/>
    <n v="23.459999999846332"/>
    <n v="0"/>
    <n v="23.459999999846332"/>
    <n v="6.5473145780480024"/>
    <x v="0"/>
  </r>
  <r>
    <x v="1"/>
    <x v="1"/>
    <d v="2024-10-02T18:30:42"/>
    <s v="OME8KEJRR"/>
    <x v="1"/>
    <s v="UAV 203T"/>
    <s v="Mugisha  George"/>
    <s v="KATO INVESTMENTS LIMITED-MASAK"/>
    <n v="153.60000000000002"/>
    <s v="F15092"/>
    <x v="14"/>
    <x v="1"/>
    <x v="0"/>
    <x v="1"/>
    <x v="14"/>
    <x v="14"/>
    <n v="298"/>
    <n v="-42"/>
    <x v="0"/>
    <d v="2024-10-02T18:45:00"/>
    <d v="2024-10-03T04:14:00"/>
    <d v="2024-10-02T19:22:00"/>
    <n v="-520.93333333333328"/>
    <n v="36.216666666666669"/>
    <x v="1"/>
    <d v="2024-10-03T10:16:00"/>
    <d v="2024-10-03T14:01:00"/>
    <n v="220.3"/>
    <x v="0"/>
    <d v="2024-10-03T19:04:00"/>
    <d v="2024-10-03T20:15:00"/>
    <n v="69.516666666666666"/>
    <x v="0"/>
    <n v="0.98750000000291038"/>
    <x v="8"/>
    <n v="-1.2499999997089617E-2"/>
    <n v="23.700000000069849"/>
    <n v="0"/>
    <n v="23.700000000069849"/>
    <n v="6.4810126582087477"/>
    <x v="0"/>
  </r>
  <r>
    <x v="1"/>
    <x v="1"/>
    <d v="2024-10-02T18:46:46"/>
    <s v="OM88TS8RR"/>
    <x v="1"/>
    <s v="UAY 526V"/>
    <s v="Benon Ssempijja"/>
    <s v="Kabaco U Ltd-Mbarara"/>
    <n v="153.60000000000002"/>
    <s v="Z80416"/>
    <x v="8"/>
    <x v="1"/>
    <x v="0"/>
    <x v="1"/>
    <x v="8"/>
    <x v="8"/>
    <n v="13"/>
    <n v="2"/>
    <x v="0"/>
    <d v="2024-10-03T09:38:00"/>
    <d v="2024-10-03T08:30:00"/>
    <d v="2024-10-03T10:18:00"/>
    <n v="105.75"/>
    <n v="39.166666666666664"/>
    <x v="1"/>
    <d v="2024-10-03T10:47:00"/>
    <d v="2024-10-03T15:21:00"/>
    <n v="268.28333333333336"/>
    <x v="0"/>
    <d v="2024-10-03T16:08:00"/>
    <d v="2024-10-03T17:10:00"/>
    <n v="60.7"/>
    <x v="0"/>
    <n v="0.24305555555474712"/>
    <x v="5"/>
    <n v="-0.55694444444525293"/>
    <n v="5.8333333333139308"/>
    <n v="0"/>
    <n v="5.8333333333139308"/>
    <n v="26.331428571516156"/>
    <x v="0"/>
  </r>
  <r>
    <x v="1"/>
    <x v="1"/>
    <d v="2024-10-02T18:55:50"/>
    <s v="OMHJH85RR"/>
    <x v="1"/>
    <s v="UBK 875R"/>
    <s v="Bisaso  Ronald"/>
    <s v="KATO INVESTMENTS LIMITED-MASAK"/>
    <n v="153.60000000000002"/>
    <s v="F15093"/>
    <x v="14"/>
    <x v="1"/>
    <x v="0"/>
    <x v="1"/>
    <x v="14"/>
    <x v="14"/>
    <n v="155"/>
    <n v="-185"/>
    <x v="2"/>
    <d v="2024-10-03T12:18:00"/>
    <d v="2024-10-03T08:30:00"/>
    <d v="2024-10-03T12:58:00"/>
    <n v="262.41666666666669"/>
    <n v="39.166666666666664"/>
    <x v="1"/>
    <d v="2024-10-03T15:44:00"/>
    <d v="2024-10-03T20:14:00"/>
    <n v="264.36666666666667"/>
    <x v="0"/>
    <d v="2024-10-04T10:20:00"/>
    <d v="2024-10-04T11:23:00"/>
    <n v="61.68333333333333"/>
    <x v="7"/>
    <n v="0.89027777777664596"/>
    <x v="8"/>
    <n v="-0.10972222222335404"/>
    <n v="21.366666666639503"/>
    <n v="0"/>
    <n v="21.366666666639503"/>
    <n v="7.1887675507111686"/>
    <x v="0"/>
  </r>
  <r>
    <x v="1"/>
    <x v="1"/>
    <d v="2024-10-04T18:54:16"/>
    <s v="OMPOGI6RR"/>
    <x v="1"/>
    <s v="UBK 875R"/>
    <s v="Bisaso  Ronald"/>
    <s v="Ntale and Sons"/>
    <n v="153.60000000000002"/>
    <s v="A17312"/>
    <x v="19"/>
    <x v="1"/>
    <x v="0"/>
    <x v="1"/>
    <x v="19"/>
    <x v="19"/>
    <n v="819"/>
    <n v="9"/>
    <x v="0"/>
    <d v="2024-10-05T17:44:00"/>
    <d v="2024-10-04T19:55:00"/>
    <d v="2024-10-05T18:24:00"/>
    <n v="1320.8833333333334"/>
    <n v="39.166666666666664"/>
    <x v="1"/>
    <d v="2024-10-06T15:28:00"/>
    <d v="2024-10-06T19:02:00"/>
    <n v="209.53333333333333"/>
    <x v="0"/>
    <d v="2024-10-08T19:07:00"/>
    <d v="2024-10-08T20:18:00"/>
    <n v="69.516666666666666"/>
    <x v="0"/>
    <n v="3.0298611111065838"/>
    <x v="4"/>
    <n v="2.9861111106583849E-2"/>
    <n v="72.716666666558012"/>
    <n v="36"/>
    <n v="36.716666666558012"/>
    <n v="4.1833862914331705"/>
    <x v="0"/>
  </r>
  <r>
    <x v="1"/>
    <x v="1"/>
    <d v="2024-10-04T19:33:18"/>
    <s v="OMWQJ9RRR"/>
    <x v="1"/>
    <s v="UBA 523T"/>
    <s v="Kabene John"/>
    <s v="Rugoma Traders-Kanungu/Kihihi"/>
    <n v="153.60000000000002"/>
    <s v="F15097"/>
    <x v="23"/>
    <x v="1"/>
    <x v="0"/>
    <x v="1"/>
    <x v="23"/>
    <x v="14"/>
    <n v="337"/>
    <n v="-3"/>
    <x v="0"/>
    <d v="2024-10-05T08:35:00"/>
    <d v="2024-10-05T08:30:00"/>
    <d v="2024-10-05T09:21:00"/>
    <n v="49.93333333333333"/>
    <n v="45.033333333333331"/>
    <x v="1"/>
    <d v="2024-10-07T08:04:00"/>
    <d v="2024-10-07T11:19:00"/>
    <n v="190.93333333333334"/>
    <x v="0"/>
    <d v="2024-10-08T10:28:00"/>
    <d v="2024-10-08T13:05:00"/>
    <n v="153.71666666666667"/>
    <x v="2"/>
    <n v="3.0465277777839219"/>
    <x v="3"/>
    <n v="1.5465277777839219"/>
    <n v="73.116666666814126"/>
    <n v="36"/>
    <n v="37.116666666814126"/>
    <n v="4.1383026492875565"/>
    <x v="0"/>
  </r>
  <r>
    <x v="1"/>
    <x v="1"/>
    <d v="2024-10-04T19:34:51"/>
    <s v="OMSYCGRRR"/>
    <x v="1"/>
    <s v="UBE 287X"/>
    <s v="Isaac Tumuhimbise"/>
    <s v="Kobusinge Steven-Kamwenge"/>
    <n v="153.60000000000002"/>
    <s v="Z80432"/>
    <x v="13"/>
    <x v="1"/>
    <x v="0"/>
    <x v="1"/>
    <x v="13"/>
    <x v="13"/>
    <n v="141"/>
    <n v="-89"/>
    <x v="0"/>
    <d v="2024-10-05T07:14:00"/>
    <d v="2024-10-05T08:30:00"/>
    <d v="2024-10-05T08:05:00"/>
    <n v="-24.483333333333334"/>
    <n v="49.93333333333333"/>
    <x v="2"/>
    <d v="2024-10-06T08:08:00"/>
    <d v="2024-10-06T11:43:00"/>
    <n v="210.51666666666668"/>
    <x v="0"/>
    <d v="2024-10-06T20:22:00"/>
    <d v="2024-10-06T22:30:00"/>
    <n v="125.31666666666666"/>
    <x v="2"/>
    <n v="1.5118055555576575"/>
    <x v="7"/>
    <n v="0.21180555555765745"/>
    <n v="36.28333333338378"/>
    <n v="16"/>
    <n v="20.28333333338378"/>
    <n v="7.5727198027749223"/>
    <x v="0"/>
  </r>
  <r>
    <x v="1"/>
    <x v="1"/>
    <d v="2024-10-04T19:36:32"/>
    <s v="OMITMTTRR"/>
    <x v="1"/>
    <s v="UBK 881R"/>
    <s v="James  Kironde"/>
    <s v="KATO INVESTMENTS LIMITED-MASAK"/>
    <n v="153.60000000000002"/>
    <s v="F15098"/>
    <x v="14"/>
    <x v="1"/>
    <x v="0"/>
    <x v="1"/>
    <x v="14"/>
    <x v="14"/>
    <n v="415"/>
    <n v="75"/>
    <x v="6"/>
    <d v="2024-10-05T18:06:00"/>
    <d v="2024-10-05T08:30:00"/>
    <d v="2024-10-05T18:46:00"/>
    <n v="603.16666666666663"/>
    <n v="39.166666666666664"/>
    <x v="1"/>
    <d v="2024-10-05T18:49:00"/>
    <d v="2024-10-05T21:12:00"/>
    <n v="140.01666666666668"/>
    <x v="0"/>
    <d v="2024-10-06T12:29:00"/>
    <d v="2024-10-06T14:52:00"/>
    <n v="140.01666666666668"/>
    <x v="5"/>
    <n v="0.7381944444423425"/>
    <x v="8"/>
    <n v="-0.2618055555576575"/>
    <n v="17.71666666661622"/>
    <n v="0"/>
    <n v="17.71666666661622"/>
    <n v="8.6698024459324952"/>
    <x v="0"/>
  </r>
  <r>
    <x v="1"/>
    <x v="1"/>
    <d v="2024-10-05T14:57:06"/>
    <s v="OMPPZCERR"/>
    <x v="1"/>
    <s v="UBJ 415C"/>
    <s v="Abel Mark naffa"/>
    <s v="Kabaco U Ltd-Mbarara"/>
    <n v="153.60000000000002"/>
    <s v="Z80438"/>
    <x v="8"/>
    <x v="1"/>
    <x v="0"/>
    <x v="1"/>
    <x v="8"/>
    <x v="8"/>
    <n v="13"/>
    <n v="2"/>
    <x v="0"/>
    <d v="2024-10-05T14:28:00"/>
    <d v="2024-10-05T14:00:00"/>
    <d v="2024-10-05T15:15:00"/>
    <n v="73.433333333333337"/>
    <n v="46.016666666666666"/>
    <x v="1"/>
    <d v="2024-10-06T09:16:00"/>
    <d v="2024-10-06T11:27:00"/>
    <n v="128.26666666666668"/>
    <x v="0"/>
    <d v="2024-10-06T13:19:00"/>
    <d v="2024-10-06T15:38:00"/>
    <n v="136.1"/>
    <x v="8"/>
    <n v="0.91944444444379769"/>
    <x v="5"/>
    <n v="0.11944444444379765"/>
    <n v="22.066666666651145"/>
    <n v="0"/>
    <n v="22.066666666651145"/>
    <n v="6.9607250755335981"/>
    <x v="0"/>
  </r>
  <r>
    <x v="1"/>
    <x v="0"/>
    <d v="2024-10-05T15:17:05"/>
    <s v="OM7R8V7RR"/>
    <x v="0"/>
    <s v="UBP 311H"/>
    <m/>
    <s v="Rugoma Traders-Rukungiri"/>
    <n v="156"/>
    <s v="Z80439"/>
    <x v="17"/>
    <x v="0"/>
    <x v="0"/>
    <x v="0"/>
    <x v="17"/>
    <x v="17"/>
    <n v="263"/>
    <n v="7"/>
    <x v="0"/>
    <d v="2024-10-05T16:15:05"/>
    <d v="2024-10-05T15:47:05"/>
    <d v="2024-10-05T16:59:05"/>
    <n v="70.483333333333334"/>
    <n v="43.06666666666667"/>
    <x v="1"/>
    <d v="2024-10-06T09:59:05"/>
    <d v="2024-10-06T13:35:05"/>
    <n v="211.5"/>
    <x v="0"/>
    <d v="2024-10-06T16:35:05"/>
    <d v="2024-10-06T17:38:05"/>
    <n v="61.68333333333333"/>
    <x v="0"/>
    <n v="0.98333333333721384"/>
    <x v="8"/>
    <n v="-1.6666666662786156E-2"/>
    <n v="23.600000000093132"/>
    <n v="0"/>
    <n v="23.600000000093132"/>
    <n v="6.6101694914993381"/>
    <x v="0"/>
  </r>
  <r>
    <x v="1"/>
    <x v="1"/>
    <d v="2024-10-05T15:27:12"/>
    <s v="OMBML7RRR"/>
    <x v="1"/>
    <s v="UBE 422T"/>
    <s v="Jacob Oneka"/>
    <s v="Ntale and Sons Ltd-Kakiri"/>
    <n v="153.60000000000002"/>
    <s v="A17323"/>
    <x v="22"/>
    <x v="1"/>
    <x v="0"/>
    <x v="1"/>
    <x v="22"/>
    <x v="21"/>
    <n v="601"/>
    <n v="-19"/>
    <x v="0"/>
    <d v="2024-10-05T14:27:00"/>
    <d v="2024-10-06T01:59:00"/>
    <d v="2024-10-05T15:44:00"/>
    <n v="-602.20000000000005"/>
    <n v="75.38333333333334"/>
    <x v="8"/>
    <d v="2024-10-06T12:14:00"/>
    <d v="2024-10-06T16:01:00"/>
    <n v="222.26666666666668"/>
    <x v="0"/>
    <d v="2024-10-07T15:15:00"/>
    <d v="2024-10-07T17:39:00"/>
    <n v="141"/>
    <x v="5"/>
    <n v="1.9798611111109494"/>
    <x v="0"/>
    <n v="-2.0138888889050577E-2"/>
    <n v="47.516666666662786"/>
    <n v="16"/>
    <n v="31.516666666662786"/>
    <n v="4.8736118455849473"/>
    <x v="0"/>
  </r>
  <r>
    <x v="1"/>
    <x v="1"/>
    <d v="2024-10-05T15:34:48"/>
    <s v="OMMD3URRR"/>
    <x v="1"/>
    <s v="UBJ 375N"/>
    <s v="Stephen Musoke "/>
    <s v="KATO INVESTMENTS LIMITED-MASAK"/>
    <n v="153.60000000000002"/>
    <s v="F15101"/>
    <x v="14"/>
    <x v="1"/>
    <x v="0"/>
    <x v="1"/>
    <x v="14"/>
    <x v="14"/>
    <n v="348"/>
    <n v="8"/>
    <x v="0"/>
    <d v="2024-10-05T15:13:00"/>
    <d v="2024-10-06T04:14:00"/>
    <d v="2024-10-05T15:54:00"/>
    <n v="-724.6"/>
    <n v="40.133333333333333"/>
    <x v="1"/>
    <d v="2024-10-05T18:03:00"/>
    <d v="2024-10-06T14:40:00"/>
    <n v="1211.2166666666667"/>
    <x v="0"/>
    <d v="2024-10-06T12:54:00"/>
    <d v="2024-10-06T13:57:00"/>
    <n v="61.68333333333333"/>
    <x v="0"/>
    <n v="0.875"/>
    <x v="8"/>
    <n v="-0.125"/>
    <n v="21"/>
    <n v="0"/>
    <n v="21"/>
    <n v="7.3142857142857149"/>
    <x v="0"/>
  </r>
  <r>
    <x v="1"/>
    <x v="1"/>
    <d v="2024-10-05T15:47:08"/>
    <s v="OM7PXKLRR"/>
    <x v="1"/>
    <s v="UAY 265V"/>
    <s v="Luyaga Isaac"/>
    <s v="Kabaco U Ltd-Mbarara"/>
    <n v="153.60000000000002"/>
    <s v="Z80440"/>
    <x v="8"/>
    <x v="1"/>
    <x v="0"/>
    <x v="1"/>
    <x v="8"/>
    <x v="8"/>
    <n v="14"/>
    <n v="3"/>
    <x v="0"/>
    <d v="2024-10-06T19:35:00"/>
    <d v="2024-10-06T07:42:00"/>
    <d v="2024-10-06T20:16:00"/>
    <n v="738.2833333333333"/>
    <n v="40.133333333333333"/>
    <x v="1"/>
    <d v="2024-10-08T09:32:00"/>
    <d v="2024-10-08T12:39:00"/>
    <n v="183.1"/>
    <x v="0"/>
    <d v="2024-10-08T12:41:00"/>
    <d v="2024-10-08T14:38:00"/>
    <n v="114.55"/>
    <x v="2"/>
    <n v="1.6840277777737356"/>
    <x v="5"/>
    <n v="0.88402777777373553"/>
    <n v="40.416666666569654"/>
    <n v="12"/>
    <n v="28.416666666569654"/>
    <n v="5.4052785923938202"/>
    <x v="0"/>
  </r>
  <r>
    <x v="1"/>
    <x v="0"/>
    <d v="2024-10-05T15:49:24"/>
    <s v="OM6NIERRR"/>
    <x v="0"/>
    <s v="UBE 690K"/>
    <s v="MUKOSE MUZAMIRU"/>
    <s v="Kabaco U Ltd"/>
    <n v="156"/>
    <s v="Z80441"/>
    <x v="6"/>
    <x v="0"/>
    <x v="0"/>
    <x v="0"/>
    <x v="6"/>
    <x v="6"/>
    <n v="121"/>
    <n v="-199"/>
    <x v="0"/>
    <d v="2024-10-05T16:00:00"/>
    <d v="2024-10-06T02:22:00"/>
    <d v="2024-10-05T16:40:00"/>
    <n v="-569.88333333333333"/>
    <n v="39.166666666666664"/>
    <x v="1"/>
    <d v="2024-10-05T23:36:00"/>
    <d v="2024-10-06T15:12:00"/>
    <n v="916.5"/>
    <x v="0"/>
    <d v="2024-10-07T07:31:12"/>
    <d v="2024-10-07T08:36:12"/>
    <n v="63.633333333333333"/>
    <x v="0"/>
    <n v="1.6188888888864312"/>
    <x v="3"/>
    <n v="0.11888888888643123"/>
    <n v="38.85333333327435"/>
    <n v="12"/>
    <n v="26.85333333327435"/>
    <n v="5.8093346574109725"/>
    <x v="0"/>
  </r>
  <r>
    <x v="1"/>
    <x v="0"/>
    <d v="2024-10-05T15:54:35"/>
    <s v="OMCAKYNRR"/>
    <x v="1"/>
    <s v="UBJ 705D"/>
    <s v="KASULE JOHNBOSC"/>
    <s v="Boniface Harera"/>
    <n v="156"/>
    <s v="F15102"/>
    <x v="10"/>
    <x v="0"/>
    <x v="0"/>
    <x v="0"/>
    <x v="10"/>
    <x v="10"/>
    <n v="474"/>
    <n v="4"/>
    <x v="0"/>
    <d v="2024-10-05T15:34:00"/>
    <d v="2024-10-06T01:30:00"/>
    <d v="2024-10-05T16:14:00"/>
    <n v="-544.41666666666663"/>
    <n v="39.166666666666664"/>
    <x v="1"/>
    <d v="2024-10-06T15:52:00"/>
    <d v="2024-10-07T15:03:00"/>
    <n v="1362.0166666666667"/>
    <x v="0"/>
    <d v="2024-10-08T09:27:00"/>
    <d v="2024-10-08T11:40:00"/>
    <n v="130.21666666666667"/>
    <x v="4"/>
    <n v="2.7173611111138598"/>
    <x v="1"/>
    <n v="0.21736111111385981"/>
    <n v="65.216666666732635"/>
    <n v="24"/>
    <n v="41.216666666732635"/>
    <n v="3.7848766680084993"/>
    <x v="0"/>
  </r>
  <r>
    <x v="1"/>
    <x v="1"/>
    <d v="2024-10-05T16:15:44"/>
    <s v="OMTNTQDRR"/>
    <x v="1"/>
    <s v="UBJ 988D"/>
    <s v="Tumusiime Robert"/>
    <s v="Kabaco U Ltd"/>
    <n v="153.60000000000002"/>
    <s v="Z80442"/>
    <x v="6"/>
    <x v="1"/>
    <x v="0"/>
    <x v="1"/>
    <x v="6"/>
    <x v="6"/>
    <n v="331"/>
    <n v="11"/>
    <x v="0"/>
    <d v="2024-10-05T15:57:00"/>
    <d v="2024-10-06T02:22:00"/>
    <d v="2024-10-05T16:40:00"/>
    <n v="-569.88333333333333"/>
    <n v="42.1"/>
    <x v="1"/>
    <d v="2024-10-05T19:39:00"/>
    <d v="2024-10-06T11:28:00"/>
    <n v="929.2166666666667"/>
    <x v="0"/>
    <d v="2024-10-06T14:31:00"/>
    <d v="2024-10-06T15:46:00"/>
    <n v="73.433333333333337"/>
    <x v="0"/>
    <n v="0.91041666666569654"/>
    <x v="3"/>
    <n v="-0.58958333333430346"/>
    <n v="21.849999999976717"/>
    <n v="0"/>
    <n v="21.849999999976717"/>
    <n v="7.0297482837603527"/>
    <x v="0"/>
  </r>
  <r>
    <x v="1"/>
    <x v="0"/>
    <d v="2024-10-05T20:29:14"/>
    <s v="OM7B314RR"/>
    <x v="0"/>
    <s v="UBF 379L"/>
    <m/>
    <s v="DE PLACE INVESTMENTS LTD"/>
    <n v="156"/>
    <s v="F15103"/>
    <x v="0"/>
    <x v="0"/>
    <x v="0"/>
    <x v="0"/>
    <x v="0"/>
    <x v="0"/>
    <n v="763"/>
    <n v="3"/>
    <x v="0"/>
    <d v="2024-10-06T07:58:14"/>
    <d v="2024-10-06T07:30:14"/>
    <d v="2024-10-06T08:45:14"/>
    <n v="73.433333333333337"/>
    <n v="46.016666666666666"/>
    <x v="8"/>
    <d v="2024-10-07T08:45:14"/>
    <d v="2024-10-07T11:57:14"/>
    <n v="187.98333333333332"/>
    <x v="0"/>
    <d v="2024-10-08T12:54:50"/>
    <d v="2024-10-08T14:02:50"/>
    <n v="66.583333333333329"/>
    <x v="0"/>
    <n v="2.1733333333322662"/>
    <x v="0"/>
    <n v="0.17333333333226619"/>
    <n v="52.159999999974389"/>
    <n v="32"/>
    <n v="20.159999999974389"/>
    <n v="7.7380952381050685"/>
    <x v="0"/>
  </r>
  <r>
    <x v="1"/>
    <x v="1"/>
    <d v="2024-10-05T20:46:03"/>
    <s v="OMYY2RDRR"/>
    <x v="1"/>
    <s v="UBJ 707D"/>
    <s v="Konge Husein"/>
    <s v="Kobusinge Steven-FPortal"/>
    <n v="153.60000000000002"/>
    <s v="Z80446"/>
    <x v="11"/>
    <x v="1"/>
    <x v="0"/>
    <x v="1"/>
    <x v="11"/>
    <x v="11"/>
    <n v="370"/>
    <n v="-20"/>
    <x v="0"/>
    <d v="2024-10-06T06:26:00"/>
    <d v="2024-10-06T20:25:00"/>
    <d v="2024-10-06T07:06:00"/>
    <n v="-782.36666666666667"/>
    <n v="39.166666666666664"/>
    <x v="1"/>
    <d v="2024-10-07T08:06:00"/>
    <d v="2024-10-07T17:39:00"/>
    <n v="561.04999999999995"/>
    <x v="0"/>
    <d v="2024-10-08T08:40:00"/>
    <d v="2024-10-08T11:19:00"/>
    <n v="155.68333333333334"/>
    <x v="2"/>
    <n v="2.0652777777795563"/>
    <x v="0"/>
    <n v="6.5277777779556345E-2"/>
    <n v="49.566666666709352"/>
    <n v="24"/>
    <n v="25.566666666709352"/>
    <n v="6.0078226857787582"/>
    <x v="0"/>
  </r>
  <r>
    <x v="1"/>
    <x v="1"/>
    <d v="2024-10-06T13:10:15"/>
    <s v="OMFTU6IRR"/>
    <x v="1"/>
    <s v="UBE 287X"/>
    <s v="Isaac Tumuhimbise"/>
    <s v="KATO INVESTMENTS LTD- KALISIZO"/>
    <n v="153.60000000000002"/>
    <s v="F15106"/>
    <x v="4"/>
    <x v="1"/>
    <x v="0"/>
    <x v="1"/>
    <x v="4"/>
    <x v="4"/>
    <n v="349"/>
    <n v="-1"/>
    <x v="0"/>
    <d v="2024-10-06T14:00:00"/>
    <d v="2024-10-07T03:43:00"/>
    <d v="2024-10-06T14:39:00"/>
    <n v="-767.66666666666663"/>
    <n v="38.18333333333333"/>
    <x v="1"/>
    <d v="2024-10-07T15:53:00"/>
    <d v="2024-10-07T18:56:00"/>
    <n v="179.18333333333334"/>
    <x v="0"/>
    <d v="2024-10-08T10:07:00"/>
    <d v="2024-10-08T11:17:00"/>
    <n v="68.533333333333331"/>
    <x v="0"/>
    <n v="1.8111111111065838"/>
    <x v="2"/>
    <n v="0.11111111110658389"/>
    <n v="43.466666666558012"/>
    <n v="12"/>
    <n v="31.466666666558012"/>
    <n v="4.881355932220246"/>
    <x v="0"/>
  </r>
  <r>
    <x v="1"/>
    <x v="0"/>
    <d v="2024-10-06T13:14:49"/>
    <s v="OMO79BQRR"/>
    <x v="1"/>
    <s v="UBE 681K"/>
    <s v="KYAPA AKIMU"/>
    <s v="Kobusinge Acaali- Kyenjojo"/>
    <n v="156"/>
    <s v="Z80452"/>
    <x v="3"/>
    <x v="0"/>
    <x v="0"/>
    <x v="0"/>
    <x v="3"/>
    <x v="3"/>
    <n v="469"/>
    <n v="-11"/>
    <x v="0"/>
    <d v="2024-10-06T13:35:00"/>
    <d v="2024-10-07T03:17:00"/>
    <d v="2024-10-06T14:52:00"/>
    <n v="-729.48333333333335"/>
    <n v="75.38333333333334"/>
    <x v="8"/>
    <d v="2024-10-07T13:39:00"/>
    <d v="2024-10-07T16:36:00"/>
    <n v="173.3"/>
    <x v="0"/>
    <d v="2024-10-08T08:25:00"/>
    <d v="2024-10-08T11:16:00"/>
    <n v="167.43333333333334"/>
    <x v="4"/>
    <n v="1.7312500000043656"/>
    <x v="1"/>
    <n v="-0.76874999999563443"/>
    <n v="41.550000000104774"/>
    <n v="16"/>
    <n v="25.550000000104774"/>
    <n v="6.1056751467459991"/>
    <x v="0"/>
  </r>
  <r>
    <x v="1"/>
    <x v="1"/>
    <d v="2024-10-06T20:35:44"/>
    <s v="OM9991YRR"/>
    <x v="1"/>
    <s v="UAY 526V"/>
    <s v="Benon Ssempijja"/>
    <s v="DE PLACE INVESTMENTS LTD"/>
    <n v="153.60000000000002"/>
    <s v="F15108"/>
    <x v="0"/>
    <x v="1"/>
    <x v="0"/>
    <x v="1"/>
    <x v="0"/>
    <x v="0"/>
    <n v="767"/>
    <n v="7"/>
    <x v="0"/>
    <d v="2024-10-07T05:42:00"/>
    <d v="2024-10-06T21:55:00"/>
    <d v="2024-10-07T06:19:00"/>
    <n v="493.48333333333335"/>
    <n v="36.216666666666669"/>
    <x v="1"/>
    <d v="2024-10-07T18:31:00"/>
    <d v="2024-10-08T10:22:00"/>
    <n v="931.18333333333328"/>
    <x v="0"/>
    <d v="2024-10-09T08:54:00"/>
    <d v="2024-10-09T10:05:00"/>
    <n v="69.516666666666666"/>
    <x v="0"/>
    <n v="2.1076388888905058"/>
    <x v="0"/>
    <n v="0.10763888889050577"/>
    <n v="50.583333333372138"/>
    <n v="24"/>
    <n v="26.583333333372138"/>
    <n v="5.7780564263238547"/>
    <x v="0"/>
  </r>
  <r>
    <x v="1"/>
    <x v="1"/>
    <d v="2024-10-06T20:41:21"/>
    <s v="OM0T8SORR"/>
    <x v="1"/>
    <s v="UBK 881R"/>
    <s v="James  Kironde"/>
    <s v="Ntale and Sons"/>
    <n v="153.60000000000002"/>
    <s v="A17341"/>
    <x v="19"/>
    <x v="1"/>
    <x v="0"/>
    <x v="1"/>
    <x v="19"/>
    <x v="19"/>
    <n v="822"/>
    <n v="12"/>
    <x v="0"/>
    <d v="2024-10-07T06:27:00"/>
    <d v="2024-10-06T21:55:00"/>
    <d v="2024-10-07T07:07:00"/>
    <n v="540.48333333333335"/>
    <n v="39.166666666666664"/>
    <x v="1"/>
    <d v="2024-10-08T13:12:00"/>
    <d v="2024-10-08T17:55:00"/>
    <n v="277.10000000000002"/>
    <x v="0"/>
    <d v="2024-10-10T15:40:00"/>
    <d v="2024-10-10T17:07:00"/>
    <n v="85.183333333333337"/>
    <x v="0"/>
    <n v="3.3562500000043656"/>
    <x v="4"/>
    <n v="0.35625000000436557"/>
    <n v="80.550000000104774"/>
    <n v="36"/>
    <n v="44.550000000104774"/>
    <n v="3.4478114478033395"/>
    <x v="0"/>
  </r>
  <r>
    <x v="1"/>
    <x v="1"/>
    <d v="2024-10-06T20:42:47"/>
    <s v="OMA3B5URR"/>
    <x v="1"/>
    <s v="UBJ 988D"/>
    <s v="Tumusiime Robert"/>
    <s v="RUGOMA TRADERS CO. LTD NTUNGAM"/>
    <n v="153.60000000000002"/>
    <s v="F15110"/>
    <x v="15"/>
    <x v="1"/>
    <x v="0"/>
    <x v="1"/>
    <x v="15"/>
    <x v="15"/>
    <n v="131"/>
    <n v="1"/>
    <x v="0"/>
    <d v="2024-10-07T05:51:00"/>
    <d v="2024-10-07T06:15:00"/>
    <d v="2024-10-07T06:35:00"/>
    <n v="19.583333333333332"/>
    <n v="43.06666666666667"/>
    <x v="1"/>
    <d v="2024-10-07T09:58:00"/>
    <d v="2024-10-07T12:49:00"/>
    <n v="167.43333333333334"/>
    <x v="0"/>
    <d v="2024-10-08T14:46:00"/>
    <d v="2024-10-08T15:58:00"/>
    <n v="70.5"/>
    <x v="0"/>
    <n v="1.3409722222204437"/>
    <x v="8"/>
    <n v="0.34097222222044365"/>
    <n v="32.183333333290648"/>
    <n v="12"/>
    <n v="20.183333333290648"/>
    <n v="7.6102394715272439"/>
    <x v="0"/>
  </r>
  <r>
    <x v="1"/>
    <x v="0"/>
    <d v="2024-10-06T20:43:44"/>
    <s v="OMA5I50RR"/>
    <x v="1"/>
    <s v="UBM 644D"/>
    <s v="KAJUBI ISMA"/>
    <s v="Kato Investment Ltd -Mubende"/>
    <n v="156"/>
    <s v="A17342"/>
    <x v="1"/>
    <x v="0"/>
    <x v="0"/>
    <x v="0"/>
    <x v="1"/>
    <x v="1"/>
    <n v="693"/>
    <n v="13"/>
    <x v="0"/>
    <d v="2024-10-06T20:08:00"/>
    <d v="2024-10-06T21:55:00"/>
    <d v="2024-10-06T20:54:00"/>
    <n v="-59.733333333333334"/>
    <n v="45.033333333333331"/>
    <x v="1"/>
    <d v="2024-10-07T11:58:00"/>
    <d v="2024-10-08T12:48:00"/>
    <n v="1458.95"/>
    <x v="0"/>
    <d v="2024-10-09T10:22:00"/>
    <d v="2024-10-09T12:42:00"/>
    <n v="137.08333333333334"/>
    <x v="4"/>
    <n v="2.5611111111065838"/>
    <x v="1"/>
    <n v="6.1111111106583849E-2"/>
    <n v="61.466666666558012"/>
    <n v="24"/>
    <n v="37.466666666558012"/>
    <n v="4.1637010676277333"/>
    <x v="0"/>
  </r>
  <r>
    <x v="1"/>
    <x v="0"/>
    <d v="2024-10-06T20:44:39"/>
    <s v="OMY5KAERR"/>
    <x v="0"/>
    <s v="UBB 115P"/>
    <s v="Kakembo Masuud"/>
    <s v="Kato Investments Ltd-Bulenga"/>
    <n v="156"/>
    <s v="A17343"/>
    <x v="2"/>
    <x v="0"/>
    <x v="0"/>
    <x v="0"/>
    <x v="2"/>
    <x v="2"/>
    <n v="550"/>
    <n v="-10"/>
    <x v="0"/>
    <d v="2024-10-07T07:58:39"/>
    <d v="2024-10-07T07:30:39"/>
    <d v="2024-10-07T08:45:39"/>
    <n v="73.433333333333337"/>
    <n v="46.016666666666666"/>
    <x v="1"/>
    <d v="2024-10-08T08:45:39"/>
    <d v="2024-10-08T13:44:39"/>
    <n v="292.76666666666665"/>
    <x v="0"/>
    <d v="2024-10-09T08:45:39"/>
    <d v="2024-10-09T09:47:39"/>
    <n v="60.7"/>
    <x v="0"/>
    <n v="2"/>
    <x v="0"/>
    <n v="0"/>
    <n v="48"/>
    <n v="24"/>
    <n v="24"/>
    <n v="6.5"/>
    <x v="0"/>
  </r>
  <r>
    <x v="1"/>
    <x v="0"/>
    <d v="2024-10-06T22:29:27"/>
    <s v="OMG1GUGRR"/>
    <x v="1"/>
    <s v="UBJ 421 C"/>
    <s v="Tumwine Jimmy"/>
    <s v="Kabaco U Ltd"/>
    <n v="156"/>
    <s v="Z80461"/>
    <x v="6"/>
    <x v="0"/>
    <x v="0"/>
    <x v="0"/>
    <x v="6"/>
    <x v="6"/>
    <n v="331"/>
    <n v="11"/>
    <x v="0"/>
    <d v="2024-10-06T22:00:00"/>
    <d v="2024-10-06T08:00:00"/>
    <d v="2024-10-06T22:37:00"/>
    <n v="858.7166666666667"/>
    <n v="36.216666666666669"/>
    <x v="1"/>
    <d v="2024-10-07T11:37:00"/>
    <d v="2024-10-08T11:26:00"/>
    <n v="1399.2166666666667"/>
    <x v="0"/>
    <d v="2024-10-08T18:48:00"/>
    <d v="2024-10-08T20:34:00"/>
    <n v="103.78333333333333"/>
    <x v="0"/>
    <n v="1.8409722222204437"/>
    <x v="3"/>
    <n v="0.34097222222044365"/>
    <n v="44.183333333290648"/>
    <n v="12"/>
    <n v="32.183333333290648"/>
    <n v="4.8472294148174075"/>
    <x v="0"/>
  </r>
  <r>
    <x v="1"/>
    <x v="1"/>
    <d v="2024-10-07T14:23:16"/>
    <s v="OMNS9GDRR"/>
    <x v="0"/>
    <s v="UAT 351G"/>
    <s v="Hamudi Sesanga"/>
    <s v="Kabaco U Ltd-Mbarara"/>
    <n v="153.60000000000002"/>
    <s v="Z80462"/>
    <x v="8"/>
    <x v="1"/>
    <x v="0"/>
    <x v="1"/>
    <x v="8"/>
    <x v="8"/>
    <n v="11"/>
    <n v="0"/>
    <x v="0"/>
    <d v="2024-10-07T15:21:16"/>
    <d v="2024-10-07T14:53:16"/>
    <d v="2024-10-07T16:10:16"/>
    <n v="75.38333333333334"/>
    <n v="47.966666666666669"/>
    <x v="8"/>
    <d v="2024-10-07T16:35:16"/>
    <d v="2024-10-08T11:32:52"/>
    <n v="1113.9000000000001"/>
    <x v="0"/>
    <d v="2024-10-08T12:03:52"/>
    <d v="2024-10-08T13:05:52"/>
    <n v="60.7"/>
    <x v="0"/>
    <n v="0.82888888888555812"/>
    <x v="5"/>
    <n v="2.8888888885558073E-2"/>
    <n v="19.893333333253395"/>
    <n v="0"/>
    <n v="19.893333333253395"/>
    <n v="7.7211796246959068"/>
    <x v="0"/>
  </r>
  <r>
    <x v="1"/>
    <x v="1"/>
    <d v="2024-10-07T14:39:51"/>
    <s v="OMPYF0URR"/>
    <x v="1"/>
    <s v="UAV 203T"/>
    <s v="Mugisha  George"/>
    <s v="KATO INVESTMENTS LTD- KALISIZO"/>
    <n v="153.60000000000002"/>
    <s v="F15115"/>
    <x v="4"/>
    <x v="1"/>
    <x v="0"/>
    <x v="1"/>
    <x v="4"/>
    <x v="4"/>
    <n v="351"/>
    <n v="1"/>
    <x v="0"/>
    <d v="2024-10-09T17:25:00"/>
    <d v="2024-10-08T03:43:00"/>
    <d v="2024-10-09T18:05:00"/>
    <n v="2254.0333333333333"/>
    <n v="39.166666666666664"/>
    <x v="1"/>
    <d v="2024-10-10T10:09:00"/>
    <d v="2024-10-10T14:34:00"/>
    <n v="259.46666666666664"/>
    <x v="0"/>
    <d v="2024-10-11T07:26:00"/>
    <d v="2024-10-11T08:57:00"/>
    <n v="89.1"/>
    <x v="0"/>
    <n v="1.5562500000014552"/>
    <x v="2"/>
    <n v="-0.14374999999854476"/>
    <n v="37.350000000034925"/>
    <n v="12"/>
    <n v="25.350000000034925"/>
    <n v="6.0591715976247889"/>
    <x v="0"/>
  </r>
  <r>
    <x v="1"/>
    <x v="1"/>
    <d v="2024-10-07T14:42:18"/>
    <s v="OMAFCP0RR"/>
    <x v="1"/>
    <s v="UAY 265V"/>
    <s v="Luyaga Isaac"/>
    <s v="Ntale and Sons"/>
    <n v="153.60000000000002"/>
    <s v="A17346"/>
    <x v="19"/>
    <x v="1"/>
    <x v="0"/>
    <x v="1"/>
    <x v="19"/>
    <x v="19"/>
    <n v="794"/>
    <n v="-16"/>
    <x v="0"/>
    <d v="2024-10-08T14:46:00"/>
    <d v="2024-10-07T16:40:00"/>
    <d v="2024-10-08T15:30:00"/>
    <n v="1341.45"/>
    <n v="43.06666666666667"/>
    <x v="1"/>
    <d v="2024-10-10T07:58:00"/>
    <d v="2024-10-10T10:56:00"/>
    <n v="174.28333333333333"/>
    <x v="0"/>
    <d v="2024-10-11T09:25:00"/>
    <d v="2024-10-11T11:55:00"/>
    <n v="146.86666666666667"/>
    <x v="5"/>
    <n v="2.7465277777737356"/>
    <x v="4"/>
    <n v="-0.25347222222626442"/>
    <n v="65.916666666569654"/>
    <n v="24"/>
    <n v="41.916666666569654"/>
    <n v="3.6644135188951616"/>
    <x v="0"/>
  </r>
  <r>
    <x v="1"/>
    <x v="0"/>
    <d v="2024-10-07T14:43:51"/>
    <s v="OM91PM8RR"/>
    <x v="1"/>
    <s v="UBM 565R"/>
    <s v="BAZALE SAID"/>
    <s v="Ntale and Sons Ltd-Kakiri"/>
    <n v="156"/>
    <s v="A17347"/>
    <x v="22"/>
    <x v="0"/>
    <x v="0"/>
    <x v="0"/>
    <x v="22"/>
    <x v="21"/>
    <n v="615"/>
    <n v="-5"/>
    <x v="0"/>
    <d v="2024-10-07T21:38:00"/>
    <d v="2024-10-08T01:59:00"/>
    <d v="2024-10-07T22:24:00"/>
    <n v="-210.53333333333333"/>
    <n v="45.033333333333331"/>
    <x v="1"/>
    <d v="2024-10-08T17:47:00"/>
    <d v="2024-10-09T09:52:00"/>
    <n v="944.88333333333333"/>
    <x v="0"/>
    <d v="2024-10-09T16:03:00"/>
    <d v="2024-10-09T17:13:00"/>
    <n v="68.533333333333331"/>
    <x v="0"/>
    <n v="1.7354166666627862"/>
    <x v="0"/>
    <n v="-0.26458333333721384"/>
    <n v="41.649999999906868"/>
    <n v="12"/>
    <n v="29.649999999906868"/>
    <n v="5.2613827993419902"/>
    <x v="0"/>
  </r>
  <r>
    <x v="1"/>
    <x v="1"/>
    <d v="2024-10-07T19:46:11"/>
    <s v="OM3TX1YRR"/>
    <x v="1"/>
    <s v="UBE 287X"/>
    <s v="Isaac Tumuhimbise"/>
    <s v="Agaba Services"/>
    <n v="153.60000000000002"/>
    <s v="F15116"/>
    <x v="20"/>
    <x v="1"/>
    <x v="0"/>
    <x v="1"/>
    <x v="20"/>
    <x v="20"/>
    <n v="293"/>
    <n v="-9"/>
    <x v="0"/>
    <d v="2024-10-08T16:29:00"/>
    <d v="2024-10-08T09:30:00"/>
    <d v="2024-10-08T17:06:00"/>
    <n v="446.48333333333335"/>
    <n v="36.216666666666669"/>
    <x v="1"/>
    <d v="2024-10-09T10:22:00"/>
    <d v="2024-10-09T12:20:00"/>
    <n v="115.53333333333333"/>
    <x v="0"/>
    <d v="2024-10-09T16:24:00"/>
    <d v="2024-10-09T18:07:00"/>
    <n v="100.85"/>
    <x v="0"/>
    <n v="0.97083333333284827"/>
    <x v="8"/>
    <n v="-2.9166666667151731E-2"/>
    <n v="23.299999999988358"/>
    <n v="0"/>
    <n v="23.299999999988358"/>
    <n v="6.5922746781148831"/>
    <x v="0"/>
  </r>
  <r>
    <x v="1"/>
    <x v="1"/>
    <d v="2024-10-07T20:59:48"/>
    <s v="OM3TZGSRR"/>
    <x v="1"/>
    <s v="UBE 419T"/>
    <s v="Kilabila Ismail"/>
    <s v="Agaba Services"/>
    <n v="153.60000000000002"/>
    <s v="F15119"/>
    <x v="20"/>
    <x v="1"/>
    <x v="0"/>
    <x v="1"/>
    <x v="20"/>
    <x v="20"/>
    <n v="296"/>
    <n v="-6"/>
    <x v="0"/>
    <d v="2024-10-08T17:37:00"/>
    <d v="2024-10-08T10:00:00"/>
    <d v="2024-10-08T18:20:00"/>
    <n v="489.58333333333331"/>
    <n v="42.1"/>
    <x v="1"/>
    <d v="2024-10-09T12:07:00"/>
    <d v="2024-10-09T14:31:00"/>
    <n v="140.98333333333332"/>
    <x v="0"/>
    <d v="2024-10-09T12:20:00"/>
    <d v="2024-10-09T13:38:00"/>
    <n v="76.36666666666666"/>
    <x v="0"/>
    <n v="0.75"/>
    <x v="8"/>
    <n v="-0.25"/>
    <n v="18"/>
    <n v="0"/>
    <n v="18"/>
    <n v="8.533333333333335"/>
    <x v="0"/>
  </r>
  <r>
    <x v="1"/>
    <x v="1"/>
    <d v="2024-10-07T21:47:28"/>
    <s v="OMWKDKVRR"/>
    <x v="1"/>
    <s v="UBJ 415C"/>
    <s v="Abel Mark naffa"/>
    <s v="Ntale and Sons"/>
    <n v="153.60000000000002"/>
    <s v="A17360"/>
    <x v="19"/>
    <x v="1"/>
    <x v="0"/>
    <x v="1"/>
    <x v="19"/>
    <x v="19"/>
    <n v="793"/>
    <n v="-17"/>
    <x v="0"/>
    <d v="2024-10-08T16:07:00"/>
    <d v="2024-10-08T16:40:00"/>
    <d v="2024-10-08T17:23:00"/>
    <n v="42.1"/>
    <n v="74.416666666666671"/>
    <x v="2"/>
    <d v="2024-10-10T12:01:00"/>
    <d v="2024-10-10T14:59:00"/>
    <n v="174.28333333333333"/>
    <x v="0"/>
    <d v="2024-10-11T17:22:00"/>
    <d v="2024-10-11T19:00:00"/>
    <n v="95.95"/>
    <x v="0"/>
    <n v="2.9993055555532919"/>
    <x v="4"/>
    <n v="-6.944444467080757E-4"/>
    <n v="71.983333333279006"/>
    <n v="32"/>
    <n v="39.983333333279006"/>
    <n v="3.8416006669497804"/>
    <x v="0"/>
  </r>
  <r>
    <x v="1"/>
    <x v="1"/>
    <d v="2024-10-08T16:25:04"/>
    <s v="OMJ3SJ3RR"/>
    <x v="1"/>
    <s v="UBK 875R"/>
    <s v="Bisaso  Ronald"/>
    <s v="Agaba Services"/>
    <n v="153.60000000000002"/>
    <s v="F15127"/>
    <x v="20"/>
    <x v="1"/>
    <x v="0"/>
    <x v="1"/>
    <x v="20"/>
    <x v="20"/>
    <n v="305"/>
    <n v="3"/>
    <x v="0"/>
    <d v="2024-10-09T08:08:00"/>
    <d v="2024-10-09T04:15:00"/>
    <d v="2024-10-09T08:54:00"/>
    <n v="273.18333333333334"/>
    <n v="45.033333333333331"/>
    <x v="1"/>
    <d v="2024-10-09T15:15:00"/>
    <d v="2024-10-09T17:43:00"/>
    <n v="144.91666666666666"/>
    <x v="0"/>
    <d v="2024-10-10T12:30:00"/>
    <d v="2024-10-10T15:33:00"/>
    <n v="179.18333333333334"/>
    <x v="1"/>
    <n v="1.1500000000014552"/>
    <x v="8"/>
    <n v="0.15000000000145519"/>
    <n v="27.600000000034925"/>
    <n v="12"/>
    <n v="15.600000000034925"/>
    <n v="9.8461538461318039"/>
    <x v="0"/>
  </r>
  <r>
    <x v="1"/>
    <x v="0"/>
    <d v="2024-10-08T18:40:54"/>
    <s v="OMAWC9URR"/>
    <x v="1"/>
    <s v="UBK 862R"/>
    <s v="SULAIMAN MUBIRU"/>
    <s v="DE PLACE INVESTMENTS LTD"/>
    <n v="156"/>
    <s v="F15128"/>
    <x v="0"/>
    <x v="0"/>
    <x v="0"/>
    <x v="0"/>
    <x v="0"/>
    <x v="0"/>
    <n v="791"/>
    <n v="31"/>
    <x v="0"/>
    <d v="2024-10-08T18:29:00"/>
    <d v="2024-10-08T19:30:00"/>
    <d v="2024-10-08T19:06:00"/>
    <n v="-23.516666666666666"/>
    <n v="36.216666666666669"/>
    <x v="1"/>
    <d v="2024-10-09T20:26:00"/>
    <d v="2024-10-10T10:16:00"/>
    <n v="812.7"/>
    <x v="0"/>
    <d v="2024-10-11T07:24:00"/>
    <d v="2024-10-11T09:24:00"/>
    <n v="117.5"/>
    <x v="9"/>
    <n v="2.5125000000043656"/>
    <x v="0"/>
    <n v="0.51250000000436557"/>
    <n v="60.300000000104774"/>
    <n v="24"/>
    <n v="36.300000000104774"/>
    <n v="4.2975206611446204"/>
    <x v="6"/>
  </r>
  <r>
    <x v="1"/>
    <x v="1"/>
    <d v="2024-10-08T22:19:21"/>
    <s v="OMP8JCYRR"/>
    <x v="1"/>
    <s v="UBE 422T"/>
    <s v="Jacob Oneka"/>
    <s v="Ntale and Sons"/>
    <n v="153.60000000000002"/>
    <s v="A17385"/>
    <x v="19"/>
    <x v="1"/>
    <x v="0"/>
    <x v="1"/>
    <x v="19"/>
    <x v="19"/>
    <n v="801"/>
    <n v="-9"/>
    <x v="0"/>
    <d v="2024-10-09T09:08:00"/>
    <d v="2024-10-09T16:40:00"/>
    <d v="2024-10-09T09:51:00"/>
    <n v="-400.48333333333335"/>
    <n v="42.1"/>
    <x v="1"/>
    <d v="2024-10-10T10:06:00"/>
    <d v="2024-10-10T18:19:00"/>
    <n v="482.71666666666664"/>
    <x v="0"/>
    <d v="2024-10-12T08:48:00"/>
    <d v="2024-10-12T11:23:00"/>
    <n v="151.76666666666668"/>
    <x v="6"/>
    <n v="2.9562500000029104"/>
    <x v="4"/>
    <n v="-4.3749999997089617E-2"/>
    <n v="70.950000000069849"/>
    <n v="24"/>
    <n v="46.950000000069849"/>
    <n v="3.2715654952028008"/>
    <x v="0"/>
  </r>
  <r>
    <x v="1"/>
    <x v="0"/>
    <d v="2024-10-09T00:00:00"/>
    <s v="OM02K8SB"/>
    <x v="0"/>
    <s v="UBP 312H"/>
    <m/>
    <s v="Bates Enterprises Ltd-Ntoroko"/>
    <n v="156"/>
    <s v="Z80516"/>
    <x v="25"/>
    <x v="0"/>
    <x v="0"/>
    <x v="0"/>
    <x v="25"/>
    <x v="24"/>
    <n v="511"/>
    <n v="-1"/>
    <x v="0"/>
    <d v="2024-10-09T07:58:00"/>
    <d v="2024-10-09T07:30:00"/>
    <d v="2024-10-09T08:47:00"/>
    <n v="75.38333333333334"/>
    <n v="47.966666666666669"/>
    <x v="1"/>
    <d v="2024-10-10T20:47:00"/>
    <d v="2024-10-11T11:47:00"/>
    <n v="881.25"/>
    <x v="0"/>
    <d v="2024-10-12T13:56:36"/>
    <d v="2024-10-12T15:12:36"/>
    <n v="74.400000000000006"/>
    <x v="0"/>
    <n v="3.2149999999965075"/>
    <x v="4"/>
    <n v="0.21499999999650754"/>
    <n v="77.159999999916181"/>
    <n v="36"/>
    <n v="41.159999999916181"/>
    <n v="3.7900874635645696"/>
    <x v="12"/>
  </r>
  <r>
    <x v="1"/>
    <x v="0"/>
    <d v="2024-10-09T00:00:00"/>
    <s v="OM02K8SA"/>
    <x v="0"/>
    <s v="UBK 866R"/>
    <m/>
    <s v="Sawan Distributors Ltd-Kayabwe"/>
    <n v="156"/>
    <s v="A17414"/>
    <x v="9"/>
    <x v="0"/>
    <x v="0"/>
    <x v="0"/>
    <x v="9"/>
    <x v="9"/>
    <m/>
    <n v="-400"/>
    <x v="0"/>
    <d v="2024-10-09T07:38:00"/>
    <d v="2024-10-09T07:30:00"/>
    <d v="2024-10-09T08:45:00"/>
    <n v="73.433333333333337"/>
    <n v="65.599999999999994"/>
    <x v="8"/>
    <d v="2024-10-09T17:45:00"/>
    <d v="2024-10-10T17:20:31"/>
    <n v="1386.0166666666667"/>
    <x v="0"/>
    <d v="2024-10-11T14:56:31"/>
    <d v="2024-10-11T16:16:31"/>
    <n v="78.316666666666663"/>
    <x v="0"/>
    <n v="2.2580000000016298"/>
    <x v="0"/>
    <n v="0.25800000000162981"/>
    <n v="54.192000000039116"/>
    <n v="32"/>
    <n v="22.192000000039116"/>
    <n v="7.029560201862159"/>
    <x v="0"/>
  </r>
  <r>
    <x v="1"/>
    <x v="1"/>
    <d v="2024-10-09T14:11:36"/>
    <s v="OMTKHAGRR"/>
    <x v="1"/>
    <s v="UBK 881R"/>
    <s v="James  Kironde"/>
    <s v="Ntale and Sons"/>
    <n v="144"/>
    <s v="A17394"/>
    <x v="19"/>
    <x v="1"/>
    <x v="0"/>
    <x v="1"/>
    <x v="19"/>
    <x v="19"/>
    <n v="818"/>
    <n v="8"/>
    <x v="0"/>
    <d v="2024-10-10T18:22:00"/>
    <d v="2024-10-09T16:40:00"/>
    <d v="2024-10-10T19:05:00"/>
    <n v="1551.9666666666667"/>
    <n v="42.1"/>
    <x v="1"/>
    <d v="2024-10-11T17:03:00"/>
    <d v="2024-10-12T14:24:00"/>
    <n v="1254.3"/>
    <x v="0"/>
    <d v="2024-10-13T14:20:00"/>
    <d v="2024-10-13T15:34:00"/>
    <n v="72.45"/>
    <x v="0"/>
    <n v="2.8020833333284827"/>
    <x v="4"/>
    <n v="-0.19791666667151731"/>
    <n v="67.249999999883585"/>
    <n v="24"/>
    <n v="43.249999999883585"/>
    <n v="3.329479768795089"/>
    <x v="0"/>
  </r>
  <r>
    <x v="1"/>
    <x v="1"/>
    <d v="2024-10-09T14:12:40"/>
    <s v="OME2PI7RR"/>
    <x v="1"/>
    <s v="UBE 287X"/>
    <s v="Isaac Tumuhimbise"/>
    <s v="KATO INVESTMENTS LTD- KALISIZO"/>
    <n v="142.19999999999999"/>
    <s v="F15130"/>
    <x v="4"/>
    <x v="1"/>
    <x v="0"/>
    <x v="1"/>
    <x v="4"/>
    <x v="4"/>
    <n v="348"/>
    <n v="-2"/>
    <x v="0"/>
    <d v="2024-10-10T08:17:00"/>
    <d v="2024-10-10T03:43:00"/>
    <d v="2024-10-10T08:57:00"/>
    <n v="307.45"/>
    <n v="39.166666666666664"/>
    <x v="1"/>
    <d v="2024-10-11T09:25:00"/>
    <d v="2024-10-11T14:50:00"/>
    <n v="318.21666666666664"/>
    <x v="0"/>
    <d v="2024-10-12T10:54:00"/>
    <d v="2024-10-12T11:58:00"/>
    <n v="62.65"/>
    <x v="0"/>
    <n v="2.0812500000029104"/>
    <x v="2"/>
    <n v="0.38125000000291043"/>
    <n v="49.950000000069849"/>
    <n v="24"/>
    <n v="25.950000000069849"/>
    <n v="5.4797687861124178"/>
    <x v="0"/>
  </r>
  <r>
    <x v="1"/>
    <x v="0"/>
    <d v="2024-10-09T14:14:06"/>
    <s v="OM9I29WRR"/>
    <x v="1"/>
    <s v="UBP 298H"/>
    <s v="SENTONG DAVID"/>
    <s v="Kato Investment Ltd -Mityana"/>
    <n v="157.5"/>
    <s v="A17395"/>
    <x v="16"/>
    <x v="0"/>
    <x v="0"/>
    <x v="0"/>
    <x v="16"/>
    <x v="16"/>
    <n v="677"/>
    <n v="-13"/>
    <x v="0"/>
    <d v="2024-10-09T16:17:00"/>
    <d v="2024-10-09T19:35:00"/>
    <d v="2024-10-09T17:01:00"/>
    <n v="-150.80000000000001"/>
    <n v="43.06666666666667"/>
    <x v="1"/>
    <d v="2024-10-10T07:12:00"/>
    <d v="2024-10-10T16:31:00"/>
    <n v="547.35"/>
    <x v="0"/>
    <d v="2024-10-11T12:22:00"/>
    <d v="2024-10-11T13:42:00"/>
    <n v="78.316666666666663"/>
    <x v="0"/>
    <n v="1.8062500000014552"/>
    <x v="0"/>
    <n v="-0.19374999999854481"/>
    <n v="43.350000000034925"/>
    <n v="12"/>
    <n v="31.350000000034925"/>
    <n v="5.0239234449704799"/>
    <x v="0"/>
  </r>
  <r>
    <x v="1"/>
    <x v="1"/>
    <d v="2024-10-09T20:24:29"/>
    <s v="OM8K6J9RR"/>
    <x v="0"/>
    <s v="UAT 351G"/>
    <s v="Hamudi Sesanga"/>
    <s v="Kabaco U Ltd"/>
    <n v="149.10000000000002"/>
    <s v="Z80509"/>
    <x v="6"/>
    <x v="1"/>
    <x v="0"/>
    <x v="1"/>
    <x v="6"/>
    <x v="6"/>
    <n v="331"/>
    <n v="11"/>
    <x v="0"/>
    <d v="2024-10-10T07:58:29"/>
    <d v="2024-10-10T07:30:29"/>
    <d v="2024-10-10T08:38:29"/>
    <n v="66.583333333333329"/>
    <n v="39.166666666666664"/>
    <x v="1"/>
    <d v="2024-10-10T14:38:29"/>
    <d v="2024-10-10T18:28:53"/>
    <n v="225.6"/>
    <x v="0"/>
    <d v="2024-10-11T08:24:05"/>
    <d v="2024-10-11T09:27:05"/>
    <n v="61.68333333333333"/>
    <x v="0"/>
    <n v="0.99000000000523869"/>
    <x v="3"/>
    <n v="-0.50999999999476131"/>
    <n v="23.760000000125729"/>
    <n v="0"/>
    <n v="23.760000000125729"/>
    <n v="6.2752525252193196"/>
    <x v="0"/>
  </r>
  <r>
    <x v="1"/>
    <x v="0"/>
    <d v="2024-10-09T20:31:24"/>
    <s v="OMXYFYPRR"/>
    <x v="1"/>
    <s v="UBJ 417C"/>
    <s v="FARUK   ABEL"/>
    <s v="Kato Investment Ltd -Mityana"/>
    <n v="157.5"/>
    <s v="A17403"/>
    <x v="16"/>
    <x v="0"/>
    <x v="0"/>
    <x v="0"/>
    <x v="16"/>
    <x v="16"/>
    <n v="691"/>
    <n v="1"/>
    <x v="0"/>
    <d v="2024-10-10T07:06:00"/>
    <d v="2024-10-09T20:55:00"/>
    <d v="2024-10-10T07:52:00"/>
    <n v="643.29999999999995"/>
    <n v="45.033333333333331"/>
    <x v="1"/>
    <d v="2024-10-11T15:49:00"/>
    <d v="2024-10-11T18:10:00"/>
    <n v="138.05000000000001"/>
    <x v="0"/>
    <d v="2024-10-13T14:37:00"/>
    <d v="2024-10-13T16:25:00"/>
    <n v="105.75"/>
    <x v="0"/>
    <n v="3.28125"/>
    <x v="0"/>
    <n v="1.28125"/>
    <n v="78.75"/>
    <n v="36"/>
    <n v="42.75"/>
    <n v="3.6842105263157894"/>
    <x v="4"/>
  </r>
  <r>
    <x v="1"/>
    <x v="1"/>
    <d v="2024-10-09T23:02:43"/>
    <s v="OMYEFXMRR"/>
    <x v="1"/>
    <s v="UBJ 707D"/>
    <s v="Konge Husein"/>
    <s v="Agaba Services"/>
    <n v="153.60000000000002"/>
    <s v="F15132"/>
    <x v="20"/>
    <x v="1"/>
    <x v="0"/>
    <x v="1"/>
    <x v="20"/>
    <x v="20"/>
    <n v="292"/>
    <n v="-10"/>
    <x v="0"/>
    <d v="2024-10-12T07:09:00"/>
    <d v="2024-10-10T10:00:00"/>
    <d v="2024-10-12T08:18:00"/>
    <n v="2720.1166666666668"/>
    <n v="67.55"/>
    <x v="8"/>
    <d v="2024-10-12T13:37:00"/>
    <d v="2024-10-12T16:44:00"/>
    <n v="183.1"/>
    <x v="0"/>
    <d v="2024-10-13T10:10:00"/>
    <d v="2024-10-13T11:57:00"/>
    <n v="104.76666666666667"/>
    <x v="0"/>
    <n v="1.077777777776646"/>
    <x v="8"/>
    <n v="7.7777777776645962E-2"/>
    <n v="25.866666666639503"/>
    <n v="16"/>
    <n v="9.8666666666395031"/>
    <n v="15.567567567610428"/>
    <x v="0"/>
  </r>
  <r>
    <x v="1"/>
    <x v="1"/>
    <d v="2024-10-09T23:07:29"/>
    <s v="OMEHYQTRR"/>
    <x v="1"/>
    <s v="UBE 419T"/>
    <s v="Kilabila Ismail"/>
    <s v="KATO INVESTMENTS LIMITED-MASAK"/>
    <n v="135"/>
    <s v="F15133"/>
    <x v="14"/>
    <x v="1"/>
    <x v="0"/>
    <x v="1"/>
    <x v="14"/>
    <x v="14"/>
    <n v="356"/>
    <n v="16"/>
    <x v="0"/>
    <d v="2024-10-10T13:36:00"/>
    <d v="2024-10-10T08:30:00"/>
    <d v="2024-10-10T14:22:00"/>
    <n v="344.66666666666669"/>
    <n v="45.033333333333331"/>
    <x v="1"/>
    <d v="2024-10-11T13:22:00"/>
    <d v="2024-10-11T17:46:00"/>
    <n v="258.5"/>
    <x v="0"/>
    <d v="2024-10-12T17:56:00"/>
    <d v="2024-10-12T19:43:00"/>
    <n v="104.76666666666667"/>
    <x v="0"/>
    <n v="2.148611111108039"/>
    <x v="8"/>
    <n v="1.148611111108039"/>
    <n v="51.566666666592937"/>
    <n v="24"/>
    <n v="27.566666666592937"/>
    <n v="4.8972188633746461"/>
    <x v="0"/>
  </r>
  <r>
    <x v="1"/>
    <x v="0"/>
    <d v="2024-10-10T18:01:31"/>
    <s v="OMR4ERARR"/>
    <x v="1"/>
    <s v="UBF 070Q"/>
    <s v="NTUMWA SOLOMON"/>
    <s v="Kabaco U Ltd"/>
    <n v="156"/>
    <s v="Z80524"/>
    <x v="6"/>
    <x v="0"/>
    <x v="0"/>
    <x v="0"/>
    <x v="6"/>
    <x v="6"/>
    <n v="342"/>
    <n v="22"/>
    <x v="0"/>
    <d v="2024-10-10T17:46:00"/>
    <d v="2024-10-11T02:22:00"/>
    <d v="2024-10-10T18:29:00"/>
    <n v="-463.15"/>
    <n v="42.1"/>
    <x v="1"/>
    <d v="2024-10-11T09:15:00"/>
    <d v="2024-10-11T18:42:00"/>
    <n v="555.18333333333328"/>
    <x v="0"/>
    <d v="2024-10-12T08:29:00"/>
    <d v="2024-10-12T09:59:00"/>
    <n v="88.11666666666666"/>
    <x v="0"/>
    <n v="1.5833333333357587"/>
    <x v="3"/>
    <n v="8.3333333335758653E-2"/>
    <n v="38.000000000058208"/>
    <n v="12"/>
    <n v="26.000000000058208"/>
    <n v="5.9999999999865672"/>
    <x v="0"/>
  </r>
  <r>
    <x v="1"/>
    <x v="0"/>
    <d v="2024-10-10T22:00:22"/>
    <s v="OMNR46MRR"/>
    <x v="1"/>
    <s v="UBJ 421 C"/>
    <s v="Tumwine Jimmy"/>
    <s v="Bates Enterprises Ltd-Ntoroko"/>
    <n v="154.19999999999999"/>
    <s v="Z80528"/>
    <x v="25"/>
    <x v="0"/>
    <x v="0"/>
    <x v="0"/>
    <x v="25"/>
    <x v="24"/>
    <n v="509"/>
    <n v="-3"/>
    <x v="0"/>
    <d v="2024-10-10T21:36:00"/>
    <d v="2024-10-10T22:00:00"/>
    <d v="2024-10-10T22:16:00"/>
    <n v="15.65"/>
    <n v="39.166666666666664"/>
    <x v="1"/>
    <d v="2024-10-12T12:53:00"/>
    <d v="2024-10-12T17:56:00"/>
    <n v="296.68333333333334"/>
    <x v="0"/>
    <d v="2024-10-13T08:27:00"/>
    <d v="2024-10-13T10:50:00"/>
    <n v="140.01666666666668"/>
    <x v="5"/>
    <n v="2.4243055555562023"/>
    <x v="4"/>
    <n v="-0.57569444444379769"/>
    <n v="58.183333333348855"/>
    <n v="24"/>
    <n v="34.183333333348855"/>
    <n v="4.5109702584084825"/>
    <x v="0"/>
  </r>
  <r>
    <x v="1"/>
    <x v="0"/>
    <d v="2024-10-10T22:01:27"/>
    <s v="OM4MEVKRR"/>
    <x v="0"/>
    <s v="UBF 375L"/>
    <m/>
    <s v="Bates Enterprises U Ltd"/>
    <n v="156"/>
    <s v="Z80529"/>
    <x v="7"/>
    <x v="0"/>
    <x v="0"/>
    <x v="0"/>
    <x v="7"/>
    <x v="7"/>
    <n v="576"/>
    <n v="-30"/>
    <x v="0"/>
    <d v="2024-10-11T07:58:27"/>
    <d v="2024-10-11T07:30:27"/>
    <d v="2024-10-11T08:47:27"/>
    <n v="75.38333333333334"/>
    <n v="47.966666666666669"/>
    <x v="1"/>
    <d v="2024-10-13T08:47:27"/>
    <d v="2024-10-13T13:47:27"/>
    <n v="293.75"/>
    <x v="0"/>
    <d v="2024-10-14T20:59:27"/>
    <d v="2024-10-14T22:09:27"/>
    <n v="68.533333333333331"/>
    <x v="0"/>
    <n v="3.508333333338669"/>
    <x v="4"/>
    <n v="0.50833333333866904"/>
    <n v="84.200000000128057"/>
    <n v="36"/>
    <n v="48.200000000128057"/>
    <n v="3.2365145228129779"/>
    <x v="8"/>
  </r>
  <r>
    <x v="1"/>
    <x v="0"/>
    <d v="2024-10-11T00:00:00"/>
    <s v="OM02K9E8"/>
    <x v="0"/>
    <s v="UBK 866R"/>
    <m/>
    <s v="Rugoma Traders-Rukungiri"/>
    <n v="156"/>
    <s v="Z80533"/>
    <x v="17"/>
    <x v="0"/>
    <x v="0"/>
    <x v="0"/>
    <x v="17"/>
    <x v="17"/>
    <n v="263"/>
    <n v="7"/>
    <x v="0"/>
    <d v="2024-10-11T07:58:00"/>
    <d v="2024-10-11T07:30:00"/>
    <d v="2024-10-11T08:45:00"/>
    <n v="73.433333333333337"/>
    <n v="46.016666666666666"/>
    <x v="1"/>
    <d v="2024-10-11T15:45:00"/>
    <d v="2024-10-11T18:09:00"/>
    <n v="140.98333333333332"/>
    <x v="0"/>
    <d v="2024-10-11T21:09:00"/>
    <d v="2024-10-11T22:12:00"/>
    <n v="61.68333333333333"/>
    <x v="0"/>
    <n v="0.51666666666278616"/>
    <x v="8"/>
    <n v="-0.48333333333721384"/>
    <n v="12.399999999906868"/>
    <n v="0"/>
    <n v="12.399999999906868"/>
    <n v="12.580645161384812"/>
    <x v="0"/>
  </r>
  <r>
    <x v="1"/>
    <x v="1"/>
    <d v="2024-10-11T11:54:01"/>
    <s v="OMG0DM3RR"/>
    <x v="0"/>
    <s v="UAR 731Q"/>
    <s v="Godwin Niwensiima"/>
    <s v="KATO INVESTMENTS LIMITED-MASAK"/>
    <n v="153.60000000000002"/>
    <s v="F15137"/>
    <x v="14"/>
    <x v="1"/>
    <x v="0"/>
    <x v="1"/>
    <x v="14"/>
    <x v="14"/>
    <n v="151"/>
    <n v="-189"/>
    <x v="0"/>
    <d v="2024-10-11T12:52:01"/>
    <d v="2024-10-11T12:24:01"/>
    <d v="2024-10-11T13:36:01"/>
    <n v="70.483333333333334"/>
    <n v="43.06666666666667"/>
    <x v="1"/>
    <d v="2024-10-11T16:49:01"/>
    <d v="2024-10-12T11:03:25"/>
    <n v="1071.5999999999999"/>
    <x v="0"/>
    <d v="2024-10-12T13:43:25"/>
    <d v="2024-10-12T14:48:25"/>
    <n v="63.633333333333333"/>
    <x v="0"/>
    <n v="1.0051388888896327"/>
    <x v="8"/>
    <n v="5.1388888896326534E-3"/>
    <n v="24.123333333351184"/>
    <n v="12"/>
    <n v="12.123333333351184"/>
    <n v="12.669782787993444"/>
    <x v="0"/>
  </r>
  <r>
    <x v="1"/>
    <x v="1"/>
    <d v="2024-10-11T11:57:42"/>
    <s v="OMTRUAXRR"/>
    <x v="1"/>
    <s v="UBK 875R"/>
    <s v="Bisaso  Ronald"/>
    <s v="KATO INVESTMENTS LIMITED-MASAK"/>
    <n v="151.80000000000001"/>
    <s v="F15138"/>
    <x v="14"/>
    <x v="1"/>
    <x v="0"/>
    <x v="1"/>
    <x v="14"/>
    <x v="14"/>
    <n v="155"/>
    <n v="-185"/>
    <x v="2"/>
    <d v="2024-10-11T18:10:00"/>
    <d v="2024-10-12T04:14:00"/>
    <d v="2024-10-11T18:56:00"/>
    <n v="-546.38333333333333"/>
    <n v="45.033333333333331"/>
    <x v="1"/>
    <d v="2024-10-11T21:18:00"/>
    <d v="2024-10-12T12:50:00"/>
    <n v="912.56666666666672"/>
    <x v="0"/>
    <d v="2024-10-12T15:13:00"/>
    <d v="2024-10-12T17:37:00"/>
    <n v="140.98333333333332"/>
    <x v="5"/>
    <n v="0.84513888888614019"/>
    <x v="8"/>
    <n v="-0.15486111111385981"/>
    <n v="20.283333333267365"/>
    <n v="0"/>
    <n v="20.283333333267365"/>
    <n v="7.4839769926291071"/>
    <x v="0"/>
  </r>
  <r>
    <x v="1"/>
    <x v="0"/>
    <d v="2024-10-11T12:01:39"/>
    <s v="OM0RIDDRR"/>
    <x v="1"/>
    <s v="UBK 882R"/>
    <s v="NASASIRA STEPHENE"/>
    <s v="Kato Investment Ltd -Mityana"/>
    <n v="172.8"/>
    <s v="A17447"/>
    <x v="16"/>
    <x v="0"/>
    <x v="0"/>
    <x v="0"/>
    <x v="16"/>
    <x v="16"/>
    <n v="680"/>
    <n v="-10"/>
    <x v="0"/>
    <d v="2024-10-11T11:38:00"/>
    <d v="2024-10-11T19:35:00"/>
    <d v="2024-10-11T12:21:00"/>
    <n v="-424.96666666666664"/>
    <n v="42.1"/>
    <x v="1"/>
    <d v="2024-10-12T13:01:00"/>
    <d v="2024-10-12T14:22:00"/>
    <n v="79.3"/>
    <x v="0"/>
    <d v="2024-10-13T09:31:00"/>
    <d v="2024-10-13T11:22:00"/>
    <n v="108.68333333333334"/>
    <x v="0"/>
    <n v="1.8819444444452529"/>
    <x v="0"/>
    <n v="-0.11805555555474712"/>
    <n v="45.166666666686069"/>
    <n v="12"/>
    <n v="33.166666666686069"/>
    <n v="5.2100502512532341"/>
    <x v="0"/>
  </r>
  <r>
    <x v="1"/>
    <x v="1"/>
    <d v="2024-10-11T12:06:54"/>
    <s v="OMCCC1JRR"/>
    <x v="1"/>
    <s v="UBJ 415C"/>
    <s v="Abel Mark naffa"/>
    <s v="KATO INVESTMENTS LTD- KALISIZO"/>
    <n v="153.60000000000002"/>
    <s v="F15140"/>
    <x v="4"/>
    <x v="1"/>
    <x v="0"/>
    <x v="1"/>
    <x v="4"/>
    <x v="4"/>
    <n v="291"/>
    <n v="-59"/>
    <x v="0"/>
    <d v="2024-10-11T19:05:00"/>
    <d v="2024-10-12T03:43:00"/>
    <d v="2024-10-11T19:54:00"/>
    <n v="-459.23333333333335"/>
    <n v="47.966666666666669"/>
    <x v="1"/>
    <d v="2024-10-12T13:37:00"/>
    <d v="2024-10-12T18:50:00"/>
    <n v="306.46666666666664"/>
    <x v="0"/>
    <d v="2024-10-13T09:34:00"/>
    <d v="2024-10-13T11:56:00"/>
    <n v="139.03333333333333"/>
    <x v="4"/>
    <n v="1.5694444444379769"/>
    <x v="2"/>
    <n v="-0.13055555556202303"/>
    <n v="37.666666666511446"/>
    <n v="12"/>
    <n v="25.666666666511446"/>
    <n v="5.9844155844517761"/>
    <x v="0"/>
  </r>
  <r>
    <x v="1"/>
    <x v="1"/>
    <d v="2024-10-11T15:22:33"/>
    <s v="OMKL5SYRR"/>
    <x v="0"/>
    <s v="UBJ 988D"/>
    <m/>
    <s v="Kabaco U Ltd-Mbarara"/>
    <n v="153.60000000000002"/>
    <s v="Z80542"/>
    <x v="8"/>
    <x v="1"/>
    <x v="0"/>
    <x v="1"/>
    <x v="8"/>
    <x v="8"/>
    <n v="12"/>
    <n v="1"/>
    <x v="0"/>
    <d v="2024-10-11T16:20:33"/>
    <d v="2024-10-11T15:52:33"/>
    <d v="2024-10-11T17:04:33"/>
    <n v="70.483333333333334"/>
    <n v="43.06666666666667"/>
    <x v="1"/>
    <d v="2024-10-11T17:31:33"/>
    <d v="2024-10-12T10:05:09"/>
    <n v="972.9"/>
    <x v="0"/>
    <d v="2024-10-12T10:36:09"/>
    <d v="2024-10-12T11:52:09"/>
    <n v="74.400000000000006"/>
    <x v="0"/>
    <n v="0.73027777778042946"/>
    <x v="5"/>
    <n v="-6.9722222219570584E-2"/>
    <n v="17.526666666730307"/>
    <n v="0"/>
    <n v="17.526666666730307"/>
    <n v="8.7637885127106667"/>
    <x v="0"/>
  </r>
  <r>
    <x v="1"/>
    <x v="0"/>
    <d v="2024-10-11T17:51:24"/>
    <s v="OMZ446GRR"/>
    <x v="1"/>
    <s v="UBP 298H"/>
    <s v="SENTONG DAVID"/>
    <s v="Kabaco U Ltd"/>
    <n v="156"/>
    <s v="Z80543"/>
    <x v="6"/>
    <x v="0"/>
    <x v="0"/>
    <x v="0"/>
    <x v="6"/>
    <x v="6"/>
    <n v="334"/>
    <n v="14"/>
    <x v="0"/>
    <d v="2024-10-11T17:42:00"/>
    <d v="2024-10-12T02:22:00"/>
    <d v="2024-10-11T18:22:00"/>
    <n v="-470.01666666666665"/>
    <n v="39.166666666666664"/>
    <x v="1"/>
    <d v="2024-10-12T08:24:00"/>
    <d v="2024-10-13T14:31:00"/>
    <n v="1769.35"/>
    <x v="0"/>
    <d v="2024-10-13T20:17:00"/>
    <d v="2024-10-13T21:29:00"/>
    <n v="70.5"/>
    <x v="0"/>
    <n v="2.0798611111094942"/>
    <x v="3"/>
    <n v="0.57986111110949423"/>
    <n v="49.916666666627862"/>
    <n v="24"/>
    <n v="25.916666666627862"/>
    <n v="6.0192926045106203"/>
    <x v="0"/>
  </r>
  <r>
    <x v="1"/>
    <x v="1"/>
    <d v="2024-10-11T21:31:09"/>
    <s v="OM00Y0BRR"/>
    <x v="0"/>
    <s v="UBJ 375N"/>
    <s v="Stephen Musoke "/>
    <s v="Kobusinge Steven-Kamwenge"/>
    <n v="153.60000000000002"/>
    <s v="Z80550"/>
    <x v="13"/>
    <x v="1"/>
    <x v="0"/>
    <x v="1"/>
    <x v="13"/>
    <x v="13"/>
    <n v="240"/>
    <n v="10"/>
    <x v="0"/>
    <d v="2024-10-12T08:07:09"/>
    <d v="2024-10-12T07:30:09"/>
    <d v="2024-10-12T08:53:09"/>
    <n v="81.266666666666666"/>
    <n v="45.033333333333331"/>
    <x v="1"/>
    <d v="2024-10-13T09:23:09"/>
    <d v="2024-10-13T14:49:09"/>
    <n v="319.2"/>
    <x v="0"/>
    <d v="2024-10-13T20:19:09"/>
    <d v="2024-10-13T21:22:09"/>
    <n v="61.68333333333333"/>
    <x v="0"/>
    <n v="1.476388888891961"/>
    <x v="7"/>
    <n v="0.17638888889196092"/>
    <n v="35.433333333407063"/>
    <n v="12"/>
    <n v="23.433333333407063"/>
    <n v="6.554765291586774"/>
    <x v="0"/>
  </r>
  <r>
    <x v="1"/>
    <x v="0"/>
    <d v="2024-10-11T21:53:38"/>
    <s v="OMTY1SORR"/>
    <x v="1"/>
    <s v="UBP 301H"/>
    <s v="NAMINYA SIRAJE"/>
    <s v="Rugoma Traders-Rukungiri"/>
    <n v="156"/>
    <s v="Z80551"/>
    <x v="17"/>
    <x v="0"/>
    <x v="0"/>
    <x v="0"/>
    <x v="17"/>
    <x v="17"/>
    <n v="263"/>
    <n v="7"/>
    <x v="0"/>
    <d v="2024-10-12T17:12:00"/>
    <d v="2024-10-12T04:04:00"/>
    <d v="2024-10-12T17:52:00"/>
    <n v="810.73333333333335"/>
    <n v="39.166666666666664"/>
    <x v="1"/>
    <d v="2024-10-13T08:11:00"/>
    <d v="2024-10-13T12:33:00"/>
    <n v="256.53333333333336"/>
    <x v="0"/>
    <d v="2024-10-13T17:51:00"/>
    <d v="2024-10-13T19:39:00"/>
    <n v="105.73333333333333"/>
    <x v="0"/>
    <n v="0.99930555556056788"/>
    <x v="8"/>
    <n v="-6.9444443943211809E-4"/>
    <n v="23.983333333453629"/>
    <n v="0"/>
    <n v="23.983333333453629"/>
    <n v="6.5045170256796752"/>
    <x v="0"/>
  </r>
  <r>
    <x v="1"/>
    <x v="1"/>
    <d v="2024-10-11T21:58:36"/>
    <s v="OM82QX7RR"/>
    <x v="1"/>
    <s v="UAY 526V"/>
    <s v="Benon Ssempijja"/>
    <s v="Kabaco U Ltd-Mbarara"/>
    <n v="153.60000000000002"/>
    <s v="Z80552"/>
    <x v="8"/>
    <x v="1"/>
    <x v="0"/>
    <x v="1"/>
    <x v="8"/>
    <x v="8"/>
    <n v="12"/>
    <n v="1"/>
    <x v="0"/>
    <d v="2024-10-13T09:19:00"/>
    <d v="2024-10-12T10:00:00"/>
    <d v="2024-10-13T10:26:00"/>
    <n v="1435.45"/>
    <n v="65.599999999999994"/>
    <x v="8"/>
    <d v="2024-10-13T12:16:00"/>
    <d v="2024-10-13T17:45:00"/>
    <n v="322.13333333333333"/>
    <x v="0"/>
    <d v="2024-10-13T18:39:00"/>
    <d v="2024-10-13T19:41:00"/>
    <n v="60.7"/>
    <x v="0"/>
    <n v="0.34236111111385981"/>
    <x v="5"/>
    <n v="-0.45763888888614024"/>
    <n v="8.2166666667326353"/>
    <n v="0"/>
    <n v="8.2166666667326353"/>
    <n v="18.693711967395558"/>
    <x v="0"/>
  </r>
  <r>
    <x v="1"/>
    <x v="0"/>
    <d v="2024-10-11T22:02:45"/>
    <s v="OMMWTXKRR"/>
    <x v="1"/>
    <s v="UBE 690K"/>
    <s v="MUKOSE MUZAMIRU"/>
    <s v="Kobusinge Steven-FPortal"/>
    <n v="156"/>
    <s v="Z80555"/>
    <x v="11"/>
    <x v="0"/>
    <x v="0"/>
    <x v="0"/>
    <x v="11"/>
    <x v="11"/>
    <n v="393"/>
    <n v="3"/>
    <x v="0"/>
    <d v="2024-10-12T14:36:00"/>
    <d v="2024-10-12T20:25:00"/>
    <d v="2024-10-12T15:20:00"/>
    <n v="-298.64999999999998"/>
    <n v="43.06666666666667"/>
    <x v="1"/>
    <d v="2024-10-13T08:29:00"/>
    <d v="2024-10-14T17:53:00"/>
    <n v="1962.2333333333333"/>
    <x v="0"/>
    <d v="2024-10-15T11:05:00"/>
    <d v="2024-10-15T12:11:00"/>
    <n v="64.61666666666666"/>
    <x v="0"/>
    <n v="2.8229166666642413"/>
    <x v="0"/>
    <n v="0.82291666666424135"/>
    <n v="67.749999999941792"/>
    <n v="24"/>
    <n v="43.749999999941792"/>
    <n v="3.5657142857190296"/>
    <x v="1"/>
  </r>
  <r>
    <x v="1"/>
    <x v="0"/>
    <d v="2024-10-11T22:04:14"/>
    <s v="OMDNIVYRR"/>
    <x v="1"/>
    <s v="UBF 070Q"/>
    <s v="NTUMWA SOLOMON"/>
    <s v="Kato Investment Ltd -Kagadi"/>
    <n v="156"/>
    <s v="A17460"/>
    <x v="12"/>
    <x v="0"/>
    <x v="0"/>
    <x v="0"/>
    <x v="12"/>
    <x v="12"/>
    <n v="596"/>
    <n v="-16"/>
    <x v="0"/>
    <d v="2024-10-12T10:42:00"/>
    <d v="2024-10-12T17:46:00"/>
    <d v="2024-10-12T11:25:00"/>
    <n v="-373.06666666666666"/>
    <n v="42.1"/>
    <x v="1"/>
    <d v="2024-10-13T10:17:00"/>
    <d v="2024-10-13T15:51:00"/>
    <n v="327.03333333333336"/>
    <x v="0"/>
    <d v="2024-10-14T09:09:00"/>
    <d v="2024-10-14T11:47:00"/>
    <n v="154.69999999999999"/>
    <x v="2"/>
    <n v="1.9055555555532919"/>
    <x v="6"/>
    <n v="-0.3944444444467079"/>
    <n v="45.733333333279006"/>
    <n v="12"/>
    <n v="33.733333333279006"/>
    <n v="4.6245059288612023"/>
    <x v="0"/>
  </r>
  <r>
    <x v="1"/>
    <x v="0"/>
    <d v="2024-10-12T00:00:00"/>
    <s v="OM02K9ZD"/>
    <x v="0"/>
    <s v="UBP 311H"/>
    <m/>
    <s v="Kabaco U Ltd"/>
    <n v="156"/>
    <s v="Z80577"/>
    <x v="6"/>
    <x v="0"/>
    <x v="0"/>
    <x v="0"/>
    <x v="6"/>
    <x v="6"/>
    <n v="318"/>
    <n v="-2"/>
    <x v="0"/>
    <d v="2024-10-12T07:58:00"/>
    <d v="2024-10-12T07:30:00"/>
    <d v="2024-10-12T08:42:00"/>
    <n v="70.483333333333334"/>
    <n v="43.06666666666667"/>
    <x v="1"/>
    <d v="2024-10-12T14:42:00"/>
    <d v="2024-10-12T19:02:00"/>
    <n v="254.56666666666666"/>
    <x v="0"/>
    <d v="2024-10-13T08:57:12"/>
    <d v="2024-10-13T10:02:12"/>
    <n v="63.633333333333333"/>
    <x v="0"/>
    <n v="1.0105555555564933"/>
    <x v="3"/>
    <n v="-0.48944444444350665"/>
    <n v="24.25333333335584"/>
    <n v="12"/>
    <n v="12.25333333335584"/>
    <n v="12.731229597365081"/>
    <x v="0"/>
  </r>
  <r>
    <x v="1"/>
    <x v="0"/>
    <d v="2024-10-12T00:00:00"/>
    <s v="OM02K9WW"/>
    <x v="0"/>
    <s v="UBP 311H"/>
    <m/>
    <s v="Ntale and Sons Ltd-Kakiri"/>
    <n v="156"/>
    <s v="A17471"/>
    <x v="22"/>
    <x v="0"/>
    <x v="0"/>
    <x v="0"/>
    <x v="22"/>
    <x v="21"/>
    <n v="615"/>
    <n v="-5"/>
    <x v="0"/>
    <d v="2024-10-12T07:52:00"/>
    <d v="2024-10-12T07:30:00"/>
    <d v="2024-10-12T08:38:00"/>
    <n v="66.583333333333329"/>
    <n v="45.033333333333331"/>
    <x v="1"/>
    <d v="2024-10-12T21:08:00"/>
    <d v="2024-10-13T14:55:02"/>
    <n v="1044.8"/>
    <x v="0"/>
    <d v="2024-10-14T13:43:02"/>
    <d v="2024-10-14T14:45:02"/>
    <n v="60.7"/>
    <x v="0"/>
    <n v="2.2118333333346527"/>
    <x v="0"/>
    <n v="0.21183333333465271"/>
    <n v="53.084000000031665"/>
    <n v="24"/>
    <n v="29.084000000031665"/>
    <n v="5.3637738962945312"/>
    <x v="0"/>
  </r>
  <r>
    <x v="1"/>
    <x v="0"/>
    <d v="2024-10-12T00:00:00"/>
    <s v="OM02K9WQ"/>
    <x v="0"/>
    <s v="UBP 298H"/>
    <m/>
    <s v="Kabaco U Ltd"/>
    <n v="156"/>
    <s v="Z80570"/>
    <x v="6"/>
    <x v="0"/>
    <x v="0"/>
    <x v="0"/>
    <x v="6"/>
    <x v="6"/>
    <n v="121"/>
    <n v="-199"/>
    <x v="0"/>
    <d v="2024-10-12T07:58:00"/>
    <d v="2024-10-12T07:30:00"/>
    <d v="2024-10-12T08:45:00"/>
    <n v="73.433333333333337"/>
    <n v="46.016666666666666"/>
    <x v="1"/>
    <d v="2024-10-12T14:45:00"/>
    <d v="2024-10-12T20:05:00"/>
    <n v="313.31666666666666"/>
    <x v="0"/>
    <d v="2024-10-13T10:00:12"/>
    <d v="2024-10-13T11:16:12"/>
    <n v="74.400000000000006"/>
    <x v="0"/>
    <n v="1.0522222222207347"/>
    <x v="3"/>
    <n v="-0.44777777777926531"/>
    <n v="25.253333333297633"/>
    <n v="12"/>
    <n v="13.253333333297633"/>
    <n v="11.770623742486436"/>
    <x v="0"/>
  </r>
  <r>
    <x v="1"/>
    <x v="0"/>
    <d v="2024-10-12T13:46:19"/>
    <s v="OM2XS7YRR"/>
    <x v="1"/>
    <s v="UBK 858R"/>
    <s v="ALIPA EREKU"/>
    <s v="Kabaco U Ltd"/>
    <n v="156"/>
    <s v="Z80565"/>
    <x v="6"/>
    <x v="0"/>
    <x v="0"/>
    <x v="0"/>
    <x v="6"/>
    <x v="6"/>
    <n v="166"/>
    <n v="-154"/>
    <x v="4"/>
    <d v="2024-10-12T15:46:00"/>
    <d v="2024-10-13T02:22:00"/>
    <d v="2024-10-12T16:35:00"/>
    <n v="-574.7833333333333"/>
    <n v="47.966666666666669"/>
    <x v="1"/>
    <d v="2024-10-15T09:09:00"/>
    <d v="2024-10-16T13:42:00"/>
    <n v="1677.3"/>
    <x v="0"/>
    <d v="2024-10-16T19:42:00"/>
    <d v="2024-10-16T20:44:00"/>
    <n v="60.7"/>
    <x v="0"/>
    <n v="4.1298611111124046"/>
    <x v="3"/>
    <n v="2.6298611111124046"/>
    <n v="99.116666666697711"/>
    <n v="48"/>
    <n v="51.116666666697711"/>
    <n v="3.0518421910643352"/>
    <x v="7"/>
  </r>
  <r>
    <x v="1"/>
    <x v="1"/>
    <d v="2024-10-12T14:05:50"/>
    <s v="OMFPNGKRR"/>
    <x v="1"/>
    <s v="UBE 287X"/>
    <s v="Isaac Tumuhimbise"/>
    <s v="Kabaco U Ltd-Mbarara"/>
    <n v="153.60000000000002"/>
    <s v="Z80567"/>
    <x v="8"/>
    <x v="1"/>
    <x v="0"/>
    <x v="1"/>
    <x v="8"/>
    <x v="8"/>
    <n v="14"/>
    <n v="3"/>
    <x v="0"/>
    <d v="2024-10-12T15:22:00"/>
    <d v="2024-10-12T14:30:00"/>
    <d v="2024-10-12T16:01:00"/>
    <n v="89.1"/>
    <n v="38.18333333333333"/>
    <x v="1"/>
    <d v="2024-10-13T12:21:00"/>
    <d v="2024-10-13T15:24:00"/>
    <n v="179.18333333333334"/>
    <x v="0"/>
    <d v="2024-10-13T15:57:00"/>
    <d v="2024-10-13T17:04:00"/>
    <n v="65.599999999999994"/>
    <x v="0"/>
    <n v="0.99722222222044365"/>
    <x v="5"/>
    <n v="0.19722222222044361"/>
    <n v="23.933333333290648"/>
    <n v="0"/>
    <n v="23.933333333290648"/>
    <n v="6.4178272980615869"/>
    <x v="0"/>
  </r>
  <r>
    <x v="1"/>
    <x v="1"/>
    <d v="2024-10-12T16:57:28"/>
    <s v="OMFK4T0RR"/>
    <x v="1"/>
    <s v="UBK 875R"/>
    <s v="Bisaso  Ronald"/>
    <s v="Kabaco U Ltd-Mbarara"/>
    <n v="153.60000000000002"/>
    <s v="Z80574"/>
    <x v="8"/>
    <x v="1"/>
    <x v="0"/>
    <x v="1"/>
    <x v="8"/>
    <x v="8"/>
    <n v="19"/>
    <n v="8"/>
    <x v="0"/>
    <d v="2024-10-12T17:40:00"/>
    <d v="2024-10-13T07:42:00"/>
    <d v="2024-10-12T18:26:00"/>
    <n v="-779.41666666666663"/>
    <n v="45.033333333333331"/>
    <x v="1"/>
    <d v="2024-10-12T20:28:00"/>
    <d v="2024-10-13T10:08:48"/>
    <n v="803.68333333333328"/>
    <x v="0"/>
    <d v="2024-10-13T18:35:00"/>
    <d v="2024-10-13T19:45:00"/>
    <n v="68.533333333333331"/>
    <x v="0"/>
    <n v="1.0062499999985448"/>
    <x v="5"/>
    <n v="0.20624999999854476"/>
    <n v="24.149999999965075"/>
    <n v="12"/>
    <n v="12.149999999965075"/>
    <n v="12.641975308678315"/>
    <x v="0"/>
  </r>
  <r>
    <x v="1"/>
    <x v="1"/>
    <d v="2024-10-12T19:02:32"/>
    <s v="OMF1G39RR"/>
    <x v="1"/>
    <s v="UBA 523T"/>
    <s v="Kabene John"/>
    <s v="Agaba Services"/>
    <n v="153.60000000000002"/>
    <s v="F15150"/>
    <x v="20"/>
    <x v="1"/>
    <x v="0"/>
    <x v="1"/>
    <x v="20"/>
    <x v="20"/>
    <n v="293"/>
    <n v="-9"/>
    <x v="0"/>
    <d v="2024-10-13T10:17:00"/>
    <d v="2024-10-13T08:30:00"/>
    <d v="2024-10-13T11:06:00"/>
    <n v="152.75"/>
    <n v="47.966666666666669"/>
    <x v="8"/>
    <d v="2024-10-14T07:47:00"/>
    <d v="2024-10-14T10:05:00"/>
    <n v="135.11666666666667"/>
    <x v="0"/>
    <d v="2024-10-14T16:12:00"/>
    <d v="2024-10-14T18:55:00"/>
    <n v="159.6"/>
    <x v="2"/>
    <n v="1.2125000000014552"/>
    <x v="8"/>
    <n v="0.21250000000145519"/>
    <n v="29.100000000034925"/>
    <n v="16"/>
    <n v="13.100000000034925"/>
    <n v="11.7251908396634"/>
    <x v="0"/>
  </r>
  <r>
    <x v="1"/>
    <x v="1"/>
    <d v="2024-10-12T19:43:10"/>
    <s v="OMRNFFKRR"/>
    <x v="1"/>
    <s v="UBE 419T"/>
    <s v="Kilabila Ismail"/>
    <s v="KATO INVESTMENTS LIMITED-MASAK"/>
    <n v="142.80000000000001"/>
    <s v="F15152"/>
    <x v="14"/>
    <x v="1"/>
    <x v="0"/>
    <x v="1"/>
    <x v="14"/>
    <x v="14"/>
    <n v="152"/>
    <n v="-188"/>
    <x v="2"/>
    <d v="2024-10-12T20:10:00"/>
    <d v="2024-10-13T08:30:00"/>
    <d v="2024-10-12T20:57:00"/>
    <n v="-678.56666666666672"/>
    <n v="46.016666666666666"/>
    <x v="1"/>
    <d v="2024-10-13T08:40:00"/>
    <d v="2024-10-13T12:22:00"/>
    <n v="217.36666666666667"/>
    <x v="0"/>
    <d v="2024-10-13T16:31:00"/>
    <d v="2024-10-13T17:59:00"/>
    <n v="86.15"/>
    <x v="3"/>
    <n v="0.81527777777955635"/>
    <x v="8"/>
    <n v="-0.18472222222044365"/>
    <n v="19.566666666709352"/>
    <n v="0"/>
    <n v="19.566666666709352"/>
    <n v="7.2981260647200248"/>
    <x v="0"/>
  </r>
  <r>
    <x v="1"/>
    <x v="0"/>
    <d v="2024-10-12T19:44:11"/>
    <s v="OM7ISNCRR"/>
    <x v="1"/>
    <s v="UBE 681K"/>
    <s v="KYAPA AKIMU"/>
    <s v="Bates Enterprises U Ltd"/>
    <n v="156"/>
    <s v="Z80576"/>
    <x v="7"/>
    <x v="0"/>
    <x v="0"/>
    <x v="0"/>
    <x v="7"/>
    <x v="7"/>
    <n v="579"/>
    <n v="-27"/>
    <x v="0"/>
    <d v="2024-10-13T09:27:00"/>
    <d v="2024-10-12T21:30:00"/>
    <d v="2024-10-13T10:11:00"/>
    <n v="745.13333333333333"/>
    <n v="43.06666666666667"/>
    <x v="1"/>
    <d v="2024-10-15T12:28:00"/>
    <d v="2024-10-15T15:33:00"/>
    <n v="181.13333333333333"/>
    <x v="0"/>
    <d v="2024-10-16T10:14:00"/>
    <d v="2024-10-16T11:25:00"/>
    <n v="69.516666666666666"/>
    <x v="0"/>
    <n v="3.0020833333328483"/>
    <x v="4"/>
    <n v="2.0833333328482695E-3"/>
    <n v="72.049999999988358"/>
    <n v="36"/>
    <n v="36.049999999988358"/>
    <n v="4.3273231622760164"/>
    <x v="0"/>
  </r>
  <r>
    <x v="1"/>
    <x v="0"/>
    <d v="2024-10-12T23:03:17"/>
    <s v="OMSF8KNRR"/>
    <x v="1"/>
    <s v="UBM 644D"/>
    <s v="KAJUBI ISMA"/>
    <s v="Boniface Harera"/>
    <n v="156"/>
    <s v="F15154"/>
    <x v="10"/>
    <x v="0"/>
    <x v="0"/>
    <x v="0"/>
    <x v="10"/>
    <x v="10"/>
    <n v="474"/>
    <n v="4"/>
    <x v="0"/>
    <d v="2024-10-13T06:05:00"/>
    <d v="2024-10-13T01:30:00"/>
    <d v="2024-10-13T06:48:00"/>
    <n v="311.36666666666667"/>
    <n v="42.1"/>
    <x v="1"/>
    <d v="2024-10-15T12:34:00"/>
    <d v="2024-10-15T16:18:00"/>
    <n v="219.33333333333334"/>
    <x v="0"/>
    <d v="2024-10-16T15:47:00"/>
    <d v="2024-10-16T17:24:00"/>
    <n v="94.966666666666669"/>
    <x v="0"/>
    <n v="3.3743055555532919"/>
    <x v="1"/>
    <n v="0.87430555555329192"/>
    <n v="80.983333333279006"/>
    <n v="36"/>
    <n v="44.983333333279006"/>
    <n v="3.4679510930015947"/>
    <x v="9"/>
  </r>
  <r>
    <x v="1"/>
    <x v="1"/>
    <d v="2024-10-13T11:36:13"/>
    <s v="OM42FBFRR"/>
    <x v="1"/>
    <s v="UBJ 707D"/>
    <s v="Konge Husein"/>
    <s v="KATO INVESTMENTS LIMITED-MASAK"/>
    <n v="153.60000000000002"/>
    <s v="F15156"/>
    <x v="14"/>
    <x v="1"/>
    <x v="0"/>
    <x v="1"/>
    <x v="14"/>
    <x v="14"/>
    <n v="295"/>
    <n v="-45"/>
    <x v="0"/>
    <d v="2024-10-13T15:00:00"/>
    <d v="2024-10-14T04:14:00"/>
    <d v="2024-10-13T15:40:00"/>
    <n v="-738.3"/>
    <n v="39.166666666666664"/>
    <x v="1"/>
    <d v="2024-10-13T20:28:00"/>
    <d v="2024-10-14T12:16:00"/>
    <n v="928.23333333333335"/>
    <x v="0"/>
    <d v="2024-10-14T18:32:00"/>
    <d v="2024-10-14T19:35:00"/>
    <n v="61.68333333333333"/>
    <x v="0"/>
    <n v="1.1194444444408873"/>
    <x v="8"/>
    <n v="0.11944444444088731"/>
    <n v="26.866666666581295"/>
    <n v="12"/>
    <n v="14.866666666581295"/>
    <n v="10.331838565081753"/>
    <x v="0"/>
  </r>
  <r>
    <x v="1"/>
    <x v="0"/>
    <d v="2024-10-13T11:37:03"/>
    <s v="OMH644QRR"/>
    <x v="1"/>
    <s v="UBK 862R"/>
    <s v="SULAIMAN MUBIRU"/>
    <s v="Sawan Distributors Ltd-Nabingo"/>
    <n v="156"/>
    <s v="A17488"/>
    <x v="21"/>
    <x v="0"/>
    <x v="0"/>
    <x v="0"/>
    <x v="21"/>
    <x v="2"/>
    <n v="562"/>
    <n v="2"/>
    <x v="0"/>
    <d v="2024-10-13T10:20:00"/>
    <d v="2024-10-14T02:30:00"/>
    <d v="2024-10-13T11:42:00"/>
    <n v="-869.5"/>
    <n v="80.283333333333331"/>
    <x v="0"/>
    <d v="2024-10-13T22:00:00"/>
    <d v="2024-10-19T11:13:00"/>
    <n v="7826.4666666666662"/>
    <x v="0"/>
    <d v="2024-10-19T10:28:00"/>
    <d v="2024-10-19T11:31:00"/>
    <n v="61.68333333333333"/>
    <x v="0"/>
    <n v="5.9486111111109494"/>
    <x v="0"/>
    <n v="3.9486111111109494"/>
    <n v="142.76666666666279"/>
    <n v="80"/>
    <n v="62.766666666662786"/>
    <n v="2.4853956452471002"/>
    <x v="0"/>
  </r>
  <r>
    <x v="1"/>
    <x v="1"/>
    <d v="2024-10-13T11:42:54"/>
    <s v="OMX3EKKRR"/>
    <x v="1"/>
    <s v="UBE 422T"/>
    <s v="Jacob Oneka"/>
    <s v="Kabaco U Ltd"/>
    <n v="153.60000000000002"/>
    <s v="Z80579"/>
    <x v="6"/>
    <x v="1"/>
    <x v="0"/>
    <x v="1"/>
    <x v="6"/>
    <x v="6"/>
    <n v="333"/>
    <n v="13"/>
    <x v="0"/>
    <d v="2024-10-13T13:11:00"/>
    <d v="2024-10-14T02:22:00"/>
    <d v="2024-10-13T14:04:00"/>
    <n v="-722.63333333333333"/>
    <n v="51.883333333333333"/>
    <x v="2"/>
    <d v="2024-10-13T17:29:00"/>
    <d v="2024-10-14T11:56:00"/>
    <n v="1083.9333333333334"/>
    <x v="0"/>
    <d v="2024-10-14T17:28:00"/>
    <d v="2024-10-14T20:17:00"/>
    <n v="165.46666666666667"/>
    <x v="4"/>
    <n v="1.1416666666700621"/>
    <x v="3"/>
    <n v="-0.35833333332993789"/>
    <n v="27.400000000081491"/>
    <n v="16"/>
    <n v="11.400000000081491"/>
    <n v="13.473684210430005"/>
    <x v="0"/>
  </r>
  <r>
    <x v="1"/>
    <x v="0"/>
    <d v="2024-10-13T16:20:37"/>
    <s v="OMME6Q0RR"/>
    <x v="0"/>
    <s v="UBE 684K"/>
    <m/>
    <s v="Boniface Harera"/>
    <n v="156"/>
    <s v="F15158"/>
    <x v="10"/>
    <x v="0"/>
    <x v="0"/>
    <x v="0"/>
    <x v="10"/>
    <x v="10"/>
    <n v="474"/>
    <n v="4"/>
    <x v="0"/>
    <d v="2024-10-14T00:18:37"/>
    <d v="2024-10-13T23:50:37"/>
    <d v="2024-10-14T00:58:37"/>
    <n v="66.583333333333329"/>
    <n v="39.166666666666664"/>
    <x v="1"/>
    <d v="2024-10-15T02:58:37"/>
    <d v="2024-10-15T08:33:37"/>
    <n v="328.01666666666665"/>
    <x v="0"/>
    <d v="2024-10-15T11:18:37"/>
    <d v="2024-10-15T12:23:37"/>
    <n v="63.633333333333333"/>
    <x v="0"/>
    <n v="1.4305555555620231"/>
    <x v="1"/>
    <n v="-1.0694444444379769"/>
    <n v="34.333333333488554"/>
    <n v="12"/>
    <n v="22.333333333488554"/>
    <n v="6.9850746268171244"/>
    <x v="0"/>
  </r>
  <r>
    <x v="1"/>
    <x v="1"/>
    <d v="2024-10-13T16:38:20"/>
    <s v="OMFBT8QRR"/>
    <x v="1"/>
    <s v="UAV 203T"/>
    <s v="Mugisha  George"/>
    <s v="Agaba Services"/>
    <n v="153.60000000000002"/>
    <s v="F15160"/>
    <x v="20"/>
    <x v="1"/>
    <x v="0"/>
    <x v="1"/>
    <x v="20"/>
    <x v="20"/>
    <n v="303"/>
    <n v="1"/>
    <x v="0"/>
    <d v="2024-10-13T16:14:00"/>
    <d v="2024-10-14T08:30:00"/>
    <d v="2024-10-13T17:01:00"/>
    <n v="-909.65"/>
    <n v="46.016666666666666"/>
    <x v="1"/>
    <d v="2024-10-15T13:38:00"/>
    <d v="2024-10-15T18:19:00"/>
    <n v="275.13333333333333"/>
    <x v="0"/>
    <d v="2024-10-16T08:09:00"/>
    <d v="2024-10-16T09:16:00"/>
    <n v="65.599999999999994"/>
    <x v="0"/>
    <n v="2.6305555555591127"/>
    <x v="8"/>
    <n v="1.6305555555591127"/>
    <n v="63.133333333418705"/>
    <n v="24"/>
    <n v="39.133333333418705"/>
    <n v="3.9250425894292573"/>
    <x v="7"/>
  </r>
  <r>
    <x v="1"/>
    <x v="1"/>
    <d v="2024-10-13T16:39:44"/>
    <s v="OMFU8LLRR"/>
    <x v="1"/>
    <s v="UBE 287X"/>
    <s v="Isaac Tumuhimbise"/>
    <s v="KATO INVESTMENTS LIMITED-MASAK"/>
    <n v="153.60000000000002"/>
    <s v="F15161"/>
    <x v="14"/>
    <x v="1"/>
    <x v="0"/>
    <x v="1"/>
    <x v="14"/>
    <x v="14"/>
    <n v="401"/>
    <n v="61"/>
    <x v="6"/>
    <d v="2024-10-13T18:07:00"/>
    <d v="2024-10-14T04:14:00"/>
    <d v="2024-10-13T18:51:00"/>
    <n v="-551.2833333333333"/>
    <n v="43.06666666666667"/>
    <x v="1"/>
    <d v="2024-10-14T08:16:00"/>
    <d v="2024-10-14T12:09:00"/>
    <n v="228.13333333333333"/>
    <x v="0"/>
    <d v="2024-10-15T12:36:00"/>
    <d v="2024-10-15T13:42:00"/>
    <n v="64.61666666666666"/>
    <x v="0"/>
    <n v="1.7395833333357587"/>
    <x v="8"/>
    <n v="0.73958333333575865"/>
    <n v="41.750000000058208"/>
    <n v="12"/>
    <n v="29.750000000058208"/>
    <n v="5.1630252100739327"/>
    <x v="0"/>
  </r>
  <r>
    <x v="1"/>
    <x v="1"/>
    <d v="2024-10-13T18:29:33"/>
    <s v="OM43RRWRR"/>
    <x v="1"/>
    <s v="UAY 526V"/>
    <s v="Benon Ssempijja"/>
    <s v="KATO INVESTMENTS LIMITED-MASAK"/>
    <n v="151.44"/>
    <s v="F15163"/>
    <x v="14"/>
    <x v="1"/>
    <x v="0"/>
    <x v="1"/>
    <x v="14"/>
    <x v="14"/>
    <n v="297"/>
    <n v="-43"/>
    <x v="0"/>
    <d v="2024-10-15T10:40:00"/>
    <d v="2024-10-14T09:30:00"/>
    <d v="2024-10-15T11:21:00"/>
    <n v="1518.6833333333334"/>
    <n v="40.133333333333333"/>
    <x v="1"/>
    <d v="2024-10-15T16:08:00"/>
    <d v="2024-10-16T08:50:00"/>
    <n v="981.11666666666667"/>
    <x v="0"/>
    <d v="2024-10-17T08:45:00"/>
    <d v="2024-10-17T11:40:00"/>
    <n v="171.35"/>
    <x v="4"/>
    <n v="1.8916666666700621"/>
    <x v="8"/>
    <n v="0.89166666667006211"/>
    <n v="45.400000000081491"/>
    <n v="12"/>
    <n v="33.400000000081491"/>
    <n v="4.5341317365158833"/>
    <x v="0"/>
  </r>
  <r>
    <x v="1"/>
    <x v="1"/>
    <d v="2024-10-13T18:30:41"/>
    <s v="OMVRAM0RR"/>
    <x v="1"/>
    <s v="UBK 875R"/>
    <s v="Bisaso  Ronald"/>
    <s v="KATO INVESTMENTS LTD- KALISIZO"/>
    <n v="153.60000000000002"/>
    <s v="F15164"/>
    <x v="4"/>
    <x v="1"/>
    <x v="0"/>
    <x v="1"/>
    <x v="4"/>
    <x v="4"/>
    <n v="369"/>
    <n v="19"/>
    <x v="0"/>
    <d v="2024-10-15T10:02:00"/>
    <d v="2024-10-14T09:30:00"/>
    <d v="2024-10-15T10:46:00"/>
    <n v="1484.4"/>
    <n v="43.06666666666667"/>
    <x v="1"/>
    <d v="2024-10-15T16:59:00"/>
    <d v="2024-10-16T13:43:00"/>
    <n v="1218.0833333333333"/>
    <x v="0"/>
    <d v="2024-10-17T07:30:00"/>
    <d v="2024-10-17T08:44:00"/>
    <n v="72.45"/>
    <x v="9"/>
    <n v="1.8638888888890506"/>
    <x v="2"/>
    <n v="0.16388888888905062"/>
    <n v="44.733333333337214"/>
    <n v="12"/>
    <n v="32.733333333337214"/>
    <n v="4.6924643584515833"/>
    <x v="0"/>
  </r>
  <r>
    <x v="1"/>
    <x v="0"/>
    <d v="2024-10-13T18:59:18"/>
    <s v="OM8A43BRR"/>
    <x v="1"/>
    <s v="UBP 298H"/>
    <s v="SENTONG DAVID"/>
    <s v="Ntale and Sons Ltd-Kakiri"/>
    <n v="156"/>
    <s v="A17495"/>
    <x v="22"/>
    <x v="0"/>
    <x v="0"/>
    <x v="0"/>
    <x v="22"/>
    <x v="21"/>
    <n v="610"/>
    <n v="-10"/>
    <x v="0"/>
    <d v="2024-10-13T20:58:00"/>
    <d v="2024-10-14T01:59:00"/>
    <d v="2024-10-13T21:41:00"/>
    <n v="-252.63333333333333"/>
    <n v="42.1"/>
    <x v="1"/>
    <d v="2024-10-14T06:30:00"/>
    <d v="2024-10-14T18:50:00"/>
    <n v="724.56666666666672"/>
    <x v="0"/>
    <d v="2024-10-15T12:34:00"/>
    <d v="2024-10-15T13:55:00"/>
    <n v="79.3"/>
    <x v="0"/>
    <n v="1.6201388888875954"/>
    <x v="0"/>
    <n v="-0.37986111111240461"/>
    <n v="38.883333333302289"/>
    <n v="12"/>
    <n v="26.883333333302289"/>
    <n v="5.8028518288969675"/>
    <x v="0"/>
  </r>
  <r>
    <x v="1"/>
    <x v="1"/>
    <d v="2024-10-14T18:42:06"/>
    <s v="OMT2571RR"/>
    <x v="1"/>
    <s v="UBJ 375N"/>
    <s v="Stephen Musoke "/>
    <s v="KATO INVESTMENTS LIMITED-MASAK"/>
    <n v="144"/>
    <s v="F15167"/>
    <x v="14"/>
    <x v="1"/>
    <x v="0"/>
    <x v="1"/>
    <x v="14"/>
    <x v="14"/>
    <n v="397"/>
    <n v="57"/>
    <x v="6"/>
    <d v="2024-10-15T09:51:00"/>
    <d v="2024-10-15T08:30:00"/>
    <d v="2024-10-15T10:51:00"/>
    <n v="138.05000000000001"/>
    <n v="58.733333333333334"/>
    <x v="0"/>
    <d v="2024-10-16T10:15:00"/>
    <d v="2024-10-16T12:50:00"/>
    <n v="151.76666666666668"/>
    <x v="0"/>
    <d v="2024-10-16T18:46:00"/>
    <d v="2024-10-16T19:54:00"/>
    <n v="66.583333333333329"/>
    <x v="7"/>
    <n v="1.3298611111167702"/>
    <x v="8"/>
    <n v="0.32986111111677019"/>
    <n v="31.916666666802485"/>
    <n v="16"/>
    <n v="15.916666666802485"/>
    <n v="9.0471204187709677"/>
    <x v="0"/>
  </r>
  <r>
    <x v="1"/>
    <x v="1"/>
    <d v="2024-10-14T18:46:34"/>
    <s v="OMFQCNXRR"/>
    <x v="0"/>
    <s v="UAV 051U"/>
    <s v="Angello Lumala"/>
    <s v="Rugoma Traders-Kanungu/Kihihi"/>
    <n v="153.60000000000002"/>
    <s v="F15168"/>
    <x v="23"/>
    <x v="1"/>
    <x v="0"/>
    <x v="1"/>
    <x v="23"/>
    <x v="14"/>
    <m/>
    <n v="-340"/>
    <x v="0"/>
    <d v="2024-10-15T07:58:34"/>
    <d v="2024-10-15T07:30:34"/>
    <d v="2024-10-15T08:42:34"/>
    <n v="70.483333333333334"/>
    <n v="43.06666666666667"/>
    <x v="1"/>
    <d v="2024-10-15T15:17:34"/>
    <d v="2024-10-15T18:37:34"/>
    <n v="195.83333333333334"/>
    <x v="0"/>
    <d v="2024-10-16T10:52:34"/>
    <d v="2024-10-16T12:12:34"/>
    <n v="78.316666666666663"/>
    <x v="0"/>
    <n v="1.0902777777810115"/>
    <x v="3"/>
    <n v="-0.40972222221898846"/>
    <n v="26.166666666744277"/>
    <n v="12"/>
    <n v="14.166666666744277"/>
    <n v="10.842352941117074"/>
    <x v="0"/>
  </r>
  <r>
    <x v="1"/>
    <x v="1"/>
    <d v="2024-10-15T18:24:09"/>
    <s v="OMHPKWMRR"/>
    <x v="1"/>
    <s v="UBJ 707D"/>
    <s v="Konge Husein"/>
    <s v="Kabaco U Ltd"/>
    <n v="153.60000000000002"/>
    <s v="Z80595"/>
    <x v="6"/>
    <x v="1"/>
    <x v="0"/>
    <x v="1"/>
    <x v="6"/>
    <x v="6"/>
    <n v="320"/>
    <n v="0"/>
    <x v="0"/>
    <d v="2024-10-16T06:50:00"/>
    <d v="2024-10-16T08:30:00"/>
    <d v="2024-10-16T07:40:00"/>
    <n v="-48.966666666666669"/>
    <n v="48.95"/>
    <x v="1"/>
    <d v="2024-10-16T09:45:00"/>
    <d v="2024-10-16T16:45:00"/>
    <n v="411.23333333333335"/>
    <x v="0"/>
    <d v="2024-10-16T15:26:00"/>
    <d v="2024-10-16T16:50:00"/>
    <n v="82.25"/>
    <x v="0"/>
    <n v="0.32361111111094942"/>
    <x v="3"/>
    <n v="-1.1763888888890506"/>
    <n v="7.7666666666627862"/>
    <n v="0"/>
    <n v="7.7666666666627862"/>
    <n v="19.776824034344649"/>
    <x v="0"/>
  </r>
  <r>
    <x v="1"/>
    <x v="1"/>
    <d v="2024-10-15T18:25:25"/>
    <s v="OM9FQXERR"/>
    <x v="1"/>
    <s v="UBK 881R"/>
    <s v="James  Kironde"/>
    <s v="RUGOMA TRADERS CO. LTD NTUNGAM"/>
    <n v="145.46400000000003"/>
    <s v="F15170"/>
    <x v="15"/>
    <x v="1"/>
    <x v="0"/>
    <x v="1"/>
    <x v="15"/>
    <x v="15"/>
    <n v="129"/>
    <n v="-1"/>
    <x v="0"/>
    <d v="2024-10-15T19:33:00"/>
    <d v="2024-10-16T08:30:00"/>
    <d v="2024-10-15T20:14:00"/>
    <n v="-720.66666666666663"/>
    <n v="40.133333333333333"/>
    <x v="1"/>
    <d v="2024-10-16T09:23:00"/>
    <d v="2024-10-16T14:39:00"/>
    <n v="309.41666666666669"/>
    <x v="0"/>
    <d v="2024-10-17T10:29:00"/>
    <d v="2024-10-17T13:05:00"/>
    <n v="152.75"/>
    <x v="6"/>
    <n v="1.59375"/>
    <x v="8"/>
    <n v="0.59375"/>
    <n v="38.25"/>
    <n v="12"/>
    <n v="26.25"/>
    <n v="5.5414857142857157"/>
    <x v="0"/>
  </r>
  <r>
    <x v="1"/>
    <x v="1"/>
    <d v="2024-10-15T18:26:22"/>
    <s v="OM6ARHJRR"/>
    <x v="1"/>
    <s v="UBJ 988D"/>
    <s v="Tumusiime Robert"/>
    <s v="Rugoma Traders-Kanungu/Kihihi"/>
    <n v="153.60000000000002"/>
    <s v="F15171"/>
    <x v="23"/>
    <x v="1"/>
    <x v="0"/>
    <x v="1"/>
    <x v="23"/>
    <x v="14"/>
    <n v="335"/>
    <n v="-5"/>
    <x v="0"/>
    <d v="2024-10-16T06:32:00"/>
    <d v="2024-10-16T08:30:00"/>
    <d v="2024-10-16T07:16:00"/>
    <n v="-72.466666666666669"/>
    <n v="43.06666666666667"/>
    <x v="1"/>
    <d v="2024-10-16T16:20:00"/>
    <d v="2024-10-17T13:04:00"/>
    <n v="1218.0833333333333"/>
    <x v="0"/>
    <d v="2024-10-18T09:51:00"/>
    <d v="2024-10-18T12:12:00"/>
    <n v="138.05000000000001"/>
    <x v="4"/>
    <n v="2.1076388888905058"/>
    <x v="3"/>
    <n v="0.60763888889050577"/>
    <n v="50.583333333372138"/>
    <n v="24"/>
    <n v="26.583333333372138"/>
    <n v="5.7780564263238547"/>
    <x v="0"/>
  </r>
  <r>
    <x v="1"/>
    <x v="1"/>
    <d v="2024-10-15T21:12:36"/>
    <s v="OM9M71DRR"/>
    <x v="1"/>
    <s v="UAV 203T"/>
    <s v="Mugisha  George"/>
    <s v="Ntale and Sons"/>
    <n v="153.60000000000002"/>
    <s v="A17515"/>
    <x v="19"/>
    <x v="1"/>
    <x v="0"/>
    <x v="1"/>
    <x v="19"/>
    <x v="19"/>
    <n v="800"/>
    <n v="-10"/>
    <x v="0"/>
    <d v="2024-10-16T10:02:00"/>
    <d v="2024-10-16T16:40:00"/>
    <d v="2024-10-16T10:51:00"/>
    <n v="-341.73333333333335"/>
    <n v="47.966666666666669"/>
    <x v="1"/>
    <d v="2024-10-17T09:24:00"/>
    <d v="2024-10-17T16:07:00"/>
    <n v="394.6"/>
    <x v="0"/>
    <d v="2024-10-20T08:59:00"/>
    <d v="2024-10-20T10:10:00"/>
    <n v="69.516666666666666"/>
    <x v="0"/>
    <n v="3.922222222223354"/>
    <x v="4"/>
    <n v="0.92222222222335404"/>
    <n v="94.133333333360497"/>
    <n v="36"/>
    <n v="58.133333333360497"/>
    <n v="2.6422018348611509"/>
    <x v="9"/>
  </r>
  <r>
    <x v="1"/>
    <x v="0"/>
    <d v="2024-10-17T12:05:42"/>
    <s v="OMEV2R5RR"/>
    <x v="1"/>
    <s v="UBP 298H"/>
    <s v="SENTONG DAVID"/>
    <s v="Bates Enterprises U Ltd"/>
    <n v="154.34400000000002"/>
    <s v="Z80646"/>
    <x v="7"/>
    <x v="0"/>
    <x v="0"/>
    <x v="0"/>
    <x v="7"/>
    <x v="7"/>
    <n v="576"/>
    <n v="-30"/>
    <x v="0"/>
    <d v="2024-10-17T17:12:00"/>
    <d v="2024-10-17T17:12:00"/>
    <d v="2024-10-17T17:59:00"/>
    <n v="46.016666666666666"/>
    <n v="46.016666666666666"/>
    <x v="1"/>
    <d v="2024-10-18T11:03:00"/>
    <d v="2024-10-19T16:04:00"/>
    <n v="1704.7166666666667"/>
    <x v="0"/>
    <d v="2024-10-20T08:30:00"/>
    <d v="2024-10-20T09:52:00"/>
    <n v="80.283333333333331"/>
    <x v="0"/>
    <n v="2.6048611111109494"/>
    <x v="4"/>
    <n v="-0.39513888888905058"/>
    <n v="62.516666666662786"/>
    <n v="24"/>
    <n v="38.516666666662786"/>
    <n v="4.0072003461708929"/>
    <x v="0"/>
  </r>
  <r>
    <x v="1"/>
    <x v="1"/>
    <d v="2024-10-17T12:10:05"/>
    <s v="OMXCGNERR"/>
    <x v="1"/>
    <s v="UBA 523T"/>
    <s v="Kabene John"/>
    <s v="RUGOMA TRADERS CO. LTD NTUNGAM"/>
    <n v="153.60000000000002"/>
    <s v="F15181"/>
    <x v="15"/>
    <x v="1"/>
    <x v="0"/>
    <x v="1"/>
    <x v="15"/>
    <x v="15"/>
    <n v="129"/>
    <n v="-1"/>
    <x v="0"/>
    <d v="2024-10-17T11:54:00"/>
    <d v="2024-10-17T12:20:00"/>
    <d v="2024-10-17T12:38:00"/>
    <n v="17.616666666666667"/>
    <n v="43.06666666666667"/>
    <x v="1"/>
    <d v="2024-10-17T14:45:00"/>
    <d v="2024-10-17T18:32:00"/>
    <n v="222.26666666666668"/>
    <x v="0"/>
    <d v="2024-10-18T09:33:00"/>
    <d v="2024-10-18T11:17:00"/>
    <n v="101.81666666666666"/>
    <x v="0"/>
    <n v="0.87152777778101154"/>
    <x v="8"/>
    <n v="-0.12847222221898846"/>
    <n v="20.916666666744277"/>
    <n v="0"/>
    <n v="20.916666666744277"/>
    <n v="7.3434262947934705"/>
    <x v="0"/>
  </r>
  <r>
    <x v="1"/>
    <x v="1"/>
    <d v="2024-10-17T14:51:23"/>
    <s v="OMZ4W5URR"/>
    <x v="1"/>
    <s v="UBK 875R"/>
    <s v="Bisaso  Ronald"/>
    <s v="Kabaco U Ltd"/>
    <n v="153.60000000000002"/>
    <s v="Z80653"/>
    <x v="6"/>
    <x v="1"/>
    <x v="0"/>
    <x v="1"/>
    <x v="6"/>
    <x v="6"/>
    <n v="324"/>
    <n v="4"/>
    <x v="0"/>
    <d v="2024-10-17T14:39:00"/>
    <d v="2024-10-18T02:22:00"/>
    <d v="2024-10-17T15:22:00"/>
    <n v="-646.26666666666665"/>
    <n v="42.1"/>
    <x v="1"/>
    <d v="2024-10-18T08:07:00"/>
    <d v="2024-10-18T11:37:00"/>
    <n v="205.61666666666667"/>
    <x v="0"/>
    <d v="2024-10-18T12:09:00"/>
    <d v="2024-10-18T13:31:00"/>
    <n v="80.283333333333331"/>
    <x v="0"/>
    <n v="0.86597222222189885"/>
    <x v="3"/>
    <n v="-0.63402777777810115"/>
    <n v="20.783333333325572"/>
    <n v="0"/>
    <n v="20.783333333325572"/>
    <n v="7.3905372894975487"/>
    <x v="0"/>
  </r>
  <r>
    <x v="1"/>
    <x v="1"/>
    <d v="2024-10-17T14:52:16"/>
    <s v="OMB25Y5RR"/>
    <x v="1"/>
    <s v="UAY 265V"/>
    <s v="Luyaga Isaac"/>
    <s v="Kabaco U Ltd"/>
    <n v="153.60000000000002"/>
    <s v="Z80654"/>
    <x v="6"/>
    <x v="1"/>
    <x v="0"/>
    <x v="1"/>
    <x v="6"/>
    <x v="6"/>
    <n v="318"/>
    <n v="-2"/>
    <x v="0"/>
    <d v="2024-10-17T14:47:00"/>
    <d v="2024-10-18T02:22:00"/>
    <d v="2024-10-17T15:34:00"/>
    <n v="-634.51666666666665"/>
    <n v="46.016666666666666"/>
    <x v="1"/>
    <d v="2024-10-17T17:29:00"/>
    <d v="2024-10-18T10:58:00"/>
    <n v="1027.1333333333334"/>
    <x v="0"/>
    <d v="2024-10-18T13:50:00"/>
    <d v="2024-10-18T14:53:00"/>
    <n v="61.68333333333333"/>
    <x v="0"/>
    <n v="0.92777777778246673"/>
    <x v="3"/>
    <n v="-0.57222222221753327"/>
    <n v="22.266666666779201"/>
    <n v="0"/>
    <n v="22.266666666779201"/>
    <n v="6.8982035927795087"/>
    <x v="0"/>
  </r>
  <r>
    <x v="1"/>
    <x v="1"/>
    <d v="2024-10-18T21:01:48"/>
    <s v="OMMPCZCRR"/>
    <x v="1"/>
    <s v="UBE 287X"/>
    <s v="Isaac Tumuhimbise"/>
    <s v="Kabaco U Ltd-Mbarara"/>
    <n v="127.44"/>
    <s v="Z80677"/>
    <x v="8"/>
    <x v="1"/>
    <x v="0"/>
    <x v="1"/>
    <x v="8"/>
    <x v="8"/>
    <n v="13"/>
    <n v="2"/>
    <x v="0"/>
    <d v="2024-10-19T10:34:00"/>
    <d v="2024-10-19T09:30:00"/>
    <d v="2024-10-19T11:20:00"/>
    <n v="107.7"/>
    <n v="45.033333333333331"/>
    <x v="1"/>
    <d v="2024-10-19T12:03:00"/>
    <d v="2024-10-19T18:06:00"/>
    <n v="355.43333333333334"/>
    <x v="0"/>
    <d v="2024-10-19T14:20:00"/>
    <d v="2024-10-19T15:30:00"/>
    <n v="68.533333333333331"/>
    <x v="0"/>
    <n v="0.125"/>
    <x v="5"/>
    <n v="-0.67500000000000004"/>
    <n v="3"/>
    <n v="0"/>
    <n v="3"/>
    <n v="42.48"/>
    <x v="0"/>
  </r>
  <r>
    <x v="1"/>
    <x v="1"/>
    <d v="2024-10-18T21:03:18"/>
    <s v="OMVFE29RR"/>
    <x v="1"/>
    <s v="UBJ 988D"/>
    <s v="Tumusiime Robert"/>
    <s v="Kabaco U Ltd"/>
    <n v="151.94400000000002"/>
    <s v="Z80678"/>
    <x v="6"/>
    <x v="1"/>
    <x v="0"/>
    <x v="1"/>
    <x v="6"/>
    <x v="6"/>
    <n v="324"/>
    <n v="4"/>
    <x v="0"/>
    <d v="2024-10-19T10:54:00"/>
    <d v="2024-10-19T09:30:00"/>
    <d v="2024-10-19T11:50:00"/>
    <n v="137.06666666666666"/>
    <n v="54.833333333333336"/>
    <x v="0"/>
    <d v="2024-10-19T14:52:00"/>
    <d v="2024-10-19T19:33:00"/>
    <n v="275.13333333333333"/>
    <x v="0"/>
    <d v="2024-10-20T10:15:00"/>
    <d v="2024-10-20T12:35:00"/>
    <n v="137.06666666666666"/>
    <x v="4"/>
    <n v="0.93402777778101154"/>
    <x v="3"/>
    <n v="-0.56597222221898846"/>
    <n v="22.416666666744277"/>
    <n v="0"/>
    <n v="22.416666666744277"/>
    <n v="6.7781710036940055"/>
    <x v="0"/>
  </r>
  <r>
    <x v="1"/>
    <x v="1"/>
    <d v="2024-10-18T21:04:33"/>
    <s v="OMTFGV4RR"/>
    <x v="1"/>
    <s v="UBA 523T"/>
    <s v="Kabene John"/>
    <s v="Agaba Services"/>
    <n v="153.60000000000002"/>
    <s v="F15185"/>
    <x v="20"/>
    <x v="1"/>
    <x v="0"/>
    <x v="1"/>
    <x v="20"/>
    <x v="20"/>
    <n v="295"/>
    <n v="-7"/>
    <x v="0"/>
    <d v="2024-10-19T09:30:00"/>
    <d v="2024-10-19T09:30:00"/>
    <d v="2024-10-19T10:13:00"/>
    <n v="42.1"/>
    <n v="42.1"/>
    <x v="1"/>
    <d v="2024-10-19T14:57:00"/>
    <d v="2024-10-19T17:37:00"/>
    <n v="156.65"/>
    <x v="0"/>
    <d v="2024-10-20T09:06:00"/>
    <d v="2024-10-20T11:04:00"/>
    <n v="115.53333333333333"/>
    <x v="2"/>
    <n v="0.95347222222335404"/>
    <x v="8"/>
    <n v="-4.6527777776645962E-2"/>
    <n v="22.883333333360497"/>
    <n v="0"/>
    <n v="22.883333333360497"/>
    <n v="6.7123088128106785"/>
    <x v="0"/>
  </r>
  <r>
    <x v="1"/>
    <x v="1"/>
    <d v="2024-10-18T21:11:59"/>
    <s v="OM5V2BCRR"/>
    <x v="1"/>
    <s v="UAY 265V"/>
    <s v="Luyaga Isaac"/>
    <s v="Kabaco U Ltd-Mbarara"/>
    <n v="153.60000000000002"/>
    <s v="Z80681"/>
    <x v="8"/>
    <x v="1"/>
    <x v="0"/>
    <x v="1"/>
    <x v="8"/>
    <x v="8"/>
    <n v="16"/>
    <n v="5"/>
    <x v="0"/>
    <d v="2024-10-19T09:40:00"/>
    <d v="2024-10-19T09:00:00"/>
    <d v="2024-10-19T10:20:00"/>
    <n v="78.316666666666663"/>
    <n v="39.166666666666664"/>
    <x v="1"/>
    <d v="2024-10-19T10:57:00"/>
    <d v="2024-10-19T14:01:00"/>
    <n v="180.15"/>
    <x v="0"/>
    <d v="2024-10-20T09:09:00"/>
    <d v="2024-10-20T11:04:00"/>
    <n v="112.6"/>
    <x v="10"/>
    <n v="0.95069444444379769"/>
    <x v="5"/>
    <n v="0.15069444444379765"/>
    <n v="22.816666666651145"/>
    <n v="0"/>
    <n v="22.816666666651145"/>
    <n v="6.7319211103040697"/>
    <x v="0"/>
  </r>
  <r>
    <x v="1"/>
    <x v="1"/>
    <d v="2024-10-18T21:25:53"/>
    <s v="OMZ0SLDRR"/>
    <x v="1"/>
    <s v="UBE 422T"/>
    <s v="Jacob Oneka"/>
    <s v="Ntale and Sons"/>
    <n v="153.60000000000002"/>
    <s v="A17624"/>
    <x v="19"/>
    <x v="1"/>
    <x v="0"/>
    <x v="1"/>
    <x v="19"/>
    <x v="19"/>
    <n v="800"/>
    <n v="-10"/>
    <x v="0"/>
    <d v="2024-10-19T07:18:00"/>
    <d v="2024-10-19T16:40:00"/>
    <d v="2024-10-19T07:58:00"/>
    <n v="-511.13333333333333"/>
    <n v="39.166666666666664"/>
    <x v="1"/>
    <d v="2024-10-20T09:15:00"/>
    <d v="2024-10-20T15:14:00"/>
    <n v="351.51666666666665"/>
    <x v="0"/>
    <d v="2024-10-21T16:02:00"/>
    <d v="2024-10-21T17:19:00"/>
    <n v="75.38333333333334"/>
    <x v="0"/>
    <n v="2.336111111115315"/>
    <x v="4"/>
    <n v="-0.663888888884685"/>
    <n v="56.06666666676756"/>
    <n v="24"/>
    <n v="32.06666666676756"/>
    <n v="4.7900207900057197"/>
    <x v="0"/>
  </r>
  <r>
    <x v="1"/>
    <x v="1"/>
    <d v="2024-10-18T21:26:50"/>
    <s v="OM7TZNSRR"/>
    <x v="1"/>
    <s v="UAY 526V"/>
    <s v="Benon Ssempijja"/>
    <s v="Ntale and Sons"/>
    <n v="153.60000000000002"/>
    <s v="A17625"/>
    <x v="19"/>
    <x v="1"/>
    <x v="0"/>
    <x v="1"/>
    <x v="19"/>
    <x v="19"/>
    <n v="795"/>
    <n v="-15"/>
    <x v="0"/>
    <d v="2024-10-19T07:54:00"/>
    <d v="2024-10-19T16:40:00"/>
    <d v="2024-10-19T08:33:00"/>
    <n v="-476.86666666666667"/>
    <n v="38.18333333333333"/>
    <x v="1"/>
    <d v="2024-10-20T14:39:00"/>
    <d v="2024-10-20T19:18:00"/>
    <n v="273.18333333333334"/>
    <x v="0"/>
    <d v="2024-10-21T18:52:00"/>
    <d v="2024-10-21T20:49:00"/>
    <n v="114.55"/>
    <x v="10"/>
    <n v="2.429861111115315"/>
    <x v="4"/>
    <n v="-0.570138888884685"/>
    <n v="58.31666666676756"/>
    <n v="24"/>
    <n v="34.31666666676756"/>
    <n v="4.4759592034836846"/>
    <x v="0"/>
  </r>
  <r>
    <x v="1"/>
    <x v="0"/>
    <d v="2024-10-18T22:45:33"/>
    <s v="OM4DXIHRR"/>
    <x v="0"/>
    <s v="UBE 684K"/>
    <m/>
    <s v="Kobusinge Acaali- Kyenjojo"/>
    <n v="156"/>
    <s v="Z80683"/>
    <x v="3"/>
    <x v="0"/>
    <x v="0"/>
    <x v="0"/>
    <x v="3"/>
    <x v="3"/>
    <n v="481"/>
    <n v="1"/>
    <x v="0"/>
    <d v="2024-10-19T07:38:33"/>
    <d v="2024-10-19T07:30:33"/>
    <d v="2024-10-19T08:47:33"/>
    <n v="75.38333333333334"/>
    <n v="67.55"/>
    <x v="8"/>
    <d v="2024-10-20T11:12:33"/>
    <d v="2024-10-20T14:32:33"/>
    <n v="195.83333333333334"/>
    <x v="0"/>
    <d v="2024-10-21T16:42:09"/>
    <d v="2024-10-21T17:47:09"/>
    <n v="63.633333333333333"/>
    <x v="0"/>
    <n v="2.3295833333322662"/>
    <x v="1"/>
    <n v="-0.17041666666773381"/>
    <n v="55.909999999974389"/>
    <n v="32"/>
    <n v="23.909999999974389"/>
    <n v="6.5244667503206646"/>
    <x v="0"/>
  </r>
  <r>
    <x v="1"/>
    <x v="0"/>
    <d v="2024-10-18T22:53:32"/>
    <s v="OMVRO7KRR"/>
    <x v="0"/>
    <s v="UBJ 419C"/>
    <m/>
    <s v="Kobusinge Steven-FPortal"/>
    <n v="149.376"/>
    <s v="Z80686"/>
    <x v="11"/>
    <x v="0"/>
    <x v="0"/>
    <x v="0"/>
    <x v="11"/>
    <x v="11"/>
    <n v="386"/>
    <n v="-4"/>
    <x v="0"/>
    <d v="2024-10-19T07:58:32"/>
    <d v="2024-10-19T07:30:32"/>
    <d v="2024-10-19T08:42:32"/>
    <n v="70.483333333333334"/>
    <n v="43.06666666666667"/>
    <x v="1"/>
    <d v="2024-10-20T07:12:32"/>
    <d v="2024-10-20T11:56:32"/>
    <n v="278.08333333333331"/>
    <x v="0"/>
    <d v="2024-10-21T10:19:44"/>
    <d v="2024-10-21T11:35:44"/>
    <n v="74.400000000000006"/>
    <x v="0"/>
    <n v="2.0674999999973807"/>
    <x v="0"/>
    <n v="6.7499999997380655E-2"/>
    <n v="49.619999999937136"/>
    <n v="24"/>
    <n v="25.619999999937136"/>
    <n v="5.8304449648855012"/>
    <x v="0"/>
  </r>
  <r>
    <x v="1"/>
    <x v="0"/>
    <d v="2024-10-18T22:56:41"/>
    <s v="OM6UKFNRR"/>
    <x v="1"/>
    <s v="UBK 858R"/>
    <s v="ALIPA EREKU"/>
    <s v="Kabaco U Ltd"/>
    <n v="156"/>
    <s v="Z80687"/>
    <x v="6"/>
    <x v="0"/>
    <x v="0"/>
    <x v="0"/>
    <x v="6"/>
    <x v="6"/>
    <n v="345"/>
    <n v="25"/>
    <x v="0"/>
    <d v="2024-10-19T12:10:00"/>
    <d v="2024-10-20T02:22:00"/>
    <d v="2024-10-19T12:56:00"/>
    <n v="-789.2166666666667"/>
    <n v="45.033333333333331"/>
    <x v="1"/>
    <d v="2024-10-20T08:57:00"/>
    <d v="2024-10-21T13:47:00"/>
    <n v="1693.95"/>
    <x v="0"/>
    <d v="2024-10-21T19:31:00"/>
    <d v="2024-10-21T20:53:00"/>
    <n v="80.283333333333331"/>
    <x v="0"/>
    <n v="2.2743055555547471"/>
    <x v="3"/>
    <n v="0.77430555555474712"/>
    <n v="54.583333333313931"/>
    <n v="24"/>
    <n v="30.583333333313931"/>
    <n v="5.1008174386953344"/>
    <x v="0"/>
  </r>
  <r>
    <x v="1"/>
    <x v="0"/>
    <d v="2024-10-21T23:22:59"/>
    <s v="OMROE5URR"/>
    <x v="1"/>
    <s v="UBK 882R"/>
    <s v="NASASIRA STEPHENE"/>
    <s v="Kato Investment Ltd -Mityana"/>
    <n v="172.8"/>
    <s v="A17677"/>
    <x v="16"/>
    <x v="0"/>
    <x v="0"/>
    <x v="0"/>
    <x v="16"/>
    <x v="16"/>
    <n v="684"/>
    <n v="-6"/>
    <x v="0"/>
    <d v="2024-10-22T06:55:00"/>
    <d v="2024-10-22T19:35:00"/>
    <d v="2024-10-22T07:35:00"/>
    <n v="-705"/>
    <n v="39.166666666666664"/>
    <x v="1"/>
    <d v="2024-10-23T08:43:00"/>
    <d v="2024-10-23T13:23:00"/>
    <n v="274.16666666666669"/>
    <x v="0"/>
    <d v="2024-10-24T08:36:00"/>
    <d v="2024-10-24T09:46:00"/>
    <n v="68.533333333333331"/>
    <x v="0"/>
    <n v="2.0423611111109494"/>
    <x v="0"/>
    <n v="4.2361111110949423E-2"/>
    <n v="49.016666666662786"/>
    <n v="24"/>
    <n v="25.016666666662786"/>
    <n v="6.9073950699544362"/>
    <x v="0"/>
  </r>
  <r>
    <x v="1"/>
    <x v="1"/>
    <d v="2024-10-21T23:57:32"/>
    <s v="OMII87VRR"/>
    <x v="1"/>
    <s v="UBA 523T"/>
    <s v="Kabene John"/>
    <s v="KATO INVESTMENTS LIMITED-MASAK"/>
    <n v="153.60000000000002"/>
    <s v="F15196"/>
    <x v="14"/>
    <x v="1"/>
    <x v="0"/>
    <x v="1"/>
    <x v="14"/>
    <x v="14"/>
    <n v="442"/>
    <n v="102"/>
    <x v="7"/>
    <d v="2024-10-22T13:31:00"/>
    <d v="2024-10-22T09:00:00"/>
    <d v="2024-10-22T14:17:00"/>
    <n v="310.38333333333333"/>
    <n v="45.033333333333331"/>
    <x v="1"/>
    <d v="2024-10-23T09:28:00"/>
    <d v="2024-10-23T16:10:00"/>
    <n v="393.61666666666667"/>
    <x v="0"/>
    <d v="2024-10-24T15:56:00"/>
    <d v="2024-10-24T18:00:00"/>
    <n v="121.4"/>
    <x v="11"/>
    <n v="2.0687500000058208"/>
    <x v="8"/>
    <n v="1.0687500000058208"/>
    <n v="49.650000000139698"/>
    <n v="24"/>
    <n v="25.650000000139698"/>
    <n v="5.9883040935346381"/>
    <x v="0"/>
  </r>
  <r>
    <x v="1"/>
    <x v="1"/>
    <d v="2024-10-21T23:58:14"/>
    <s v="OMWH6KMRR"/>
    <x v="1"/>
    <s v="UBK 875R"/>
    <s v="Bisaso  Ronald"/>
    <s v="KATO INVESTMENTS LIMITED-MASAK"/>
    <n v="153.60000000000002"/>
    <s v="F15197"/>
    <x v="14"/>
    <x v="1"/>
    <x v="0"/>
    <x v="1"/>
    <x v="14"/>
    <x v="14"/>
    <n v="156"/>
    <n v="-184"/>
    <x v="2"/>
    <d v="2024-10-22T09:14:00"/>
    <d v="2024-10-22T09:00:00"/>
    <d v="2024-10-22T10:03:00"/>
    <n v="61.68333333333333"/>
    <n v="47.966666666666669"/>
    <x v="1"/>
    <d v="2024-10-22T13:13:00"/>
    <d v="2024-10-22T17:39:00"/>
    <n v="260.45"/>
    <x v="0"/>
    <d v="2024-10-23T08:25:00"/>
    <d v="2024-10-23T10:41:00"/>
    <n v="133.16666666666666"/>
    <x v="4"/>
    <n v="0.93194444444816327"/>
    <x v="8"/>
    <n v="-6.8055555551836733E-2"/>
    <n v="22.366666666755918"/>
    <n v="0"/>
    <n v="22.366666666755918"/>
    <n v="6.8673621460232681"/>
    <x v="0"/>
  </r>
  <r>
    <x v="1"/>
    <x v="1"/>
    <d v="2024-10-21T23:59:38"/>
    <s v="OM730CURR"/>
    <x v="1"/>
    <s v="UBE 419T"/>
    <s v="Kilabila Ismail"/>
    <s v="KATO INVESTMENTS LIMITED-MASAK"/>
    <n v="153.60000000000002"/>
    <s v="F15199"/>
    <x v="14"/>
    <x v="1"/>
    <x v="0"/>
    <x v="1"/>
    <x v="14"/>
    <x v="14"/>
    <n v="404"/>
    <n v="64"/>
    <x v="6"/>
    <d v="2024-10-22T10:27:00"/>
    <d v="2024-10-22T09:00:00"/>
    <d v="2024-10-22T11:07:00"/>
    <n v="124.35"/>
    <n v="39.166666666666664"/>
    <x v="1"/>
    <d v="2024-10-23T08:33:00"/>
    <d v="2024-10-23T10:30:00"/>
    <n v="114.55"/>
    <x v="0"/>
    <d v="2024-10-23T18:03:00"/>
    <d v="2024-10-23T19:43:00"/>
    <n v="97.916666666666671"/>
    <x v="0"/>
    <n v="1.288888888891961"/>
    <x v="8"/>
    <n v="0.28888888889196096"/>
    <n v="30.933333333407063"/>
    <n v="12"/>
    <n v="18.933333333407063"/>
    <n v="8.1126760563064373"/>
    <x v="0"/>
  </r>
  <r>
    <x v="1"/>
    <x v="1"/>
    <d v="2024-10-22T13:59:57"/>
    <s v="OM987VARR"/>
    <x v="0"/>
    <s v="UAR 731Q"/>
    <s v="Godwin Niwensiima"/>
    <s v="Kabaco U Ltd"/>
    <n v="151.94400000000002"/>
    <s v="Z80718"/>
    <x v="6"/>
    <x v="1"/>
    <x v="0"/>
    <x v="1"/>
    <x v="6"/>
    <x v="6"/>
    <n v="318"/>
    <n v="-2"/>
    <x v="0"/>
    <d v="2024-10-22T14:37:57"/>
    <d v="2024-10-22T14:29:57"/>
    <d v="2024-10-22T15:52:57"/>
    <n v="81.266666666666666"/>
    <n v="73.433333333333337"/>
    <x v="6"/>
    <d v="2024-10-22T22:30:57"/>
    <d v="2024-10-23T12:34:39"/>
    <n v="826.11666666666667"/>
    <x v="0"/>
    <d v="2024-10-23T17:54:39"/>
    <d v="2024-10-23T19:04:39"/>
    <n v="68.533333333333331"/>
    <x v="0"/>
    <n v="1.0845111111048027"/>
    <x v="3"/>
    <n v="-0.41548888889519731"/>
    <n v="26.028266666515265"/>
    <n v="16"/>
    <n v="10.028266666515265"/>
    <n v="15.151571557958903"/>
    <x v="0"/>
  </r>
  <r>
    <x v="1"/>
    <x v="1"/>
    <d v="2024-10-22T14:05:44"/>
    <s v="OMFQ7SYRR"/>
    <x v="1"/>
    <s v="UAY 265V"/>
    <s v="Luyaga Isaac"/>
    <s v="Kato Investment Ltd -Mubende"/>
    <n v="153.60000000000002"/>
    <s v="A17685"/>
    <x v="1"/>
    <x v="1"/>
    <x v="0"/>
    <x v="1"/>
    <x v="1"/>
    <x v="1"/>
    <n v="701"/>
    <n v="21"/>
    <x v="0"/>
    <d v="2024-10-22T16:20:00"/>
    <d v="2024-10-22T19:37:00"/>
    <d v="2024-10-22T17:29:00"/>
    <n v="-125.33333333333333"/>
    <n v="67.55"/>
    <x v="8"/>
    <d v="2024-10-23T17:18:00"/>
    <d v="2024-10-24T11:52:00"/>
    <n v="1090.7833333333333"/>
    <x v="0"/>
    <d v="2024-10-25T09:13:00"/>
    <d v="2024-10-25T11:07:00"/>
    <n v="111.61666666666666"/>
    <x v="10"/>
    <n v="2.6555555555532919"/>
    <x v="1"/>
    <n v="0.15555555555329192"/>
    <n v="63.733333333279006"/>
    <n v="32"/>
    <n v="31.733333333279006"/>
    <n v="4.8403361344620688"/>
    <x v="0"/>
  </r>
  <r>
    <x v="1"/>
    <x v="1"/>
    <d v="2024-10-22T16:54:46"/>
    <s v="OM943ICRR"/>
    <x v="1"/>
    <s v="UBJ 375N"/>
    <s v="Stephen Musoke "/>
    <s v="KATO INVESTMENTS LTD- KALISIZO"/>
    <n v="127.44"/>
    <s v="F15200"/>
    <x v="4"/>
    <x v="1"/>
    <x v="0"/>
    <x v="1"/>
    <x v="4"/>
    <x v="4"/>
    <n v="347"/>
    <n v="-3"/>
    <x v="0"/>
    <d v="2024-10-22T18:19:00"/>
    <d v="2024-10-23T03:43:00"/>
    <d v="2024-10-22T18:59:00"/>
    <n v="-513.1"/>
    <n v="39.166666666666664"/>
    <x v="1"/>
    <d v="2024-10-23T10:57:00"/>
    <d v="2024-10-24T09:55:00"/>
    <n v="1349.2833333333333"/>
    <x v="0"/>
    <d v="2024-10-24T15:38:00"/>
    <d v="2024-10-24T16:40:00"/>
    <n v="60.7"/>
    <x v="0"/>
    <n v="1.8604166666627862"/>
    <x v="2"/>
    <n v="0.1604166666627862"/>
    <n v="44.649999999906868"/>
    <n v="12"/>
    <n v="32.649999999906868"/>
    <n v="3.9032159265042425"/>
    <x v="0"/>
  </r>
  <r>
    <x v="1"/>
    <x v="1"/>
    <d v="2024-10-22T16:56:01"/>
    <s v="OMYRTDNRR"/>
    <x v="1"/>
    <s v="UBJ 988D"/>
    <s v="Tumusiime Robert"/>
    <s v="KATO INVESTMENTS LTD- KALISIZO"/>
    <n v="153.60000000000002"/>
    <s v="F15201"/>
    <x v="4"/>
    <x v="1"/>
    <x v="0"/>
    <x v="1"/>
    <x v="4"/>
    <x v="4"/>
    <n v="349"/>
    <n v="-1"/>
    <x v="0"/>
    <d v="2024-10-22T16:32:00"/>
    <d v="2024-10-23T03:43:00"/>
    <d v="2024-10-22T17:15:00"/>
    <n v="-614.93333333333328"/>
    <n v="42.1"/>
    <x v="1"/>
    <d v="2024-10-23T10:19:00"/>
    <d v="2024-10-23T15:35:00"/>
    <n v="309.41666666666669"/>
    <x v="0"/>
    <d v="2024-10-24T11:19:00"/>
    <d v="2024-10-24T12:28:00"/>
    <n v="67.55"/>
    <x v="0"/>
    <n v="1.7527777777795563"/>
    <x v="2"/>
    <n v="5.277777777955639E-2"/>
    <n v="42.066666666709352"/>
    <n v="12"/>
    <n v="30.066666666709352"/>
    <n v="5.1086474501036125"/>
    <x v="0"/>
  </r>
  <r>
    <x v="1"/>
    <x v="0"/>
    <d v="2024-10-22T16:58:03"/>
    <s v="OM9YQZERR"/>
    <x v="1"/>
    <s v="UBK 862R"/>
    <s v="SULAIMAN MUBIRU"/>
    <s v="Kato Investments Ltd- Kakumiro"/>
    <n v="156"/>
    <s v="A17691"/>
    <x v="24"/>
    <x v="0"/>
    <x v="0"/>
    <x v="0"/>
    <x v="24"/>
    <x v="22"/>
    <n v="666"/>
    <n v="-99"/>
    <x v="0"/>
    <d v="2024-10-22T17:51:00"/>
    <d v="2024-10-22T18:06:00"/>
    <d v="2024-10-22T18:30:00"/>
    <n v="23.5"/>
    <n v="38.18333333333333"/>
    <x v="1"/>
    <d v="2024-10-23T12:40:00"/>
    <d v="2024-10-23T15:20:00"/>
    <n v="156.65"/>
    <x v="0"/>
    <d v="2024-10-24T08:21:00"/>
    <d v="2024-10-24T09:41:00"/>
    <n v="78.316666666666663"/>
    <x v="0"/>
    <n v="1.5770833333299379"/>
    <x v="3"/>
    <n v="7.7083333329937886E-2"/>
    <n v="37.849999999918509"/>
    <n v="12"/>
    <n v="25.849999999918509"/>
    <n v="6.0348162476012295"/>
    <x v="0"/>
  </r>
  <r>
    <x v="1"/>
    <x v="1"/>
    <d v="2024-10-22T20:04:55"/>
    <s v="OMEJM2BRR"/>
    <x v="1"/>
    <s v="UBE 422T"/>
    <s v="Jacob Oneka"/>
    <s v="Kabaco U Ltd-Mbarara"/>
    <n v="153.60000000000002"/>
    <s v="Z80722"/>
    <x v="8"/>
    <x v="1"/>
    <x v="0"/>
    <x v="1"/>
    <x v="8"/>
    <x v="8"/>
    <n v="14"/>
    <n v="3"/>
    <x v="0"/>
    <d v="2024-10-23T12:01:00"/>
    <d v="2024-10-23T09:00:00"/>
    <d v="2024-10-23T12:50:00"/>
    <n v="225.2"/>
    <n v="47.966666666666669"/>
    <x v="1"/>
    <d v="2024-10-23T13:25:00"/>
    <d v="2024-10-23T19:29:00"/>
    <n v="356.4"/>
    <x v="0"/>
    <d v="2024-10-24T08:32:00"/>
    <d v="2024-10-24T11:16:00"/>
    <n v="160.58333333333334"/>
    <x v="2"/>
    <n v="0.82083333333866904"/>
    <x v="5"/>
    <n v="2.0833333338668991E-2"/>
    <n v="19.700000000128057"/>
    <n v="0"/>
    <n v="19.700000000128057"/>
    <n v="7.7969543146701303"/>
    <x v="0"/>
  </r>
  <r>
    <x v="1"/>
    <x v="1"/>
    <d v="2024-10-22T20:06:06"/>
    <s v="OM2V6VYRR"/>
    <x v="1"/>
    <s v="UBJ 415C"/>
    <s v="Abel Mark naffa"/>
    <s v="Kabaco U Ltd-Mbarara"/>
    <n v="153.60000000000002"/>
    <s v="Z80723"/>
    <x v="8"/>
    <x v="1"/>
    <x v="0"/>
    <x v="1"/>
    <x v="8"/>
    <x v="8"/>
    <n v="12"/>
    <n v="1"/>
    <x v="0"/>
    <d v="2024-10-24T05:52:00"/>
    <d v="2024-10-23T08:30:00"/>
    <d v="2024-10-24T06:32:00"/>
    <n v="1294.45"/>
    <n v="39.166666666666664"/>
    <x v="1"/>
    <d v="2024-10-24T08:50:00"/>
    <d v="2024-10-24T11:58:00"/>
    <n v="184.08333333333334"/>
    <x v="0"/>
    <d v="2024-10-24T10:39:00"/>
    <d v="2024-10-24T12:28:00"/>
    <n v="106.71666666666667"/>
    <x v="0"/>
    <n v="0.17152777777664596"/>
    <x v="5"/>
    <n v="-0.62847222222335408"/>
    <n v="4.1166666666395031"/>
    <n v="0"/>
    <n v="4.1166666666395031"/>
    <n v="37.311740890934466"/>
    <x v="0"/>
  </r>
  <r>
    <x v="1"/>
    <x v="0"/>
    <d v="2024-10-22T20:07:49"/>
    <s v="OMEW7VWRR"/>
    <x v="1"/>
    <s v="UBK 858R"/>
    <s v="ALIPA EREKU"/>
    <s v="Sawan Distributors Ltd-Nabingo"/>
    <n v="156"/>
    <s v="A17695"/>
    <x v="21"/>
    <x v="0"/>
    <x v="0"/>
    <x v="0"/>
    <x v="21"/>
    <x v="2"/>
    <n v="548"/>
    <n v="-12"/>
    <x v="0"/>
    <d v="2024-10-22T20:12:00"/>
    <d v="2024-10-23T02:30:00"/>
    <d v="2024-10-22T20:55:00"/>
    <n v="-328.03333333333336"/>
    <n v="42.1"/>
    <x v="1"/>
    <d v="2024-10-23T08:19:00"/>
    <d v="2024-10-23T13:18:00"/>
    <n v="292.76666666666665"/>
    <x v="0"/>
    <d v="2024-10-24T10:02:00"/>
    <d v="2024-10-24T11:10:00"/>
    <n v="66.583333333333329"/>
    <x v="0"/>
    <n v="1.546527777776646"/>
    <x v="0"/>
    <n v="-0.45347222222335404"/>
    <n v="37.116666666639503"/>
    <n v="12"/>
    <n v="25.116666666639503"/>
    <n v="6.2110152621168702"/>
    <x v="0"/>
  </r>
  <r>
    <x v="1"/>
    <x v="1"/>
    <d v="2024-10-23T21:37:15"/>
    <s v="OMZHS87RR"/>
    <x v="1"/>
    <s v="UBJ 707D"/>
    <s v="Konge Husein"/>
    <s v="Sawan Distributors Ltd-Nabingo"/>
    <n v="153.60000000000002"/>
    <s v="A17721"/>
    <x v="21"/>
    <x v="1"/>
    <x v="0"/>
    <x v="1"/>
    <x v="21"/>
    <x v="2"/>
    <n v="560"/>
    <n v="0"/>
    <x v="0"/>
    <d v="2024-10-24T08:02:00"/>
    <d v="2024-10-24T08:30:00"/>
    <d v="2024-10-24T08:42:00"/>
    <n v="11.75"/>
    <n v="39.166666666666664"/>
    <x v="1"/>
    <d v="2024-10-24T19:03:00"/>
    <d v="2024-10-25T16:40:00"/>
    <n v="1269.9666666666667"/>
    <x v="0"/>
    <d v="2024-10-28T17:32:00"/>
    <d v="2024-10-28T18:41:00"/>
    <n v="67.55"/>
    <x v="0"/>
    <n v="4.3680555555547471"/>
    <x v="0"/>
    <n v="2.3680555555547471"/>
    <n v="104.83333333331393"/>
    <n v="48"/>
    <n v="56.833333333313931"/>
    <n v="2.7026392961886065"/>
    <x v="6"/>
  </r>
  <r>
    <x v="1"/>
    <x v="1"/>
    <d v="2024-10-23T21:38:09"/>
    <s v="OMLU1D8RR"/>
    <x v="1"/>
    <s v="UBE 419T"/>
    <s v="Kilabila Ismail"/>
    <s v="Sawan Distributors Ltd-Nabingo"/>
    <n v="153.60000000000002"/>
    <s v="A17722"/>
    <x v="21"/>
    <x v="1"/>
    <x v="0"/>
    <x v="1"/>
    <x v="21"/>
    <x v="2"/>
    <n v="539"/>
    <n v="-21"/>
    <x v="0"/>
    <d v="2024-10-24T08:20:00"/>
    <d v="2024-10-24T08:30:00"/>
    <d v="2024-10-24T09:06:00"/>
    <n v="35.25"/>
    <n v="45.033333333333331"/>
    <x v="1"/>
    <d v="2024-10-24T16:56:00"/>
    <d v="2024-10-25T11:30:00"/>
    <n v="1090.7833333333333"/>
    <x v="0"/>
    <d v="2024-10-26T09:08:00"/>
    <d v="2024-10-26T10:39:00"/>
    <n v="89.1"/>
    <x v="0"/>
    <n v="2.0013888888934162"/>
    <x v="0"/>
    <n v="1.3888888934161514E-3"/>
    <n v="48.033333333441988"/>
    <n v="24"/>
    <n v="24.033333333441988"/>
    <n v="6.3911234396382355"/>
    <x v="0"/>
  </r>
  <r>
    <x v="1"/>
    <x v="1"/>
    <d v="2024-10-25T20:31:28"/>
    <s v="OMY56BSRR"/>
    <x v="1"/>
    <s v="UBE 422T"/>
    <s v="Jacob Oneka"/>
    <s v="Kabaco U Ltd"/>
    <n v="141.14400000000001"/>
    <s v="Z80769"/>
    <x v="6"/>
    <x v="1"/>
    <x v="0"/>
    <x v="1"/>
    <x v="6"/>
    <x v="6"/>
    <n v="323"/>
    <n v="3"/>
    <x v="0"/>
    <d v="2024-10-26T09:18:00"/>
    <d v="2024-10-26T08:30:00"/>
    <d v="2024-10-26T09:57:00"/>
    <n v="85.183333333333337"/>
    <n v="38.18333333333333"/>
    <x v="1"/>
    <d v="2024-10-26T17:40:00"/>
    <d v="2024-10-27T14:59:00"/>
    <n v="1252.3499999999999"/>
    <x v="0"/>
    <d v="2024-10-28T09:17:00"/>
    <d v="2024-10-28T10:57:00"/>
    <n v="97.916666666666671"/>
    <x v="0"/>
    <n v="1.9722222222262644"/>
    <x v="3"/>
    <n v="0.47222222222626442"/>
    <n v="47.333333333430346"/>
    <n v="12"/>
    <n v="35.333333333430346"/>
    <n v="3.9946415094229946"/>
    <x v="0"/>
  </r>
  <r>
    <x v="1"/>
    <x v="1"/>
    <d v="2024-10-25T20:32:26"/>
    <s v="OMDN11TRR"/>
    <x v="1"/>
    <s v="UBE 287X"/>
    <s v="Isaac Tumuhimbise"/>
    <s v="Kabaco U Ltd-Mbarara"/>
    <n v="153.60000000000002"/>
    <s v="Z80770"/>
    <x v="8"/>
    <x v="1"/>
    <x v="0"/>
    <x v="1"/>
    <x v="8"/>
    <x v="8"/>
    <n v="14"/>
    <n v="3"/>
    <x v="0"/>
    <d v="2024-10-26T13:59:00"/>
    <d v="2024-10-26T09:30:00"/>
    <d v="2024-10-26T14:39:00"/>
    <n v="302.55"/>
    <n v="39.166666666666664"/>
    <x v="1"/>
    <d v="2024-10-26T15:06:00"/>
    <d v="2024-10-27T15:14:00"/>
    <n v="1417.8333333333333"/>
    <x v="0"/>
    <d v="2024-10-27T16:06:00"/>
    <d v="2024-10-27T17:12:00"/>
    <n v="64.61666666666666"/>
    <x v="0"/>
    <n v="1.0604166666598758"/>
    <x v="5"/>
    <n v="0.26041666665987573"/>
    <n v="25.449999999837019"/>
    <n v="12"/>
    <n v="13.449999999837019"/>
    <n v="11.420074349580764"/>
    <x v="0"/>
  </r>
  <r>
    <x v="1"/>
    <x v="1"/>
    <d v="2024-10-25T20:41:36"/>
    <s v="OMG0ZIURR"/>
    <x v="1"/>
    <s v="UAY 265V"/>
    <s v="Luyaga Isaac"/>
    <s v="Kabaco U Ltd"/>
    <n v="153.60000000000002"/>
    <s v="Z80773"/>
    <x v="6"/>
    <x v="1"/>
    <x v="0"/>
    <x v="1"/>
    <x v="6"/>
    <x v="6"/>
    <n v="323"/>
    <n v="3"/>
    <x v="0"/>
    <d v="2024-10-26T11:34:00"/>
    <d v="2024-10-27T02:22:00"/>
    <d v="2024-10-26T12:20:00"/>
    <n v="-824.4666666666667"/>
    <n v="45.033333333333331"/>
    <x v="1"/>
    <d v="2024-10-26T17:54:00"/>
    <d v="2024-10-28T12:27:00"/>
    <n v="2499.8000000000002"/>
    <x v="0"/>
    <d v="2024-10-28T16:51:00"/>
    <d v="2024-10-28T18:57:00"/>
    <n v="123.36666666666666"/>
    <x v="11"/>
    <n v="2.1881944444394321"/>
    <x v="3"/>
    <n v="0.68819444443943212"/>
    <n v="52.516666666546371"/>
    <n v="24"/>
    <n v="28.516666666546371"/>
    <n v="5.3863237872816354"/>
    <x v="0"/>
  </r>
  <r>
    <x v="1"/>
    <x v="1"/>
    <d v="2024-10-26T16:49:40"/>
    <s v="OMXP4CVRR"/>
    <x v="1"/>
    <s v="UBJ 988D"/>
    <s v="Tumusiime Robert"/>
    <s v="Sawan Distributors Ltd-Kayabwe"/>
    <n v="153.60000000000002"/>
    <s v="A17814"/>
    <x v="9"/>
    <x v="1"/>
    <x v="0"/>
    <x v="1"/>
    <x v="9"/>
    <x v="9"/>
    <n v="397"/>
    <n v="-3"/>
    <x v="0"/>
    <d v="2024-10-27T16:26:00"/>
    <d v="2024-10-27T09:30:00"/>
    <d v="2024-10-27T17:09:00"/>
    <n v="449.43333333333334"/>
    <n v="42.1"/>
    <x v="1"/>
    <d v="2024-10-28T10:52:00"/>
    <d v="2024-10-29T13:04:00"/>
    <n v="1539.25"/>
    <x v="0"/>
    <d v="2024-10-30T10:33:00"/>
    <d v="2024-10-30T13:08:00"/>
    <n v="151.76666666666668"/>
    <x v="6"/>
    <n v="2.7249999999985448"/>
    <x v="0"/>
    <n v="0.72499999999854481"/>
    <n v="65.399999999965075"/>
    <n v="24"/>
    <n v="41.399999999965075"/>
    <n v="3.7101449275393623"/>
    <x v="0"/>
  </r>
  <r>
    <x v="1"/>
    <x v="1"/>
    <d v="2024-10-26T16:53:36"/>
    <s v="OM4WKDQRR"/>
    <x v="1"/>
    <s v="UBJ 415C"/>
    <s v="Abel Mark naffa"/>
    <s v="Sawan Distributors Ltd-Nabingo"/>
    <n v="153.60000000000002"/>
    <s v="A17816"/>
    <x v="21"/>
    <x v="1"/>
    <x v="0"/>
    <x v="1"/>
    <x v="21"/>
    <x v="2"/>
    <n v="492"/>
    <n v="-68"/>
    <x v="0"/>
    <d v="2024-10-26T18:14:00"/>
    <d v="2024-10-27T02:30:00"/>
    <d v="2024-10-26T18:54:00"/>
    <n v="-446.5"/>
    <n v="39.166666666666664"/>
    <x v="1"/>
    <d v="2024-10-28T09:13:00"/>
    <d v="2024-10-28T13:15:00"/>
    <n v="236.95"/>
    <x v="0"/>
    <d v="2024-10-29T12:10:00"/>
    <d v="2024-10-29T13:34:00"/>
    <n v="82.25"/>
    <x v="0"/>
    <n v="2.7194444444467081"/>
    <x v="0"/>
    <n v="0.71944444444670808"/>
    <n v="65.266666666720994"/>
    <n v="24"/>
    <n v="41.266666666720994"/>
    <n v="3.722132471723695"/>
    <x v="0"/>
  </r>
  <r>
    <x v="1"/>
    <x v="1"/>
    <d v="2024-10-26T16:54:23"/>
    <s v="OMR1GURRR"/>
    <x v="1"/>
    <s v="UBE 287X"/>
    <s v="Isaac Tumuhimbise"/>
    <s v="Sawan Distributors Ltd-Nabingo"/>
    <n v="153.60000000000002"/>
    <s v="A17817"/>
    <x v="21"/>
    <x v="1"/>
    <x v="0"/>
    <x v="1"/>
    <x v="21"/>
    <x v="2"/>
    <n v="536"/>
    <n v="-24"/>
    <x v="0"/>
    <d v="2024-10-27T18:06:00"/>
    <d v="2024-10-27T09:30:00"/>
    <d v="2024-10-27T18:52:00"/>
    <n v="550.2833333333333"/>
    <n v="45.033333333333331"/>
    <x v="1"/>
    <d v="2024-10-28T12:48:00"/>
    <d v="2024-10-28T15:16:00"/>
    <n v="144.91666666666666"/>
    <x v="0"/>
    <d v="2024-10-29T16:29:00"/>
    <d v="2024-10-29T18:32:00"/>
    <n v="120.43333333333334"/>
    <x v="11"/>
    <n v="1.9006944444408873"/>
    <x v="0"/>
    <n v="-9.930555555911269E-2"/>
    <n v="45.616666666581295"/>
    <n v="12"/>
    <n v="33.616666666581295"/>
    <n v="4.5691621219749159"/>
    <x v="0"/>
  </r>
  <r>
    <x v="1"/>
    <x v="1"/>
    <d v="2024-10-26T21:26:56"/>
    <s v="OMWCXVJRR"/>
    <x v="1"/>
    <s v="UAV 203T"/>
    <s v="Mugisha  George"/>
    <s v="KATO INVESTMENTS LIMITED-MASAK"/>
    <n v="153.60000000000002"/>
    <s v="F15204"/>
    <x v="14"/>
    <x v="1"/>
    <x v="0"/>
    <x v="1"/>
    <x v="14"/>
    <x v="14"/>
    <n v="298"/>
    <n v="-42"/>
    <x v="0"/>
    <d v="2024-10-27T12:07:00"/>
    <d v="2024-10-27T07:00:00"/>
    <d v="2024-10-27T12:46:00"/>
    <n v="338.78333333333336"/>
    <n v="38.18333333333333"/>
    <x v="1"/>
    <d v="2024-10-27T16:54:00"/>
    <d v="2024-10-27T20:22:00"/>
    <n v="203.65"/>
    <x v="0"/>
    <d v="2024-10-28T13:11:00"/>
    <d v="2024-10-28T14:47:00"/>
    <n v="93.983333333333334"/>
    <x v="0"/>
    <n v="1.0173611111094942"/>
    <x v="8"/>
    <n v="1.7361111109494232E-2"/>
    <n v="24.416666666627862"/>
    <n v="12"/>
    <n v="12.416666666627862"/>
    <n v="12.37046979869638"/>
    <x v="0"/>
  </r>
  <r>
    <x v="1"/>
    <x v="0"/>
    <d v="2024-10-26T21:38:42"/>
    <s v="OMOWSB7RR"/>
    <x v="1"/>
    <s v="UBJ 417C"/>
    <s v="FARUK   ABEL"/>
    <s v="Kato Investment Ltd -Mityana"/>
    <n v="156"/>
    <s v="A17821"/>
    <x v="16"/>
    <x v="0"/>
    <x v="0"/>
    <x v="0"/>
    <x v="16"/>
    <x v="16"/>
    <n v="650"/>
    <n v="-40"/>
    <x v="0"/>
    <d v="2024-10-27T09:37:00"/>
    <d v="2024-10-27T19:35:00"/>
    <d v="2024-10-27T10:17:00"/>
    <n v="-546.38333333333333"/>
    <n v="39.166666666666664"/>
    <x v="1"/>
    <d v="2024-10-28T12:21:00"/>
    <d v="2024-10-28T14:05:00"/>
    <n v="101.83333333333333"/>
    <x v="0"/>
    <d v="2024-10-29T14:26:00"/>
    <d v="2024-10-29T15:51:00"/>
    <n v="83.216666666666669"/>
    <x v="0"/>
    <n v="2.1729166666700621"/>
    <x v="0"/>
    <n v="0.17291666667006211"/>
    <n v="52.150000000081491"/>
    <n v="24"/>
    <n v="28.150000000081491"/>
    <n v="5.5417406749395521"/>
    <x v="0"/>
  </r>
  <r>
    <x v="1"/>
    <x v="0"/>
    <d v="2024-10-26T21:39:51"/>
    <s v="OMEHGNCRR"/>
    <x v="1"/>
    <s v="UBP 298H"/>
    <s v="SENTONG DAVID"/>
    <s v="Kato Investment Ltd -Mubende"/>
    <n v="156"/>
    <s v="A17822"/>
    <x v="1"/>
    <x v="0"/>
    <x v="0"/>
    <x v="0"/>
    <x v="1"/>
    <x v="1"/>
    <n v="708"/>
    <n v="28"/>
    <x v="0"/>
    <d v="2024-10-27T10:06:00"/>
    <d v="2024-10-27T19:37:00"/>
    <d v="2024-10-27T10:53:00"/>
    <n v="-513.1"/>
    <n v="46.016666666666666"/>
    <x v="1"/>
    <d v="2024-10-28T09:11:00"/>
    <d v="2024-10-28T12:27:00"/>
    <n v="191.9"/>
    <x v="0"/>
    <d v="2024-10-29T11:52:00"/>
    <d v="2024-10-29T12:59:00"/>
    <n v="65.599999999999994"/>
    <x v="0"/>
    <n v="2.0409722222175333"/>
    <x v="1"/>
    <n v="-0.45902777778246673"/>
    <n v="48.983333333220799"/>
    <n v="24"/>
    <n v="24.983333333220799"/>
    <n v="6.2441627752115823"/>
    <x v="0"/>
  </r>
  <r>
    <x v="1"/>
    <x v="0"/>
    <d v="2024-10-26T21:43:47"/>
    <s v="OMJGWHYRR"/>
    <x v="1"/>
    <s v="UBE 690K"/>
    <s v="MUKOSE MUZAMIRU"/>
    <s v="Ntale and Sons Ltd-Kakiri"/>
    <n v="156"/>
    <s v="A17825"/>
    <x v="22"/>
    <x v="0"/>
    <x v="0"/>
    <x v="0"/>
    <x v="22"/>
    <x v="21"/>
    <n v="594"/>
    <n v="-26"/>
    <x v="0"/>
    <d v="2024-10-27T10:23:00"/>
    <d v="2024-10-28T01:59:00"/>
    <d v="2024-10-27T11:13:00"/>
    <n v="-867.55"/>
    <n v="48.95"/>
    <x v="1"/>
    <d v="2024-10-27T23:46:00"/>
    <d v="2024-10-28T17:26:00"/>
    <n v="1037.9166666666667"/>
    <x v="0"/>
    <d v="2024-10-29T12:16:00"/>
    <d v="2024-10-29T14:09:00"/>
    <n v="110.63333333333334"/>
    <x v="0"/>
    <n v="2.0437499999970896"/>
    <x v="0"/>
    <n v="4.3749999997089617E-2"/>
    <n v="49.049999999930151"/>
    <n v="24"/>
    <n v="25.049999999930151"/>
    <n v="6.2275449101970057"/>
    <x v="0"/>
  </r>
  <r>
    <x v="1"/>
    <x v="0"/>
    <d v="2024-10-26T21:44:46"/>
    <s v="OMFRS2FRR"/>
    <x v="1"/>
    <s v="UBK 882R"/>
    <s v="NASASIRA STEPHENE"/>
    <s v="Kato Investment Ltd -Mityana"/>
    <n v="172.8"/>
    <s v="A17826"/>
    <x v="16"/>
    <x v="0"/>
    <x v="0"/>
    <x v="0"/>
    <x v="16"/>
    <x v="16"/>
    <n v="783"/>
    <n v="93"/>
    <x v="1"/>
    <d v="2024-10-27T11:01:00"/>
    <d v="2024-10-27T19:35:00"/>
    <d v="2024-10-27T11:54:00"/>
    <n v="-451.4"/>
    <n v="51.883333333333333"/>
    <x v="2"/>
    <d v="2024-10-28T09:10:00"/>
    <d v="2024-10-28T15:21:00"/>
    <n v="363.26666666666665"/>
    <x v="0"/>
    <d v="2024-10-29T10:15:00"/>
    <d v="2024-10-29T12:06:00"/>
    <n v="108.68333333333334"/>
    <x v="0"/>
    <n v="1.9312500000014552"/>
    <x v="0"/>
    <n v="-6.8749999998544808E-2"/>
    <n v="46.350000000034925"/>
    <n v="16"/>
    <n v="30.350000000034925"/>
    <n v="5.6935749588072868"/>
    <x v="0"/>
  </r>
  <r>
    <x v="1"/>
    <x v="1"/>
    <d v="2024-10-26T23:17:15"/>
    <s v="OMEUD8DRR"/>
    <x v="1"/>
    <s v="UBJ 707D"/>
    <s v="Konge Husein"/>
    <s v="KATO INVESTMENTS LIMITED-MASAK"/>
    <n v="153.60000000000002"/>
    <s v="F15206"/>
    <x v="14"/>
    <x v="1"/>
    <x v="0"/>
    <x v="1"/>
    <x v="14"/>
    <x v="14"/>
    <n v="152"/>
    <n v="-188"/>
    <x v="2"/>
    <d v="2024-10-29T17:23:00"/>
    <d v="2024-10-27T09:00:00"/>
    <d v="2024-10-29T18:13:00"/>
    <n v="3361.4666666666667"/>
    <n v="48.95"/>
    <x v="1"/>
    <d v="2024-10-29T20:39:00"/>
    <d v="2024-10-30T13:31:00"/>
    <n v="990.9"/>
    <x v="0"/>
    <d v="2024-10-30T16:19:00"/>
    <d v="2024-10-30T18:31:00"/>
    <n v="129.25"/>
    <x v="11"/>
    <n v="0.92083333332993789"/>
    <x v="8"/>
    <n v="-7.9166666670062114E-2"/>
    <n v="22.099999999918509"/>
    <n v="0"/>
    <n v="22.099999999918509"/>
    <n v="6.9502262443695209"/>
    <x v="0"/>
  </r>
  <r>
    <x v="1"/>
    <x v="1"/>
    <d v="2024-10-26T23:20:27"/>
    <s v="OM74AKTRR"/>
    <x v="1"/>
    <s v="UAY 265V"/>
    <s v="Luyaga Isaac"/>
    <s v="KATO INVESTMENTS LIMITED-MASAK"/>
    <n v="153.60000000000002"/>
    <s v="F15208"/>
    <x v="14"/>
    <x v="1"/>
    <x v="0"/>
    <x v="1"/>
    <x v="14"/>
    <x v="14"/>
    <n v="400"/>
    <n v="60"/>
    <x v="6"/>
    <d v="2024-10-29T16:38:00"/>
    <d v="2024-10-28T04:14:00"/>
    <d v="2024-10-29T17:23:00"/>
    <n v="2182.5500000000002"/>
    <n v="44.05"/>
    <x v="1"/>
    <d v="2024-10-30T10:05:00"/>
    <d v="2024-10-30T13:31:00"/>
    <n v="201.7"/>
    <x v="0"/>
    <d v="2024-10-31T09:40:00"/>
    <d v="2024-10-31T10:42:00"/>
    <n v="60.7"/>
    <x v="3"/>
    <n v="1.6784722222218988"/>
    <x v="8"/>
    <n v="0.67847222222189885"/>
    <n v="40.283333333325572"/>
    <n v="12"/>
    <n v="28.283333333325572"/>
    <n v="5.4307601649985449"/>
    <x v="0"/>
  </r>
  <r>
    <x v="1"/>
    <x v="1"/>
    <d v="2024-10-26T23:21:13"/>
    <s v="OM1FZ9VRR"/>
    <x v="1"/>
    <s v="UBE 422T"/>
    <s v="Jacob Oneka"/>
    <s v="Ntale and Sons"/>
    <n v="153.60000000000002"/>
    <s v="A17828"/>
    <x v="19"/>
    <x v="1"/>
    <x v="0"/>
    <x v="1"/>
    <x v="19"/>
    <x v="19"/>
    <n v="801"/>
    <n v="-9"/>
    <x v="0"/>
    <d v="2024-10-29T13:10:00"/>
    <d v="2024-10-27T16:40:00"/>
    <d v="2024-10-29T14:21:00"/>
    <n v="2683.8833333333332"/>
    <n v="69.516666666666666"/>
    <x v="0"/>
    <d v="2024-10-30T13:06:00"/>
    <d v="2024-10-31T14:36:00"/>
    <n v="1498.1166666666666"/>
    <x v="0"/>
    <d v="2024-11-01T12:01:00"/>
    <d v="2024-11-01T13:17:00"/>
    <n v="74.400000000000006"/>
    <x v="0"/>
    <n v="2.9027777777810115"/>
    <x v="4"/>
    <n v="-9.7222222218988463E-2"/>
    <n v="69.666666666744277"/>
    <n v="32"/>
    <n v="37.666666666744277"/>
    <n v="4.0778761061862889"/>
    <x v="0"/>
  </r>
  <r>
    <x v="1"/>
    <x v="0"/>
    <d v="2024-10-26T23:21:46"/>
    <s v="OMX4M0NRR"/>
    <x v="0"/>
    <s v="UBE 684K"/>
    <m/>
    <s v="Kato Investment Ltd -Mityana"/>
    <n v="156"/>
    <s v="A17829"/>
    <x v="16"/>
    <x v="0"/>
    <x v="0"/>
    <x v="0"/>
    <x v="16"/>
    <x v="16"/>
    <n v="682"/>
    <n v="-8"/>
    <x v="0"/>
    <d v="2024-10-27T07:58:46"/>
    <d v="2024-10-27T07:30:46"/>
    <d v="2024-10-27T09:58:16"/>
    <n v="144.41666666666666"/>
    <n v="117"/>
    <x v="0"/>
    <d v="2024-10-28T10:58:46"/>
    <d v="2024-10-28T15:58:46"/>
    <n v="293.75"/>
    <x v="0"/>
    <d v="2024-10-29T11:15:05"/>
    <d v="2024-10-29T12:18:05"/>
    <n v="61.68333333333333"/>
    <x v="0"/>
    <n v="2.0533472222232376"/>
    <x v="0"/>
    <n v="5.3347222223237623E-2"/>
    <n v="49.280333333357703"/>
    <n v="32"/>
    <n v="17.280333333357703"/>
    <n v="9.0276036341764243"/>
    <x v="0"/>
  </r>
  <r>
    <x v="1"/>
    <x v="1"/>
    <d v="2024-10-26T23:44:39"/>
    <s v="OM6L4P1RR"/>
    <x v="1"/>
    <s v="UBK 875R"/>
    <s v="Bisaso  Ronald"/>
    <s v="Ntale and Sons"/>
    <n v="153.60000000000002"/>
    <s v="A17832"/>
    <x v="19"/>
    <x v="1"/>
    <x v="0"/>
    <x v="1"/>
    <x v="19"/>
    <x v="19"/>
    <n v="817"/>
    <n v="7"/>
    <x v="0"/>
    <d v="2024-10-29T13:50:00"/>
    <d v="2024-10-27T16:40:00"/>
    <d v="2024-10-29T14:40:00"/>
    <n v="2702.4833333333331"/>
    <n v="48.95"/>
    <x v="1"/>
    <d v="2024-10-30T13:05:00"/>
    <d v="2024-10-30T17:40:00"/>
    <n v="269.26666666666665"/>
    <x v="0"/>
    <d v="2024-11-01T13:29:00"/>
    <d v="2024-11-01T14:53:00"/>
    <n v="82.25"/>
    <x v="0"/>
    <n v="2.9506944444437977"/>
    <x v="4"/>
    <n v="-4.9305555556202307E-2"/>
    <n v="70.816666666651145"/>
    <n v="24"/>
    <n v="46.816666666651145"/>
    <n v="3.2808828764695823"/>
    <x v="0"/>
  </r>
  <r>
    <x v="1"/>
    <x v="0"/>
    <d v="2024-10-28T00:00:00"/>
    <s v="OM02KGAA"/>
    <x v="0"/>
    <s v="UBE 673K"/>
    <s v="Bulega Sperito"/>
    <s v="Sawan Distributors Ltd-Kayabwe"/>
    <n v="156"/>
    <s v="A17865"/>
    <x v="9"/>
    <x v="0"/>
    <x v="0"/>
    <x v="0"/>
    <x v="9"/>
    <x v="9"/>
    <n v="397"/>
    <n v="-3"/>
    <x v="0"/>
    <d v="2024-10-28T07:58:00"/>
    <d v="2024-10-28T07:30:00"/>
    <d v="2024-10-28T08:53:00"/>
    <n v="81.266666666666666"/>
    <n v="53.85"/>
    <x v="5"/>
    <d v="2024-10-28T17:53:00"/>
    <d v="2024-10-29T17:28:31"/>
    <n v="1386.0166666666667"/>
    <x v="0"/>
    <d v="2024-10-30T13:52:31"/>
    <d v="2024-10-30T14:57:31"/>
    <n v="63.633333333333333"/>
    <x v="0"/>
    <n v="2.2079999999987194"/>
    <x v="0"/>
    <n v="0.20799999999871943"/>
    <n v="52.991999999969266"/>
    <n v="32"/>
    <n v="20.991999999969266"/>
    <n v="7.4314024390352706"/>
    <x v="0"/>
  </r>
  <r>
    <x v="1"/>
    <x v="0"/>
    <d v="2024-10-28T21:28:46"/>
    <s v="OM4NA5HRR"/>
    <x v="1"/>
    <s v="UBE 680K"/>
    <s v="BYEKWASO TWAHA"/>
    <s v="Kato Investment Ltd -Kagadi"/>
    <n v="156"/>
    <s v="A17864"/>
    <x v="12"/>
    <x v="0"/>
    <x v="0"/>
    <x v="0"/>
    <x v="12"/>
    <x v="12"/>
    <n v="603"/>
    <n v="-9"/>
    <x v="0"/>
    <d v="2024-10-29T06:43:00"/>
    <d v="2024-10-28T21:55:00"/>
    <d v="2024-10-29T07:29:00"/>
    <n v="562.0333333333333"/>
    <n v="45.033333333333331"/>
    <x v="1"/>
    <d v="2024-10-29T19:22:00"/>
    <d v="2024-10-30T13:29:00"/>
    <n v="1064.3499999999999"/>
    <x v="0"/>
    <d v="2024-10-30T21:25:00"/>
    <d v="2024-10-30T22:27:00"/>
    <n v="60.7"/>
    <x v="0"/>
    <n v="1.5805555555562023"/>
    <x v="6"/>
    <n v="-0.71944444444379752"/>
    <n v="37.933333333348855"/>
    <n v="12"/>
    <n v="25.933333333348855"/>
    <n v="6.0154241645208213"/>
    <x v="0"/>
  </r>
  <r>
    <x v="1"/>
    <x v="1"/>
    <d v="2024-10-28T22:11:20"/>
    <s v="OMMYTPDRR"/>
    <x v="1"/>
    <s v="UBJ 707D"/>
    <s v="Konge Husein"/>
    <s v="Kabaco U Ltd-Mbarara"/>
    <n v="153.60000000000002"/>
    <s v="Z80825"/>
    <x v="8"/>
    <x v="1"/>
    <x v="0"/>
    <x v="1"/>
    <x v="8"/>
    <x v="8"/>
    <n v="13"/>
    <n v="2"/>
    <x v="0"/>
    <d v="2024-10-30T18:06:00"/>
    <d v="2024-10-29T07:42:00"/>
    <d v="2024-10-30T18:49:00"/>
    <n v="2063.1"/>
    <n v="42.1"/>
    <x v="1"/>
    <d v="2024-10-30T20:39:00"/>
    <d v="2024-10-31T13:34:00"/>
    <n v="993.85"/>
    <x v="0"/>
    <d v="2024-10-31T19:43:00"/>
    <d v="2024-10-31T20:45:00"/>
    <n v="60.7"/>
    <x v="0"/>
    <n v="1.0374999999985448"/>
    <x v="5"/>
    <n v="0.23749999999854476"/>
    <n v="24.899999999965075"/>
    <n v="12"/>
    <n v="12.899999999965075"/>
    <n v="11.906976744218284"/>
    <x v="0"/>
  </r>
  <r>
    <x v="1"/>
    <x v="1"/>
    <d v="2024-10-28T22:15:14"/>
    <s v="OM6D8X1RR"/>
    <x v="1"/>
    <s v="UBE 419T"/>
    <s v="Kilabila Ismail"/>
    <s v="Kabaco U Ltd-Mbarara"/>
    <n v="153.60000000000002"/>
    <s v="Z80828"/>
    <x v="8"/>
    <x v="1"/>
    <x v="0"/>
    <x v="1"/>
    <x v="8"/>
    <x v="8"/>
    <n v="18"/>
    <n v="7"/>
    <x v="0"/>
    <d v="2024-10-29T16:25:00"/>
    <d v="2024-10-29T07:42:00"/>
    <d v="2024-10-29T17:15:00"/>
    <n v="561.04999999999995"/>
    <n v="48.95"/>
    <x v="1"/>
    <d v="2024-10-29T18:04:00"/>
    <d v="2024-10-30T14:19:00"/>
    <n v="1189.6833333333334"/>
    <x v="0"/>
    <d v="2024-10-30T15:34:00"/>
    <d v="2024-10-30T17:47:00"/>
    <n v="130.21666666666667"/>
    <x v="4"/>
    <n v="0.92986111110803904"/>
    <x v="5"/>
    <n v="0.129861111108039"/>
    <n v="22.316666666592937"/>
    <n v="0"/>
    <n v="22.316666666592937"/>
    <n v="6.8827483196642634"/>
    <x v="0"/>
  </r>
  <r>
    <x v="1"/>
    <x v="0"/>
    <d v="2024-10-29T00:00:00"/>
    <s v="OM02KGR0"/>
    <x v="0"/>
    <s v="UBF 382L"/>
    <m/>
    <s v="Kobusinge Steven-FPortal"/>
    <n v="156"/>
    <s v="Z80863"/>
    <x v="11"/>
    <x v="0"/>
    <x v="0"/>
    <x v="0"/>
    <x v="11"/>
    <x v="11"/>
    <n v="386"/>
    <n v="-4"/>
    <x v="0"/>
    <d v="2024-10-29T07:58:00"/>
    <d v="2024-10-29T07:30:00"/>
    <d v="2024-10-29T08:47:00"/>
    <n v="75.38333333333334"/>
    <n v="47.966666666666669"/>
    <x v="1"/>
    <d v="2024-10-30T07:17:00"/>
    <d v="2024-10-30T10:34:00"/>
    <n v="192.88333333333333"/>
    <x v="0"/>
    <d v="2024-10-31T09:02:07"/>
    <d v="2024-10-31T10:05:07"/>
    <n v="61.68333333333333"/>
    <x v="0"/>
    <n v="2.0104999999966822"/>
    <x v="0"/>
    <n v="1.0499999996682163E-2"/>
    <n v="48.251999999920372"/>
    <n v="24"/>
    <n v="24.251999999920372"/>
    <n v="6.4324591786455638"/>
    <x v="0"/>
  </r>
  <r>
    <x v="1"/>
    <x v="1"/>
    <d v="2024-10-29T21:33:18"/>
    <s v="OMC2X43RR"/>
    <x v="1"/>
    <s v="UBA 523T"/>
    <s v="Kabene John"/>
    <s v="Kabaco U Ltd"/>
    <n v="154.39200000000002"/>
    <s v="Z80855"/>
    <x v="6"/>
    <x v="1"/>
    <x v="0"/>
    <x v="1"/>
    <x v="6"/>
    <x v="6"/>
    <n v="324"/>
    <n v="4"/>
    <x v="0"/>
    <d v="2024-10-30T09:10:00"/>
    <d v="2024-10-30T09:00:00"/>
    <d v="2024-10-30T10:00:00"/>
    <n v="58.733333333333334"/>
    <n v="48.95"/>
    <x v="1"/>
    <d v="2024-10-30T12:35:00"/>
    <d v="2024-10-30T19:25:00"/>
    <n v="401.45"/>
    <x v="0"/>
    <d v="2024-10-31T10:37:00"/>
    <d v="2024-10-31T12:45:00"/>
    <n v="125.31666666666666"/>
    <x v="11"/>
    <n v="1.0256944444481633"/>
    <x v="3"/>
    <n v="-0.47430555555183673"/>
    <n v="24.616666666755918"/>
    <n v="12"/>
    <n v="12.616666666755918"/>
    <n v="12.23714663135333"/>
    <x v="0"/>
  </r>
  <r>
    <x v="1"/>
    <x v="1"/>
    <d v="2024-10-29T21:34:22"/>
    <s v="OMV39ABRR"/>
    <x v="0"/>
    <s v="UAT 351G"/>
    <s v="Hamudi Sesanga"/>
    <s v="Kabaco U Ltd-Mbarara"/>
    <n v="154.78800000000001"/>
    <s v="Z80856"/>
    <x v="8"/>
    <x v="1"/>
    <x v="0"/>
    <x v="1"/>
    <x v="8"/>
    <x v="8"/>
    <n v="12"/>
    <n v="1"/>
    <x v="0"/>
    <d v="2024-10-30T07:58:22"/>
    <d v="2024-10-30T07:30:22"/>
    <d v="2024-10-30T08:38:22"/>
    <n v="66.583333333333329"/>
    <n v="39.166666666666664"/>
    <x v="1"/>
    <d v="2024-10-30T09:03:22"/>
    <d v="2024-10-30T12:40:22"/>
    <n v="212.46666666666667"/>
    <x v="0"/>
    <d v="2024-10-30T13:15:22"/>
    <d v="2024-10-30T14:17:22"/>
    <n v="60.7"/>
    <x v="0"/>
    <n v="0.19236111110512866"/>
    <x v="5"/>
    <n v="-0.60763888889487139"/>
    <n v="4.6166666665230878"/>
    <n v="0"/>
    <n v="4.6166666665230878"/>
    <n v="33.528086643642006"/>
    <x v="0"/>
  </r>
  <r>
    <x v="1"/>
    <x v="1"/>
    <d v="2024-10-29T21:38:25"/>
    <s v="OMH7MFTRR"/>
    <x v="0"/>
    <s v="UAV 051U"/>
    <s v="Angello Lumala"/>
    <s v="Kobusinge Steven-Kamwenge"/>
    <n v="144.96"/>
    <s v="Z80857"/>
    <x v="13"/>
    <x v="1"/>
    <x v="0"/>
    <x v="1"/>
    <x v="13"/>
    <x v="13"/>
    <n v="234"/>
    <n v="4"/>
    <x v="0"/>
    <d v="2024-10-30T07:58:25"/>
    <d v="2024-10-30T07:30:25"/>
    <d v="2024-10-30T08:45:25"/>
    <n v="73.433333333333337"/>
    <n v="46.016666666666666"/>
    <x v="1"/>
    <d v="2024-10-31T09:45:25"/>
    <d v="2024-10-31T19:12:25"/>
    <n v="555.18333333333328"/>
    <x v="0"/>
    <d v="2024-11-01T12:14:49"/>
    <d v="2024-11-01T13:30:49"/>
    <n v="74.400000000000006"/>
    <x v="0"/>
    <n v="2.1454166666662786"/>
    <x v="7"/>
    <n v="0.84541666666627857"/>
    <n v="51.489999999990687"/>
    <n v="24"/>
    <n v="27.489999999990687"/>
    <n v="5.2731902510021502"/>
    <x v="0"/>
  </r>
  <r>
    <x v="1"/>
    <x v="0"/>
    <d v="2024-10-29T21:47:54"/>
    <s v="OMD64CFRR"/>
    <x v="1"/>
    <s v="UBE 673K"/>
    <s v="Bulega Sperito"/>
    <s v="Kobusinge Steven-FPortal"/>
    <n v="151.03200000000001"/>
    <s v="Z80861"/>
    <x v="11"/>
    <x v="0"/>
    <x v="0"/>
    <x v="0"/>
    <x v="11"/>
    <x v="11"/>
    <n v="384"/>
    <n v="-6"/>
    <x v="0"/>
    <d v="2024-10-30T11:32:00"/>
    <d v="2024-10-30T20:25:00"/>
    <d v="2024-10-30T12:14:00"/>
    <n v="-480.78333333333336"/>
    <n v="41.116666666666667"/>
    <x v="1"/>
    <d v="2024-10-31T08:42:00"/>
    <d v="2024-10-31T19:21:00"/>
    <n v="625.68333333333328"/>
    <x v="0"/>
    <d v="2024-11-01T06:03:00"/>
    <d v="2024-11-01T07:13:00"/>
    <n v="68.533333333333331"/>
    <x v="9"/>
    <n v="1.742361111108039"/>
    <x v="0"/>
    <n v="-0.25763888889196096"/>
    <n v="41.816666666592937"/>
    <n v="12"/>
    <n v="29.816666666592937"/>
    <n v="5.0653549469102339"/>
    <x v="0"/>
  </r>
  <r>
    <x v="1"/>
    <x v="1"/>
    <d v="2024-10-30T21:42:53"/>
    <s v="OMDGLSNRR"/>
    <x v="0"/>
    <s v="UAT 351G"/>
    <s v="Hamudi Sesanga"/>
    <s v="RUGOMA TRADERS CO. LTD NTUNGAM"/>
    <n v="153.60000000000002"/>
    <s v="F15222"/>
    <x v="15"/>
    <x v="1"/>
    <x v="0"/>
    <x v="1"/>
    <x v="15"/>
    <x v="15"/>
    <n v="128"/>
    <n v="-2"/>
    <x v="0"/>
    <d v="2024-10-31T07:42:53"/>
    <d v="2024-10-31T07:30:53"/>
    <d v="2024-10-31T08:58:53"/>
    <n v="86.166666666666671"/>
    <n v="74.416666666666671"/>
    <x v="7"/>
    <d v="2024-10-31T11:08:53"/>
    <d v="2024-10-31T14:14:53"/>
    <n v="182.11666666666667"/>
    <x v="0"/>
    <d v="2024-10-31T16:24:53"/>
    <d v="2024-10-31T17:29:53"/>
    <n v="63.633333333333333"/>
    <x v="0"/>
    <n v="0.30972222222044365"/>
    <x v="8"/>
    <n v="-0.69027777777955635"/>
    <n v="7.4333333332906477"/>
    <n v="0"/>
    <n v="7.4333333332906477"/>
    <n v="20.663677130163506"/>
    <x v="0"/>
  </r>
  <r>
    <x v="1"/>
    <x v="0"/>
    <d v="2024-10-31T13:17:38"/>
    <s v="OM1QUIMRR"/>
    <x v="1"/>
    <s v="UBE 690K"/>
    <s v="MUKOSE MUZAMIRU"/>
    <s v="Kato Investment Ltd -Kagadi"/>
    <n v="152.68799999999999"/>
    <s v="A17968"/>
    <x v="12"/>
    <x v="0"/>
    <x v="0"/>
    <x v="0"/>
    <x v="12"/>
    <x v="12"/>
    <n v="602"/>
    <n v="-10"/>
    <x v="0"/>
    <d v="2024-10-31T12:59:00"/>
    <d v="2024-10-31T17:46:00"/>
    <d v="2024-10-31T13:42:00"/>
    <n v="-238.91666666666666"/>
    <n v="42.1"/>
    <x v="1"/>
    <d v="2024-11-02T09:51:00"/>
    <d v="2024-11-02T12:00:00"/>
    <n v="126.3"/>
    <x v="0"/>
    <d v="2024-11-03T09:11:00"/>
    <d v="2024-11-03T10:32:00"/>
    <n v="79.3"/>
    <x v="0"/>
    <n v="2.8118055555605679"/>
    <x v="6"/>
    <n v="0.51180555556056806"/>
    <n v="67.483333333453629"/>
    <n v="24"/>
    <n v="43.483333333453629"/>
    <n v="3.5114143349845359"/>
    <x v="9"/>
  </r>
  <r>
    <x v="1"/>
    <x v="0"/>
    <d v="2024-10-31T17:54:33"/>
    <s v="OMJ5WJ9RR"/>
    <x v="0"/>
    <s v="UBP 298H"/>
    <m/>
    <s v="Kobusinge Steven-FPortal"/>
    <n v="156"/>
    <s v="Z80919"/>
    <x v="11"/>
    <x v="0"/>
    <x v="0"/>
    <x v="0"/>
    <x v="11"/>
    <x v="11"/>
    <n v="386"/>
    <n v="-4"/>
    <x v="0"/>
    <d v="2024-11-01T08:01:33"/>
    <d v="2024-11-01T07:30:33"/>
    <d v="2024-11-01T08:47:33"/>
    <n v="75.38333333333334"/>
    <n v="45.033333333333331"/>
    <x v="1"/>
    <d v="2024-11-02T07:17:33"/>
    <d v="2024-11-02T12:06:33"/>
    <n v="282.96666666666664"/>
    <x v="0"/>
    <d v="2024-11-03T06:56:55"/>
    <d v="2024-11-03T08:09:55"/>
    <n v="71.466666666666669"/>
    <x v="9"/>
    <n v="1.9231712962937308"/>
    <x v="0"/>
    <n v="-7.6828703706269152E-2"/>
    <n v="46.15611111104954"/>
    <n v="12"/>
    <n v="34.15611111104954"/>
    <n v="4.5672646834063562"/>
    <x v="0"/>
  </r>
  <r>
    <x v="1"/>
    <x v="0"/>
    <d v="2024-10-31T21:17:13"/>
    <s v="OMBE2JRRR"/>
    <x v="0"/>
    <s v="UBP 311H"/>
    <s v="Ekwalikwa Yusuf"/>
    <s v="Agaba Services"/>
    <n v="156"/>
    <s v="F15241"/>
    <x v="20"/>
    <x v="0"/>
    <x v="0"/>
    <x v="0"/>
    <x v="20"/>
    <x v="20"/>
    <n v="294"/>
    <n v="-8"/>
    <x v="0"/>
    <d v="2024-11-01T07:58:13"/>
    <d v="2024-11-01T07:30:13"/>
    <d v="2024-11-01T09:13:13"/>
    <n v="100.85"/>
    <n v="73.433333333333337"/>
    <x v="3"/>
    <d v="2024-11-01T14:53:13"/>
    <d v="2024-11-01T18:14:13"/>
    <n v="196.8"/>
    <x v="0"/>
    <d v="2024-11-02T09:07:01"/>
    <d v="2024-11-02T10:09:01"/>
    <n v="60.7"/>
    <x v="0"/>
    <n v="0.99569444444205146"/>
    <x v="8"/>
    <n v="-4.3055555579485372E-3"/>
    <n v="23.896666666609235"/>
    <n v="0"/>
    <n v="23.896666666609235"/>
    <n v="6.528107127927532"/>
    <x v="0"/>
  </r>
  <r>
    <x v="2"/>
    <x v="0"/>
    <d v="2024-11-02T00:00:00"/>
    <s v="OM02KJES"/>
    <x v="0"/>
    <s v="UBP 311H"/>
    <s v="Ekwalikwa Yusuf"/>
    <s v="Kato Investments Ltd- Kakumiro"/>
    <n v="156"/>
    <s v="A18003"/>
    <x v="24"/>
    <x v="0"/>
    <x v="0"/>
    <x v="0"/>
    <x v="24"/>
    <x v="22"/>
    <n v="771"/>
    <n v="6"/>
    <x v="0"/>
    <d v="2024-11-02T07:20:00"/>
    <d v="2024-11-02T07:30:00"/>
    <d v="2024-11-02T08:38:00"/>
    <n v="66.583333333333329"/>
    <n v="76.36666666666666"/>
    <x v="6"/>
    <d v="2024-11-02T15:38:00"/>
    <d v="2024-11-02T19:20:00"/>
    <n v="217.36666666666667"/>
    <x v="0"/>
    <d v="2024-11-03T12:51:12"/>
    <d v="2024-11-03T14:11:12"/>
    <n v="78.316666666666663"/>
    <x v="0"/>
    <n v="1.1758333333345945"/>
    <x v="3"/>
    <n v="-0.3241666666654055"/>
    <n v="28.220000000030268"/>
    <n v="16"/>
    <n v="12.220000000030268"/>
    <n v="12.765957446776889"/>
    <x v="0"/>
  </r>
  <r>
    <x v="2"/>
    <x v="1"/>
    <d v="2024-11-02T12:32:59"/>
    <s v="OMNR818RR"/>
    <x v="1"/>
    <s v="UBJ 988D"/>
    <s v="Tumusiime Robert"/>
    <s v="Agaba Services"/>
    <n v="153.60000000000002"/>
    <s v="F15242"/>
    <x v="20"/>
    <x v="1"/>
    <x v="0"/>
    <x v="1"/>
    <x v="20"/>
    <x v="20"/>
    <n v="306"/>
    <n v="4"/>
    <x v="0"/>
    <d v="2024-11-02T12:04:00"/>
    <d v="2024-11-03T04:15:00"/>
    <d v="2024-11-02T12:50:00"/>
    <n v="-905.73333333333335"/>
    <n v="45.033333333333331"/>
    <x v="1"/>
    <d v="2024-11-02T17:34:00"/>
    <d v="2024-11-03T10:29:00"/>
    <n v="993.85"/>
    <x v="0"/>
    <d v="2024-11-05T07:16:00"/>
    <d v="2024-11-05T09:25:00"/>
    <n v="126.3"/>
    <x v="9"/>
    <n v="2.7680555555562023"/>
    <x v="8"/>
    <n v="1.7680555555562023"/>
    <n v="66.433333333348855"/>
    <n v="24"/>
    <n v="42.433333333348855"/>
    <n v="3.6197957580505227"/>
    <x v="7"/>
  </r>
  <r>
    <x v="2"/>
    <x v="1"/>
    <d v="2024-11-02T17:02:15"/>
    <s v="OMOG04QRR"/>
    <x v="1"/>
    <s v="UBE 287X"/>
    <s v="Isaac Tumuhimbise"/>
    <s v="Agaba Services"/>
    <n v="153.60000000000002"/>
    <s v="F15245"/>
    <x v="20"/>
    <x v="1"/>
    <x v="0"/>
    <x v="1"/>
    <x v="20"/>
    <x v="20"/>
    <n v="305"/>
    <n v="3"/>
    <x v="0"/>
    <d v="2024-11-02T16:42:00"/>
    <d v="2024-11-03T04:15:00"/>
    <d v="2024-11-02T17:32:00"/>
    <n v="-629.61666666666667"/>
    <n v="48.95"/>
    <x v="1"/>
    <d v="2024-11-03T11:12:00"/>
    <d v="2024-11-03T14:51:00"/>
    <n v="214.43333333333334"/>
    <x v="0"/>
    <d v="2024-11-05T08:53:00"/>
    <d v="2024-11-05T11:19:00"/>
    <n v="142.94999999999999"/>
    <x v="5"/>
    <n v="2.6395833333299379"/>
    <x v="8"/>
    <n v="1.6395833333299379"/>
    <n v="63.349999999918509"/>
    <n v="24"/>
    <n v="39.349999999918509"/>
    <n v="3.9034307496904224"/>
    <x v="7"/>
  </r>
  <r>
    <x v="2"/>
    <x v="0"/>
    <d v="2024-11-02T18:00:10"/>
    <s v="OMOIZO4RR"/>
    <x v="1"/>
    <s v="UBM 565R"/>
    <s v="BAZALE SAID"/>
    <s v="Sawan Distributors Ltd-Nabingo"/>
    <n v="153.84"/>
    <s v="A18010"/>
    <x v="21"/>
    <x v="0"/>
    <x v="0"/>
    <x v="0"/>
    <x v="21"/>
    <x v="2"/>
    <n v="553"/>
    <n v="-7"/>
    <x v="0"/>
    <d v="2024-11-02T17:58:00"/>
    <d v="2024-11-03T02:30:00"/>
    <d v="2024-11-02T19:03:00"/>
    <n v="-437.7"/>
    <n v="63.633333333333333"/>
    <x v="6"/>
    <d v="2024-11-04T07:24:00"/>
    <d v="2024-11-04T14:28:00"/>
    <n v="415.15"/>
    <x v="0"/>
    <d v="2024-11-04T21:23:00"/>
    <d v="2024-11-04T23:21:00"/>
    <n v="115.53333333333333"/>
    <x v="10"/>
    <n v="2.0972222222262644"/>
    <x v="0"/>
    <n v="9.7222222226264421E-2"/>
    <n v="50.333333333430346"/>
    <n v="32"/>
    <n v="18.333333333430346"/>
    <n v="8.3912727272283245"/>
    <x v="0"/>
  </r>
  <r>
    <x v="2"/>
    <x v="0"/>
    <d v="2024-11-03T00:00:00"/>
    <s v="OM02KJKH"/>
    <x v="0"/>
    <s v="UBE 673K"/>
    <s v="Bulega Sperito"/>
    <s v="Kobusinge Steven-FPortal"/>
    <n v="156"/>
    <s v="Z80943"/>
    <x v="11"/>
    <x v="0"/>
    <x v="0"/>
    <x v="0"/>
    <x v="11"/>
    <x v="11"/>
    <n v="386"/>
    <n v="-4"/>
    <x v="0"/>
    <d v="2024-11-03T07:58:00"/>
    <d v="2024-11-03T07:30:00"/>
    <d v="2024-11-03T08:38:00"/>
    <n v="66.583333333333329"/>
    <n v="39.166666666666664"/>
    <x v="1"/>
    <d v="2024-11-04T07:08:00"/>
    <d v="2024-11-04T15:37:00"/>
    <n v="498.38333333333333"/>
    <x v="0"/>
    <d v="2024-11-05T07:51:12"/>
    <d v="2024-11-05T09:07:12"/>
    <n v="74.400000000000006"/>
    <x v="9"/>
    <n v="1.9674999999988358"/>
    <x v="0"/>
    <n v="-3.2500000001164153E-2"/>
    <n v="47.21999999997206"/>
    <n v="12"/>
    <n v="35.21999999997206"/>
    <n v="4.429301533223275"/>
    <x v="0"/>
  </r>
  <r>
    <x v="2"/>
    <x v="0"/>
    <d v="2024-11-03T19:45:56"/>
    <s v="OMXFRFCRR"/>
    <x v="1"/>
    <s v="UBP 298H"/>
    <s v="SENTONG DAVID"/>
    <s v="Kato Investment Ltd -Mubende"/>
    <n v="156"/>
    <s v="A18011"/>
    <x v="1"/>
    <x v="0"/>
    <x v="0"/>
    <x v="0"/>
    <x v="1"/>
    <x v="1"/>
    <n v="702"/>
    <n v="22"/>
    <x v="0"/>
    <d v="2024-11-03T21:30:00"/>
    <d v="2024-11-03T21:00:00"/>
    <d v="2024-11-03T22:13:00"/>
    <n v="71.466666666666669"/>
    <n v="42.1"/>
    <x v="1"/>
    <d v="2024-11-04T17:00:00"/>
    <d v="2024-11-05T11:17:00"/>
    <n v="1074.1333333333334"/>
    <x v="0"/>
    <d v="2024-11-06T08:46:00"/>
    <d v="2024-11-06T09:48:00"/>
    <n v="60.7"/>
    <x v="0"/>
    <n v="2.4395833333328483"/>
    <x v="1"/>
    <n v="-6.0416666667151731E-2"/>
    <n v="58.549999999988358"/>
    <n v="24"/>
    <n v="34.549999999988358"/>
    <n v="4.515195369031912"/>
    <x v="0"/>
  </r>
  <r>
    <x v="2"/>
    <x v="0"/>
    <d v="2024-11-03T19:48:57"/>
    <s v="OM4M0GERR"/>
    <x v="1"/>
    <s v="UBM 644D"/>
    <s v="KAJUBI ISMA"/>
    <s v="Kato Investment Ltd -Mubende"/>
    <n v="156"/>
    <s v="A18012"/>
    <x v="1"/>
    <x v="0"/>
    <x v="0"/>
    <x v="0"/>
    <x v="1"/>
    <x v="1"/>
    <n v="691"/>
    <n v="11"/>
    <x v="0"/>
    <d v="2024-11-03T21:43:00"/>
    <d v="2024-11-03T21:00:00"/>
    <d v="2024-11-03T22:45:00"/>
    <n v="102.8"/>
    <n v="60.7"/>
    <x v="5"/>
    <d v="2024-11-05T08:17:00"/>
    <d v="2024-11-05T14:23:00"/>
    <n v="358.36666666666667"/>
    <x v="0"/>
    <d v="2024-11-06T11:29:00"/>
    <d v="2024-11-06T12:35:00"/>
    <n v="64.61666666666666"/>
    <x v="0"/>
    <n v="2.5305555555605679"/>
    <x v="1"/>
    <n v="3.0555555560567882E-2"/>
    <n v="60.733333333453629"/>
    <n v="32"/>
    <n v="28.733333333453629"/>
    <n v="5.4292343387243696"/>
    <x v="0"/>
  </r>
  <r>
    <x v="2"/>
    <x v="0"/>
    <d v="2024-11-03T20:18:49"/>
    <s v="OMCU9TURR"/>
    <x v="1"/>
    <s v="UBK 862R"/>
    <s v="SULAIMAN MUBIRU"/>
    <s v="Kato Investment Ltd -Kagadi"/>
    <n v="156"/>
    <s v="A18014"/>
    <x v="12"/>
    <x v="0"/>
    <x v="0"/>
    <x v="0"/>
    <x v="12"/>
    <x v="12"/>
    <n v="610"/>
    <n v="-2"/>
    <x v="0"/>
    <d v="2024-11-04T09:26:00"/>
    <d v="2024-11-03T21:00:00"/>
    <d v="2024-11-04T10:11:00"/>
    <n v="774.51666666666665"/>
    <n v="44.05"/>
    <x v="1"/>
    <d v="2024-11-05T07:03:00"/>
    <d v="2024-11-05T15:03:00"/>
    <n v="470"/>
    <x v="0"/>
    <d v="2024-11-06T07:31:00"/>
    <d v="2024-11-06T08:40:00"/>
    <n v="67.55"/>
    <x v="9"/>
    <n v="1.8888888888905058"/>
    <x v="6"/>
    <n v="-0.41111111110949405"/>
    <n v="45.333333333372138"/>
    <n v="12"/>
    <n v="33.333333333372138"/>
    <n v="4.6799999999945516"/>
    <x v="0"/>
  </r>
  <r>
    <x v="2"/>
    <x v="0"/>
    <d v="2024-11-03T20:42:25"/>
    <s v="OMMIIY4RR"/>
    <x v="1"/>
    <s v="UBE 673K"/>
    <s v="Bulega Sperito"/>
    <s v="KATO INVESTMENTS LTD-KATIKARA"/>
    <n v="156"/>
    <s v="A18019"/>
    <x v="5"/>
    <x v="0"/>
    <x v="0"/>
    <x v="0"/>
    <x v="5"/>
    <x v="5"/>
    <n v="787"/>
    <n v="-43"/>
    <x v="0"/>
    <d v="2024-11-03T19:51:00"/>
    <d v="2024-11-03T15:48:00"/>
    <d v="2024-11-03T20:52:00"/>
    <n v="297.64999999999998"/>
    <n v="59.716666666666669"/>
    <x v="9"/>
    <d v="2024-11-04T10:23:00"/>
    <d v="2024-11-04T13:58:00"/>
    <n v="210.51666666666668"/>
    <x v="0"/>
    <d v="2024-11-05T06:59:00"/>
    <d v="2024-11-05T09:25:00"/>
    <n v="142.94999999999999"/>
    <x v="9"/>
    <n v="1.4215277777839219"/>
    <x v="0"/>
    <n v="-0.57847222221607808"/>
    <n v="34.116666666814126"/>
    <n v="16"/>
    <n v="18.116666666814126"/>
    <n v="8.6108555657072809"/>
    <x v="0"/>
  </r>
  <r>
    <x v="2"/>
    <x v="0"/>
    <d v="2024-11-03T20:43:35"/>
    <s v="OM1BSPURR"/>
    <x v="0"/>
    <s v="UBM 648D"/>
    <s v="Nakalya John"/>
    <s v="Kobusinge Steven-FPortal"/>
    <n v="156"/>
    <s v="Z80942"/>
    <x v="11"/>
    <x v="0"/>
    <x v="0"/>
    <x v="0"/>
    <x v="11"/>
    <x v="11"/>
    <n v="393"/>
    <n v="3"/>
    <x v="0"/>
    <d v="2024-11-04T09:11:35"/>
    <d v="2024-11-04T08:43:35"/>
    <d v="2024-11-04T10:06:35"/>
    <n v="81.266666666666666"/>
    <n v="53.85"/>
    <x v="7"/>
    <d v="2024-11-05T08:36:35"/>
    <d v="2024-11-05T12:55:35"/>
    <n v="253.6"/>
    <x v="0"/>
    <d v="2024-11-06T11:43:47"/>
    <d v="2024-11-06T12:59:47"/>
    <n v="74.400000000000006"/>
    <x v="0"/>
    <n v="2.0674999999973807"/>
    <x v="0"/>
    <n v="6.7499999997380655E-2"/>
    <n v="49.619999999937136"/>
    <n v="32"/>
    <n v="17.619999999937136"/>
    <n v="8.8535754824379449"/>
    <x v="0"/>
  </r>
  <r>
    <x v="2"/>
    <x v="0"/>
    <d v="2024-11-04T22:05:02"/>
    <s v="OMBZ7TMRR"/>
    <x v="1"/>
    <s v="UBJ 417C"/>
    <s v="FARUK   ABEL"/>
    <s v="Kobusinge Steven-FPortal"/>
    <n v="156"/>
    <s v="Z80952"/>
    <x v="11"/>
    <x v="0"/>
    <x v="0"/>
    <x v="0"/>
    <x v="11"/>
    <x v="11"/>
    <n v="373"/>
    <n v="-17"/>
    <x v="0"/>
    <d v="2024-11-04T21:57:00"/>
    <d v="2024-11-04T20:25:00"/>
    <d v="2024-11-04T22:39:00"/>
    <n v="131.19999999999999"/>
    <n v="41.116666666666667"/>
    <x v="1"/>
    <d v="2024-11-06T07:15:00"/>
    <d v="2024-11-06T11:48:00"/>
    <n v="267.3"/>
    <x v="0"/>
    <d v="2024-11-06T20:15:00"/>
    <d v="2024-11-06T22:25:00"/>
    <n v="127.28333333333333"/>
    <x v="11"/>
    <n v="1.9000000000014552"/>
    <x v="0"/>
    <n v="-9.9999999998544808E-2"/>
    <n v="45.600000000034925"/>
    <n v="12"/>
    <n v="33.600000000034925"/>
    <n v="4.6428571428523169"/>
    <x v="0"/>
  </r>
  <r>
    <x v="2"/>
    <x v="1"/>
    <d v="2024-11-04T22:13:43"/>
    <s v="OM3AGVTRR"/>
    <x v="0"/>
    <s v="UBJ 988D"/>
    <m/>
    <s v="Kabaco U Ltd"/>
    <n v="153.60000000000002"/>
    <s v="Z80954"/>
    <x v="6"/>
    <x v="1"/>
    <x v="0"/>
    <x v="1"/>
    <x v="6"/>
    <x v="6"/>
    <n v="324"/>
    <n v="4"/>
    <x v="0"/>
    <d v="2024-11-05T10:41:43"/>
    <d v="2024-11-05T10:13:43"/>
    <d v="2024-11-05T11:21:43"/>
    <n v="66.583333333333329"/>
    <n v="39.166666666666664"/>
    <x v="1"/>
    <d v="2024-11-05T17:21:43"/>
    <d v="2024-11-06T13:45:43"/>
    <n v="1198.4833333333333"/>
    <x v="0"/>
    <d v="2024-11-06T19:05:43"/>
    <d v="2024-11-06T20:07:43"/>
    <n v="60.7"/>
    <x v="0"/>
    <n v="1.3222222222175333"/>
    <x v="3"/>
    <n v="-0.17777777778246673"/>
    <n v="31.733333333220799"/>
    <n v="12"/>
    <n v="19.733333333220799"/>
    <n v="7.7837837838281745"/>
    <x v="0"/>
  </r>
  <r>
    <x v="2"/>
    <x v="1"/>
    <d v="2024-11-05T17:29:40"/>
    <s v="OM7HCJSRR"/>
    <x v="1"/>
    <s v="UBE 287X"/>
    <s v="Isaac Tumuhimbise"/>
    <s v="Kobusinge Steven-FPortal"/>
    <n v="153.60000000000002"/>
    <s v="Z80959"/>
    <x v="11"/>
    <x v="1"/>
    <x v="0"/>
    <x v="1"/>
    <x v="11"/>
    <x v="11"/>
    <n v="370"/>
    <n v="-20"/>
    <x v="0"/>
    <d v="2024-11-05T18:26:00"/>
    <d v="2024-11-05T20:25:00"/>
    <d v="2024-11-05T19:12:00"/>
    <n v="-71.483333333333334"/>
    <n v="45.033333333333331"/>
    <x v="1"/>
    <d v="2024-11-07T11:21:00"/>
    <d v="2024-11-08T13:15:00"/>
    <n v="1521.6166666666666"/>
    <x v="0"/>
    <d v="2024-11-09T07:19:00"/>
    <d v="2024-11-09T08:33:00"/>
    <n v="72.45"/>
    <x v="9"/>
    <n v="3.5048611111051287"/>
    <x v="0"/>
    <n v="1.5048611111051287"/>
    <n v="84.116666666523088"/>
    <n v="36"/>
    <n v="48.116666666523088"/>
    <n v="3.1922410807161419"/>
    <x v="6"/>
  </r>
  <r>
    <x v="2"/>
    <x v="0"/>
    <d v="2024-11-06T00:00:00"/>
    <s v="OM02KKLY"/>
    <x v="0"/>
    <s v="UBF 375L"/>
    <m/>
    <s v="Ntale and Sons Ltd-Kakiri"/>
    <n v="156"/>
    <s v="A18095"/>
    <x v="22"/>
    <x v="0"/>
    <x v="0"/>
    <x v="0"/>
    <x v="22"/>
    <x v="21"/>
    <m/>
    <n v="-620"/>
    <x v="0"/>
    <d v="2024-11-06T07:59:00"/>
    <d v="2024-11-06T07:30:00"/>
    <d v="2024-11-06T08:45:00"/>
    <n v="73.433333333333337"/>
    <n v="45.033333333333331"/>
    <x v="1"/>
    <d v="2024-11-06T21:15:00"/>
    <d v="2024-11-07T15:02:02"/>
    <n v="1044.8"/>
    <x v="0"/>
    <d v="2024-11-08T11:26:02"/>
    <d v="2024-11-08T12:31:02"/>
    <n v="63.633333333333333"/>
    <x v="0"/>
    <n v="2.1118333333361079"/>
    <x v="0"/>
    <n v="0.1118333333361079"/>
    <n v="50.68400000006659"/>
    <n v="24"/>
    <n v="26.68400000006659"/>
    <n v="5.8461999700048981"/>
    <x v="0"/>
  </r>
  <r>
    <x v="2"/>
    <x v="0"/>
    <d v="2024-11-06T00:00:00"/>
    <s v="OM02KKM0"/>
    <x v="0"/>
    <s v="UBE 681K"/>
    <s v="KYAPA AKIMU"/>
    <s v="KATO INVESTMENTS LTD-KATIKARA"/>
    <n v="156"/>
    <s v="A18096"/>
    <x v="5"/>
    <x v="0"/>
    <x v="0"/>
    <x v="0"/>
    <x v="5"/>
    <x v="5"/>
    <n v="796"/>
    <n v="-34"/>
    <x v="0"/>
    <d v="2024-11-06T07:58:00"/>
    <d v="2024-11-06T07:30:00"/>
    <d v="2024-11-06T08:53:00"/>
    <n v="81.266666666666666"/>
    <n v="53.85"/>
    <x v="3"/>
    <d v="2024-11-07T11:08:00"/>
    <d v="2024-11-07T14:29:00"/>
    <n v="196.8"/>
    <x v="0"/>
    <d v="2024-11-08T19:17:00"/>
    <d v="2024-11-08T20:22:00"/>
    <n v="63.633333333333333"/>
    <x v="0"/>
    <n v="2.4333333333270275"/>
    <x v="0"/>
    <n v="0.4333333333270275"/>
    <n v="58.39999999984866"/>
    <n v="32"/>
    <n v="26.39999999984866"/>
    <n v="5.9090909091247834"/>
    <x v="0"/>
  </r>
  <r>
    <x v="2"/>
    <x v="0"/>
    <d v="2024-11-06T21:32:12"/>
    <s v="OM5LMDQRR"/>
    <x v="1"/>
    <s v="UBK 882R"/>
    <s v="NASASIRA STEPHENE"/>
    <s v="Kato Investment Ltd -Mityana"/>
    <n v="173.0376"/>
    <s v="A18076"/>
    <x v="16"/>
    <x v="0"/>
    <x v="0"/>
    <x v="0"/>
    <x v="16"/>
    <x v="16"/>
    <n v="692"/>
    <n v="2"/>
    <x v="0"/>
    <d v="2024-11-06T21:01:00"/>
    <d v="2024-11-06T22:00:00"/>
    <d v="2024-11-06T21:51:00"/>
    <n v="-8.8166666666666664"/>
    <n v="48.95"/>
    <x v="1"/>
    <d v="2024-11-08T09:02:00"/>
    <d v="2024-11-08T13:16:00"/>
    <n v="248.7"/>
    <x v="0"/>
    <d v="2024-11-10T16:12:00"/>
    <d v="2024-11-10T18:00:00"/>
    <n v="105.73333333333333"/>
    <x v="0"/>
    <n v="3.7645833333372138"/>
    <x v="0"/>
    <n v="1.7645833333372138"/>
    <n v="90.350000000093132"/>
    <n v="36"/>
    <n v="54.350000000093132"/>
    <n v="3.1837644894149677"/>
    <x v="4"/>
  </r>
  <r>
    <x v="2"/>
    <x v="0"/>
    <d v="2024-11-06T21:37:52"/>
    <s v="OM4307WRR"/>
    <x v="1"/>
    <s v="UBM 644D"/>
    <s v="KAJUBI ISMA"/>
    <s v="Kato Investments Ltd-Bulenga"/>
    <n v="156.792"/>
    <s v="A18078"/>
    <x v="2"/>
    <x v="0"/>
    <x v="0"/>
    <x v="0"/>
    <x v="2"/>
    <x v="2"/>
    <n v="571"/>
    <n v="11"/>
    <x v="0"/>
    <d v="2024-11-06T21:42:00"/>
    <d v="2024-11-06T22:00:00"/>
    <d v="2024-11-06T22:27:00"/>
    <n v="26.433333333333334"/>
    <n v="44.05"/>
    <x v="1"/>
    <d v="2024-11-07T12:31:00"/>
    <d v="2024-11-07T16:35:00"/>
    <n v="238.9"/>
    <x v="0"/>
    <d v="2024-11-08T09:52:00"/>
    <d v="2024-11-08T10:54:00"/>
    <n v="60.7"/>
    <x v="0"/>
    <n v="1.4756944444452529"/>
    <x v="0"/>
    <n v="-0.52430555555474712"/>
    <n v="35.416666666686069"/>
    <n v="12"/>
    <n v="23.416666666686069"/>
    <n v="6.6957437722364448"/>
    <x v="0"/>
  </r>
  <r>
    <x v="2"/>
    <x v="0"/>
    <d v="2024-11-06T21:39:07"/>
    <s v="OM85JQQRR"/>
    <x v="1"/>
    <s v="UBJ 420C"/>
    <s v="ZIWA ABASI"/>
    <s v="Kato Investments Ltd- Kyegegwa"/>
    <n v="154.23599999999999"/>
    <s v="A18079"/>
    <x v="18"/>
    <x v="0"/>
    <x v="0"/>
    <x v="0"/>
    <x v="18"/>
    <x v="18"/>
    <n v="546"/>
    <n v="-19"/>
    <x v="0"/>
    <d v="2024-11-07T07:41:00"/>
    <d v="2024-11-06T22:00:00"/>
    <d v="2024-11-07T08:24:00"/>
    <n v="611"/>
    <n v="42.1"/>
    <x v="1"/>
    <d v="2024-11-07T21:10:00"/>
    <d v="2024-11-08T11:01:00"/>
    <n v="813.68333333333328"/>
    <x v="0"/>
    <d v="2024-11-08T09:38:00"/>
    <d v="2024-11-08T10:40:00"/>
    <n v="60.7"/>
    <x v="0"/>
    <n v="1.0513888888890506"/>
    <x v="0"/>
    <n v="-0.94861111111094942"/>
    <n v="25.233333333337214"/>
    <n v="12"/>
    <n v="13.233333333337214"/>
    <n v="11.655113350122527"/>
    <x v="0"/>
  </r>
  <r>
    <x v="2"/>
    <x v="0"/>
    <d v="2024-11-06T21:40:55"/>
    <s v="OMKWT3WRR"/>
    <x v="1"/>
    <s v="UBP 298H"/>
    <s v="SENTONG DAVID"/>
    <s v="Kato Investment Ltd -Mubende"/>
    <n v="153.84"/>
    <s v="A18080"/>
    <x v="1"/>
    <x v="0"/>
    <x v="0"/>
    <x v="0"/>
    <x v="1"/>
    <x v="1"/>
    <n v="705"/>
    <n v="25"/>
    <x v="0"/>
    <d v="2024-11-07T08:13:00"/>
    <d v="2024-11-06T22:00:00"/>
    <d v="2024-11-07T08:59:00"/>
    <n v="645.26666666666665"/>
    <n v="45.033333333333331"/>
    <x v="1"/>
    <d v="2024-11-07T20:21:00"/>
    <d v="2024-11-09T08:18:00"/>
    <n v="2112.0500000000002"/>
    <x v="0"/>
    <d v="2024-11-09T10:08:00"/>
    <d v="2024-11-09T11:27:00"/>
    <n v="77.349999999999994"/>
    <x v="0"/>
    <n v="2.0479166666700621"/>
    <x v="1"/>
    <n v="-0.45208333332993789"/>
    <n v="49.150000000081491"/>
    <n v="24"/>
    <n v="25.150000000081491"/>
    <n v="6.1168986083300805"/>
    <x v="0"/>
  </r>
  <r>
    <x v="2"/>
    <x v="0"/>
    <d v="2024-11-06T21:42:07"/>
    <s v="OMU9UEQRR"/>
    <x v="1"/>
    <s v="UBM 565R"/>
    <s v="BAZALE SAID"/>
    <s v="Kato Investment Ltd -Kagadi"/>
    <n v="153.84"/>
    <s v="A18081"/>
    <x v="12"/>
    <x v="0"/>
    <x v="0"/>
    <x v="0"/>
    <x v="12"/>
    <x v="12"/>
    <n v="613"/>
    <n v="1"/>
    <x v="0"/>
    <d v="2024-11-06T21:12:00"/>
    <d v="2024-11-06T22:00:00"/>
    <d v="2024-11-06T22:02:00"/>
    <n v="1.95"/>
    <n v="48.95"/>
    <x v="1"/>
    <d v="2024-11-07T12:22:00"/>
    <d v="2024-11-07T15:00:00"/>
    <n v="154.69999999999999"/>
    <x v="0"/>
    <d v="2024-11-08T08:30:00"/>
    <d v="2024-11-08T09:49:00"/>
    <n v="77.349999999999994"/>
    <x v="0"/>
    <n v="1.4361111111065838"/>
    <x v="6"/>
    <n v="-0.86388888889341597"/>
    <n v="34.466666666558012"/>
    <n v="12"/>
    <n v="22.466666666558012"/>
    <n v="6.847477744840238"/>
    <x v="0"/>
  </r>
  <r>
    <x v="2"/>
    <x v="1"/>
    <d v="2024-11-06T21:46:10"/>
    <s v="OMK1ZWPRR"/>
    <x v="0"/>
    <s v="UAR 731Q"/>
    <s v="Godwin Niwensiima"/>
    <s v="KATO INVESTMENTS LTD- KALISIZO"/>
    <n v="153.60000000000002"/>
    <s v="F15252"/>
    <x v="4"/>
    <x v="1"/>
    <x v="0"/>
    <x v="1"/>
    <x v="4"/>
    <x v="4"/>
    <n v="351"/>
    <n v="1"/>
    <x v="0"/>
    <d v="2024-11-07T10:14:10"/>
    <d v="2024-11-07T09:46:10"/>
    <d v="2024-11-07T11:14:10"/>
    <n v="86.15"/>
    <n v="58.733333333333334"/>
    <x v="5"/>
    <d v="2024-11-07T18:14:10"/>
    <d v="2024-11-08T12:41:32"/>
    <n v="1084.2833333333333"/>
    <x v="0"/>
    <d v="2024-11-09T12:41:32"/>
    <d v="2024-11-09T13:49:32"/>
    <n v="66.583333333333329"/>
    <x v="0"/>
    <n v="2.0606666666644742"/>
    <x v="2"/>
    <n v="0.36066666666447422"/>
    <n v="49.45599999994738"/>
    <n v="32"/>
    <n v="17.45599999994738"/>
    <n v="8.7992667277992123"/>
    <x v="0"/>
  </r>
  <r>
    <x v="2"/>
    <x v="1"/>
    <d v="2024-11-06T21:50:52"/>
    <s v="OMILQKRRR"/>
    <x v="1"/>
    <s v="UBE 419T"/>
    <s v="Kilabila Ismail"/>
    <s v="Kabaco U Ltd"/>
    <n v="153.60000000000002"/>
    <s v="Z80967"/>
    <x v="6"/>
    <x v="1"/>
    <x v="0"/>
    <x v="1"/>
    <x v="6"/>
    <x v="6"/>
    <n v="321"/>
    <n v="1"/>
    <x v="0"/>
    <d v="2024-11-07T12:40:00"/>
    <d v="2024-11-07T02:22:00"/>
    <d v="2024-11-07T13:25:00"/>
    <n v="649.18333333333328"/>
    <n v="44.05"/>
    <x v="1"/>
    <d v="2024-11-07T16:17:00"/>
    <d v="2024-11-07T20:03:00"/>
    <n v="221.28333333333333"/>
    <x v="0"/>
    <d v="2024-11-08T10:36:00"/>
    <d v="2024-11-08T13:11:00"/>
    <n v="151.76666666666668"/>
    <x v="6"/>
    <n v="0.882638888884685"/>
    <x v="3"/>
    <n v="-0.617361111115315"/>
    <n v="21.18333333323244"/>
    <n v="0"/>
    <n v="21.18333333323244"/>
    <n v="7.2509834776112481"/>
    <x v="0"/>
  </r>
  <r>
    <x v="2"/>
    <x v="0"/>
    <d v="2024-11-06T22:36:43"/>
    <s v="OM6D3VPRR"/>
    <x v="0"/>
    <s v="UBB 115P"/>
    <s v="Kakembo Masuud"/>
    <s v="Kobusinge Steven-FPortal"/>
    <n v="156"/>
    <s v="Z80969"/>
    <x v="11"/>
    <x v="0"/>
    <x v="0"/>
    <x v="0"/>
    <x v="11"/>
    <x v="11"/>
    <n v="393"/>
    <n v="3"/>
    <x v="0"/>
    <d v="2024-11-07T11:04:43"/>
    <d v="2024-11-07T10:36:43"/>
    <d v="2024-11-07T11:48:43"/>
    <n v="70.483333333333334"/>
    <n v="43.06666666666667"/>
    <x v="1"/>
    <d v="2024-11-08T10:18:43"/>
    <d v="2024-11-08T15:51:43"/>
    <n v="326.05"/>
    <x v="0"/>
    <d v="2024-11-09T08:58:05"/>
    <d v="2024-11-09T10:01:05"/>
    <n v="61.68333333333333"/>
    <x v="0"/>
    <n v="1.8815000000031432"/>
    <x v="0"/>
    <n v="-0.11849999999685679"/>
    <n v="45.156000000075437"/>
    <n v="12"/>
    <n v="33.156000000075437"/>
    <n v="4.7050307636519806"/>
    <x v="0"/>
  </r>
  <r>
    <x v="2"/>
    <x v="0"/>
    <d v="2024-11-06T22:43:24"/>
    <s v="OM02Y7RRR"/>
    <x v="1"/>
    <s v="UBP 301H"/>
    <s v="NAMINYA SIRAJE"/>
    <s v="KATO INVESTMENTS LTD-KATIKARA"/>
    <n v="154.34400000000002"/>
    <s v="A18089"/>
    <x v="5"/>
    <x v="0"/>
    <x v="0"/>
    <x v="0"/>
    <x v="5"/>
    <x v="5"/>
    <n v="836"/>
    <n v="6"/>
    <x v="0"/>
    <d v="2024-11-07T09:05:00"/>
    <d v="2024-11-06T15:48:00"/>
    <d v="2024-11-07T09:50:00"/>
    <n v="1059.45"/>
    <n v="44.05"/>
    <x v="1"/>
    <d v="2024-11-08T12:43:00"/>
    <d v="2024-11-08T17:18:00"/>
    <n v="269.26666666666665"/>
    <x v="0"/>
    <d v="2024-11-09T12:58:00"/>
    <d v="2024-11-09T16:02:00"/>
    <n v="180.16666666666666"/>
    <x v="1"/>
    <n v="2.1305555555591127"/>
    <x v="0"/>
    <n v="0.13055555555911269"/>
    <n v="51.133333333418705"/>
    <n v="24"/>
    <n v="27.133333333418705"/>
    <n v="5.6883538083359113"/>
    <x v="0"/>
  </r>
  <r>
    <x v="2"/>
    <x v="0"/>
    <d v="2024-11-06T23:09:03"/>
    <s v="OMO6M7PRR"/>
    <x v="1"/>
    <s v="UBF 070Q"/>
    <s v="NTUMWA SOLOMON"/>
    <s v="Kato Investment Ltd -Kagadi"/>
    <n v="156"/>
    <s v="A18092"/>
    <x v="12"/>
    <x v="0"/>
    <x v="0"/>
    <x v="0"/>
    <x v="12"/>
    <x v="12"/>
    <n v="585"/>
    <n v="-27"/>
    <x v="0"/>
    <d v="2024-11-07T07:03:00"/>
    <d v="2024-11-06T17:46:00"/>
    <d v="2024-11-07T07:50:00"/>
    <n v="826.41666666666663"/>
    <n v="46.016666666666666"/>
    <x v="1"/>
    <d v="2024-11-08T09:30:00"/>
    <d v="2024-11-08T14:30:00"/>
    <n v="293.73333333333335"/>
    <x v="0"/>
    <d v="2024-11-09T10:33:00"/>
    <d v="2024-11-09T12:54:00"/>
    <n v="138.05000000000001"/>
    <x v="4"/>
    <n v="2.1131944444423425"/>
    <x v="6"/>
    <n v="-0.18680555555765732"/>
    <n v="50.71666666661622"/>
    <n v="24"/>
    <n v="26.71666666661622"/>
    <n v="5.8390517779274322"/>
    <x v="0"/>
  </r>
  <r>
    <x v="2"/>
    <x v="0"/>
    <d v="2024-11-06T23:10:21"/>
    <s v="OMW2ODSRR"/>
    <x v="1"/>
    <s v="UBJ 417C"/>
    <s v="FARUK   ABEL"/>
    <s v="Kato Investments Ltd-Bulenga"/>
    <n v="156"/>
    <s v="A18093"/>
    <x v="2"/>
    <x v="0"/>
    <x v="0"/>
    <x v="0"/>
    <x v="2"/>
    <x v="2"/>
    <n v="542"/>
    <n v="-18"/>
    <x v="0"/>
    <d v="2024-11-07T07:05:00"/>
    <d v="2024-11-06T20:13:00"/>
    <d v="2024-11-07T07:50:00"/>
    <n v="682.4666666666667"/>
    <n v="44.05"/>
    <x v="1"/>
    <d v="2024-11-08T11:25:00"/>
    <d v="2024-11-08T15:18:00"/>
    <n v="228.13333333333333"/>
    <x v="0"/>
    <d v="2024-11-09T17:20:00"/>
    <d v="2024-11-09T19:15:00"/>
    <n v="112.6"/>
    <x v="10"/>
    <n v="2.3958333333284827"/>
    <x v="0"/>
    <n v="0.39583333332848269"/>
    <n v="57.499999999883585"/>
    <n v="24"/>
    <n v="33.499999999883585"/>
    <n v="4.6567164179266305"/>
    <x v="0"/>
  </r>
  <r>
    <x v="2"/>
    <x v="1"/>
    <d v="2024-11-06T23:28:17"/>
    <s v="OM5TBNMRR"/>
    <x v="1"/>
    <s v="UBJ 375N"/>
    <s v="Stephen Musoke "/>
    <s v="RUGOMA TRADERS CO. LTD NTUNGAM"/>
    <n v="154.07520000000002"/>
    <s v="F15253"/>
    <x v="15"/>
    <x v="1"/>
    <x v="0"/>
    <x v="1"/>
    <x v="15"/>
    <x v="15"/>
    <n v="128"/>
    <n v="-2"/>
    <x v="0"/>
    <d v="2024-11-07T09:26:00"/>
    <d v="2024-11-06T08:00:00"/>
    <d v="2024-11-07T10:11:00"/>
    <n v="1538.2666666666667"/>
    <n v="44.05"/>
    <x v="1"/>
    <d v="2024-11-07T12:40:00"/>
    <d v="2024-11-07T16:54:00"/>
    <n v="248.7"/>
    <x v="0"/>
    <d v="2024-11-07T20:42:00"/>
    <d v="2024-11-07T21:53:00"/>
    <n v="69.516666666666666"/>
    <x v="0"/>
    <n v="0.43819444444670808"/>
    <x v="8"/>
    <n v="-0.56180555555329192"/>
    <n v="10.516666666720994"/>
    <n v="0"/>
    <n v="10.516666666720994"/>
    <n v="14.650573692475826"/>
    <x v="0"/>
  </r>
  <r>
    <x v="2"/>
    <x v="0"/>
    <d v="2024-11-07T00:00:00"/>
    <s v="OM02KL03"/>
    <x v="0"/>
    <s v="UBE 690K"/>
    <s v="MUKOSE MUZAMIRU"/>
    <s v="Boniface Harera"/>
    <n v="156"/>
    <s v="F15255"/>
    <x v="10"/>
    <x v="0"/>
    <x v="0"/>
    <x v="0"/>
    <x v="10"/>
    <x v="10"/>
    <n v="474"/>
    <n v="4"/>
    <x v="0"/>
    <d v="2024-11-07T07:58:00"/>
    <d v="2024-11-07T07:30:00"/>
    <d v="2024-11-07T08:38:00"/>
    <n v="66.583333333333329"/>
    <n v="39.166666666666664"/>
    <x v="1"/>
    <d v="2024-11-08T08:38:00"/>
    <d v="2024-11-08T13:43:00"/>
    <n v="298.63333333333333"/>
    <x v="0"/>
    <d v="2024-11-09T12:31:00"/>
    <d v="2024-11-09T13:47:00"/>
    <n v="74.400000000000006"/>
    <x v="0"/>
    <n v="2.1618055555518367"/>
    <x v="1"/>
    <n v="-0.33819444444816327"/>
    <n v="51.883333333244082"/>
    <n v="24"/>
    <n v="27.883333333244082"/>
    <n v="5.5947399880633357"/>
    <x v="0"/>
  </r>
  <r>
    <x v="2"/>
    <x v="0"/>
    <d v="2024-11-07T00:00:00"/>
    <s v="OM02KL04"/>
    <x v="0"/>
    <s v="UBF 374L "/>
    <m/>
    <s v="Kato Investment Ltd -Mubende"/>
    <n v="156.3168"/>
    <s v="A18111"/>
    <x v="1"/>
    <x v="0"/>
    <x v="0"/>
    <x v="0"/>
    <x v="1"/>
    <x v="1"/>
    <n v="693"/>
    <n v="13"/>
    <x v="0"/>
    <d v="2024-11-07T07:58:00"/>
    <d v="2024-11-07T07:30:00"/>
    <d v="2024-11-07T08:42:00"/>
    <n v="70.483333333333334"/>
    <n v="43.06666666666667"/>
    <x v="1"/>
    <d v="2024-11-08T10:59:00"/>
    <d v="2024-11-08T15:37:00"/>
    <n v="272.2"/>
    <x v="0"/>
    <d v="2024-11-09T18:29:48"/>
    <d v="2024-11-09T19:49:48"/>
    <n v="78.316666666666663"/>
    <x v="0"/>
    <n v="2.4081944444478722"/>
    <x v="1"/>
    <n v="-9.1805555552127771E-2"/>
    <n v="57.796666666748933"/>
    <n v="24"/>
    <n v="33.796666666748933"/>
    <n v="4.6252135318952412"/>
    <x v="0"/>
  </r>
  <r>
    <x v="2"/>
    <x v="0"/>
    <d v="2024-11-07T20:18:47"/>
    <s v="OMIWKECRR"/>
    <x v="1"/>
    <s v="UBJ 705D"/>
    <s v="KASULE JOHNBOSC"/>
    <s v="Boniface Harera"/>
    <n v="156"/>
    <s v="F15257"/>
    <x v="10"/>
    <x v="0"/>
    <x v="0"/>
    <x v="0"/>
    <x v="10"/>
    <x v="10"/>
    <n v="461"/>
    <n v="-9"/>
    <x v="0"/>
    <d v="2024-11-08T09:39:00"/>
    <d v="2024-11-08T01:30:00"/>
    <d v="2024-11-08T10:22:00"/>
    <n v="520.9"/>
    <n v="42.1"/>
    <x v="1"/>
    <d v="2024-11-09T10:21:00"/>
    <d v="2024-11-09T12:52:00"/>
    <n v="147.85"/>
    <x v="0"/>
    <d v="2024-11-10T13:00:00"/>
    <d v="2024-11-10T16:06:00"/>
    <n v="182.11666666666667"/>
    <x v="1"/>
    <n v="2.109722222223354"/>
    <x v="1"/>
    <n v="-0.39027777777664596"/>
    <n v="50.633333333360497"/>
    <n v="24"/>
    <n v="26.633333333360497"/>
    <n v="5.8573216520591078"/>
    <x v="0"/>
  </r>
  <r>
    <x v="2"/>
    <x v="0"/>
    <d v="2024-11-07T20:21:35"/>
    <s v="OML27N3RR"/>
    <x v="1"/>
    <s v="UBE 690K"/>
    <s v="MUKOSE MUZAMIRU"/>
    <s v="Boniface Harera"/>
    <n v="156"/>
    <s v="F15258"/>
    <x v="10"/>
    <x v="0"/>
    <x v="0"/>
    <x v="0"/>
    <x v="10"/>
    <x v="10"/>
    <n v="486"/>
    <n v="16"/>
    <x v="0"/>
    <d v="2024-11-07T21:15:00"/>
    <d v="2024-11-08T01:30:00"/>
    <d v="2024-11-07T22:05:00"/>
    <n v="-200.73333333333332"/>
    <n v="48.95"/>
    <x v="1"/>
    <d v="2024-11-08T18:21:00"/>
    <d v="2024-11-09T16:06:00"/>
    <n v="1277.8"/>
    <x v="0"/>
    <d v="2024-11-10T08:03:00"/>
    <d v="2024-11-10T09:51:00"/>
    <n v="105.73333333333333"/>
    <x v="0"/>
    <n v="2.4152777777781012"/>
    <x v="1"/>
    <n v="-8.4722222221898846E-2"/>
    <n v="57.966666666674428"/>
    <n v="24"/>
    <n v="33.966666666674428"/>
    <n v="4.5927379784091569"/>
    <x v="0"/>
  </r>
  <r>
    <x v="2"/>
    <x v="0"/>
    <d v="2024-11-07T20:23:57"/>
    <s v="OM5UBWCRR"/>
    <x v="1"/>
    <s v="UBK 858R"/>
    <s v="ALIPA EREKU"/>
    <s v="Boniface Harera"/>
    <n v="156"/>
    <s v="F15259"/>
    <x v="10"/>
    <x v="0"/>
    <x v="0"/>
    <x v="0"/>
    <x v="10"/>
    <x v="10"/>
    <n v="479"/>
    <n v="9"/>
    <x v="0"/>
    <d v="2024-11-09T11:51:00"/>
    <d v="2024-11-08T01:30:00"/>
    <d v="2024-11-09T12:35:00"/>
    <n v="2061.1333333333332"/>
    <n v="43.06666666666667"/>
    <x v="1"/>
    <d v="2024-11-10T21:49:00"/>
    <d v="2024-11-11T19:09:00"/>
    <n v="1253.3333333333333"/>
    <x v="0"/>
    <d v="2024-11-12T13:39:00"/>
    <d v="2024-11-12T14:50:00"/>
    <n v="69.516666666666666"/>
    <x v="0"/>
    <n v="3.0444444444437977"/>
    <x v="1"/>
    <n v="0.54444444444379769"/>
    <n v="73.066666666651145"/>
    <n v="36"/>
    <n v="37.066666666651145"/>
    <n v="4.2086330935269425"/>
    <x v="8"/>
  </r>
  <r>
    <x v="2"/>
    <x v="0"/>
    <d v="2024-11-07T21:18:01"/>
    <s v="OMV83HJRR"/>
    <x v="0"/>
    <s v="UBF 379L"/>
    <m/>
    <s v="Kato Investments Ltd-Bulenga"/>
    <n v="156"/>
    <s v="A18112"/>
    <x v="2"/>
    <x v="0"/>
    <x v="0"/>
    <x v="0"/>
    <x v="2"/>
    <x v="2"/>
    <n v="555"/>
    <n v="-5"/>
    <x v="0"/>
    <d v="2024-11-08T07:58:01"/>
    <d v="2024-11-08T07:30:01"/>
    <d v="2024-11-08T08:38:01"/>
    <n v="66.583333333333329"/>
    <n v="39.166666666666664"/>
    <x v="1"/>
    <d v="2024-11-09T08:38:01"/>
    <d v="2024-11-09T14:11:01"/>
    <n v="326.05"/>
    <x v="0"/>
    <d v="2024-11-10T08:38:01"/>
    <d v="2024-11-10T09:43:01"/>
    <n v="63.633333333333333"/>
    <x v="0"/>
    <n v="2"/>
    <x v="0"/>
    <n v="0"/>
    <n v="48"/>
    <n v="24"/>
    <n v="24"/>
    <n v="6.5"/>
    <x v="0"/>
  </r>
  <r>
    <x v="2"/>
    <x v="1"/>
    <d v="2024-11-07T21:31:44"/>
    <s v="OMYW9BGRR"/>
    <x v="1"/>
    <s v="UBE 287X"/>
    <s v="Isaac Tumuhimbise"/>
    <s v="KATO INVESTMENTS LTD- KALISIZO"/>
    <n v="153.60000000000002"/>
    <s v="F15261"/>
    <x v="4"/>
    <x v="1"/>
    <x v="0"/>
    <x v="1"/>
    <x v="4"/>
    <x v="4"/>
    <n v="350"/>
    <n v="0"/>
    <x v="0"/>
    <d v="2024-11-09T11:04:00"/>
    <d v="2024-11-07T08:00:00"/>
    <d v="2024-11-09T11:50:00"/>
    <n v="3045.2"/>
    <n v="45.033333333333331"/>
    <x v="1"/>
    <d v="2024-11-10T12:24:00"/>
    <d v="2024-11-10T16:58:00"/>
    <n v="268.28333333333336"/>
    <x v="0"/>
    <d v="2024-11-11T15:12:00"/>
    <d v="2024-11-11T16:16:00"/>
    <n v="62.65"/>
    <x v="0"/>
    <n v="2.140277777776646"/>
    <x v="2"/>
    <n v="0.44027777777664601"/>
    <n v="51.366666666639503"/>
    <n v="24"/>
    <n v="27.366666666639503"/>
    <n v="5.6126674786901027"/>
    <x v="0"/>
  </r>
  <r>
    <x v="2"/>
    <x v="0"/>
    <d v="2024-11-07T22:09:04"/>
    <s v="OMN6F8BRR"/>
    <x v="1"/>
    <s v="UBM 644D"/>
    <s v="KAJUBI ISMA"/>
    <s v="Boniface Harera"/>
    <n v="156.3168"/>
    <s v="F15263"/>
    <x v="10"/>
    <x v="0"/>
    <x v="0"/>
    <x v="0"/>
    <x v="10"/>
    <x v="10"/>
    <n v="484"/>
    <n v="14"/>
    <x v="0"/>
    <d v="2024-11-08T11:04:00"/>
    <d v="2024-11-08T01:30:00"/>
    <d v="2024-11-08T11:54:00"/>
    <n v="611"/>
    <n v="48.95"/>
    <x v="1"/>
    <d v="2024-11-09T12:19:00"/>
    <d v="2024-11-09T16:27:00"/>
    <n v="242.83333333333334"/>
    <x v="0"/>
    <d v="2024-11-10T10:59:00"/>
    <d v="2024-11-10T12:16:00"/>
    <n v="75.38333333333334"/>
    <x v="0"/>
    <n v="1.9618055555547471"/>
    <x v="1"/>
    <n v="-0.53819444444525288"/>
    <n v="47.083333333313931"/>
    <n v="12"/>
    <n v="35.083333333313931"/>
    <n v="4.4555857482209911"/>
    <x v="0"/>
  </r>
  <r>
    <x v="2"/>
    <x v="0"/>
    <d v="2024-11-08T20:48:03"/>
    <s v="OM8TTF7RR"/>
    <x v="1"/>
    <s v="UBK 862R"/>
    <s v="SULAIMAN MUBIRU"/>
    <s v="Kato Investment Ltd -Mityana"/>
    <n v="156"/>
    <s v="A18122"/>
    <x v="16"/>
    <x v="0"/>
    <x v="0"/>
    <x v="0"/>
    <x v="16"/>
    <x v="16"/>
    <n v="652"/>
    <n v="-38"/>
    <x v="0"/>
    <d v="2024-11-08T21:46:00"/>
    <d v="2024-11-08T21:30:00"/>
    <d v="2024-11-08T22:39:00"/>
    <n v="67.55"/>
    <n v="51.883333333333333"/>
    <x v="0"/>
    <d v="2024-11-09T11:06:00"/>
    <d v="2024-11-09T15:53:00"/>
    <n v="281.01666666666665"/>
    <x v="0"/>
    <d v="2024-11-10T12:17:00"/>
    <d v="2024-11-10T13:32:00"/>
    <n v="73.433333333333337"/>
    <x v="0"/>
    <n v="1.5680555555591127"/>
    <x v="0"/>
    <n v="-0.43194444444088731"/>
    <n v="37.633333333418705"/>
    <n v="16"/>
    <n v="21.633333333418705"/>
    <n v="7.2110939907265506"/>
    <x v="0"/>
  </r>
  <r>
    <x v="2"/>
    <x v="0"/>
    <d v="2024-11-08T20:49:06"/>
    <s v="OMSSH9DRR"/>
    <x v="1"/>
    <s v="UBE 680K"/>
    <s v="BYEKWASO TWAHA"/>
    <s v="Ntale and Sons Ltd-Kakiri"/>
    <n v="156"/>
    <s v="A18123"/>
    <x v="22"/>
    <x v="0"/>
    <x v="0"/>
    <x v="0"/>
    <x v="22"/>
    <x v="21"/>
    <n v="574"/>
    <n v="-46"/>
    <x v="0"/>
    <d v="2024-11-08T21:16:00"/>
    <d v="2024-11-09T01:59:00"/>
    <d v="2024-11-08T21:58:00"/>
    <n v="-235.98333333333332"/>
    <n v="41.116666666666667"/>
    <x v="1"/>
    <d v="2024-11-09T09:58:00"/>
    <d v="2024-11-09T14:06:00"/>
    <n v="242.83333333333334"/>
    <x v="0"/>
    <d v="2024-11-09T08:10:00"/>
    <d v="2024-11-09T09:26:00"/>
    <n v="74.400000000000006"/>
    <x v="0"/>
    <n v="0.42500000000291038"/>
    <x v="0"/>
    <n v="-1.5749999999970896"/>
    <n v="10.200000000069849"/>
    <n v="0"/>
    <n v="10.200000000069849"/>
    <n v="15.29411764695409"/>
    <x v="0"/>
  </r>
  <r>
    <x v="2"/>
    <x v="0"/>
    <d v="2024-11-08T21:16:42"/>
    <s v="OMVW2P7RR"/>
    <x v="0"/>
    <s v="UBP 311H"/>
    <s v="Ekwalikwa Yusuf"/>
    <s v="Kobusinge Steven-FPortal"/>
    <n v="156"/>
    <s v="Z80979"/>
    <x v="11"/>
    <x v="0"/>
    <x v="0"/>
    <x v="0"/>
    <x v="11"/>
    <x v="11"/>
    <n v="393"/>
    <n v="3"/>
    <x v="0"/>
    <d v="2024-11-09T09:44:42"/>
    <d v="2024-11-09T09:16:42"/>
    <d v="2024-11-09T10:44:42"/>
    <n v="86.15"/>
    <n v="58.733333333333334"/>
    <x v="5"/>
    <d v="2024-11-10T09:14:42"/>
    <d v="2024-11-10T13:58:42"/>
    <n v="278.08333333333331"/>
    <x v="0"/>
    <d v="2024-11-11T09:57:54"/>
    <d v="2024-11-11T11:07:54"/>
    <n v="68.533333333333331"/>
    <x v="0"/>
    <n v="1.9674999999988358"/>
    <x v="0"/>
    <n v="-3.2500000001164153E-2"/>
    <n v="47.21999999997206"/>
    <n v="16"/>
    <n v="31.21999999997206"/>
    <n v="4.9967969250525179"/>
    <x v="0"/>
  </r>
  <r>
    <x v="2"/>
    <x v="0"/>
    <d v="2024-11-08T21:20:54"/>
    <s v="OMPUA9ORR"/>
    <x v="1"/>
    <s v="UBJ 417C"/>
    <s v="FARUK   ABEL"/>
    <s v="Rugoma Traders-Rukungiri"/>
    <n v="156"/>
    <s v="Z80980"/>
    <x v="17"/>
    <x v="0"/>
    <x v="0"/>
    <x v="0"/>
    <x v="17"/>
    <x v="17"/>
    <n v="238"/>
    <n v="-18"/>
    <x v="0"/>
    <d v="2024-11-09T19:59:00"/>
    <d v="2024-11-09T04:04:00"/>
    <d v="2024-11-09T20:49:00"/>
    <n v="984.05"/>
    <n v="48.95"/>
    <x v="1"/>
    <d v="2024-11-10T12:28:00"/>
    <d v="2024-11-10T16:49:00"/>
    <n v="255.55"/>
    <x v="0"/>
    <d v="2024-11-10T21:08:00"/>
    <d v="2024-11-10T22:14:00"/>
    <n v="64.61666666666666"/>
    <x v="0"/>
    <n v="1.0131944444510737"/>
    <x v="8"/>
    <n v="1.319444445107365E-2"/>
    <n v="24.316666666825768"/>
    <n v="12"/>
    <n v="12.316666666825768"/>
    <n v="12.665764546521098"/>
    <x v="0"/>
  </r>
  <r>
    <x v="2"/>
    <x v="0"/>
    <d v="2024-11-08T21:27:59"/>
    <s v="OMKEY4DRR"/>
    <x v="1"/>
    <s v="UBE 681K"/>
    <s v="KYAPA AKIMU"/>
    <s v="Boniface Harera"/>
    <n v="156"/>
    <s v="F15268"/>
    <x v="10"/>
    <x v="0"/>
    <x v="0"/>
    <x v="0"/>
    <x v="10"/>
    <x v="10"/>
    <n v="484"/>
    <n v="14"/>
    <x v="0"/>
    <d v="2024-11-09T09:23:00"/>
    <d v="2024-11-09T01:30:00"/>
    <d v="2024-11-09T10:08:00"/>
    <n v="507.2"/>
    <n v="44.05"/>
    <x v="1"/>
    <d v="2024-11-11T12:06:00"/>
    <d v="2024-11-12T12:18:00"/>
    <n v="1421.7333333333333"/>
    <x v="0"/>
    <d v="2024-11-13T07:20:00"/>
    <d v="2024-11-13T10:09:00"/>
    <n v="165.46666666666667"/>
    <x v="9"/>
    <n v="3.8833333333313931"/>
    <x v="1"/>
    <n v="1.3833333333313931"/>
    <n v="93.199999999953434"/>
    <n v="36"/>
    <n v="57.199999999953434"/>
    <n v="2.7272727272749475"/>
    <x v="12"/>
  </r>
  <r>
    <x v="2"/>
    <x v="0"/>
    <d v="2024-11-08T21:39:35"/>
    <s v="OM8XQNLRR"/>
    <x v="1"/>
    <s v="UBE 673K"/>
    <s v="Bulega Sperito"/>
    <s v="Ntale and Sons Ltd-Kakiri"/>
    <n v="156"/>
    <s v="A18125"/>
    <x v="22"/>
    <x v="0"/>
    <x v="0"/>
    <x v="0"/>
    <x v="22"/>
    <x v="21"/>
    <n v="639"/>
    <n v="19"/>
    <x v="0"/>
    <d v="2024-11-09T06:40:00"/>
    <d v="2024-11-09T01:59:00"/>
    <d v="2024-11-09T07:45:00"/>
    <n v="338.78333333333336"/>
    <n v="63.633333333333333"/>
    <x v="6"/>
    <d v="2024-11-10T06:36:00"/>
    <d v="2024-11-13T20:58:00"/>
    <n v="5074.0333333333338"/>
    <x v="0"/>
    <d v="2024-11-14T15:50:00"/>
    <d v="2024-11-14T18:54:00"/>
    <n v="180.16666666666666"/>
    <x v="1"/>
    <n v="5.3368055555547471"/>
    <x v="0"/>
    <n v="3.3368055555547471"/>
    <n v="128.08333333331393"/>
    <n v="80"/>
    <n v="48.083333333313931"/>
    <n v="3.2443674176789523"/>
    <x v="0"/>
  </r>
  <r>
    <x v="2"/>
    <x v="1"/>
    <d v="2024-11-09T21:52:33"/>
    <s v="OMGQ7I2RR"/>
    <x v="1"/>
    <s v="UBJ 375N"/>
    <s v="Stephen Musoke "/>
    <s v="KATO INVESTMENTS LIMITED-MASAK"/>
    <n v="153.60000000000002"/>
    <s v="F15275"/>
    <x v="14"/>
    <x v="1"/>
    <x v="0"/>
    <x v="1"/>
    <x v="14"/>
    <x v="14"/>
    <n v="293"/>
    <n v="-47"/>
    <x v="0"/>
    <d v="2024-11-10T12:04:00"/>
    <d v="2024-11-10T08:30:00"/>
    <d v="2024-11-10T12:49:00"/>
    <n v="253.6"/>
    <n v="44.05"/>
    <x v="1"/>
    <d v="2024-11-10T18:07:00"/>
    <d v="2024-11-11T10:49:00"/>
    <n v="981.11666666666667"/>
    <x v="0"/>
    <d v="2024-11-11T19:08:00"/>
    <d v="2024-11-11T20:26:00"/>
    <n v="76.36666666666666"/>
    <x v="0"/>
    <n v="1.2631944444437977"/>
    <x v="8"/>
    <n v="0.26319444444379769"/>
    <n v="30.316666666651145"/>
    <n v="12"/>
    <n v="18.316666666651145"/>
    <n v="8.3858052775321301"/>
    <x v="0"/>
  </r>
  <r>
    <x v="2"/>
    <x v="0"/>
    <d v="2024-11-10T00:00:00"/>
    <s v="OM02KLV1"/>
    <x v="0"/>
    <s v="UBF 382L"/>
    <m/>
    <s v="Kato Investments Ltd-Bulenga"/>
    <n v="156"/>
    <s v="A18158"/>
    <x v="2"/>
    <x v="0"/>
    <x v="0"/>
    <x v="0"/>
    <x v="2"/>
    <x v="2"/>
    <n v="555"/>
    <n v="-5"/>
    <x v="0"/>
    <d v="2024-11-10T07:58:00"/>
    <d v="2024-11-10T07:30:00"/>
    <d v="2024-11-10T08:58:00"/>
    <n v="86.15"/>
    <n v="58.733333333333334"/>
    <x v="4"/>
    <d v="2024-11-11T08:58:00"/>
    <d v="2024-11-11T13:46:00"/>
    <n v="281.98333333333335"/>
    <x v="0"/>
    <d v="2024-11-12T10:10:00"/>
    <d v="2024-11-12T11:15:00"/>
    <n v="63.633333333333333"/>
    <x v="0"/>
    <n v="2.0500000000029104"/>
    <x v="0"/>
    <n v="5.0000000002910383E-2"/>
    <n v="49.200000000069849"/>
    <n v="32"/>
    <n v="17.200000000069849"/>
    <n v="9.0697674418236325"/>
    <x v="0"/>
  </r>
  <r>
    <x v="2"/>
    <x v="0"/>
    <d v="2024-11-10T00:00:00"/>
    <s v="OM02KLV9"/>
    <x v="0"/>
    <s v="UBP 310H"/>
    <s v="Lule Fred"/>
    <s v="Kato Investment Ltd -Mityana"/>
    <n v="156"/>
    <s v="A18160"/>
    <x v="16"/>
    <x v="0"/>
    <x v="0"/>
    <x v="0"/>
    <x v="16"/>
    <x v="16"/>
    <m/>
    <n v="-690"/>
    <x v="0"/>
    <d v="2024-11-10T07:20:00"/>
    <d v="2024-11-10T07:30:00"/>
    <d v="2024-11-10T08:38:00"/>
    <n v="66.583333333333329"/>
    <n v="76.36666666666666"/>
    <x v="6"/>
    <d v="2024-11-11T10:38:00"/>
    <d v="2024-11-11T15:28:00"/>
    <n v="283.95"/>
    <x v="0"/>
    <d v="2024-11-12T12:53:55"/>
    <d v="2024-11-12T13:58:55"/>
    <n v="63.633333333333333"/>
    <x v="0"/>
    <n v="2.1777222222226555"/>
    <x v="0"/>
    <n v="0.17772222222265555"/>
    <n v="52.265333333343733"/>
    <n v="32"/>
    <n v="20.265333333343733"/>
    <n v="7.6978748601842195"/>
    <x v="0"/>
  </r>
  <r>
    <x v="2"/>
    <x v="0"/>
    <d v="2024-11-10T15:19:20"/>
    <s v="OMMTSH8RR"/>
    <x v="1"/>
    <s v="UBE 680K"/>
    <s v="BYEKWASO TWAHA"/>
    <s v="Rugoma Traders-Rukungiri"/>
    <n v="156"/>
    <s v="Z80990"/>
    <x v="17"/>
    <x v="0"/>
    <x v="0"/>
    <x v="0"/>
    <x v="17"/>
    <x v="17"/>
    <n v="248"/>
    <n v="-8"/>
    <x v="0"/>
    <d v="2024-11-10T18:48:00"/>
    <d v="2024-11-11T04:04:00"/>
    <d v="2024-11-10T19:35:00"/>
    <n v="-498.4"/>
    <n v="46.016666666666666"/>
    <x v="1"/>
    <d v="2024-11-11T07:59:00"/>
    <d v="2024-11-11T11:45:00"/>
    <n v="221.28333333333333"/>
    <x v="0"/>
    <d v="2024-11-11T15:19:00"/>
    <d v="2024-11-11T16:41:00"/>
    <n v="80.283333333333331"/>
    <x v="0"/>
    <n v="0.82222222222480923"/>
    <x v="8"/>
    <n v="-0.17777777777519077"/>
    <n v="19.733333333395422"/>
    <n v="0"/>
    <n v="19.733333333395422"/>
    <n v="7.9054054053805318"/>
    <x v="0"/>
  </r>
  <r>
    <x v="2"/>
    <x v="0"/>
    <d v="2024-11-10T15:22:00"/>
    <s v="OMSRD38RR"/>
    <x v="1"/>
    <s v="UBJ 421 C"/>
    <s v="Tumwine Jimmy"/>
    <s v="Ntale and Sons Ltd-Kakiri"/>
    <n v="156"/>
    <s v="A18162"/>
    <x v="22"/>
    <x v="0"/>
    <x v="0"/>
    <x v="0"/>
    <x v="22"/>
    <x v="21"/>
    <n v="631"/>
    <n v="11"/>
    <x v="0"/>
    <d v="2024-11-10T15:57:00"/>
    <d v="2024-11-11T01:59:00"/>
    <d v="2024-11-10T16:42:00"/>
    <n v="-545.4"/>
    <n v="44.05"/>
    <x v="1"/>
    <d v="2024-11-11T12:26:00"/>
    <d v="2024-11-11T16:33:00"/>
    <n v="241.85"/>
    <x v="0"/>
    <d v="2024-11-12T14:22:00"/>
    <d v="2024-11-12T15:52:00"/>
    <n v="88.11666666666666"/>
    <x v="0"/>
    <n v="1.9027777777810115"/>
    <x v="0"/>
    <n v="-9.7222222218988463E-2"/>
    <n v="45.666666666744277"/>
    <n v="12"/>
    <n v="33.666666666744277"/>
    <n v="4.6336633663259521"/>
    <x v="0"/>
  </r>
  <r>
    <x v="2"/>
    <x v="0"/>
    <d v="2024-11-10T21:54:07"/>
    <s v="OMEZ5ZYRR"/>
    <x v="1"/>
    <s v="UBK 862R"/>
    <s v="SULAIMAN MUBIRU"/>
    <s v="Kabaco U Ltd"/>
    <n v="156"/>
    <s v="Z80991"/>
    <x v="6"/>
    <x v="0"/>
    <x v="0"/>
    <x v="0"/>
    <x v="6"/>
    <x v="6"/>
    <n v="338"/>
    <n v="18"/>
    <x v="0"/>
    <d v="2024-11-10T21:38:00"/>
    <d v="2024-11-10T08:00:00"/>
    <d v="2024-11-10T22:21:00"/>
    <n v="843.05"/>
    <n v="42.1"/>
    <x v="1"/>
    <d v="2024-11-11T11:46:00"/>
    <d v="2024-11-11T17:37:00"/>
    <n v="343.68333333333334"/>
    <x v="0"/>
    <d v="2024-11-11T09:33:00"/>
    <d v="2024-11-11T10:48:00"/>
    <n v="73.433333333333337"/>
    <x v="0"/>
    <n v="0.46666666666715173"/>
    <x v="3"/>
    <n v="-1.0333333333328483"/>
    <n v="11.200000000011642"/>
    <n v="0"/>
    <n v="11.200000000011642"/>
    <n v="13.928571428556952"/>
    <x v="0"/>
  </r>
  <r>
    <x v="2"/>
    <x v="0"/>
    <d v="2024-11-10T22:02:23"/>
    <s v="OM6WL3BRR"/>
    <x v="1"/>
    <s v="UBM 644D"/>
    <s v="KAJUBI ISMA"/>
    <s v="Kato Investment Ltd -Mubende"/>
    <n v="156"/>
    <s v="A18170"/>
    <x v="1"/>
    <x v="0"/>
    <x v="0"/>
    <x v="0"/>
    <x v="1"/>
    <x v="1"/>
    <n v="674"/>
    <n v="-6"/>
    <x v="0"/>
    <d v="2024-11-10T21:25:00"/>
    <d v="2024-11-10T19:37:00"/>
    <d v="2024-11-10T22:27:00"/>
    <n v="166.45"/>
    <n v="60.7"/>
    <x v="9"/>
    <d v="2024-11-12T09:41:00"/>
    <d v="2024-11-12T13:43:00"/>
    <n v="236.95"/>
    <x v="0"/>
    <d v="2024-11-13T10:37:00"/>
    <d v="2024-11-13T11:49:00"/>
    <n v="70.483333333333334"/>
    <x v="0"/>
    <n v="2.5069444444452529"/>
    <x v="1"/>
    <n v="6.9444444452528842E-3"/>
    <n v="60.166666666686069"/>
    <n v="32"/>
    <n v="28.166666666686069"/>
    <n v="5.5384615384577236"/>
    <x v="0"/>
  </r>
  <r>
    <x v="2"/>
    <x v="0"/>
    <d v="2024-11-11T00:00:00"/>
    <s v="OM02KM8L"/>
    <x v="0"/>
    <s v="UBP 311H"/>
    <s v="Ekwalikwa Yusuf"/>
    <s v="Ntale and Sons Ltd-Kakiri"/>
    <n v="156"/>
    <s v="A18205"/>
    <x v="22"/>
    <x v="0"/>
    <x v="0"/>
    <x v="0"/>
    <x v="22"/>
    <x v="21"/>
    <m/>
    <n v="-620"/>
    <x v="0"/>
    <d v="2024-11-11T07:58:00"/>
    <d v="2024-11-11T07:30:00"/>
    <d v="2024-11-11T08:58:00"/>
    <n v="86.15"/>
    <n v="58.733333333333334"/>
    <x v="9"/>
    <d v="2024-11-12T07:58:00"/>
    <d v="2024-11-12T14:15:00"/>
    <n v="369.13333333333333"/>
    <x v="0"/>
    <d v="2024-11-13T10:03:00"/>
    <d v="2024-11-13T11:19:00"/>
    <n v="74.400000000000006"/>
    <x v="0"/>
    <n v="2.0451388888905058"/>
    <x v="0"/>
    <n v="4.5138888890505768E-2"/>
    <n v="49.083333333372138"/>
    <n v="32"/>
    <n v="17.083333333372138"/>
    <n v="9.1317073170524274"/>
    <x v="0"/>
  </r>
  <r>
    <x v="2"/>
    <x v="1"/>
    <d v="2024-11-11T11:10:38"/>
    <s v="OMM3XM1RR"/>
    <x v="1"/>
    <s v="UBK 881R"/>
    <s v="James  Kironde"/>
    <s v="Ntale and Sons"/>
    <n v="153.60000000000002"/>
    <s v="A18177"/>
    <x v="19"/>
    <x v="1"/>
    <x v="0"/>
    <x v="1"/>
    <x v="19"/>
    <x v="19"/>
    <n v="822"/>
    <n v="12"/>
    <x v="0"/>
    <d v="2024-11-12T07:49:00"/>
    <d v="2024-11-11T16:40:00"/>
    <d v="2024-11-12T08:34:00"/>
    <n v="934.11666666666667"/>
    <n v="44.05"/>
    <x v="1"/>
    <d v="2024-11-12T20:15:00"/>
    <d v="2024-11-13T12:23:00"/>
    <n v="947.83333333333337"/>
    <x v="0"/>
    <d v="2024-11-14T15:04:00"/>
    <d v="2024-11-14T16:59:00"/>
    <n v="112.6"/>
    <x v="10"/>
    <n v="2.2708333333357587"/>
    <x v="4"/>
    <n v="-0.72916666666424135"/>
    <n v="54.500000000058208"/>
    <n v="24"/>
    <n v="30.500000000058208"/>
    <n v="5.0360655737608813"/>
    <x v="0"/>
  </r>
  <r>
    <x v="2"/>
    <x v="1"/>
    <d v="2024-11-11T21:43:37"/>
    <s v="OM66MDPRR"/>
    <x v="1"/>
    <s v="UBE 287X"/>
    <s v="Isaac Tumuhimbise"/>
    <s v="KATO INVESTMENTS LIMITED-MASAK"/>
    <n v="153.60000000000002"/>
    <s v="F15279"/>
    <x v="14"/>
    <x v="1"/>
    <x v="0"/>
    <x v="1"/>
    <x v="14"/>
    <x v="14"/>
    <n v="400"/>
    <n v="60"/>
    <x v="6"/>
    <d v="2024-11-12T08:47:00"/>
    <d v="2024-11-12T10:00:00"/>
    <d v="2024-11-12T09:37:00"/>
    <n v="-22.533333333333335"/>
    <n v="48.95"/>
    <x v="8"/>
    <d v="2024-11-12T14:23:00"/>
    <d v="2024-11-12T20:27:00"/>
    <n v="356.4"/>
    <x v="0"/>
    <d v="2024-11-13T13:15:00"/>
    <d v="2024-11-13T15:39:00"/>
    <n v="140.98333333333332"/>
    <x v="5"/>
    <n v="1.1513888888948713"/>
    <x v="8"/>
    <n v="0.15138888889487134"/>
    <n v="27.633333333476912"/>
    <n v="16"/>
    <n v="11.633333333476912"/>
    <n v="13.203438395252517"/>
    <x v="0"/>
  </r>
  <r>
    <x v="2"/>
    <x v="1"/>
    <d v="2024-11-11T21:46:27"/>
    <s v="OMIMIKORR"/>
    <x v="1"/>
    <s v="UAV 203T"/>
    <s v="Mugisha  George"/>
    <s v="KATO INVESTMENTS LIMITED-MASAK"/>
    <n v="153.60000000000002"/>
    <s v="F15280"/>
    <x v="14"/>
    <x v="1"/>
    <x v="0"/>
    <x v="1"/>
    <x v="14"/>
    <x v="14"/>
    <n v="298"/>
    <n v="-42"/>
    <x v="0"/>
    <d v="2024-11-12T11:03:00"/>
    <d v="2024-11-12T08:30:00"/>
    <d v="2024-11-12T11:47:00"/>
    <n v="192.88333333333333"/>
    <n v="43.06666666666667"/>
    <x v="1"/>
    <d v="2024-11-12T16:07:00"/>
    <d v="2024-11-13T11:35:00"/>
    <n v="1143.6666666666667"/>
    <x v="0"/>
    <d v="2024-11-13T16:06:00"/>
    <d v="2024-11-13T17:43:00"/>
    <n v="94.966666666666669"/>
    <x v="0"/>
    <n v="1.179861111108039"/>
    <x v="8"/>
    <n v="0.17986111110803904"/>
    <n v="28.316666666592937"/>
    <n v="12"/>
    <n v="16.316666666592937"/>
    <n v="9.4136874362018848"/>
    <x v="0"/>
  </r>
  <r>
    <x v="2"/>
    <x v="1"/>
    <d v="2024-11-11T21:48:40"/>
    <s v="OM1QNB2RR"/>
    <x v="1"/>
    <s v="UAY 526V"/>
    <s v="Benon Ssempijja"/>
    <s v="Ntale and Sons"/>
    <n v="153.60000000000002"/>
    <s v="A18194"/>
    <x v="19"/>
    <x v="1"/>
    <x v="0"/>
    <x v="1"/>
    <x v="19"/>
    <x v="19"/>
    <n v="804"/>
    <n v="-6"/>
    <x v="0"/>
    <d v="2024-11-11T21:25:00"/>
    <d v="2024-11-11T21:55:00"/>
    <d v="2024-11-11T22:26:00"/>
    <n v="30.35"/>
    <n v="59.716666666666669"/>
    <x v="11"/>
    <d v="2024-11-13T09:32:00"/>
    <d v="2024-11-13T19:45:00"/>
    <n v="600.2166666666667"/>
    <x v="0"/>
    <d v="2024-11-15T18:54:00"/>
    <d v="2024-11-15T21:38:00"/>
    <n v="160.58333333333334"/>
    <x v="2"/>
    <n v="3.8527777777781012"/>
    <x v="4"/>
    <n v="0.85277777777810115"/>
    <n v="92.466666666674428"/>
    <n v="48"/>
    <n v="44.466666666674428"/>
    <n v="3.4542728635676134"/>
    <x v="13"/>
  </r>
  <r>
    <x v="2"/>
    <x v="1"/>
    <d v="2024-11-11T22:04:58"/>
    <s v="OM89FK2RR"/>
    <x v="1"/>
    <s v="UBK 875R"/>
    <s v="Bisaso  Ronald"/>
    <s v="Ntale and Sons"/>
    <n v="153.60000000000002"/>
    <s v="A18199"/>
    <x v="19"/>
    <x v="1"/>
    <x v="0"/>
    <x v="1"/>
    <x v="19"/>
    <x v="19"/>
    <n v="820"/>
    <n v="10"/>
    <x v="0"/>
    <d v="2024-11-12T19:45:00"/>
    <d v="2024-11-12T16:40:00"/>
    <d v="2024-11-12T20:35:00"/>
    <n v="230.1"/>
    <n v="48.95"/>
    <x v="1"/>
    <d v="2024-11-14T19:27:00"/>
    <d v="2024-11-14T21:28:00"/>
    <n v="118.46666666666667"/>
    <x v="0"/>
    <d v="2024-11-16T18:17:00"/>
    <d v="2024-11-16T20:00:00"/>
    <n v="100.85"/>
    <x v="0"/>
    <n v="3.9041666666671517"/>
    <x v="4"/>
    <n v="0.90416666666715173"/>
    <n v="93.700000000011642"/>
    <n v="36"/>
    <n v="57.700000000011642"/>
    <n v="2.6620450606580421"/>
    <x v="13"/>
  </r>
  <r>
    <x v="2"/>
    <x v="1"/>
    <d v="2024-11-11T22:07:21"/>
    <s v="OMSRDD4RR"/>
    <x v="1"/>
    <s v="UBE 422T"/>
    <s v="Jacob Oneka"/>
    <s v="Ntale and Sons"/>
    <n v="153.60000000000002"/>
    <s v="A18201"/>
    <x v="19"/>
    <x v="1"/>
    <x v="0"/>
    <x v="1"/>
    <x v="19"/>
    <x v="19"/>
    <n v="800"/>
    <n v="-10"/>
    <x v="0"/>
    <d v="2024-11-12T11:57:00"/>
    <d v="2024-11-12T16:40:00"/>
    <d v="2024-11-12T12:42:00"/>
    <n v="-233.05"/>
    <n v="44.05"/>
    <x v="1"/>
    <d v="2024-11-13T13:44:00"/>
    <d v="2024-11-14T07:37:00"/>
    <n v="1050.6333333333334"/>
    <x v="0"/>
    <d v="2024-11-14T17:56:00"/>
    <d v="2024-11-14T19:09:00"/>
    <n v="71.466666666666669"/>
    <x v="0"/>
    <n v="2.2180555555532919"/>
    <x v="4"/>
    <n v="-0.78194444444670808"/>
    <n v="53.233333333279006"/>
    <n v="24"/>
    <n v="29.233333333279006"/>
    <n v="5.2542759407167212"/>
    <x v="0"/>
  </r>
  <r>
    <x v="2"/>
    <x v="0"/>
    <d v="2024-11-12T00:00:00"/>
    <s v="OM02KMKK"/>
    <x v="0"/>
    <s v="UBP 310H"/>
    <s v="Lule Fred"/>
    <s v="Kobusinge Steven-FPortal"/>
    <n v="156"/>
    <s v="Z81004"/>
    <x v="11"/>
    <x v="0"/>
    <x v="0"/>
    <x v="0"/>
    <x v="11"/>
    <x v="11"/>
    <n v="370"/>
    <n v="-20"/>
    <x v="0"/>
    <d v="2024-11-12T07:58:00"/>
    <d v="2024-11-12T07:30:00"/>
    <d v="2024-11-12T08:58:00"/>
    <n v="86.15"/>
    <n v="58.733333333333334"/>
    <x v="11"/>
    <d v="2024-11-13T07:28:00"/>
    <d v="2024-11-13T10:45:00"/>
    <n v="192.88333333333333"/>
    <x v="0"/>
    <d v="2024-11-14T08:11:12"/>
    <d v="2024-11-14T09:14:12"/>
    <n v="61.68333333333333"/>
    <x v="0"/>
    <n v="1.9674999999988358"/>
    <x v="0"/>
    <n v="-3.2500000001164153E-2"/>
    <n v="47.21999999997206"/>
    <n v="16"/>
    <n v="31.21999999997206"/>
    <n v="4.9967969250525179"/>
    <x v="0"/>
  </r>
  <r>
    <x v="2"/>
    <x v="0"/>
    <d v="2024-11-12T00:00:00"/>
    <s v="OM02KMKG"/>
    <x v="0"/>
    <s v="UBJ 703D"/>
    <m/>
    <s v="Kato Investment Ltd -Mityana"/>
    <n v="156"/>
    <s v="A18243"/>
    <x v="16"/>
    <x v="0"/>
    <x v="0"/>
    <x v="0"/>
    <x v="16"/>
    <x v="16"/>
    <n v="784"/>
    <n v="94"/>
    <x v="0"/>
    <d v="2024-11-12T08:00:00"/>
    <d v="2024-11-12T07:30:00"/>
    <d v="2024-11-12T08:46:00"/>
    <n v="74.400000000000006"/>
    <n v="45.033333333333331"/>
    <x v="1"/>
    <d v="2024-11-13T10:46:00"/>
    <d v="2024-11-13T16:06:00"/>
    <n v="313.31666666666666"/>
    <x v="0"/>
    <d v="2024-11-14T13:31:55"/>
    <d v="2024-11-14T14:36:55"/>
    <n v="63.633333333333333"/>
    <x v="0"/>
    <n v="2.1985555555511382"/>
    <x v="0"/>
    <n v="0.19855555555113824"/>
    <n v="52.765333333227318"/>
    <n v="24"/>
    <n v="28.765333333227318"/>
    <n v="5.4231945860958195"/>
    <x v="0"/>
  </r>
  <r>
    <x v="2"/>
    <x v="0"/>
    <d v="2024-11-12T00:00:00"/>
    <s v="OM02KMKH"/>
    <x v="0"/>
    <s v="UBF 379L"/>
    <m/>
    <s v="Kato Investment Ltd -Mityana"/>
    <n v="156"/>
    <s v="A18244"/>
    <x v="16"/>
    <x v="0"/>
    <x v="0"/>
    <x v="0"/>
    <x v="16"/>
    <x v="16"/>
    <m/>
    <n v="-690"/>
    <x v="0"/>
    <d v="2024-11-12T07:58:00"/>
    <d v="2024-11-12T07:30:00"/>
    <d v="2024-11-12T08:42:00"/>
    <n v="70.483333333333334"/>
    <n v="43.06666666666667"/>
    <x v="1"/>
    <d v="2024-11-13T10:42:00"/>
    <d v="2024-11-13T17:30:00"/>
    <n v="399.48333333333335"/>
    <x v="0"/>
    <d v="2024-11-14T14:55:55"/>
    <d v="2024-11-14T15:58:55"/>
    <n v="61.68333333333333"/>
    <x v="0"/>
    <n v="2.259666666664998"/>
    <x v="0"/>
    <n v="0.25966666666499805"/>
    <n v="54.231999999959953"/>
    <n v="24"/>
    <n v="30.231999999959953"/>
    <n v="5.1600952633040036"/>
    <x v="0"/>
  </r>
  <r>
    <x v="2"/>
    <x v="0"/>
    <d v="2024-11-12T14:13:47"/>
    <s v="OMB6UP9RR"/>
    <x v="0"/>
    <s v="UBE 684K"/>
    <m/>
    <s v="Kobusinge Steven-Kamwenge"/>
    <n v="156"/>
    <s v="Z81002"/>
    <x v="13"/>
    <x v="0"/>
    <x v="0"/>
    <x v="0"/>
    <x v="13"/>
    <x v="13"/>
    <n v="240"/>
    <n v="10"/>
    <x v="0"/>
    <d v="2024-11-13T02:41:47"/>
    <d v="2024-11-13T02:13:47"/>
    <d v="2024-11-13T03:21:47"/>
    <n v="66.583333333333329"/>
    <n v="39.166666666666664"/>
    <x v="1"/>
    <d v="2024-11-14T04:13:47"/>
    <d v="2024-11-14T08:29:47"/>
    <n v="250.65"/>
    <x v="0"/>
    <d v="2024-11-14T13:59:47"/>
    <d v="2024-11-14T15:01:47"/>
    <n v="60.7"/>
    <x v="0"/>
    <n v="1.4430555555518367"/>
    <x v="7"/>
    <n v="0.14305555555183669"/>
    <n v="34.633333333244082"/>
    <n v="12"/>
    <n v="22.633333333244082"/>
    <n v="6.892488954371804"/>
    <x v="0"/>
  </r>
  <r>
    <x v="2"/>
    <x v="1"/>
    <d v="2024-11-12T14:19:45"/>
    <s v="OMHE7ADRR"/>
    <x v="1"/>
    <s v="UBJ 415C"/>
    <s v="Abel Mark naffa"/>
    <s v="Ntale and Sons"/>
    <n v="153.60000000000002"/>
    <s v="A18226"/>
    <x v="19"/>
    <x v="1"/>
    <x v="0"/>
    <x v="1"/>
    <x v="19"/>
    <x v="19"/>
    <n v="743"/>
    <n v="-67"/>
    <x v="0"/>
    <d v="2024-11-13T18:17:00"/>
    <d v="2024-11-12T16:55:00"/>
    <d v="2024-11-13T19:03:00"/>
    <n v="1535.3166666666666"/>
    <n v="45.033333333333331"/>
    <x v="1"/>
    <d v="2024-11-15T20:10:00"/>
    <d v="2024-11-16T15:22:00"/>
    <n v="1128"/>
    <x v="0"/>
    <d v="2024-11-17T13:27:00"/>
    <d v="2024-11-17T14:54:00"/>
    <n v="85.183333333333337"/>
    <x v="0"/>
    <n v="3.7666666666700621"/>
    <x v="4"/>
    <n v="0.76666666667006211"/>
    <n v="90.400000000081491"/>
    <n v="36"/>
    <n v="54.400000000081491"/>
    <n v="2.8235294117604766"/>
    <x v="13"/>
  </r>
  <r>
    <x v="2"/>
    <x v="1"/>
    <d v="2024-11-12T14:22:11"/>
    <s v="OMV3ITIRR"/>
    <x v="1"/>
    <s v="UBJ 707D"/>
    <s v="Konge Husein"/>
    <s v="KATO INVESTMENTS LIMITED-MASAK"/>
    <n v="153.60000000000002"/>
    <s v="F15283"/>
    <x v="14"/>
    <x v="1"/>
    <x v="0"/>
    <x v="1"/>
    <x v="14"/>
    <x v="14"/>
    <n v="341"/>
    <n v="1"/>
    <x v="0"/>
    <d v="2024-11-13T09:45:00"/>
    <d v="2024-11-13T04:14:00"/>
    <d v="2024-11-13T10:34:00"/>
    <n v="372.08333333333331"/>
    <n v="47.966666666666669"/>
    <x v="1"/>
    <d v="2024-11-13T14:43:00"/>
    <d v="2024-11-13T17:37:00"/>
    <n v="170.36666666666667"/>
    <x v="0"/>
    <d v="2024-11-14T18:20:00"/>
    <d v="2024-11-14T20:16:00"/>
    <n v="113.58333333333333"/>
    <x v="10"/>
    <n v="1.3236111111109494"/>
    <x v="8"/>
    <n v="0.32361111111094942"/>
    <n v="31.766666666662786"/>
    <n v="12"/>
    <n v="19.766666666662786"/>
    <n v="7.770657672851442"/>
    <x v="0"/>
  </r>
  <r>
    <x v="2"/>
    <x v="0"/>
    <d v="2024-11-12T14:24:44"/>
    <s v="OMS55G2RR"/>
    <x v="0"/>
    <s v="UBF 070Q"/>
    <s v="NTUMWA SOLOMON"/>
    <s v="KATO INVESTMENTS LTD-KATIKARA"/>
    <n v="156"/>
    <s v="A18227"/>
    <x v="5"/>
    <x v="0"/>
    <x v="0"/>
    <x v="0"/>
    <x v="5"/>
    <x v="5"/>
    <n v="825"/>
    <n v="-5"/>
    <x v="0"/>
    <d v="2024-11-12T13:56:00"/>
    <d v="2024-11-12T15:48:00"/>
    <d v="2024-11-12T14:56:00"/>
    <n v="-50.93333333333333"/>
    <n v="58.733333333333334"/>
    <x v="10"/>
    <d v="2024-11-13T19:13:00"/>
    <d v="2024-11-14T19:28:00"/>
    <n v="1424.6833333333334"/>
    <x v="0"/>
    <d v="2024-11-15T20:51:00"/>
    <d v="2024-11-15T21:59:00"/>
    <n v="66.583333333333329"/>
    <x v="0"/>
    <n v="3.2465277777810115"/>
    <x v="0"/>
    <n v="1.2465277777810115"/>
    <n v="77.916666666744277"/>
    <n v="48"/>
    <n v="29.916666666744277"/>
    <n v="5.2144846796522106"/>
    <x v="6"/>
  </r>
  <r>
    <x v="2"/>
    <x v="0"/>
    <d v="2024-11-12T14:28:05"/>
    <s v="OMQUJ63RR"/>
    <x v="1"/>
    <s v="UBK 862R"/>
    <s v="SULAIMAN MUBIRU"/>
    <s v="KATO INVESTMENTS LTD-KATIKARA"/>
    <n v="156"/>
    <s v="A18228"/>
    <x v="5"/>
    <x v="0"/>
    <x v="0"/>
    <x v="0"/>
    <x v="5"/>
    <x v="5"/>
    <n v="825"/>
    <n v="-5"/>
    <x v="0"/>
    <d v="2024-11-12T14:05:00"/>
    <d v="2024-11-12T15:48:00"/>
    <d v="2024-11-12T15:07:00"/>
    <n v="-40.15"/>
    <n v="60.7"/>
    <x v="9"/>
    <d v="2024-11-13T09:23:00"/>
    <d v="2024-11-13T18:03:00"/>
    <n v="509.15"/>
    <x v="0"/>
    <d v="2024-11-14T14:57:00"/>
    <d v="2024-11-14T15:59:00"/>
    <n v="60.7"/>
    <x v="0"/>
    <n v="1.9930555555547471"/>
    <x v="0"/>
    <n v="-6.9444444452528842E-3"/>
    <n v="47.833333333313931"/>
    <n v="16"/>
    <n v="31.833333333313931"/>
    <n v="4.9005235602124113"/>
    <x v="0"/>
  </r>
  <r>
    <x v="2"/>
    <x v="0"/>
    <d v="2024-11-12T18:36:17"/>
    <s v="OMBC31IRR"/>
    <x v="0"/>
    <s v="UBM 648D"/>
    <m/>
    <s v="Ntale and Sons Ltd-Kakiri"/>
    <n v="156"/>
    <s v="A18233"/>
    <x v="22"/>
    <x v="0"/>
    <x v="0"/>
    <x v="0"/>
    <x v="22"/>
    <x v="21"/>
    <n v="631"/>
    <n v="11"/>
    <x v="0"/>
    <d v="2024-11-13T07:58:17"/>
    <d v="2024-11-13T07:30:17"/>
    <d v="2024-11-13T08:38:17"/>
    <n v="66.583333333333329"/>
    <n v="39.166666666666664"/>
    <x v="1"/>
    <d v="2024-11-13T21:08:17"/>
    <d v="2024-11-14T17:19:19"/>
    <n v="1185.8"/>
    <x v="0"/>
    <d v="2024-11-15T13:43:19"/>
    <d v="2024-11-15T15:03:19"/>
    <n v="78.316666666666663"/>
    <x v="0"/>
    <n v="2.2118333333346527"/>
    <x v="0"/>
    <n v="0.21183333333465271"/>
    <n v="53.084000000031665"/>
    <n v="24"/>
    <n v="29.084000000031665"/>
    <n v="5.3637738962945312"/>
    <x v="0"/>
  </r>
  <r>
    <x v="2"/>
    <x v="0"/>
    <d v="2024-11-12T21:18:27"/>
    <s v="OMEX0NXRR"/>
    <x v="1"/>
    <s v="UBE 681K"/>
    <s v="KYAPA AKIMU"/>
    <s v="Kato Investment Ltd -Mityana"/>
    <n v="156"/>
    <s v="A18239"/>
    <x v="16"/>
    <x v="0"/>
    <x v="0"/>
    <x v="0"/>
    <x v="16"/>
    <x v="16"/>
    <n v="695"/>
    <n v="5"/>
    <x v="0"/>
    <d v="2024-11-13T09:37:00"/>
    <d v="2024-11-12T22:30:00"/>
    <d v="2024-11-13T10:27:00"/>
    <n v="702.05"/>
    <n v="48.95"/>
    <x v="1"/>
    <d v="2024-11-15T08:46:00"/>
    <d v="2024-11-15T14:56:00"/>
    <n v="362.28333333333336"/>
    <x v="0"/>
    <d v="2024-11-19T15:06:00"/>
    <d v="2024-11-19T17:12:00"/>
    <n v="123.36666666666666"/>
    <x v="11"/>
    <n v="6.1937499999985448"/>
    <x v="0"/>
    <n v="4.1937499999985448"/>
    <n v="148.64999999996508"/>
    <n v="72"/>
    <n v="76.649999999965075"/>
    <n v="2.0352250489246062"/>
    <x v="2"/>
  </r>
  <r>
    <x v="2"/>
    <x v="0"/>
    <d v="2024-11-12T21:20:26"/>
    <s v="OM6E8K5RR"/>
    <x v="1"/>
    <s v="UBM 565R"/>
    <s v="BAZALE SAID"/>
    <s v="Kobusinge Steven-FPortal"/>
    <n v="156"/>
    <s v="Z81003"/>
    <x v="11"/>
    <x v="0"/>
    <x v="0"/>
    <x v="0"/>
    <x v="11"/>
    <x v="11"/>
    <n v="397"/>
    <n v="7"/>
    <x v="0"/>
    <d v="2024-11-13T13:13:00"/>
    <d v="2024-11-12T22:55:00"/>
    <d v="2024-11-13T14:00:00"/>
    <n v="886.13333333333333"/>
    <n v="46.016666666666666"/>
    <x v="1"/>
    <d v="2024-11-14T13:12:00"/>
    <d v="2024-11-14T19:16:00"/>
    <n v="356.4"/>
    <x v="0"/>
    <d v="2024-11-15T07:29:00"/>
    <d v="2024-11-15T10:19:00"/>
    <n v="166.45"/>
    <x v="9"/>
    <n v="1.7284722222175333"/>
    <x v="0"/>
    <n v="-0.27152777778246673"/>
    <n v="41.483333333220799"/>
    <n v="12"/>
    <n v="29.483333333220799"/>
    <n v="5.291124929358805"/>
    <x v="0"/>
  </r>
  <r>
    <x v="2"/>
    <x v="0"/>
    <d v="2024-11-12T21:23:08"/>
    <s v="OMJ0SBNRR"/>
    <x v="1"/>
    <s v="UBK 882R"/>
    <s v="NASASIRA STEPHENE"/>
    <s v="Kato Investment Ltd -Mityana"/>
    <n v="172.8"/>
    <s v="A18240"/>
    <x v="16"/>
    <x v="0"/>
    <x v="0"/>
    <x v="0"/>
    <x v="16"/>
    <x v="16"/>
    <n v="785"/>
    <n v="95"/>
    <x v="1"/>
    <d v="2024-11-13T12:02:00"/>
    <d v="2024-11-12T22:30:00"/>
    <d v="2024-11-13T12:47:00"/>
    <n v="839.13333333333333"/>
    <n v="44.05"/>
    <x v="1"/>
    <d v="2024-11-14T08:55:00"/>
    <d v="2024-11-14T14:08:00"/>
    <n v="306.46666666666664"/>
    <x v="0"/>
    <d v="2024-11-15T06:22:00"/>
    <d v="2024-11-15T07:56:00"/>
    <n v="92.033333333333331"/>
    <x v="7"/>
    <n v="1.7326388888905058"/>
    <x v="0"/>
    <n v="-0.26736111110949423"/>
    <n v="41.583333333372138"/>
    <n v="12"/>
    <n v="29.583333333372138"/>
    <n v="5.8411267605557189"/>
    <x v="0"/>
  </r>
  <r>
    <x v="2"/>
    <x v="0"/>
    <d v="2024-11-12T21:26:51"/>
    <s v="OMVU5C6RR"/>
    <x v="1"/>
    <s v="UBP 301H"/>
    <s v="NAMINYA SIRAJE"/>
    <s v="Boniface Harera"/>
    <n v="156"/>
    <s v="F15285"/>
    <x v="10"/>
    <x v="0"/>
    <x v="0"/>
    <x v="0"/>
    <x v="10"/>
    <x v="10"/>
    <n v="492"/>
    <n v="22"/>
    <x v="0"/>
    <d v="2024-11-12T21:55:00"/>
    <d v="2024-11-13T01:30:00"/>
    <d v="2024-11-12T22:56:00"/>
    <n v="-150.80000000000001"/>
    <n v="59.716666666666669"/>
    <x v="11"/>
    <d v="2024-11-13T13:39:00"/>
    <d v="2024-11-13T18:06:00"/>
    <n v="261.43333333333334"/>
    <x v="0"/>
    <d v="2024-11-14T10:21:00"/>
    <d v="2024-11-14T11:53:00"/>
    <n v="90.066666666666663"/>
    <x v="0"/>
    <n v="1.4756944444452529"/>
    <x v="1"/>
    <n v="-1.0243055555547471"/>
    <n v="35.416666666686069"/>
    <n v="16"/>
    <n v="19.416666666686069"/>
    <n v="8.0343347639404694"/>
    <x v="0"/>
  </r>
  <r>
    <x v="2"/>
    <x v="0"/>
    <d v="2024-11-13T00:00:00"/>
    <s v="OM02KMX9"/>
    <x v="0"/>
    <s v="UBE 684K"/>
    <m/>
    <s v="Kobusinge Steven-FPortal"/>
    <n v="156"/>
    <s v="Z81020"/>
    <x v="11"/>
    <x v="0"/>
    <x v="0"/>
    <x v="0"/>
    <x v="11"/>
    <x v="11"/>
    <n v="370"/>
    <n v="-20"/>
    <x v="0"/>
    <d v="2024-11-13T07:58:00"/>
    <d v="2024-11-13T07:30:00"/>
    <d v="2024-11-13T08:53:00"/>
    <n v="81.266666666666666"/>
    <n v="53.85"/>
    <x v="3"/>
    <d v="2024-11-14T07:23:00"/>
    <d v="2024-11-14T12:12:00"/>
    <n v="282.96666666666664"/>
    <x v="0"/>
    <d v="2024-11-15T09:08:07"/>
    <d v="2024-11-15T10:13:07"/>
    <n v="63.633333333333333"/>
    <x v="0"/>
    <n v="2.0104999999966822"/>
    <x v="0"/>
    <n v="1.0499999996682163E-2"/>
    <n v="48.251999999920372"/>
    <n v="32"/>
    <n v="16.251999999920372"/>
    <n v="9.5988186069877148"/>
    <x v="0"/>
  </r>
  <r>
    <x v="2"/>
    <x v="1"/>
    <d v="2024-11-13T13:48:11"/>
    <s v="OMWF1G0RR"/>
    <x v="0"/>
    <s v="UAT 351G"/>
    <s v="Hamudi Sesanga"/>
    <s v="Kabaco U Ltd-Mbarara"/>
    <n v="153.60000000000002"/>
    <s v="Z81012"/>
    <x v="8"/>
    <x v="1"/>
    <x v="0"/>
    <x v="1"/>
    <x v="8"/>
    <x v="8"/>
    <n v="12"/>
    <n v="1"/>
    <x v="0"/>
    <d v="2024-11-14T14:16:11"/>
    <d v="2024-11-14T01:48:11"/>
    <d v="2024-11-14T14:56:11"/>
    <n v="771.58333333333337"/>
    <n v="39.15"/>
    <x v="1"/>
    <d v="2024-11-14T15:23:11"/>
    <d v="2024-11-14T18:40:11"/>
    <n v="192.88333333333333"/>
    <x v="0"/>
    <d v="2024-11-14T19:15:11"/>
    <d v="2024-11-14T20:20:11"/>
    <n v="63.633333333333333"/>
    <x v="0"/>
    <n v="0.179861111115315"/>
    <x v="5"/>
    <n v="-0.62013888888468505"/>
    <n v="4.3166666667675599"/>
    <n v="0"/>
    <n v="4.3166666667675599"/>
    <n v="35.583011582179907"/>
    <x v="0"/>
  </r>
  <r>
    <x v="2"/>
    <x v="0"/>
    <d v="2024-11-13T13:58:13"/>
    <s v="OMZMWHTRR"/>
    <x v="1"/>
    <s v="UBM 644D"/>
    <s v="KAJUBI ISMA"/>
    <s v="Rugoma Traders-Rukungiri"/>
    <n v="156"/>
    <s v="Z81013"/>
    <x v="17"/>
    <x v="0"/>
    <x v="0"/>
    <x v="0"/>
    <x v="17"/>
    <x v="17"/>
    <n v="255"/>
    <n v="-1"/>
    <x v="0"/>
    <d v="2024-11-13T15:03:00"/>
    <d v="2024-11-14T04:04:00"/>
    <d v="2024-11-13T15:48:00"/>
    <n v="-720.66666666666663"/>
    <n v="44.05"/>
    <x v="1"/>
    <d v="2024-11-14T11:05:00"/>
    <d v="2024-11-14T16:29:00"/>
    <n v="317.23333333333335"/>
    <x v="0"/>
    <d v="2024-11-14T17:01:00"/>
    <d v="2024-11-14T19:03:00"/>
    <n v="119.45"/>
    <x v="10"/>
    <n v="1.0506944444423425"/>
    <x v="8"/>
    <n v="5.0694444442342501E-2"/>
    <n v="25.21666666661622"/>
    <n v="12"/>
    <n v="13.21666666661622"/>
    <n v="11.803278688569643"/>
    <x v="0"/>
  </r>
  <r>
    <x v="2"/>
    <x v="0"/>
    <d v="2024-11-13T13:59:55"/>
    <s v="OMLF8J0RR"/>
    <x v="1"/>
    <s v="UBP 298H"/>
    <s v="SENTONG DAVID"/>
    <s v="Rugoma Traders-Rukungiri"/>
    <n v="156"/>
    <s v="Z81014"/>
    <x v="17"/>
    <x v="0"/>
    <x v="0"/>
    <x v="0"/>
    <x v="17"/>
    <x v="17"/>
    <n v="250"/>
    <n v="-6"/>
    <x v="0"/>
    <d v="2024-11-13T15:06:00"/>
    <d v="2024-11-14T04:04:00"/>
    <d v="2024-11-13T15:56:00"/>
    <n v="-712.83333333333337"/>
    <n v="48.95"/>
    <x v="1"/>
    <d v="2024-11-14T08:57:00"/>
    <d v="2024-11-14T15:10:00"/>
    <n v="365.21666666666664"/>
    <x v="0"/>
    <d v="2024-11-14T21:01:00"/>
    <d v="2024-11-14T22:15:00"/>
    <n v="72.45"/>
    <x v="0"/>
    <n v="1.2118055555547471"/>
    <x v="8"/>
    <n v="0.21180555555474712"/>
    <n v="29.083333333313931"/>
    <n v="12"/>
    <n v="17.083333333313931"/>
    <n v="9.1317073170835421"/>
    <x v="0"/>
  </r>
  <r>
    <x v="2"/>
    <x v="1"/>
    <d v="2024-11-13T14:13:36"/>
    <s v="OMXF86JRR"/>
    <x v="0"/>
    <s v="UAV 051U"/>
    <s v="Angello Lumala"/>
    <s v="KATO INVESTMENTS LTD- KALISIZO"/>
    <n v="153.60000000000002"/>
    <s v="F15289"/>
    <x v="4"/>
    <x v="1"/>
    <x v="0"/>
    <x v="1"/>
    <x v="4"/>
    <x v="4"/>
    <n v="351"/>
    <n v="1"/>
    <x v="0"/>
    <d v="2024-11-14T14:41:36"/>
    <d v="2024-11-14T02:13:36"/>
    <d v="2024-11-14T15:41:36"/>
    <n v="791.16666666666663"/>
    <n v="58.733333333333334"/>
    <x v="9"/>
    <d v="2024-11-14T22:41:36"/>
    <d v="2024-11-15T04:41:36"/>
    <n v="352.5"/>
    <x v="0"/>
    <d v="2024-11-15T12:11:36"/>
    <d v="2024-11-15T13:19:36"/>
    <n v="66.583333333333329"/>
    <x v="0"/>
    <n v="0.85416666666424135"/>
    <x v="2"/>
    <n v="-0.84583333333575861"/>
    <n v="20.499999999941792"/>
    <n v="0"/>
    <n v="20.499999999941792"/>
    <n v="7.4926829268505442"/>
    <x v="0"/>
  </r>
  <r>
    <x v="2"/>
    <x v="1"/>
    <d v="2024-11-13T21:00:35"/>
    <s v="OM9HYC9RR"/>
    <x v="1"/>
    <s v="UAV 203T"/>
    <s v="Mugisha  George"/>
    <s v="KATO INVESTMENTS LTD- KALISIZO"/>
    <n v="153.60000000000002"/>
    <s v="F15290"/>
    <x v="4"/>
    <x v="1"/>
    <x v="0"/>
    <x v="1"/>
    <x v="4"/>
    <x v="4"/>
    <n v="849"/>
    <n v="499"/>
    <x v="7"/>
    <d v="2024-11-14T10:55:00"/>
    <d v="2024-11-14T03:43:00"/>
    <d v="2024-11-14T11:38:00"/>
    <n v="465.1"/>
    <n v="42.1"/>
    <x v="1"/>
    <d v="2024-11-14T17:02:00"/>
    <d v="2024-11-15T13:40:00"/>
    <n v="1212.2"/>
    <x v="0"/>
    <d v="2024-11-15T18:45:00"/>
    <d v="2024-11-15T21:40:00"/>
    <n v="171.35"/>
    <x v="4"/>
    <n v="1.296527777776646"/>
    <x v="2"/>
    <n v="-0.40347222222335399"/>
    <n v="31.116666666639503"/>
    <n v="12"/>
    <n v="19.116666666639503"/>
    <n v="8.0348735832720983"/>
    <x v="0"/>
  </r>
  <r>
    <x v="2"/>
    <x v="1"/>
    <d v="2024-11-13T21:02:20"/>
    <s v="OMFL28WRR"/>
    <x v="1"/>
    <s v="UBE 287X"/>
    <s v="Isaac Tumuhimbise"/>
    <s v="Rugoma Traders-Kanungu/Kihihi"/>
    <n v="153.60000000000002"/>
    <s v="F15291"/>
    <x v="23"/>
    <x v="1"/>
    <x v="0"/>
    <x v="1"/>
    <x v="23"/>
    <x v="14"/>
    <n v="337"/>
    <n v="-3"/>
    <x v="0"/>
    <d v="2024-11-14T18:20:00"/>
    <d v="2024-11-14T01:59:00"/>
    <d v="2024-11-14T19:05:00"/>
    <n v="1004.6166666666667"/>
    <n v="44.05"/>
    <x v="1"/>
    <d v="2024-11-15T10:45:00"/>
    <d v="2024-11-15T15:30:00"/>
    <n v="279.05"/>
    <x v="0"/>
    <d v="2024-11-16T11:37:00"/>
    <d v="2024-11-16T12:40:00"/>
    <n v="61.68333333333333"/>
    <x v="0"/>
    <n v="1.6888888888861402"/>
    <x v="3"/>
    <n v="0.18888888888614019"/>
    <n v="40.533333333267365"/>
    <n v="12"/>
    <n v="28.533333333267365"/>
    <n v="5.3831775701059046"/>
    <x v="0"/>
  </r>
  <r>
    <x v="2"/>
    <x v="0"/>
    <d v="2024-11-14T00:00:00"/>
    <s v="OM02KNA6"/>
    <x v="0"/>
    <s v="UBF 374L "/>
    <m/>
    <s v="Kobusinge Steven-FPortal"/>
    <n v="156"/>
    <s v="Z81032"/>
    <x v="11"/>
    <x v="0"/>
    <x v="0"/>
    <x v="0"/>
    <x v="11"/>
    <x v="11"/>
    <n v="370"/>
    <n v="-20"/>
    <x v="0"/>
    <d v="2024-11-14T07:58:00"/>
    <d v="2024-11-14T07:30:00"/>
    <d v="2024-11-14T08:45:00"/>
    <n v="73.433333333333337"/>
    <n v="46.016666666666666"/>
    <x v="1"/>
    <d v="2024-11-15T07:15:00"/>
    <d v="2024-11-16T12:26:02"/>
    <n v="1714.55"/>
    <x v="0"/>
    <d v="2024-11-16T06:37:34"/>
    <d v="2024-11-16T07:53:34"/>
    <n v="74.400000000000006"/>
    <x v="9"/>
    <n v="1.9115000000019791"/>
    <x v="0"/>
    <n v="-8.849999999802094E-2"/>
    <n v="45.876000000047497"/>
    <n v="12"/>
    <n v="33.876000000047497"/>
    <n v="4.6050301098058002"/>
    <x v="0"/>
  </r>
  <r>
    <x v="2"/>
    <x v="1"/>
    <d v="2024-11-14T13:07:37"/>
    <s v="OMVM30FRR"/>
    <x v="1"/>
    <s v="UBJ 707D"/>
    <s v="Konge Husein"/>
    <s v="KATO INVESTMENTS LIMITED-MASAK"/>
    <n v="153.60000000000002"/>
    <s v="F15293"/>
    <x v="14"/>
    <x v="1"/>
    <x v="0"/>
    <x v="1"/>
    <x v="14"/>
    <x v="14"/>
    <n v="438"/>
    <n v="98"/>
    <x v="7"/>
    <d v="2024-11-15T08:54:00"/>
    <d v="2024-11-15T04:14:00"/>
    <d v="2024-11-15T09:38:00"/>
    <n v="317.23333333333335"/>
    <n v="43.06666666666667"/>
    <x v="1"/>
    <d v="2024-11-16T10:18:00"/>
    <d v="2024-11-16T18:16:00"/>
    <n v="468.03333333333336"/>
    <x v="0"/>
    <d v="2024-11-18T12:04:00"/>
    <d v="2024-11-18T13:26:00"/>
    <n v="80.283333333333331"/>
    <x v="3"/>
    <n v="3.101388888891961"/>
    <x v="8"/>
    <n v="2.101388888891961"/>
    <n v="74.433333333407063"/>
    <n v="36"/>
    <n v="38.433333333407063"/>
    <n v="3.9965307892377804"/>
    <x v="10"/>
  </r>
  <r>
    <x v="2"/>
    <x v="0"/>
    <d v="2024-11-14T13:11:00"/>
    <s v="OMOGO7ERR"/>
    <x v="1"/>
    <s v="UBE 673K"/>
    <s v="Bulega Sperito"/>
    <s v="KATO INVESTMENTS LTD-KATIKARA"/>
    <n v="156"/>
    <s v="A18312"/>
    <x v="5"/>
    <x v="0"/>
    <x v="0"/>
    <x v="0"/>
    <x v="5"/>
    <x v="5"/>
    <n v="787"/>
    <n v="-43"/>
    <x v="0"/>
    <d v="2024-11-14T19:42:00"/>
    <d v="2024-11-14T15:48:00"/>
    <d v="2024-11-14T20:24:00"/>
    <n v="270.23333333333335"/>
    <n v="41.116666666666667"/>
    <x v="1"/>
    <d v="2024-11-15T08:52:00"/>
    <d v="2024-11-15T17:39:00"/>
    <n v="516.01666666666665"/>
    <x v="0"/>
    <d v="2024-11-16T13:04:00"/>
    <d v="2024-11-16T15:27:00"/>
    <n v="140.01666666666668"/>
    <x v="5"/>
    <n v="1.6944444444452529"/>
    <x v="0"/>
    <n v="-0.30555555555474712"/>
    <n v="40.666666666686069"/>
    <n v="12"/>
    <n v="28.666666666686069"/>
    <n v="5.4418604651125957"/>
    <x v="0"/>
  </r>
  <r>
    <x v="2"/>
    <x v="0"/>
    <d v="2024-11-14T13:18:06"/>
    <s v="OMSWPD5RR"/>
    <x v="1"/>
    <s v="UBE 680K"/>
    <s v="BYEKWASO TWAHA"/>
    <s v="Ntale and Sons Ltd-Kakiri"/>
    <n v="156"/>
    <s v="A18314"/>
    <x v="22"/>
    <x v="0"/>
    <x v="0"/>
    <x v="0"/>
    <x v="22"/>
    <x v="21"/>
    <n v="575"/>
    <n v="-45"/>
    <x v="0"/>
    <d v="2024-11-14T12:34:00"/>
    <d v="2024-11-15T01:59:00"/>
    <d v="2024-11-14T13:34:00"/>
    <n v="-729.48333333333335"/>
    <n v="58.733333333333334"/>
    <x v="11"/>
    <d v="2024-11-15T12:40:00"/>
    <d v="2024-11-15T17:45:00"/>
    <n v="298.63333333333333"/>
    <x v="0"/>
    <d v="2024-11-16T16:47:00"/>
    <d v="2024-11-16T20:02:00"/>
    <n v="190.93333333333334"/>
    <x v="1"/>
    <n v="2.1340277777781012"/>
    <x v="0"/>
    <n v="0.13402777777810115"/>
    <n v="51.216666666674428"/>
    <n v="32"/>
    <n v="19.216666666674428"/>
    <n v="8.1179531656515351"/>
    <x v="0"/>
  </r>
  <r>
    <x v="2"/>
    <x v="0"/>
    <d v="2024-11-14T18:22:53"/>
    <s v="OM4IUJIRR"/>
    <x v="1"/>
    <s v="UBK 862R"/>
    <s v="SULAIMAN MUBIRU"/>
    <s v="KATO INVESTMENTS LTD-KATIKARA"/>
    <n v="156"/>
    <s v="A18324"/>
    <x v="5"/>
    <x v="0"/>
    <x v="0"/>
    <x v="0"/>
    <x v="5"/>
    <x v="5"/>
    <n v="826"/>
    <n v="-4"/>
    <x v="0"/>
    <d v="2024-11-14T17:58:00"/>
    <d v="2024-11-14T19:30:00"/>
    <d v="2024-11-14T18:43:00"/>
    <n v="-46.033333333333331"/>
    <n v="44.05"/>
    <x v="1"/>
    <d v="2024-11-15T12:01:00"/>
    <d v="2024-11-16T12:14:00"/>
    <n v="1422.7166666666667"/>
    <x v="0"/>
    <d v="2024-11-17T07:23:00"/>
    <d v="2024-11-17T09:25:00"/>
    <n v="119.45"/>
    <x v="2"/>
    <n v="2.5277777777737356"/>
    <x v="0"/>
    <n v="0.52777777777373558"/>
    <n v="60.666666666569654"/>
    <n v="24"/>
    <n v="36.666666666569654"/>
    <n v="4.2545454545567116"/>
    <x v="1"/>
  </r>
  <r>
    <x v="2"/>
    <x v="1"/>
    <d v="2024-11-14T19:17:37"/>
    <s v="OMH2D1KRR"/>
    <x v="1"/>
    <s v="UAY 526V"/>
    <s v="Benon Ssempijja"/>
    <s v="Rugoma Traders-Kanungu/Kihihi"/>
    <n v="153.60000000000002"/>
    <s v="F15295"/>
    <x v="23"/>
    <x v="1"/>
    <x v="0"/>
    <x v="1"/>
    <x v="23"/>
    <x v="14"/>
    <n v="336"/>
    <n v="-4"/>
    <x v="0"/>
    <d v="2024-11-16T08:09:00"/>
    <d v="2024-11-15T01:59:00"/>
    <d v="2024-11-16T08:58:00"/>
    <n v="1820.2666666666667"/>
    <n v="47.966666666666669"/>
    <x v="1"/>
    <d v="2024-11-16T14:00:00"/>
    <d v="2024-11-16T19:58:00"/>
    <n v="350.53333333333336"/>
    <x v="0"/>
    <d v="2024-11-17T12:52:00"/>
    <d v="2024-11-17T14:52:00"/>
    <n v="117.48333333333333"/>
    <x v="2"/>
    <n v="1.1624999999985448"/>
    <x v="3"/>
    <n v="-0.33750000000145519"/>
    <n v="27.899999999965075"/>
    <n v="12"/>
    <n v="15.899999999965075"/>
    <n v="9.660377358511786"/>
    <x v="0"/>
  </r>
  <r>
    <x v="2"/>
    <x v="1"/>
    <d v="2024-11-14T19:52:02"/>
    <s v="OMMG5ICRR"/>
    <x v="0"/>
    <s v="UAR 731Q"/>
    <s v="Godwin Niwensiima"/>
    <s v="RUGOMA TRADERS CO. LTD NTUNGAM"/>
    <n v="153.60000000000002"/>
    <s v="F15296"/>
    <x v="15"/>
    <x v="1"/>
    <x v="0"/>
    <x v="1"/>
    <x v="15"/>
    <x v="15"/>
    <n v="131"/>
    <n v="1"/>
    <x v="0"/>
    <d v="2024-11-15T08:20:02"/>
    <d v="2024-11-15T07:52:02"/>
    <d v="2024-11-15T09:00:02"/>
    <n v="66.583333333333329"/>
    <n v="39.166666666666664"/>
    <x v="1"/>
    <d v="2024-11-15T11:30:02"/>
    <d v="2024-11-15T14:36:02"/>
    <n v="182.11666666666667"/>
    <x v="0"/>
    <d v="2024-11-15T18:06:02"/>
    <d v="2024-11-15T19:09:02"/>
    <n v="61.68333333333333"/>
    <x v="0"/>
    <n v="0.37916666666569654"/>
    <x v="8"/>
    <n v="-0.62083333333430346"/>
    <n v="9.0999999999767169"/>
    <n v="0"/>
    <n v="9.0999999999767169"/>
    <n v="16.87912087916407"/>
    <x v="0"/>
  </r>
  <r>
    <x v="2"/>
    <x v="0"/>
    <d v="2024-11-15T00:00:00"/>
    <s v="OM02KNX5"/>
    <x v="0"/>
    <s v="UBP 311H"/>
    <m/>
    <s v="Kabaco U Ltd"/>
    <n v="156"/>
    <s v="Z81063"/>
    <x v="6"/>
    <x v="0"/>
    <x v="0"/>
    <x v="0"/>
    <x v="6"/>
    <x v="6"/>
    <n v="318"/>
    <n v="-2"/>
    <x v="0"/>
    <d v="2024-11-15T07:58:00"/>
    <d v="2024-11-15T07:30:00"/>
    <d v="2024-11-15T08:42:00"/>
    <n v="70.483333333333334"/>
    <n v="43.06666666666667"/>
    <x v="1"/>
    <d v="2024-11-15T14:42:00"/>
    <d v="2024-11-15T19:12:00"/>
    <n v="264.36666666666667"/>
    <x v="0"/>
    <d v="2024-11-16T09:07:12"/>
    <d v="2024-11-16T10:23:12"/>
    <n v="74.400000000000006"/>
    <x v="0"/>
    <n v="1.0175000000017462"/>
    <x v="3"/>
    <n v="-0.48249999999825377"/>
    <n v="24.42000000004191"/>
    <n v="12"/>
    <n v="12.42000000004191"/>
    <n v="12.560386473387569"/>
    <x v="0"/>
  </r>
  <r>
    <x v="2"/>
    <x v="0"/>
    <d v="2024-11-15T21:46:32"/>
    <s v="OMAQJCURR"/>
    <x v="0"/>
    <s v="UBM 565R"/>
    <s v="BAZALE SAID"/>
    <s v="Kabaco U Ltd"/>
    <n v="156"/>
    <s v="Z81057"/>
    <x v="6"/>
    <x v="0"/>
    <x v="0"/>
    <x v="0"/>
    <x v="6"/>
    <x v="6"/>
    <n v="318"/>
    <n v="-2"/>
    <x v="0"/>
    <d v="2024-11-15T22:16:00"/>
    <d v="2024-11-16T02:22:00"/>
    <d v="2024-11-15T23:01:00"/>
    <n v="-196.81666666666666"/>
    <n v="44.05"/>
    <x v="1"/>
    <d v="2024-11-16T11:13:00"/>
    <d v="2024-11-16T14:41:00"/>
    <n v="203.65"/>
    <x v="0"/>
    <d v="2024-11-16T19:44:00"/>
    <d v="2024-11-16T20:54:00"/>
    <n v="68.533333333333331"/>
    <x v="0"/>
    <n v="0.86319444444961846"/>
    <x v="3"/>
    <n v="-0.63680555555038154"/>
    <n v="20.716666666790843"/>
    <n v="0"/>
    <n v="20.716666666790843"/>
    <n v="7.5301689460530135"/>
    <x v="0"/>
  </r>
  <r>
    <x v="2"/>
    <x v="0"/>
    <d v="2024-11-15T21:50:41"/>
    <s v="OM7NVBDRR"/>
    <x v="1"/>
    <s v="UBJ 417C"/>
    <s v="FARUK   ABEL"/>
    <s v="Kabaco U Ltd"/>
    <n v="156"/>
    <s v="Z81059"/>
    <x v="6"/>
    <x v="0"/>
    <x v="0"/>
    <x v="0"/>
    <x v="6"/>
    <x v="6"/>
    <n v="324"/>
    <n v="4"/>
    <x v="0"/>
    <d v="2024-11-15T21:44:00"/>
    <d v="2024-11-16T02:22:00"/>
    <d v="2024-11-15T22:33:00"/>
    <n v="-224.23333333333332"/>
    <n v="47.966666666666669"/>
    <x v="1"/>
    <d v="2024-11-16T12:52:00"/>
    <d v="2024-11-16T18:38:00"/>
    <n v="338.78333333333336"/>
    <x v="0"/>
    <d v="2024-11-17T10:22:00"/>
    <d v="2024-11-17T11:36:00"/>
    <n v="72.45"/>
    <x v="0"/>
    <n v="1.492361111108039"/>
    <x v="3"/>
    <n v="-7.6388888919609599E-3"/>
    <n v="35.816666666592937"/>
    <n v="12"/>
    <n v="23.816666666592937"/>
    <n v="6.550034989523426"/>
    <x v="0"/>
  </r>
  <r>
    <x v="2"/>
    <x v="1"/>
    <d v="2024-11-15T21:57:59"/>
    <s v="OMU7D2TRR"/>
    <x v="1"/>
    <s v="UAV 203T"/>
    <s v="Mugisha  George"/>
    <s v="Kabaco U Ltd-Mbarara"/>
    <n v="153.60000000000002"/>
    <s v="Z81060"/>
    <x v="8"/>
    <x v="1"/>
    <x v="0"/>
    <x v="1"/>
    <x v="8"/>
    <x v="8"/>
    <n v="12"/>
    <n v="1"/>
    <x v="0"/>
    <d v="2024-11-15T21:50:00"/>
    <d v="2024-11-16T07:42:00"/>
    <d v="2024-11-15T22:35:00"/>
    <n v="-535.61666666666667"/>
    <n v="44.05"/>
    <x v="1"/>
    <d v="2024-11-16T09:52:00"/>
    <d v="2024-11-16T14:07:00"/>
    <n v="249.68333333333334"/>
    <x v="0"/>
    <d v="2024-11-17T17:03:00"/>
    <d v="2024-11-17T18:41:00"/>
    <n v="95.95"/>
    <x v="0"/>
    <n v="1.7694444444496185"/>
    <x v="5"/>
    <n v="0.96944444444961841"/>
    <n v="42.466666666790843"/>
    <n v="12"/>
    <n v="30.466666666790843"/>
    <n v="5.0415754923208089"/>
    <x v="0"/>
  </r>
  <r>
    <x v="2"/>
    <x v="0"/>
    <d v="2024-11-16T00:00:00"/>
    <s v="OM02KP13"/>
    <x v="0"/>
    <s v="UBF 374L "/>
    <m/>
    <s v="Kato Investment Ltd -Mubende"/>
    <n v="156"/>
    <s v="A18364"/>
    <x v="1"/>
    <x v="0"/>
    <x v="0"/>
    <x v="0"/>
    <x v="1"/>
    <x v="1"/>
    <n v="701"/>
    <n v="21"/>
    <x v="0"/>
    <d v="2024-11-16T07:58:00"/>
    <d v="2024-11-16T07:30:00"/>
    <d v="2024-11-16T08:46:00"/>
    <n v="74.400000000000006"/>
    <n v="46.983333333333334"/>
    <x v="1"/>
    <d v="2024-11-17T11:03:00"/>
    <d v="2024-11-17T16:33:00"/>
    <n v="323.11666666666667"/>
    <x v="0"/>
    <d v="2024-11-18T16:50:17"/>
    <d v="2024-11-18T17:52:17"/>
    <n v="60.7"/>
    <x v="0"/>
    <n v="2.3363055555528263"/>
    <x v="1"/>
    <n v="-0.16369444444717374"/>
    <n v="56.07133333326783"/>
    <n v="24"/>
    <n v="32.07133333326783"/>
    <n v="4.8641569834011253"/>
    <x v="0"/>
  </r>
  <r>
    <x v="2"/>
    <x v="1"/>
    <d v="2024-11-16T13:05:39"/>
    <s v="OMBLXGURR"/>
    <x v="1"/>
    <s v="UBJ 375N"/>
    <s v="Stephen Musoke "/>
    <s v="KATO INVESTMENTS LIMITED-MASAK"/>
    <n v="153.60000000000002"/>
    <s v="F15300"/>
    <x v="14"/>
    <x v="1"/>
    <x v="0"/>
    <x v="1"/>
    <x v="14"/>
    <x v="14"/>
    <n v="395"/>
    <n v="55"/>
    <x v="6"/>
    <d v="2024-11-16T13:09:00"/>
    <d v="2024-11-17T04:14:00"/>
    <d v="2024-11-16T13:54:00"/>
    <n v="-842.08333333333337"/>
    <n v="44.05"/>
    <x v="1"/>
    <d v="2024-11-16T20:13:00"/>
    <d v="2024-11-17T12:21:00"/>
    <n v="947.81666666666672"/>
    <x v="0"/>
    <d v="2024-11-17T18:38:00"/>
    <d v="2024-11-17T19:45:00"/>
    <n v="65.599999999999994"/>
    <x v="0"/>
    <n v="1.1972222222175333"/>
    <x v="8"/>
    <n v="0.19722222221753327"/>
    <n v="28.733333333220799"/>
    <n v="12"/>
    <n v="16.733333333220799"/>
    <n v="9.1792828685876309"/>
    <x v="0"/>
  </r>
  <r>
    <x v="2"/>
    <x v="1"/>
    <d v="2024-11-16T13:16:30"/>
    <s v="OMKZV0RRR"/>
    <x v="0"/>
    <s v="UAR 731Q"/>
    <s v="Godwin Niwensiima"/>
    <s v="KATO INVESTMENTS LIMITED-MASAK"/>
    <n v="153.60000000000002"/>
    <s v="F15301"/>
    <x v="14"/>
    <x v="1"/>
    <x v="0"/>
    <x v="1"/>
    <x v="14"/>
    <x v="14"/>
    <n v="348"/>
    <n v="8"/>
    <x v="0"/>
    <d v="2024-11-17T13:44:30"/>
    <d v="2024-11-17T01:16:30"/>
    <d v="2024-11-17T14:24:30"/>
    <n v="771.58333333333337"/>
    <n v="39.166666666666664"/>
    <x v="1"/>
    <d v="2024-11-17T17:37:30"/>
    <d v="2024-11-18T12:20:42"/>
    <n v="1099.7833333333333"/>
    <x v="0"/>
    <d v="2024-11-18T15:00:42"/>
    <d v="2024-11-18T16:10:42"/>
    <n v="68.533333333333331"/>
    <x v="0"/>
    <n v="1.0251388888864312"/>
    <x v="8"/>
    <n v="2.5138888886431232E-2"/>
    <n v="24.60333333327435"/>
    <n v="12"/>
    <n v="12.60333333327435"/>
    <n v="12.187252049779334"/>
    <x v="0"/>
  </r>
  <r>
    <x v="2"/>
    <x v="1"/>
    <d v="2024-11-16T13:44:56"/>
    <s v="OM14NORRR"/>
    <x v="1"/>
    <s v="UBA 523T"/>
    <s v="Kabene John"/>
    <s v="Kabaco U Ltd"/>
    <n v="153.60000000000002"/>
    <s v="Z81069"/>
    <x v="6"/>
    <x v="1"/>
    <x v="0"/>
    <x v="1"/>
    <x v="6"/>
    <x v="6"/>
    <n v="320"/>
    <n v="0"/>
    <x v="0"/>
    <d v="2024-11-17T09:11:00"/>
    <d v="2024-11-17T02:22:00"/>
    <d v="2024-11-17T10:01:00"/>
    <n v="449.43333333333334"/>
    <n v="48.95"/>
    <x v="8"/>
    <d v="2024-11-17T11:58:00"/>
    <d v="2024-11-17T20:54:00"/>
    <n v="524.81666666666672"/>
    <x v="0"/>
    <d v="2024-11-18T18:43:00"/>
    <d v="2024-11-18T19:53:00"/>
    <n v="68.533333333333331"/>
    <x v="0"/>
    <n v="1.3625000000029104"/>
    <x v="3"/>
    <n v="-0.13749999999708962"/>
    <n v="32.700000000069849"/>
    <n v="16"/>
    <n v="16.700000000069849"/>
    <n v="9.1976047903806926"/>
    <x v="0"/>
  </r>
  <r>
    <x v="2"/>
    <x v="1"/>
    <d v="2024-11-16T20:12:35"/>
    <s v="OMMQD54RR"/>
    <x v="1"/>
    <s v="UBE 287X"/>
    <s v="Isaac Tumuhimbise"/>
    <s v="Kabaco U Ltd"/>
    <n v="153.60000000000002"/>
    <s v="Z81077"/>
    <x v="6"/>
    <x v="1"/>
    <x v="0"/>
    <x v="1"/>
    <x v="6"/>
    <x v="6"/>
    <n v="317"/>
    <n v="-3"/>
    <x v="0"/>
    <d v="2024-11-17T11:32:00"/>
    <d v="2024-11-17T02:22:00"/>
    <d v="2024-11-17T12:17:00"/>
    <n v="582.6"/>
    <n v="44.05"/>
    <x v="1"/>
    <d v="2024-11-18T09:06:00"/>
    <d v="2024-11-18T13:28:00"/>
    <n v="256.53333333333336"/>
    <x v="0"/>
    <d v="2024-11-19T08:32:00"/>
    <d v="2024-11-19T10:41:00"/>
    <n v="126.3"/>
    <x v="11"/>
    <n v="1.84375"/>
    <x v="3"/>
    <n v="0.34375"/>
    <n v="44.25"/>
    <n v="12"/>
    <n v="32.25"/>
    <n v="4.7627906976744194"/>
    <x v="0"/>
  </r>
  <r>
    <x v="2"/>
    <x v="1"/>
    <d v="2024-11-17T21:30:12"/>
    <s v="OMHSYCKRR"/>
    <x v="1"/>
    <s v="UAY 265V"/>
    <s v="Luyaga Isaac"/>
    <s v="Sawan Distributors Ltd-Kayabwe"/>
    <n v="153.60000000000002"/>
    <s v="A18387"/>
    <x v="9"/>
    <x v="1"/>
    <x v="0"/>
    <x v="1"/>
    <x v="9"/>
    <x v="9"/>
    <n v="402"/>
    <n v="2"/>
    <x v="0"/>
    <d v="2024-11-18T15:20:00"/>
    <d v="2024-11-17T08:00:00"/>
    <d v="2024-11-18T16:07:00"/>
    <n v="1886.85"/>
    <n v="46.016666666666666"/>
    <x v="1"/>
    <d v="2024-11-19T07:34:00"/>
    <d v="2024-11-19T12:01:00"/>
    <n v="261.43333333333334"/>
    <x v="0"/>
    <d v="2024-11-19T17:13:00"/>
    <d v="2024-11-19T19:02:00"/>
    <n v="106.71666666666667"/>
    <x v="0"/>
    <n v="1.0458333333372138"/>
    <x v="0"/>
    <n v="-0.95416666666278616"/>
    <n v="25.100000000093132"/>
    <n v="12"/>
    <n v="13.100000000093132"/>
    <n v="11.725190839611299"/>
    <x v="0"/>
  </r>
  <r>
    <x v="2"/>
    <x v="1"/>
    <d v="2024-11-17T21:34:18"/>
    <s v="OMB8LZHRR"/>
    <x v="0"/>
    <s v="UAT 351G"/>
    <s v="Hamudi Sesanga"/>
    <s v="Kabaco U Ltd-Mbarara"/>
    <n v="153.60000000000002"/>
    <s v="Z81091"/>
    <x v="8"/>
    <x v="1"/>
    <x v="0"/>
    <x v="1"/>
    <x v="8"/>
    <x v="8"/>
    <n v="12"/>
    <n v="1"/>
    <x v="0"/>
    <d v="2024-11-18T07:58:18"/>
    <d v="2024-11-18T07:30:18"/>
    <d v="2024-11-18T08:58:18"/>
    <n v="86.15"/>
    <n v="58.733333333333334"/>
    <x v="5"/>
    <d v="2024-11-18T09:40:18"/>
    <d v="2024-11-18T13:17:18"/>
    <n v="212.46666666666667"/>
    <x v="0"/>
    <d v="2024-11-18T13:45:18"/>
    <d v="2024-11-18T14:50:18"/>
    <n v="63.633333333333333"/>
    <x v="0"/>
    <n v="0.19930555555038154"/>
    <x v="5"/>
    <n v="-0.6006944444496185"/>
    <n v="4.783333333209157"/>
    <n v="0"/>
    <n v="4.783333333209157"/>
    <n v="32.11149825867335"/>
    <x v="0"/>
  </r>
  <r>
    <x v="2"/>
    <x v="1"/>
    <d v="2024-11-18T20:52:29"/>
    <s v="OMVMC1ORR"/>
    <x v="1"/>
    <s v="UAV 203T"/>
    <s v="Mugisha  George"/>
    <s v="Ntale and Sons Ltd-Kakiri"/>
    <n v="153.60000000000002"/>
    <s v="A18413"/>
    <x v="22"/>
    <x v="1"/>
    <x v="0"/>
    <x v="1"/>
    <x v="22"/>
    <x v="21"/>
    <n v="599"/>
    <n v="-21"/>
    <x v="0"/>
    <d v="2024-11-19T08:42:00"/>
    <d v="2024-11-18T08:00:00"/>
    <d v="2024-11-19T09:27:00"/>
    <n v="1495.1833333333334"/>
    <n v="44.05"/>
    <x v="1"/>
    <d v="2024-11-19T20:30:00"/>
    <d v="2024-11-20T11:40:00"/>
    <n v="891.0333333333333"/>
    <x v="0"/>
    <d v="2024-11-21T10:52:00"/>
    <d v="2024-11-21T13:48:00"/>
    <n v="172.31666666666666"/>
    <x v="3"/>
    <n v="2.0590277777737356"/>
    <x v="0"/>
    <n v="5.9027777773735579E-2"/>
    <n v="49.416666666569654"/>
    <n v="24"/>
    <n v="25.416666666569654"/>
    <n v="6.0432786885476579"/>
    <x v="0"/>
  </r>
  <r>
    <x v="2"/>
    <x v="1"/>
    <d v="2024-11-18T20:53:52"/>
    <s v="OM0RY97RR"/>
    <x v="1"/>
    <s v="UBK 875R"/>
    <s v="Bisaso  Ronald"/>
    <s v="Ntale and Sons Ltd-Kakiri"/>
    <n v="153.60000000000002"/>
    <s v="A18414"/>
    <x v="22"/>
    <x v="1"/>
    <x v="0"/>
    <x v="1"/>
    <x v="22"/>
    <x v="21"/>
    <n v="613"/>
    <n v="-7"/>
    <x v="0"/>
    <d v="2024-11-19T06:13:00"/>
    <d v="2024-11-18T08:00:00"/>
    <d v="2024-11-19T07:03:00"/>
    <n v="1354.1833333333334"/>
    <n v="48.95"/>
    <x v="1"/>
    <d v="2024-11-19T15:07:00"/>
    <d v="2024-11-19T21:15:00"/>
    <n v="360.31666666666666"/>
    <x v="0"/>
    <d v="2024-11-20T19:37:00"/>
    <d v="2024-11-20T21:00:00"/>
    <n v="81.266666666666666"/>
    <x v="0"/>
    <n v="1.523611111115315"/>
    <x v="0"/>
    <n v="-0.476388888884685"/>
    <n v="36.56666666676756"/>
    <n v="12"/>
    <n v="24.56666666676756"/>
    <n v="6.2523744911547841"/>
    <x v="0"/>
  </r>
  <r>
    <x v="2"/>
    <x v="1"/>
    <d v="2024-11-18T20:55:34"/>
    <s v="OMVSWG1RR"/>
    <x v="1"/>
    <s v="UBA 523T"/>
    <s v="Kabene John"/>
    <s v="Kobusinge Steven-FPortal"/>
    <n v="153.60000000000002"/>
    <s v="Z81105"/>
    <x v="11"/>
    <x v="1"/>
    <x v="0"/>
    <x v="1"/>
    <x v="11"/>
    <x v="11"/>
    <n v="371"/>
    <n v="-19"/>
    <x v="0"/>
    <d v="2024-11-20T12:17:00"/>
    <d v="2024-11-18T20:25:00"/>
    <d v="2024-11-20T13:02:00"/>
    <n v="2386.2166666666667"/>
    <n v="44.05"/>
    <x v="1"/>
    <d v="2024-11-20T19:07:00"/>
    <d v="2024-11-21T17:54:00"/>
    <n v="1338.5166666666667"/>
    <x v="0"/>
    <d v="2024-11-22T11:54:00"/>
    <d v="2024-11-22T13:19:00"/>
    <n v="83.216666666666669"/>
    <x v="0"/>
    <n v="1.952777777776646"/>
    <x v="0"/>
    <n v="-4.7222222223354038E-2"/>
    <n v="46.866666666639503"/>
    <n v="12"/>
    <n v="34.866666666639503"/>
    <n v="4.4053537284929165"/>
    <x v="0"/>
  </r>
  <r>
    <x v="2"/>
    <x v="1"/>
    <d v="2024-11-18T20:57:09"/>
    <s v="OM4GBWDRR"/>
    <x v="1"/>
    <s v="UBE 419T"/>
    <s v="Kilabila Ismail"/>
    <s v="Ntale and Sons"/>
    <n v="153.60000000000002"/>
    <s v="A18416"/>
    <x v="19"/>
    <x v="1"/>
    <x v="0"/>
    <x v="1"/>
    <x v="19"/>
    <x v="19"/>
    <n v="809"/>
    <n v="-1"/>
    <x v="0"/>
    <d v="2024-11-19T08:21:00"/>
    <d v="2024-11-18T21:55:00"/>
    <d v="2024-11-19T09:05:00"/>
    <n v="656.0333333333333"/>
    <n v="43.06666666666667"/>
    <x v="1"/>
    <d v="2024-11-19T21:43:00"/>
    <d v="2024-11-20T19:20:00"/>
    <n v="1269.9666666666667"/>
    <x v="0"/>
    <d v="2024-11-21T18:27:00"/>
    <d v="2024-11-21T21:01:00"/>
    <n v="150.78333333333333"/>
    <x v="6"/>
    <n v="2.3902777777839219"/>
    <x v="4"/>
    <n v="-0.60972222221607808"/>
    <n v="57.366666666814126"/>
    <n v="24"/>
    <n v="33.366666666814126"/>
    <n v="4.6033966033762601"/>
    <x v="0"/>
  </r>
  <r>
    <x v="2"/>
    <x v="0"/>
    <d v="2024-11-18T21:03:45"/>
    <s v="OM96OZGRR"/>
    <x v="1"/>
    <s v="UBK 882R"/>
    <s v="NASASIRA STEPHENE"/>
    <s v="Kato Investment Ltd -Mityana"/>
    <n v="172.8"/>
    <s v="A18418"/>
    <x v="16"/>
    <x v="0"/>
    <x v="0"/>
    <x v="0"/>
    <x v="16"/>
    <x v="16"/>
    <n v="769"/>
    <n v="79"/>
    <x v="1"/>
    <d v="2024-11-18T23:07:00"/>
    <d v="2024-11-18T21:45:00"/>
    <d v="2024-11-18T23:57:00"/>
    <n v="129.25"/>
    <n v="48.95"/>
    <x v="1"/>
    <d v="2024-11-20T09:17:00"/>
    <d v="2024-11-20T13:35:00"/>
    <n v="252.61666666666667"/>
    <x v="0"/>
    <d v="2024-11-21T18:18:00"/>
    <d v="2024-11-21T19:45:00"/>
    <n v="85.183333333333337"/>
    <x v="3"/>
    <n v="2.7645833333299379"/>
    <x v="0"/>
    <n v="0.76458333332993789"/>
    <n v="66.349999999918509"/>
    <n v="24"/>
    <n v="42.349999999918509"/>
    <n v="4.0802833530184772"/>
    <x v="4"/>
  </r>
  <r>
    <x v="2"/>
    <x v="0"/>
    <d v="2024-11-18T21:06:18"/>
    <s v="OMUFFUJRR"/>
    <x v="1"/>
    <s v="UBK 862R"/>
    <s v="SULAIMAN MUBIRU"/>
    <s v="KATO INVESTMENTS LTD-KATIKARA"/>
    <n v="156"/>
    <s v="A18419"/>
    <x v="5"/>
    <x v="0"/>
    <x v="0"/>
    <x v="0"/>
    <x v="5"/>
    <x v="5"/>
    <n v="826"/>
    <n v="-4"/>
    <x v="0"/>
    <d v="2024-11-19T06:53:00"/>
    <d v="2024-11-19T15:48:00"/>
    <d v="2024-11-19T07:39:00"/>
    <n v="-478.81666666666666"/>
    <n v="45.033333333333331"/>
    <x v="1"/>
    <d v="2024-11-19T21:46:00"/>
    <d v="2024-11-20T14:15:00"/>
    <n v="968.38333333333333"/>
    <x v="0"/>
    <d v="2024-11-21T06:26:00"/>
    <d v="2024-11-21T08:25:00"/>
    <n v="116.51666666666667"/>
    <x v="9"/>
    <n v="1.9493055555576575"/>
    <x v="0"/>
    <n v="-5.0694444442342501E-2"/>
    <n v="46.78333333338378"/>
    <n v="12"/>
    <n v="34.78333333338378"/>
    <n v="4.4849065644400694"/>
    <x v="0"/>
  </r>
  <r>
    <x v="2"/>
    <x v="1"/>
    <d v="2024-11-18T21:16:26"/>
    <s v="OM3ILE8RR"/>
    <x v="1"/>
    <s v="UBK 881R"/>
    <s v="James  Kironde"/>
    <s v="Ntale and Sons"/>
    <n v="144"/>
    <s v="A18422"/>
    <x v="19"/>
    <x v="1"/>
    <x v="0"/>
    <x v="1"/>
    <x v="19"/>
    <x v="19"/>
    <n v="822"/>
    <n v="12"/>
    <x v="0"/>
    <d v="2024-11-19T08:33:00"/>
    <d v="2024-11-18T16:40:00"/>
    <d v="2024-11-19T09:15:00"/>
    <n v="974.26666666666665"/>
    <n v="41.116666666666667"/>
    <x v="1"/>
    <d v="2024-11-19T19:01:00"/>
    <d v="2024-11-20T13:44:00"/>
    <n v="1099.5999999999999"/>
    <x v="0"/>
    <d v="2024-11-21T14:03:00"/>
    <d v="2024-11-21T15:23:00"/>
    <n v="78.316666666666663"/>
    <x v="0"/>
    <n v="2.2000000000043656"/>
    <x v="4"/>
    <n v="-0.79999999999563443"/>
    <n v="52.800000000104774"/>
    <n v="24"/>
    <n v="28.800000000104774"/>
    <n v="4.9999999999818101"/>
    <x v="0"/>
  </r>
  <r>
    <x v="2"/>
    <x v="1"/>
    <d v="2024-11-18T21:17:36"/>
    <s v="OMAG4BTRR"/>
    <x v="1"/>
    <s v="UBJ 707D"/>
    <s v="Konge Husein"/>
    <s v="Kato Investments Ltd-Bulenga"/>
    <n v="151.80000000000001"/>
    <s v="A18423"/>
    <x v="2"/>
    <x v="1"/>
    <x v="0"/>
    <x v="1"/>
    <x v="2"/>
    <x v="2"/>
    <n v="550"/>
    <n v="-10"/>
    <x v="0"/>
    <d v="2024-11-19T08:29:00"/>
    <d v="2024-11-18T20:13:00"/>
    <d v="2024-11-19T09:29:00"/>
    <n v="779.4"/>
    <n v="58.733333333333334"/>
    <x v="11"/>
    <d v="2024-11-19T18:56:00"/>
    <d v="2024-11-20T23:23:00"/>
    <n v="1671.4333333333334"/>
    <x v="0"/>
    <d v="2024-11-21T14:17:00"/>
    <d v="2024-11-21T15:26:00"/>
    <n v="67.55"/>
    <x v="0"/>
    <n v="2.1999999999970896"/>
    <x v="0"/>
    <n v="0.19999999999708962"/>
    <n v="52.799999999930151"/>
    <n v="32"/>
    <n v="20.799999999930151"/>
    <n v="7.2980769231014317"/>
    <x v="0"/>
  </r>
  <r>
    <x v="2"/>
    <x v="1"/>
    <d v="2024-11-18T21:18:40"/>
    <s v="OMP9UDXRR"/>
    <x v="1"/>
    <s v="UBJ 415C"/>
    <s v="Abel Mark naffa"/>
    <s v="Kato Investments Ltd-Bulenga"/>
    <n v="153.60000000000002"/>
    <s v="A18424"/>
    <x v="2"/>
    <x v="1"/>
    <x v="0"/>
    <x v="1"/>
    <x v="2"/>
    <x v="2"/>
    <n v="466"/>
    <n v="-94"/>
    <x v="0"/>
    <d v="2024-11-19T06:26:00"/>
    <d v="2024-11-18T20:13:00"/>
    <d v="2024-11-19T07:11:00"/>
    <n v="644.2833333333333"/>
    <n v="44.05"/>
    <x v="1"/>
    <d v="2024-11-20T13:41:00"/>
    <d v="2024-11-20T16:30:00"/>
    <n v="165.46666666666667"/>
    <x v="0"/>
    <d v="2024-11-21T11:52:00"/>
    <d v="2024-11-21T14:31:00"/>
    <n v="155.68333333333334"/>
    <x v="2"/>
    <n v="2.195138888884685"/>
    <x v="0"/>
    <n v="0.195138888884685"/>
    <n v="52.68333333323244"/>
    <n v="24"/>
    <n v="28.68333333323244"/>
    <n v="5.3550261476074486"/>
    <x v="0"/>
  </r>
  <r>
    <x v="2"/>
    <x v="1"/>
    <d v="2024-11-18T21:20:41"/>
    <s v="OMTQUDPRR"/>
    <x v="1"/>
    <s v="UBJ 988D"/>
    <s v="Tumusiime Robert"/>
    <s v="Kabaco U Ltd-Mbarara"/>
    <n v="153.60000000000002"/>
    <s v="Z81109"/>
    <x v="8"/>
    <x v="1"/>
    <x v="0"/>
    <x v="1"/>
    <x v="8"/>
    <x v="8"/>
    <n v="12"/>
    <n v="1"/>
    <x v="0"/>
    <d v="2024-11-19T09:18:00"/>
    <d v="2024-11-18T08:00:00"/>
    <d v="2024-11-19T10:08:00"/>
    <n v="1535.3166666666666"/>
    <n v="48.95"/>
    <x v="1"/>
    <d v="2024-11-19T10:48:00"/>
    <d v="2024-11-19T15:55:00"/>
    <n v="300.60000000000002"/>
    <x v="0"/>
    <d v="2024-11-20T15:22:00"/>
    <d v="2024-11-20T16:28:00"/>
    <n v="64.61666666666666"/>
    <x v="0"/>
    <n v="1.2180555555532919"/>
    <x v="5"/>
    <n v="0.41805555555329188"/>
    <n v="29.233333333279006"/>
    <n v="12"/>
    <n v="17.233333333279006"/>
    <n v="8.9129593810725858"/>
    <x v="0"/>
  </r>
  <r>
    <x v="2"/>
    <x v="1"/>
    <d v="2024-11-18T21:22:06"/>
    <s v="OMAX5Q2RR"/>
    <x v="0"/>
    <s v="UBJ 375N"/>
    <s v="Stephen Musoke "/>
    <s v="KATO INVESTMENTS LIMITED-MASAK"/>
    <n v="153.60000000000002"/>
    <s v="F15304"/>
    <x v="14"/>
    <x v="1"/>
    <x v="0"/>
    <x v="1"/>
    <x v="14"/>
    <x v="14"/>
    <n v="151"/>
    <n v="-189"/>
    <x v="0"/>
    <d v="2024-11-19T07:58:06"/>
    <d v="2024-11-19T07:30:06"/>
    <d v="2024-11-19T08:47:06"/>
    <n v="75.38333333333334"/>
    <n v="47.966666666666669"/>
    <x v="1"/>
    <d v="2024-11-19T12:00:06"/>
    <d v="2024-11-19T17:09:06"/>
    <n v="302.55"/>
    <x v="0"/>
    <d v="2024-11-19T19:49:06"/>
    <d v="2024-11-19T21:05:06"/>
    <n v="74.400000000000006"/>
    <x v="0"/>
    <n v="0.45972222222189885"/>
    <x v="8"/>
    <n v="-0.54027777777810115"/>
    <n v="11.033333333325572"/>
    <n v="0"/>
    <n v="11.033333333325572"/>
    <n v="13.921450151067196"/>
    <x v="0"/>
  </r>
  <r>
    <x v="2"/>
    <x v="1"/>
    <d v="2024-11-18T21:23:05"/>
    <s v="OMVOL44RR"/>
    <x v="0"/>
    <s v="UAV 051U"/>
    <s v="Angello Lumala"/>
    <s v="KATO INVESTMENTS LIMITED-MASAK"/>
    <n v="153.60000000000002"/>
    <s v="F15305"/>
    <x v="14"/>
    <x v="1"/>
    <x v="0"/>
    <x v="1"/>
    <x v="14"/>
    <x v="14"/>
    <n v="348"/>
    <n v="8"/>
    <x v="0"/>
    <d v="2024-11-19T07:58:05"/>
    <d v="2024-11-19T07:30:05"/>
    <d v="2024-11-19T08:38:05"/>
    <n v="66.583333333333329"/>
    <n v="39.166666666666664"/>
    <x v="1"/>
    <d v="2024-11-19T11:51:05"/>
    <d v="2024-11-19T17:43:05"/>
    <n v="344.65"/>
    <x v="0"/>
    <d v="2024-11-20T08:07:05"/>
    <d v="2024-11-20T09:27:05"/>
    <n v="78.316666666666663"/>
    <x v="0"/>
    <n v="0.97847222221753327"/>
    <x v="8"/>
    <n v="-2.1527777782466728E-2"/>
    <n v="23.483333333220799"/>
    <n v="0"/>
    <n v="23.483333333220799"/>
    <n v="6.5408090844884068"/>
    <x v="0"/>
  </r>
  <r>
    <x v="2"/>
    <x v="0"/>
    <d v="2024-11-18T23:24:50"/>
    <s v="OMWSOYGRR"/>
    <x v="0"/>
    <s v="UBJ 705D"/>
    <s v="KASULE JOHNBOSC"/>
    <s v="Kato Investment Ltd -Mubende"/>
    <n v="156"/>
    <s v="A18437"/>
    <x v="1"/>
    <x v="0"/>
    <x v="0"/>
    <x v="0"/>
    <x v="1"/>
    <x v="1"/>
    <n v="701"/>
    <n v="21"/>
    <x v="0"/>
    <d v="2024-11-19T07:58:50"/>
    <d v="2024-11-19T07:30:50"/>
    <d v="2024-11-19T08:42:50"/>
    <n v="70.483333333333334"/>
    <n v="43.06666666666667"/>
    <x v="1"/>
    <d v="2024-11-20T17:59:50"/>
    <d v="2024-11-20T23:02:50"/>
    <n v="296.68333333333334"/>
    <x v="0"/>
    <d v="2024-11-21T15:50:50"/>
    <d v="2024-11-21T16:52:50"/>
    <n v="60.7"/>
    <x v="0"/>
    <n v="2.297222222223354"/>
    <x v="1"/>
    <n v="-0.20277777777664596"/>
    <n v="55.133333333360497"/>
    <n v="24"/>
    <n v="31.133333333360497"/>
    <n v="5.0107066381112597"/>
    <x v="0"/>
  </r>
  <r>
    <x v="2"/>
    <x v="0"/>
    <d v="2024-11-18T23:28:23"/>
    <s v="OMKJ5EARR"/>
    <x v="1"/>
    <s v="UBE 680K"/>
    <s v="BYEKWASO TWAHA"/>
    <s v="Kato Investments Ltd-Bulenga"/>
    <n v="156"/>
    <s v="A18438"/>
    <x v="2"/>
    <x v="0"/>
    <x v="0"/>
    <x v="0"/>
    <x v="2"/>
    <x v="2"/>
    <n v="593"/>
    <n v="33"/>
    <x v="3"/>
    <d v="2024-11-19T15:02:00"/>
    <d v="2024-11-18T20:13:00"/>
    <d v="2024-11-19T15:48:00"/>
    <n v="1150.5166666666667"/>
    <n v="45.033333333333331"/>
    <x v="1"/>
    <d v="2024-11-21T09:48:00"/>
    <d v="2024-11-21T15:21:00"/>
    <n v="326.05"/>
    <x v="0"/>
    <d v="2024-11-21T07:56:00"/>
    <d v="2024-11-21T09:22:00"/>
    <n v="84.2"/>
    <x v="0"/>
    <n v="1.672222222223354"/>
    <x v="0"/>
    <n v="-0.32777777777664596"/>
    <n v="40.133333333360497"/>
    <n v="12"/>
    <n v="28.133333333360497"/>
    <n v="5.5450236966771103"/>
    <x v="0"/>
  </r>
  <r>
    <x v="2"/>
    <x v="0"/>
    <d v="2024-11-19T00:00:00"/>
    <s v="OM02KPY5"/>
    <x v="0"/>
    <s v="UBF 375L"/>
    <m/>
    <s v="KATO INVESTMENTS LTD-KATIKARA"/>
    <n v="156"/>
    <s v="A18487"/>
    <x v="5"/>
    <x v="0"/>
    <x v="0"/>
    <x v="0"/>
    <x v="5"/>
    <x v="5"/>
    <n v="825"/>
    <n v="-5"/>
    <x v="0"/>
    <d v="2024-11-19T07:58:00"/>
    <d v="2024-11-19T07:30:00"/>
    <d v="2024-11-19T08:38:00"/>
    <n v="66.583333333333329"/>
    <n v="39.166666666666664"/>
    <x v="1"/>
    <d v="2024-11-20T10:53:00"/>
    <d v="2024-11-20T15:39:00"/>
    <n v="280.03333333333336"/>
    <x v="0"/>
    <d v="2024-11-21T20:27:00"/>
    <d v="2024-11-21T21:30:00"/>
    <n v="61.68333333333333"/>
    <x v="0"/>
    <n v="2.492361111108039"/>
    <x v="0"/>
    <n v="0.49236111110803904"/>
    <n v="59.816666666592937"/>
    <n v="24"/>
    <n v="35.816666666592937"/>
    <n v="4.3555141926567087"/>
    <x v="0"/>
  </r>
  <r>
    <x v="2"/>
    <x v="1"/>
    <d v="2024-11-19T17:51:28"/>
    <s v="OM57DCGRR"/>
    <x v="1"/>
    <s v="UBK 875R"/>
    <s v="Bisaso  Ronald"/>
    <s v="Ntale and Sons"/>
    <n v="122.48400000000001"/>
    <s v="A18466"/>
    <x v="19"/>
    <x v="1"/>
    <x v="0"/>
    <x v="1"/>
    <x v="19"/>
    <x v="19"/>
    <n v="824"/>
    <n v="14"/>
    <x v="0"/>
    <d v="2024-11-21T06:46:00"/>
    <d v="2024-11-19T20:00:00"/>
    <d v="2024-11-21T07:30:00"/>
    <n v="2085.6166666666668"/>
    <n v="43.06666666666667"/>
    <x v="1"/>
    <d v="2024-11-21T19:13:00"/>
    <d v="2024-11-22T16:07:00"/>
    <n v="1227.8666666666666"/>
    <x v="0"/>
    <d v="2024-11-23T19:37:00"/>
    <d v="2024-11-23T21:03:00"/>
    <n v="84.2"/>
    <x v="0"/>
    <n v="2.5048611111124046"/>
    <x v="4"/>
    <n v="-0.49513888888759539"/>
    <n v="60.116666666697711"/>
    <n v="24"/>
    <n v="36.116666666697711"/>
    <n v="3.3913428703247273"/>
    <x v="0"/>
  </r>
  <r>
    <x v="2"/>
    <x v="1"/>
    <d v="2024-11-19T18:37:08"/>
    <s v="OMMMRK2RR"/>
    <x v="1"/>
    <s v="UAY 265V"/>
    <s v="Luyaga Isaac"/>
    <s v="Ntale and Sons"/>
    <n v="153.60000000000002"/>
    <s v="A18474"/>
    <x v="19"/>
    <x v="1"/>
    <x v="0"/>
    <x v="1"/>
    <x v="19"/>
    <x v="19"/>
    <n v="794"/>
    <n v="-16"/>
    <x v="0"/>
    <d v="2024-11-20T16:52:00"/>
    <d v="2024-11-19T19:00:00"/>
    <d v="2024-11-20T17:39:00"/>
    <n v="1330.6833333333334"/>
    <n v="46.016666666666666"/>
    <x v="1"/>
    <d v="2024-11-21T13:18:00"/>
    <d v="2024-11-21T19:05:00"/>
    <n v="339.76666666666665"/>
    <x v="0"/>
    <d v="2024-11-22T18:47:00"/>
    <d v="2024-11-22T20:01:00"/>
    <n v="72.45"/>
    <x v="0"/>
    <n v="2.0472222222160781"/>
    <x v="4"/>
    <n v="-0.95277777778392192"/>
    <n v="49.133333333185874"/>
    <n v="24"/>
    <n v="25.133333333185874"/>
    <n v="6.1114058355796237"/>
    <x v="0"/>
  </r>
  <r>
    <x v="2"/>
    <x v="1"/>
    <d v="2024-11-19T20:49:47"/>
    <s v="OMJQXY6RR"/>
    <x v="1"/>
    <s v="UBE 287X"/>
    <s v="Isaac Tumuhimbise"/>
    <s v="KATO INVESTMENTS LIMITED-MASAK"/>
    <n v="153.60000000000002"/>
    <s v="F15310"/>
    <x v="14"/>
    <x v="1"/>
    <x v="0"/>
    <x v="1"/>
    <x v="14"/>
    <x v="14"/>
    <n v="299"/>
    <n v="-41"/>
    <x v="0"/>
    <d v="2024-11-20T16:37:00"/>
    <d v="2024-11-19T08:00:00"/>
    <d v="2024-11-20T17:23:00"/>
    <n v="1961.2666666666667"/>
    <n v="45.033333333333331"/>
    <x v="1"/>
    <d v="2024-11-21T08:24:00"/>
    <d v="2024-11-21T12:15:00"/>
    <n v="226.18333333333334"/>
    <x v="0"/>
    <d v="2024-11-21T15:38:00"/>
    <d v="2024-11-21T16:59:00"/>
    <n v="79.3"/>
    <x v="0"/>
    <n v="0.92708333332848269"/>
    <x v="8"/>
    <n v="-7.2916666671517305E-2"/>
    <n v="22.249999999883585"/>
    <n v="0"/>
    <n v="22.249999999883585"/>
    <n v="6.9033707865529745"/>
    <x v="0"/>
  </r>
  <r>
    <x v="2"/>
    <x v="0"/>
    <d v="2024-11-19T21:00:33"/>
    <s v="OM4BKUPRR"/>
    <x v="1"/>
    <s v="UBJ 420C"/>
    <s v="ZIWA ABASI"/>
    <s v="Kato Investments Ltd- Kyegegwa"/>
    <n v="156"/>
    <s v="A18484"/>
    <x v="18"/>
    <x v="0"/>
    <x v="0"/>
    <x v="0"/>
    <x v="18"/>
    <x v="18"/>
    <n v="589"/>
    <n v="24"/>
    <x v="0"/>
    <d v="2024-11-19T21:12:00"/>
    <d v="2024-11-20T22:00:00"/>
    <d v="2024-11-19T21:54:00"/>
    <n v="-1415.8833333333334"/>
    <n v="41.116666666666667"/>
    <x v="1"/>
    <d v="2024-11-20T11:29:00"/>
    <d v="2024-11-20T15:59:00"/>
    <n v="264.36666666666667"/>
    <x v="0"/>
    <d v="2024-11-21T10:15:00"/>
    <d v="2024-11-21T11:52:00"/>
    <n v="94.966666666666669"/>
    <x v="0"/>
    <n v="1.5145833333372138"/>
    <x v="0"/>
    <n v="-0.48541666666278616"/>
    <n v="36.350000000093132"/>
    <n v="12"/>
    <n v="24.350000000093132"/>
    <n v="6.4065708418646139"/>
    <x v="0"/>
  </r>
  <r>
    <x v="2"/>
    <x v="0"/>
    <d v="2024-11-19T21:02:38"/>
    <s v="OMJFIV6RR"/>
    <x v="1"/>
    <s v="UBK 858R"/>
    <s v="ALIPA EREKU"/>
    <s v="KATO INVESTMENTS LTD-KATIKARA"/>
    <n v="156"/>
    <s v="A18485"/>
    <x v="5"/>
    <x v="0"/>
    <x v="0"/>
    <x v="0"/>
    <x v="5"/>
    <x v="5"/>
    <n v="833"/>
    <n v="3"/>
    <x v="0"/>
    <d v="2024-11-19T21:34:00"/>
    <d v="2024-11-20T15:48:00"/>
    <d v="2024-11-19T22:19:00"/>
    <n v="-1027.1500000000001"/>
    <n v="44.05"/>
    <x v="1"/>
    <d v="2024-11-20T22:56:00"/>
    <d v="2024-11-21T17:48:00"/>
    <n v="1108.4166666666667"/>
    <x v="0"/>
    <d v="2024-11-22T15:30:00"/>
    <d v="2024-11-22T16:50:00"/>
    <n v="78.316666666666663"/>
    <x v="0"/>
    <n v="2.7159722222277196"/>
    <x v="0"/>
    <n v="0.71597222222771961"/>
    <n v="65.183333333465271"/>
    <n v="24"/>
    <n v="41.183333333465271"/>
    <n v="3.7879401052084232"/>
    <x v="9"/>
  </r>
  <r>
    <x v="2"/>
    <x v="0"/>
    <d v="2024-11-19T22:15:01"/>
    <s v="OMGXHKZRR"/>
    <x v="1"/>
    <s v="UBP 301H"/>
    <s v="NAMINYA SIRAJE"/>
    <s v="Kato Investment Ltd -Kagadi"/>
    <n v="156"/>
    <s v="A18491"/>
    <x v="12"/>
    <x v="0"/>
    <x v="0"/>
    <x v="0"/>
    <x v="12"/>
    <x v="12"/>
    <n v="606"/>
    <n v="-6"/>
    <x v="0"/>
    <d v="2024-11-19T21:43:00"/>
    <d v="2024-11-19T17:46:00"/>
    <d v="2024-11-19T22:33:00"/>
    <n v="281.01666666666665"/>
    <n v="48.95"/>
    <x v="1"/>
    <d v="2024-11-20T10:42:00"/>
    <d v="2024-11-20T18:50:00"/>
    <n v="477.81666666666666"/>
    <x v="0"/>
    <d v="2024-11-21T16:26:00"/>
    <d v="2024-11-21T17:46:00"/>
    <n v="78.316666666666663"/>
    <x v="0"/>
    <n v="1.7451388888875954"/>
    <x v="6"/>
    <n v="-0.55486111111240444"/>
    <n v="41.883333333302289"/>
    <n v="12"/>
    <n v="29.883333333302289"/>
    <n v="5.2203011712268399"/>
    <x v="0"/>
  </r>
  <r>
    <x v="2"/>
    <x v="0"/>
    <d v="2024-11-20T00:00:00"/>
    <s v="OM02KQSX"/>
    <x v="0"/>
    <s v="UBK 866R"/>
    <m/>
    <s v="Kabaco U Ltd"/>
    <n v="156"/>
    <s v="Z81150"/>
    <x v="6"/>
    <x v="0"/>
    <x v="0"/>
    <x v="0"/>
    <x v="6"/>
    <x v="6"/>
    <n v="324"/>
    <n v="4"/>
    <x v="0"/>
    <d v="2024-11-20T07:58:00"/>
    <d v="2024-11-20T07:30:00"/>
    <d v="2024-11-20T08:42:00"/>
    <n v="70.483333333333334"/>
    <n v="43.06666666666667"/>
    <x v="1"/>
    <d v="2024-11-20T14:42:00"/>
    <d v="2024-11-20T19:02:00"/>
    <n v="254.56666666666666"/>
    <x v="0"/>
    <d v="2024-11-21T08:57:12"/>
    <d v="2024-11-21T10:02:12"/>
    <n v="63.633333333333333"/>
    <x v="0"/>
    <n v="1.0105555555564933"/>
    <x v="3"/>
    <n v="-0.48944444444350665"/>
    <n v="24.25333333335584"/>
    <n v="12"/>
    <n v="12.25333333335584"/>
    <n v="12.731229597365081"/>
    <x v="0"/>
  </r>
  <r>
    <x v="2"/>
    <x v="1"/>
    <d v="2024-11-20T21:04:13"/>
    <s v="OMR87ILRR"/>
    <x v="1"/>
    <s v="UBE 422T"/>
    <s v="Jacob Oneka"/>
    <s v="Ntale and Sons"/>
    <n v="153.60000000000002"/>
    <s v="A18506"/>
    <x v="19"/>
    <x v="1"/>
    <x v="0"/>
    <x v="1"/>
    <x v="19"/>
    <x v="19"/>
    <n v="803"/>
    <n v="-7"/>
    <x v="0"/>
    <d v="2024-11-21T08:50:00"/>
    <d v="2024-11-20T16:40:00"/>
    <d v="2024-11-21T09:55:00"/>
    <n v="1013.4333333333333"/>
    <n v="63.633333333333333"/>
    <x v="6"/>
    <d v="2024-11-22T09:39:00"/>
    <d v="2024-11-22T20:04:00"/>
    <n v="611.9666666666667"/>
    <x v="0"/>
    <d v="2024-11-23T18:03:00"/>
    <d v="2024-11-23T19:16:00"/>
    <n v="71.466666666666669"/>
    <x v="0"/>
    <n v="2.3388888888875954"/>
    <x v="4"/>
    <n v="-0.66111111111240461"/>
    <n v="56.133333333302289"/>
    <n v="32"/>
    <n v="24.133333333302289"/>
    <n v="6.3646408839860884"/>
    <x v="0"/>
  </r>
  <r>
    <x v="2"/>
    <x v="0"/>
    <d v="2024-11-20T21:06:11"/>
    <s v="OMWMXPIRR"/>
    <x v="0"/>
    <s v="UBJ 419C"/>
    <m/>
    <s v="Ntale and Sons Ltd-Kakiri"/>
    <n v="156"/>
    <s v="A18508"/>
    <x v="22"/>
    <x v="0"/>
    <x v="0"/>
    <x v="0"/>
    <x v="22"/>
    <x v="21"/>
    <n v="616"/>
    <n v="-4"/>
    <x v="0"/>
    <d v="2024-11-21T09:34:11"/>
    <d v="2024-11-21T09:06:11"/>
    <d v="2024-11-21T10:34:11"/>
    <n v="86.15"/>
    <n v="58.733333333333334"/>
    <x v="9"/>
    <d v="2024-11-22T08:24:11"/>
    <d v="2024-11-22T14:41:11"/>
    <n v="369.13333333333333"/>
    <x v="0"/>
    <d v="2024-11-23T10:29:11"/>
    <d v="2024-11-23T11:32:11"/>
    <n v="61.68333333333333"/>
    <x v="0"/>
    <n v="1.9965277777737356"/>
    <x v="0"/>
    <n v="-3.4722222262644209E-3"/>
    <n v="47.916666666569654"/>
    <n v="16"/>
    <n v="31.916666666569654"/>
    <n v="4.8877284595448831"/>
    <x v="0"/>
  </r>
  <r>
    <x v="2"/>
    <x v="1"/>
    <d v="2024-11-20T21:15:33"/>
    <s v="OM6U4CURR"/>
    <x v="1"/>
    <s v="UBJ 988D"/>
    <s v="Tumusiime Robert"/>
    <s v="RUGOMA TRADERS CO. LTD NTUNGAM"/>
    <n v="153.60000000000002"/>
    <s v="F15318"/>
    <x v="15"/>
    <x v="1"/>
    <x v="0"/>
    <x v="1"/>
    <x v="15"/>
    <x v="15"/>
    <n v="136"/>
    <n v="6"/>
    <x v="0"/>
    <d v="2024-11-21T09:00:00"/>
    <d v="2024-11-20T09:00:00"/>
    <d v="2024-11-21T09:45:00"/>
    <n v="1454.05"/>
    <n v="44.05"/>
    <x v="1"/>
    <d v="2024-11-21T12:14:00"/>
    <d v="2024-11-21T18:17:00"/>
    <n v="355.43333333333334"/>
    <x v="0"/>
    <d v="2024-11-22T14:45:00"/>
    <d v="2024-11-22T16:10:00"/>
    <n v="83.216666666666669"/>
    <x v="0"/>
    <n v="1.2083333333357587"/>
    <x v="8"/>
    <n v="0.20833333333575865"/>
    <n v="29.000000000058208"/>
    <n v="12"/>
    <n v="17.000000000058208"/>
    <n v="9.0352941176161234"/>
    <x v="0"/>
  </r>
  <r>
    <x v="2"/>
    <x v="1"/>
    <d v="2024-11-20T21:19:04"/>
    <s v="OMPYXUFRR"/>
    <x v="1"/>
    <s v="UBJ 375N"/>
    <s v="Stephen Musoke "/>
    <s v="Sawan Distributors Ltd-Kayabwe"/>
    <n v="153.60000000000002"/>
    <s v="A18512"/>
    <x v="9"/>
    <x v="1"/>
    <x v="0"/>
    <x v="1"/>
    <x v="9"/>
    <x v="9"/>
    <n v="409"/>
    <n v="9"/>
    <x v="0"/>
    <d v="2024-11-21T14:15:00"/>
    <d v="2024-11-20T08:00:00"/>
    <d v="2024-11-21T15:08:00"/>
    <n v="1829.0833333333333"/>
    <n v="51.883333333333333"/>
    <x v="0"/>
    <d v="2024-11-22T08:46:00"/>
    <d v="2024-11-22T12:13:00"/>
    <n v="202.68333333333334"/>
    <x v="0"/>
    <d v="2024-11-24T16:01:00"/>
    <d v="2024-11-24T17:33:00"/>
    <n v="90.066666666666663"/>
    <x v="0"/>
    <n v="3.0368055555518367"/>
    <x v="0"/>
    <n v="1.0368055555518367"/>
    <n v="72.883333333244082"/>
    <n v="48"/>
    <n v="24.883333333244082"/>
    <n v="6.1728064300288397"/>
    <x v="12"/>
  </r>
  <r>
    <x v="2"/>
    <x v="1"/>
    <d v="2024-11-20T21:20:06"/>
    <s v="OMQQIZ7RR"/>
    <x v="1"/>
    <s v="UBE 287X"/>
    <s v="Isaac Tumuhimbise"/>
    <s v="Sawan Distributors Ltd-Nabingo"/>
    <n v="153.60000000000002"/>
    <s v="A18513"/>
    <x v="21"/>
    <x v="1"/>
    <x v="0"/>
    <x v="1"/>
    <x v="21"/>
    <x v="2"/>
    <n v="535"/>
    <n v="-25"/>
    <x v="0"/>
    <d v="2024-11-22T06:17:00"/>
    <d v="2024-11-20T08:00:00"/>
    <d v="2024-11-22T07:17:00"/>
    <n v="2777.8833333333332"/>
    <n v="58.733333333333334"/>
    <x v="9"/>
    <d v="2024-11-23T09:35:00"/>
    <d v="2024-11-23T13:20:00"/>
    <n v="220.3"/>
    <x v="0"/>
    <d v="2024-11-24T08:23:00"/>
    <d v="2024-11-24T10:19:00"/>
    <n v="113.56666666666666"/>
    <x v="2"/>
    <n v="2.0458333333372138"/>
    <x v="0"/>
    <n v="4.5833333337213844E-2"/>
    <n v="49.100000000093132"/>
    <n v="32"/>
    <n v="17.100000000093132"/>
    <n v="8.9824561403019576"/>
    <x v="0"/>
  </r>
  <r>
    <x v="2"/>
    <x v="0"/>
    <d v="2024-11-20T21:44:52"/>
    <s v="OMGB5P7RR"/>
    <x v="1"/>
    <s v="UBK 862R"/>
    <s v="SULAIMAN MUBIRU"/>
    <s v="Ntale and Sons Ltd-Kakiri"/>
    <n v="156"/>
    <s v="A18517"/>
    <x v="22"/>
    <x v="0"/>
    <x v="0"/>
    <x v="0"/>
    <x v="22"/>
    <x v="21"/>
    <n v="612"/>
    <n v="-8"/>
    <x v="0"/>
    <d v="2024-11-21T10:50:00"/>
    <d v="2024-11-21T07:00:00"/>
    <d v="2024-11-21T11:52:00"/>
    <n v="285.89999999999998"/>
    <n v="60.7"/>
    <x v="12"/>
    <d v="2024-11-21T23:35:00"/>
    <d v="2024-11-22T16:56:00"/>
    <n v="1019.3"/>
    <x v="0"/>
    <d v="2024-11-23T18:00:00"/>
    <d v="2024-11-23T19:34:00"/>
    <n v="92.033333333333331"/>
    <x v="0"/>
    <n v="2.2555555555591127"/>
    <x v="0"/>
    <n v="0.25555555555911269"/>
    <n v="54.133333333418705"/>
    <n v="32"/>
    <n v="22.133333333418705"/>
    <n v="7.0481927710571517"/>
    <x v="0"/>
  </r>
  <r>
    <x v="2"/>
    <x v="1"/>
    <d v="2024-11-20T21:45:35"/>
    <s v="OMJ9UYRRR"/>
    <x v="0"/>
    <s v="UAT 351G"/>
    <s v="Hamudi Sesanga"/>
    <s v="Kabaco U Ltd-Mbarara"/>
    <n v="153.60000000000002"/>
    <s v="Z81151"/>
    <x v="8"/>
    <x v="1"/>
    <x v="0"/>
    <x v="1"/>
    <x v="8"/>
    <x v="8"/>
    <n v="12"/>
    <n v="1"/>
    <x v="0"/>
    <d v="2024-11-21T10:13:35"/>
    <d v="2024-11-21T09:45:35"/>
    <d v="2024-11-21T10:53:35"/>
    <n v="66.583333333333329"/>
    <n v="39.166666666666664"/>
    <x v="1"/>
    <d v="2024-11-21T11:24:35"/>
    <d v="2024-11-21T15:20:35"/>
    <n v="231.08333333333334"/>
    <x v="0"/>
    <d v="2024-11-21T15:50:35"/>
    <d v="2024-11-21T16:55:35"/>
    <n v="63.633333333333333"/>
    <x v="0"/>
    <n v="0.20625000000291038"/>
    <x v="5"/>
    <n v="-0.59374999999708966"/>
    <n v="4.9500000000698492"/>
    <n v="0"/>
    <n v="4.9500000000698492"/>
    <n v="31.030303029865166"/>
    <x v="0"/>
  </r>
  <r>
    <x v="2"/>
    <x v="0"/>
    <d v="2024-11-21T00:00:00"/>
    <s v="OM02KR4Q"/>
    <x v="0"/>
    <s v="UBF 379L"/>
    <m/>
    <s v="Kato Investments Ltd- Kakumiro"/>
    <n v="147.6"/>
    <s v="A18577"/>
    <x v="24"/>
    <x v="0"/>
    <x v="0"/>
    <x v="0"/>
    <x v="24"/>
    <x v="22"/>
    <n v="771"/>
    <n v="6"/>
    <x v="0"/>
    <d v="2024-11-21T07:58:00"/>
    <d v="2024-11-21T07:30:00"/>
    <d v="2024-11-21T08:42:00"/>
    <n v="70.483333333333334"/>
    <n v="43.06666666666667"/>
    <x v="1"/>
    <d v="2024-11-21T17:12:00"/>
    <d v="2024-11-22T13:08:38"/>
    <n v="1171.7"/>
    <x v="0"/>
    <d v="2024-11-23T07:27:22"/>
    <d v="2024-11-23T08:32:22"/>
    <n v="63.633333333333333"/>
    <x v="9"/>
    <n v="1.9481666666615638"/>
    <x v="3"/>
    <n v="0.4481666666615638"/>
    <n v="46.755999999877531"/>
    <n v="12"/>
    <n v="34.755999999877531"/>
    <n v="4.246748762818509"/>
    <x v="0"/>
  </r>
  <r>
    <x v="2"/>
    <x v="1"/>
    <d v="2024-11-21T00:00:00"/>
    <s v="OM02KR5Y"/>
    <x v="0"/>
    <s v="UAR 731Q"/>
    <s v="Godwin Niwensiima"/>
    <s v="RUGOMA TRADERS CO. LTD NTUNGAM"/>
    <n v="96.263999999999996"/>
    <s v="F15340"/>
    <x v="15"/>
    <x v="1"/>
    <x v="0"/>
    <x v="1"/>
    <x v="15"/>
    <x v="15"/>
    <n v="136"/>
    <n v="6"/>
    <x v="0"/>
    <d v="2024-11-21T07:58:00"/>
    <d v="2024-11-21T07:30:00"/>
    <d v="2024-11-21T08:46:00"/>
    <n v="74.400000000000006"/>
    <n v="46.983333333333334"/>
    <x v="1"/>
    <d v="2024-11-21T11:16:00"/>
    <d v="2024-11-21T17:16:00"/>
    <n v="352.5"/>
    <x v="0"/>
    <d v="2024-11-21T20:46:00"/>
    <d v="2024-11-21T21:51:00"/>
    <n v="63.633333333333333"/>
    <x v="0"/>
    <n v="0.5"/>
    <x v="8"/>
    <n v="-0.5"/>
    <n v="12"/>
    <n v="0"/>
    <n v="12"/>
    <n v="8.0220000000000002"/>
    <x v="0"/>
  </r>
  <r>
    <x v="2"/>
    <x v="0"/>
    <d v="2024-11-21T00:00:00"/>
    <s v="OM02KR62"/>
    <x v="0"/>
    <s v="UBF 070Q"/>
    <s v="NTUMWA SOLOMON"/>
    <s v="Rugoma Traders-Rukungiri"/>
    <n v="124.08"/>
    <s v="Z81207"/>
    <x v="17"/>
    <x v="0"/>
    <x v="0"/>
    <x v="0"/>
    <x v="17"/>
    <x v="17"/>
    <n v="248"/>
    <n v="-8"/>
    <x v="0"/>
    <d v="2024-11-21T07:58:00"/>
    <d v="2024-11-21T07:30:00"/>
    <d v="2024-11-21T09:02:00"/>
    <n v="90.066666666666663"/>
    <n v="62.65"/>
    <x v="7"/>
    <d v="2024-11-21T16:02:00"/>
    <d v="2024-11-22T13:52:24"/>
    <n v="1283.0999999999999"/>
    <x v="0"/>
    <d v="2024-11-22T16:52:24"/>
    <d v="2024-11-22T17:55:24"/>
    <n v="61.68333333333333"/>
    <x v="0"/>
    <n v="1.3266666666677338"/>
    <x v="8"/>
    <n v="0.32666666666773381"/>
    <n v="31.840000000025611"/>
    <n v="16"/>
    <n v="15.840000000025611"/>
    <n v="7.8333333333206676"/>
    <x v="0"/>
  </r>
  <r>
    <x v="2"/>
    <x v="0"/>
    <d v="2024-11-21T00:00:00"/>
    <s v="OM02KR63"/>
    <x v="0"/>
    <s v="UBF 382L"/>
    <m/>
    <s v="Kobusinge Steven-FPortal"/>
    <n v="156"/>
    <s v="Z81208"/>
    <x v="11"/>
    <x v="0"/>
    <x v="0"/>
    <x v="0"/>
    <x v="11"/>
    <x v="11"/>
    <n v="393"/>
    <n v="3"/>
    <x v="0"/>
    <d v="2024-11-21T07:58:00"/>
    <d v="2024-11-21T07:30:00"/>
    <d v="2024-11-21T08:47:00"/>
    <n v="75.38333333333334"/>
    <n v="47.966666666666669"/>
    <x v="1"/>
    <d v="2024-11-22T07:17:00"/>
    <d v="2024-11-22T12:01:00"/>
    <n v="278.08333333333331"/>
    <x v="0"/>
    <d v="2024-11-23T08:00:12"/>
    <d v="2024-11-23T09:16:12"/>
    <n v="74.400000000000006"/>
    <x v="0"/>
    <n v="1.9674999999988358"/>
    <x v="0"/>
    <n v="-3.2500000001164153E-2"/>
    <n v="47.21999999997206"/>
    <n v="12"/>
    <n v="35.21999999997206"/>
    <n v="4.429301533223275"/>
    <x v="0"/>
  </r>
  <r>
    <x v="2"/>
    <x v="0"/>
    <d v="2024-11-21T22:30:10"/>
    <s v="OMFPG3ARR"/>
    <x v="1"/>
    <s v="UBE 680K"/>
    <s v="BYEKWASO TWAHA"/>
    <s v="Kobusinge Steven-FPortal"/>
    <n v="156"/>
    <s v="Z81198"/>
    <x v="11"/>
    <x v="0"/>
    <x v="0"/>
    <x v="0"/>
    <x v="11"/>
    <x v="11"/>
    <n v="367"/>
    <n v="-23"/>
    <x v="0"/>
    <d v="2024-11-22T11:09:00"/>
    <d v="2024-11-21T20:25:00"/>
    <d v="2024-11-22T11:54:00"/>
    <n v="909.63333333333333"/>
    <n v="44.05"/>
    <x v="1"/>
    <d v="2024-11-24T07:57:00"/>
    <d v="2024-11-24T13:09:00"/>
    <n v="305.5"/>
    <x v="0"/>
    <d v="2024-11-24T19:03:00"/>
    <d v="2024-11-24T20:07:00"/>
    <n v="62.65"/>
    <x v="0"/>
    <n v="2.2979166666627862"/>
    <x v="0"/>
    <n v="0.29791666666278616"/>
    <n v="55.149999999906868"/>
    <n v="24"/>
    <n v="31.149999999906868"/>
    <n v="5.0080256821979585"/>
    <x v="0"/>
  </r>
  <r>
    <x v="2"/>
    <x v="0"/>
    <d v="2024-11-21T22:31:37"/>
    <s v="OMF03CNRR"/>
    <x v="1"/>
    <s v="UBP 301H"/>
    <s v="NAMINYA SIRAJE"/>
    <s v="Kobusinge Steven-FPortal"/>
    <n v="156"/>
    <s v="Z81199"/>
    <x v="11"/>
    <x v="0"/>
    <x v="0"/>
    <x v="0"/>
    <x v="11"/>
    <x v="11"/>
    <n v="392"/>
    <n v="2"/>
    <x v="0"/>
    <d v="2024-11-21T22:02:00"/>
    <d v="2024-11-21T20:25:00"/>
    <d v="2024-11-21T22:49:00"/>
    <n v="140.98333333333332"/>
    <n v="46.016666666666666"/>
    <x v="1"/>
    <d v="2024-11-23T12:27:00"/>
    <d v="2024-11-23T17:41:00"/>
    <n v="307.45"/>
    <x v="0"/>
    <d v="2024-11-23T20:53:00"/>
    <d v="2024-11-23T22:03:00"/>
    <n v="68.533333333333331"/>
    <x v="0"/>
    <n v="1.9194444444437977"/>
    <x v="0"/>
    <n v="-8.0555555556202307E-2"/>
    <n v="46.066666666651145"/>
    <n v="12"/>
    <n v="34.066666666651145"/>
    <n v="4.5792563600803646"/>
    <x v="0"/>
  </r>
  <r>
    <x v="2"/>
    <x v="1"/>
    <d v="2024-11-21T23:01:01"/>
    <s v="OMBDFGRRR"/>
    <x v="1"/>
    <s v="UBA 523T"/>
    <s v="Kabene John"/>
    <s v="KATO INVESTMENTS LTD- KALISIZO"/>
    <n v="111.60000000000001"/>
    <s v="F15336"/>
    <x v="4"/>
    <x v="1"/>
    <x v="0"/>
    <x v="1"/>
    <x v="4"/>
    <x v="4"/>
    <n v="455"/>
    <n v="105"/>
    <x v="0"/>
    <d v="2024-11-22T16:00:00"/>
    <d v="2024-11-21T08:00:00"/>
    <d v="2024-11-22T16:45:00"/>
    <n v="1924.05"/>
    <n v="44.05"/>
    <x v="1"/>
    <d v="2024-11-23T11:33:00"/>
    <d v="2024-11-23T17:19:00"/>
    <n v="338.78333333333336"/>
    <x v="0"/>
    <d v="2024-11-24T18:25:00"/>
    <d v="2024-11-24T19:49:00"/>
    <n v="82.25"/>
    <x v="0"/>
    <n v="2.0694444444452529"/>
    <x v="2"/>
    <n v="0.36944444444525293"/>
    <n v="49.666666666686069"/>
    <n v="24"/>
    <n v="25.666666666686069"/>
    <n v="4.3480519480486617"/>
    <x v="0"/>
  </r>
  <r>
    <x v="2"/>
    <x v="1"/>
    <d v="2024-11-21T23:15:34"/>
    <s v="OMLADHZRR"/>
    <x v="0"/>
    <s v="UAT 351G"/>
    <s v="Hamudi Sesanga"/>
    <s v="Kabaco U Ltd"/>
    <n v="135.84"/>
    <s v="Z81202"/>
    <x v="6"/>
    <x v="1"/>
    <x v="0"/>
    <x v="1"/>
    <x v="6"/>
    <x v="6"/>
    <n v="324"/>
    <n v="4"/>
    <x v="0"/>
    <d v="2024-11-22T11:43:34"/>
    <d v="2024-11-22T11:15:34"/>
    <d v="2024-11-22T12:23:34"/>
    <n v="66.583333333333329"/>
    <n v="39.166666666666664"/>
    <x v="1"/>
    <d v="2024-11-22T18:23:34"/>
    <d v="2024-11-23T12:23:34"/>
    <n v="1057.5"/>
    <x v="0"/>
    <d v="2024-11-23T17:43:34"/>
    <d v="2024-11-23T18:48:34"/>
    <n v="63.633333333333333"/>
    <x v="0"/>
    <n v="1.2222222222189885"/>
    <x v="3"/>
    <n v="-0.27777777778101154"/>
    <n v="29.333333333255723"/>
    <n v="12"/>
    <n v="17.333333333255723"/>
    <n v="7.8369230769581675"/>
    <x v="0"/>
  </r>
  <r>
    <x v="2"/>
    <x v="1"/>
    <d v="2024-11-21T23:24:45"/>
    <s v="OMMFHH8RR"/>
    <x v="1"/>
    <s v="UBJ 988D"/>
    <s v="Tumusiime Robert"/>
    <s v="KATO INVESTMENTS LTD- KALISIZO"/>
    <n v="142.17599999999999"/>
    <s v="F15337"/>
    <x v="4"/>
    <x v="1"/>
    <x v="0"/>
    <x v="1"/>
    <x v="4"/>
    <x v="4"/>
    <n v="354"/>
    <n v="4"/>
    <x v="0"/>
    <d v="2024-11-24T09:38:00"/>
    <d v="2024-11-21T09:00:00"/>
    <d v="2024-11-24T10:28:00"/>
    <n v="4316.166666666667"/>
    <n v="48.95"/>
    <x v="1"/>
    <d v="2024-11-24T17:47:00"/>
    <d v="2024-11-25T12:54:00"/>
    <n v="1123.0999999999999"/>
    <x v="0"/>
    <d v="2024-11-26T10:58:00"/>
    <d v="2024-11-26T13:16:00"/>
    <n v="135.11666666666667"/>
    <x v="4"/>
    <n v="2.0208333333284827"/>
    <x v="2"/>
    <n v="0.32083333332848274"/>
    <n v="48.499999999883585"/>
    <n v="24"/>
    <n v="24.499999999883585"/>
    <n v="5.8031020408439007"/>
    <x v="0"/>
  </r>
  <r>
    <x v="2"/>
    <x v="0"/>
    <d v="2024-11-21T23:26:46"/>
    <s v="OM1M9CPRR"/>
    <x v="0"/>
    <s v="UBP 298H"/>
    <s v="SENTONG DAVID"/>
    <s v="Boniface Harera"/>
    <n v="147.36000000000001"/>
    <s v="F15338"/>
    <x v="10"/>
    <x v="0"/>
    <x v="0"/>
    <x v="0"/>
    <x v="10"/>
    <x v="10"/>
    <n v="484"/>
    <n v="14"/>
    <x v="0"/>
    <d v="2024-11-22T12:22:00"/>
    <d v="2024-11-21T09:00:00"/>
    <d v="2024-11-22T13:07:00"/>
    <n v="1651.85"/>
    <n v="44.05"/>
    <x v="1"/>
    <d v="2024-11-23T08:56:00"/>
    <d v="2024-11-23T16:47:00"/>
    <n v="461.18333333333334"/>
    <x v="0"/>
    <d v="2024-11-24T10:06:00"/>
    <d v="2024-11-24T11:56:00"/>
    <n v="107.7"/>
    <x v="0"/>
    <n v="1.8743055555532919"/>
    <x v="1"/>
    <n v="-0.62569444444670808"/>
    <n v="44.983333333279006"/>
    <n v="12"/>
    <n v="32.983333333279006"/>
    <n v="4.467710965141265"/>
    <x v="0"/>
  </r>
  <r>
    <x v="2"/>
    <x v="1"/>
    <d v="2024-11-21T23:30:52"/>
    <s v="OM0IFWVRR"/>
    <x v="1"/>
    <s v="UBJ 375N"/>
    <s v="Stephen Musoke "/>
    <s v="RUGOMA TRADERS CO. LTD NTUNGAM"/>
    <n v="153.60000000000002"/>
    <s v="F15339"/>
    <x v="15"/>
    <x v="1"/>
    <x v="0"/>
    <x v="1"/>
    <x v="15"/>
    <x v="15"/>
    <n v="136"/>
    <n v="6"/>
    <x v="0"/>
    <d v="2024-11-24T18:05:00"/>
    <d v="2024-11-21T09:00:00"/>
    <d v="2024-11-24T18:51:00"/>
    <n v="4808.6833333333334"/>
    <n v="45.033333333333331"/>
    <x v="1"/>
    <d v="2024-11-25T11:34:00"/>
    <d v="2024-11-25T17:18:00"/>
    <n v="336.83333333333331"/>
    <x v="0"/>
    <d v="2024-11-25T19:34:00"/>
    <d v="2024-11-25T20:45:00"/>
    <n v="69.516666666666666"/>
    <x v="0"/>
    <n v="1.0298611111138598"/>
    <x v="8"/>
    <n v="2.9861111113859806E-2"/>
    <n v="24.716666666732635"/>
    <n v="12"/>
    <n v="12.716666666732635"/>
    <n v="12.078636959308247"/>
    <x v="0"/>
  </r>
  <r>
    <x v="2"/>
    <x v="0"/>
    <d v="2024-11-22T00:00:00"/>
    <s v="OM02KRHC"/>
    <x v="0"/>
    <s v="UBE 678K"/>
    <m/>
    <s v="Kato Investments Ltd-Bulenga"/>
    <n v="156"/>
    <s v="A18645"/>
    <x v="2"/>
    <x v="0"/>
    <x v="0"/>
    <x v="0"/>
    <x v="2"/>
    <x v="2"/>
    <n v="571"/>
    <n v="11"/>
    <x v="0"/>
    <d v="2024-11-22T07:58:00"/>
    <d v="2024-11-22T07:30:00"/>
    <d v="2024-11-22T08:46:00"/>
    <n v="74.400000000000006"/>
    <n v="46.983333333333334"/>
    <x v="1"/>
    <d v="2024-11-23T08:46:00"/>
    <d v="2024-11-23T12:21:00"/>
    <n v="210.51666666666668"/>
    <x v="0"/>
    <d v="2024-11-24T14:17:12"/>
    <d v="2024-11-24T15:37:12"/>
    <n v="78.316666666666663"/>
    <x v="0"/>
    <n v="2.2300000000032014"/>
    <x v="0"/>
    <n v="0.23000000000320142"/>
    <n v="53.520000000076834"/>
    <n v="24"/>
    <n v="29.520000000076834"/>
    <n v="5.2845528455147006"/>
    <x v="0"/>
  </r>
  <r>
    <x v="2"/>
    <x v="1"/>
    <d v="2024-11-22T12:15:38"/>
    <s v="OM9GW2LRR"/>
    <x v="1"/>
    <s v="UAY 526V"/>
    <s v="Benon Ssempijja"/>
    <s v="Ntale and Sons"/>
    <n v="153.60000000000002"/>
    <s v="A18607"/>
    <x v="19"/>
    <x v="1"/>
    <x v="0"/>
    <x v="1"/>
    <x v="19"/>
    <x v="19"/>
    <n v="797"/>
    <n v="-13"/>
    <x v="0"/>
    <d v="2024-11-23T19:10:00"/>
    <d v="2024-11-23T16:40:00"/>
    <d v="2024-11-23T19:59:00"/>
    <n v="194.85"/>
    <n v="47.966666666666669"/>
    <x v="1"/>
    <d v="2024-11-24T17:57:00"/>
    <d v="2024-11-25T14:43:00"/>
    <n v="1220.0333333333333"/>
    <x v="0"/>
    <d v="2024-11-26T19:35:00"/>
    <d v="2024-11-26T21:36:00"/>
    <n v="118.46666666666667"/>
    <x v="2"/>
    <n v="2.9833333333299379"/>
    <x v="4"/>
    <n v="-1.6666666670062114E-2"/>
    <n v="71.599999999918509"/>
    <n v="24"/>
    <n v="47.599999999918509"/>
    <n v="3.226890756308046"/>
    <x v="0"/>
  </r>
  <r>
    <x v="2"/>
    <x v="0"/>
    <d v="2024-11-22T12:41:44"/>
    <s v="OMB3QXPRR"/>
    <x v="0"/>
    <s v="UBB 115P"/>
    <s v="Kakembo Masuud"/>
    <s v="Kobusinge Steven-FPortal"/>
    <n v="156"/>
    <s v="Z81212"/>
    <x v="11"/>
    <x v="0"/>
    <x v="0"/>
    <x v="0"/>
    <x v="11"/>
    <x v="11"/>
    <n v="380"/>
    <n v="-10"/>
    <x v="0"/>
    <d v="2024-11-23T01:09:44"/>
    <d v="2024-11-23T00:41:44"/>
    <d v="2024-11-23T01:49:44"/>
    <n v="66.583333333333329"/>
    <n v="39.166666666666664"/>
    <x v="1"/>
    <d v="2024-11-24T11:19:44"/>
    <d v="2024-11-25T12:46:08"/>
    <n v="1494.5833333333333"/>
    <x v="0"/>
    <d v="2024-11-25T10:42:18"/>
    <d v="2024-11-25T11:44:18"/>
    <n v="60.7"/>
    <x v="0"/>
    <n v="2.3698333333377377"/>
    <x v="0"/>
    <n v="0.36983333333773771"/>
    <n v="56.876000000105705"/>
    <n v="24"/>
    <n v="32.876000000105705"/>
    <n v="4.7451028105456388"/>
    <x v="0"/>
  </r>
  <r>
    <x v="2"/>
    <x v="0"/>
    <d v="2024-11-22T19:48:45"/>
    <s v="OM97N2TRR"/>
    <x v="0"/>
    <s v="UBF 379L"/>
    <m/>
    <s v="Kato Investments Ltd-Bulenga"/>
    <n v="156"/>
    <s v="A18639"/>
    <x v="2"/>
    <x v="0"/>
    <x v="0"/>
    <x v="0"/>
    <x v="2"/>
    <x v="2"/>
    <n v="571"/>
    <n v="11"/>
    <x v="0"/>
    <d v="2024-11-23T08:16:45"/>
    <d v="2024-11-23T07:48:45"/>
    <d v="2024-11-23T09:16:45"/>
    <n v="86.15"/>
    <n v="58.733333333333334"/>
    <x v="11"/>
    <d v="2024-11-24T09:16:45"/>
    <d v="2024-11-24T12:47:45"/>
    <n v="206.6"/>
    <x v="0"/>
    <d v="2024-11-25T09:16:45"/>
    <d v="2024-11-25T10:19:45"/>
    <n v="61.68333333333333"/>
    <x v="0"/>
    <n v="2"/>
    <x v="0"/>
    <n v="0"/>
    <n v="48"/>
    <n v="32"/>
    <n v="16"/>
    <n v="9.75"/>
    <x v="0"/>
  </r>
  <r>
    <x v="2"/>
    <x v="0"/>
    <d v="2024-11-22T19:49:36"/>
    <s v="OMNAE8KRR"/>
    <x v="1"/>
    <s v="UBK 858R"/>
    <s v="ALIPA EREKU"/>
    <s v="Kobusinge Steven-Kamwenge"/>
    <n v="156"/>
    <s v="Z81235"/>
    <x v="13"/>
    <x v="0"/>
    <x v="0"/>
    <x v="0"/>
    <x v="13"/>
    <x v="13"/>
    <n v="158"/>
    <n v="-72"/>
    <x v="0"/>
    <d v="2024-11-22T20:25:00"/>
    <d v="2024-11-23T03:17:00"/>
    <d v="2024-11-22T21:09:00"/>
    <n v="-360.35"/>
    <n v="43.06666666666667"/>
    <x v="1"/>
    <d v="2024-11-23T14:07:00"/>
    <d v="2024-11-23T16:40:00"/>
    <n v="149.80000000000001"/>
    <x v="0"/>
    <d v="2024-11-23T19:14:00"/>
    <d v="2024-11-23T21:34:00"/>
    <n v="137.06666666666666"/>
    <x v="4"/>
    <n v="0.92013888889050577"/>
    <x v="7"/>
    <n v="-0.37986111110949428"/>
    <n v="22.083333333372138"/>
    <n v="0"/>
    <n v="22.083333333372138"/>
    <n v="7.0641509433838134"/>
    <x v="0"/>
  </r>
  <r>
    <x v="2"/>
    <x v="0"/>
    <d v="2024-11-22T19:50:35"/>
    <s v="OM4QAKIRR"/>
    <x v="1"/>
    <s v="UBK 882R"/>
    <s v="NASASIRA STEPHENE"/>
    <s v="Kato Investment Ltd -Mityana"/>
    <n v="172.8"/>
    <s v="A18640"/>
    <x v="16"/>
    <x v="0"/>
    <x v="0"/>
    <x v="0"/>
    <x v="16"/>
    <x v="16"/>
    <n v="757"/>
    <n v="67"/>
    <x v="1"/>
    <d v="2024-11-22T19:22:00"/>
    <d v="2024-11-22T20:30:00"/>
    <d v="2024-11-22T20:07:00"/>
    <n v="-22.533333333333335"/>
    <n v="44.05"/>
    <x v="1"/>
    <d v="2024-11-23T13:02:00"/>
    <d v="2024-11-23T18:27:00"/>
    <n v="318.21666666666664"/>
    <x v="0"/>
    <d v="2024-11-24T10:45:00"/>
    <d v="2024-11-24T11:52:00"/>
    <n v="65.599999999999994"/>
    <x v="0"/>
    <n v="1.609722222223354"/>
    <x v="0"/>
    <n v="-0.39027777777664596"/>
    <n v="38.633333333360497"/>
    <n v="12"/>
    <n v="26.633333333360497"/>
    <n v="6.4881101376654735"/>
    <x v="0"/>
  </r>
  <r>
    <x v="2"/>
    <x v="0"/>
    <d v="2024-11-22T20:44:20"/>
    <s v="OMYMJXCRR"/>
    <x v="1"/>
    <s v="UBM 565R"/>
    <s v="BAZALE SAID"/>
    <s v="Sawan Distributors Ltd-Nabingo"/>
    <n v="156"/>
    <s v="A18647"/>
    <x v="21"/>
    <x v="0"/>
    <x v="0"/>
    <x v="0"/>
    <x v="21"/>
    <x v="2"/>
    <n v="566"/>
    <n v="6"/>
    <x v="0"/>
    <d v="2024-11-23T08:27:00"/>
    <d v="2024-11-23T02:30:00"/>
    <d v="2024-11-23T09:17:00"/>
    <n v="398.51666666666665"/>
    <n v="48.95"/>
    <x v="8"/>
    <d v="2024-11-25T09:32:00"/>
    <d v="2024-11-25T12:30:00"/>
    <n v="174.28333333333333"/>
    <x v="0"/>
    <d v="2024-11-25T20:42:00"/>
    <d v="2024-11-25T21:56:00"/>
    <n v="72.45"/>
    <x v="0"/>
    <n v="2.4756944444452529"/>
    <x v="0"/>
    <n v="0.47569444444525288"/>
    <n v="59.416666666686069"/>
    <n v="32"/>
    <n v="27.416666666686069"/>
    <n v="5.6899696048591952"/>
    <x v="0"/>
  </r>
  <r>
    <x v="2"/>
    <x v="0"/>
    <d v="2024-11-23T00:00:00"/>
    <s v="OM02KRP0"/>
    <x v="0"/>
    <s v="UBE 687K"/>
    <m/>
    <s v="Kobusinge Steven-Kamwenge"/>
    <n v="156"/>
    <s v="Z81250"/>
    <x v="13"/>
    <x v="0"/>
    <x v="0"/>
    <x v="0"/>
    <x v="13"/>
    <x v="13"/>
    <n v="236"/>
    <n v="6"/>
    <x v="0"/>
    <d v="2024-11-23T07:58:00"/>
    <d v="2024-11-23T07:30:00"/>
    <d v="2024-11-23T08:38:00"/>
    <n v="66.583333333333329"/>
    <n v="39.166666666666664"/>
    <x v="1"/>
    <d v="2024-11-24T09:08:00"/>
    <d v="2024-11-24T14:34:00"/>
    <n v="319.2"/>
    <x v="0"/>
    <d v="2024-11-24T20:04:00"/>
    <d v="2024-11-24T21:20:00"/>
    <n v="74.400000000000006"/>
    <x v="0"/>
    <n v="1.476388888891961"/>
    <x v="7"/>
    <n v="0.17638888889196092"/>
    <n v="35.433333333407063"/>
    <n v="12"/>
    <n v="23.433333333407063"/>
    <n v="6.6571834992678163"/>
    <x v="0"/>
  </r>
  <r>
    <x v="2"/>
    <x v="0"/>
    <d v="2024-11-23T00:00:00"/>
    <s v="OM02KRNZ"/>
    <x v="0"/>
    <s v="UBE 684K"/>
    <m/>
    <s v="Kobusinge Steven-FPortal"/>
    <n v="156"/>
    <s v="Z81249"/>
    <x v="11"/>
    <x v="0"/>
    <x v="0"/>
    <x v="0"/>
    <x v="11"/>
    <x v="11"/>
    <n v="380"/>
    <n v="-10"/>
    <x v="0"/>
    <d v="2024-11-23T07:58:00"/>
    <d v="2024-11-23T07:30:00"/>
    <d v="2024-11-23T08:45:00"/>
    <n v="73.433333333333337"/>
    <n v="46.016666666666666"/>
    <x v="1"/>
    <d v="2024-11-24T10:15:00"/>
    <d v="2024-11-24T15:48:00"/>
    <n v="326.05"/>
    <x v="0"/>
    <d v="2024-11-25T08:54:22"/>
    <d v="2024-11-25T09:56:22"/>
    <n v="60.7"/>
    <x v="0"/>
    <n v="2.0065000000031432"/>
    <x v="0"/>
    <n v="6.5000000031432137E-3"/>
    <n v="48.156000000075437"/>
    <n v="24"/>
    <n v="24.156000000075437"/>
    <n v="6.4580228514453069"/>
    <x v="0"/>
  </r>
  <r>
    <x v="2"/>
    <x v="0"/>
    <d v="2024-11-23T00:00:00"/>
    <s v="OM02KRMH"/>
    <x v="0"/>
    <s v="UBE 690K"/>
    <s v="MUKOSE MUZAMIRU"/>
    <s v="Kobusinge Steven-Kamwenge"/>
    <n v="156"/>
    <s v="Z81245"/>
    <x v="13"/>
    <x v="0"/>
    <x v="0"/>
    <x v="0"/>
    <x v="13"/>
    <x v="13"/>
    <n v="158"/>
    <n v="-72"/>
    <x v="0"/>
    <d v="2024-11-23T07:58:00"/>
    <d v="2024-11-23T07:30:00"/>
    <d v="2024-11-23T08:46:00"/>
    <n v="74.400000000000006"/>
    <n v="46.983333333333334"/>
    <x v="1"/>
    <d v="2024-11-24T09:46:00"/>
    <d v="2024-11-24T14:27:00"/>
    <n v="275.13333333333333"/>
    <x v="0"/>
    <d v="2024-11-24T19:57:00"/>
    <d v="2024-11-24T21:05:00"/>
    <n v="66.583333333333329"/>
    <x v="0"/>
    <n v="1.4659722222204437"/>
    <x v="7"/>
    <n v="0.16597222222044361"/>
    <n v="35.183333333290648"/>
    <n v="12"/>
    <n v="23.183333333290648"/>
    <n v="6.7289719626292124"/>
    <x v="0"/>
  </r>
  <r>
    <x v="2"/>
    <x v="0"/>
    <d v="2024-11-23T13:55:55"/>
    <s v="OMFS146RR"/>
    <x v="1"/>
    <s v="UBK 862R"/>
    <s v="SULAIMAN MUBIRU"/>
    <s v="Kabaco U Ltd"/>
    <n v="156"/>
    <s v="Z81241"/>
    <x v="6"/>
    <x v="0"/>
    <x v="0"/>
    <x v="0"/>
    <x v="6"/>
    <x v="6"/>
    <n v="324"/>
    <n v="4"/>
    <x v="0"/>
    <d v="2024-11-23T13:48:00"/>
    <d v="2024-11-24T02:22:00"/>
    <d v="2024-11-23T14:48:00"/>
    <n v="-679.55"/>
    <n v="58.733333333333334"/>
    <x v="9"/>
    <d v="2024-11-24T09:12:00"/>
    <d v="2024-11-24T15:02:00"/>
    <n v="342.7"/>
    <x v="0"/>
    <d v="2024-11-24T17:46:00"/>
    <d v="2024-11-24T18:55:00"/>
    <n v="67.55"/>
    <x v="0"/>
    <n v="1.1236111111065838"/>
    <x v="3"/>
    <n v="-0.37638888889341615"/>
    <n v="26.966666666558012"/>
    <n v="16"/>
    <n v="10.966666666558012"/>
    <n v="14.22492401229899"/>
    <x v="0"/>
  </r>
  <r>
    <x v="2"/>
    <x v="0"/>
    <d v="2024-11-23T13:57:57"/>
    <s v="OMH9JTBRR"/>
    <x v="1"/>
    <s v="UBM 644D"/>
    <s v="KAJUBI ISMA"/>
    <s v="KATO INVESTMENTS LTD-KATIKARA"/>
    <n v="156"/>
    <s v="A18658"/>
    <x v="5"/>
    <x v="0"/>
    <x v="0"/>
    <x v="0"/>
    <x v="5"/>
    <x v="5"/>
    <n v="860"/>
    <n v="30"/>
    <x v="0"/>
    <d v="2024-11-24T10:54:00"/>
    <d v="2024-11-23T17:30:00"/>
    <d v="2024-11-24T11:36:00"/>
    <n v="1063.3666666666666"/>
    <n v="41.116666666666667"/>
    <x v="1"/>
    <d v="2024-11-25T07:04:00"/>
    <d v="2024-11-25T19:11:00"/>
    <n v="711.85"/>
    <x v="0"/>
    <d v="2024-11-26T06:54:00"/>
    <d v="2024-11-26T09:14:00"/>
    <n v="137.08333333333334"/>
    <x v="4"/>
    <n v="1.8041666666686069"/>
    <x v="0"/>
    <n v="-0.19583333333139308"/>
    <n v="43.300000000046566"/>
    <n v="12"/>
    <n v="31.300000000046566"/>
    <n v="4.9840255590980167"/>
    <x v="0"/>
  </r>
  <r>
    <x v="2"/>
    <x v="0"/>
    <d v="2024-11-23T14:00:31"/>
    <s v="OMWHWKNRR"/>
    <x v="1"/>
    <s v="UBJ 705D"/>
    <s v="KASULE JOHNBOSC"/>
    <s v="Kato Investments Ltd-Bulenga"/>
    <n v="152.68799999999999"/>
    <s v="A18659"/>
    <x v="2"/>
    <x v="0"/>
    <x v="0"/>
    <x v="0"/>
    <x v="2"/>
    <x v="2"/>
    <n v="547"/>
    <n v="-13"/>
    <x v="0"/>
    <d v="2024-11-23T15:42:00"/>
    <d v="2024-11-23T20:13:00"/>
    <d v="2024-11-23T16:29:00"/>
    <n v="-219.35"/>
    <n v="46.016666666666666"/>
    <x v="1"/>
    <d v="2024-11-25T09:35:00"/>
    <d v="2024-11-25T15:12:00"/>
    <n v="329.96666666666664"/>
    <x v="0"/>
    <d v="2024-11-26T06:07:00"/>
    <d v="2024-11-26T07:28:00"/>
    <n v="79.3"/>
    <x v="0"/>
    <n v="2.5680555555591127"/>
    <x v="0"/>
    <n v="0.56805555555911269"/>
    <n v="61.633333333418705"/>
    <n v="24"/>
    <n v="37.633333333418705"/>
    <n v="4.0572542072538607"/>
    <x v="4"/>
  </r>
  <r>
    <x v="2"/>
    <x v="1"/>
    <d v="2024-11-23T15:05:50"/>
    <s v="OMADS0NRR"/>
    <x v="1"/>
    <s v="UBK 875R"/>
    <s v="Bisaso  Ronald"/>
    <s v="KATO INVESTMENTS LIMITED-MASAK"/>
    <n v="153.60000000000002"/>
    <s v="F15360"/>
    <x v="14"/>
    <x v="1"/>
    <x v="0"/>
    <x v="1"/>
    <x v="14"/>
    <x v="14"/>
    <n v="306"/>
    <n v="-34"/>
    <x v="0"/>
    <d v="2024-11-24T09:15:00"/>
    <d v="2024-11-24T04:14:00"/>
    <d v="2024-11-24T10:01:00"/>
    <n v="339.76666666666665"/>
    <n v="45.033333333333331"/>
    <x v="1"/>
    <d v="2024-11-24T14:09:00"/>
    <d v="2024-11-24T16:43:00"/>
    <n v="150.78333333333333"/>
    <x v="0"/>
    <d v="2024-11-25T09:06:00"/>
    <d v="2024-11-25T12:19:00"/>
    <n v="188.96666666666667"/>
    <x v="1"/>
    <n v="0.96180555555474712"/>
    <x v="8"/>
    <n v="-3.8194444445252884E-2"/>
    <n v="23.083333333313931"/>
    <n v="0"/>
    <n v="23.083333333313931"/>
    <n v="6.6541516245543306"/>
    <x v="0"/>
  </r>
  <r>
    <x v="2"/>
    <x v="1"/>
    <d v="2024-11-23T15:30:54"/>
    <s v="OMO6TI9RR"/>
    <x v="0"/>
    <s v="UAV 051U"/>
    <s v="Angello Lumala"/>
    <s v="KATO INVESTMENTS LTD- KALISIZO"/>
    <n v="146.976"/>
    <s v="F15362"/>
    <x v="4"/>
    <x v="1"/>
    <x v="0"/>
    <x v="1"/>
    <x v="4"/>
    <x v="4"/>
    <n v="351"/>
    <n v="1"/>
    <x v="0"/>
    <d v="2024-11-24T03:58:54"/>
    <d v="2024-11-24T03:30:54"/>
    <d v="2024-11-24T04:42:54"/>
    <n v="70.483333333333334"/>
    <n v="43.06666666666667"/>
    <x v="1"/>
    <d v="2024-11-24T11:42:54"/>
    <d v="2024-11-24T16:42:54"/>
    <n v="293.75"/>
    <x v="0"/>
    <d v="2024-11-25T16:42:54"/>
    <d v="2024-11-25T17:58:54"/>
    <n v="74.400000000000006"/>
    <x v="0"/>
    <n v="1.5"/>
    <x v="2"/>
    <n v="-0.19999999999999996"/>
    <n v="36"/>
    <n v="12"/>
    <n v="24"/>
    <n v="6.1239999999999997"/>
    <x v="0"/>
  </r>
  <r>
    <x v="2"/>
    <x v="0"/>
    <d v="2024-11-23T15:42:39"/>
    <s v="OM1H2L1RR"/>
    <x v="0"/>
    <s v="UBJ 419C"/>
    <m/>
    <s v="Kobusinge Acaali- Kyenjojo"/>
    <n v="152.68799999999999"/>
    <s v="Z81242"/>
    <x v="3"/>
    <x v="0"/>
    <x v="0"/>
    <x v="0"/>
    <x v="3"/>
    <x v="3"/>
    <n v="481"/>
    <n v="1"/>
    <x v="0"/>
    <d v="2024-11-24T04:10:39"/>
    <d v="2024-11-24T03:42:39"/>
    <d v="2024-11-24T04:50:39"/>
    <n v="66.583333333333329"/>
    <n v="39.166666666666664"/>
    <x v="1"/>
    <d v="2024-11-25T06:35:39"/>
    <d v="2024-11-25T10:56:39"/>
    <n v="255.55"/>
    <x v="0"/>
    <d v="2024-11-26T13:33:37"/>
    <d v="2024-11-26T14:43:37"/>
    <n v="68.533333333333331"/>
    <x v="0"/>
    <n v="2.3631666666624369"/>
    <x v="1"/>
    <n v="-0.13683333333756309"/>
    <n v="56.715999999898486"/>
    <n v="24"/>
    <n v="32.715999999898486"/>
    <n v="4.6670742144661252"/>
    <x v="0"/>
  </r>
  <r>
    <x v="2"/>
    <x v="0"/>
    <d v="2024-11-23T19:13:18"/>
    <s v="OM5PTNBRR"/>
    <x v="1"/>
    <s v="UBP 301H"/>
    <s v="NAMINYA SIRAJE"/>
    <s v="Kobusinge Steven-FPortal"/>
    <n v="156"/>
    <s v="Z81247"/>
    <x v="11"/>
    <x v="0"/>
    <x v="0"/>
    <x v="0"/>
    <x v="11"/>
    <x v="11"/>
    <n v="392"/>
    <n v="2"/>
    <x v="0"/>
    <d v="2024-11-23T22:10:00"/>
    <d v="2024-11-23T21:00:00"/>
    <d v="2024-11-23T23:00:00"/>
    <n v="117.5"/>
    <n v="48.95"/>
    <x v="1"/>
    <d v="2024-11-26T08:44:00"/>
    <d v="2024-11-26T14:17:00"/>
    <n v="326.05"/>
    <x v="0"/>
    <d v="2024-11-26T19:42:00"/>
    <d v="2024-11-26T21:51:00"/>
    <n v="126.3"/>
    <x v="11"/>
    <n v="2.8624999999956344"/>
    <x v="0"/>
    <n v="0.86249999999563443"/>
    <n v="68.699999999895226"/>
    <n v="24"/>
    <n v="44.699999999895226"/>
    <n v="3.4899328859142202"/>
    <x v="6"/>
  </r>
  <r>
    <x v="2"/>
    <x v="1"/>
    <d v="2024-11-23T19:19:15"/>
    <s v="OMQTV24RR"/>
    <x v="0"/>
    <s v="UAT 351G"/>
    <s v="Hamudi Sesanga"/>
    <s v="RUGOMA TRADERS CO. LTD NTUNGAM"/>
    <n v="152.70000000000002"/>
    <s v="F15363"/>
    <x v="15"/>
    <x v="1"/>
    <x v="0"/>
    <x v="1"/>
    <x v="15"/>
    <x v="15"/>
    <n v="131"/>
    <n v="1"/>
    <x v="0"/>
    <d v="2024-11-24T07:47:15"/>
    <d v="2024-11-24T07:19:15"/>
    <d v="2024-11-24T08:27:15"/>
    <n v="66.583333333333329"/>
    <n v="39.166666666666664"/>
    <x v="1"/>
    <d v="2024-11-24T10:57:15"/>
    <d v="2024-11-24T14:03:15"/>
    <n v="182.11666666666667"/>
    <x v="0"/>
    <d v="2024-11-24T16:33:15"/>
    <d v="2024-11-24T17:38:15"/>
    <n v="63.633333333333333"/>
    <x v="0"/>
    <n v="0.33749999999417923"/>
    <x v="8"/>
    <n v="-0.66250000000582077"/>
    <n v="8.0999999998603016"/>
    <n v="0"/>
    <n v="8.0999999998603016"/>
    <n v="18.851851852176985"/>
    <x v="0"/>
  </r>
  <r>
    <x v="2"/>
    <x v="1"/>
    <d v="2024-11-23T19:26:14"/>
    <s v="OMEQXB6RR"/>
    <x v="1"/>
    <s v="UBA 523T"/>
    <s v="Kabene John"/>
    <s v="Rugoma Traders-Kanungu/Kihihi"/>
    <n v="153.60000000000002"/>
    <s v="F15364"/>
    <x v="23"/>
    <x v="1"/>
    <x v="0"/>
    <x v="1"/>
    <x v="23"/>
    <x v="14"/>
    <n v="335"/>
    <n v="-5"/>
    <x v="0"/>
    <d v="2024-11-25T10:10:00"/>
    <d v="2024-11-23T09:00:00"/>
    <d v="2024-11-25T10:55:00"/>
    <n v="2932.6"/>
    <n v="44.05"/>
    <x v="1"/>
    <d v="2024-11-25T17:21:00"/>
    <d v="2024-11-26T13:48:00"/>
    <n v="1201.4333333333334"/>
    <x v="0"/>
    <d v="2024-11-26T19:07:00"/>
    <d v="2024-11-26T20:51:00"/>
    <n v="101.83333333333333"/>
    <x v="0"/>
    <n v="1.3416666666671517"/>
    <x v="3"/>
    <n v="-0.15833333333284827"/>
    <n v="32.200000000011642"/>
    <n v="12"/>
    <n v="20.200000000011642"/>
    <n v="7.6039603960352231"/>
    <x v="0"/>
  </r>
  <r>
    <x v="2"/>
    <x v="1"/>
    <d v="2024-11-23T19:30:30"/>
    <s v="OMQ2HM5RR"/>
    <x v="1"/>
    <s v="UBJ 415C"/>
    <s v="Abel Mark naffa"/>
    <s v="Rugoma Traders-Kanungu/Kihihi"/>
    <n v="153.60000000000002"/>
    <s v="F15365"/>
    <x v="23"/>
    <x v="1"/>
    <x v="0"/>
    <x v="1"/>
    <x v="23"/>
    <x v="14"/>
    <n v="281"/>
    <n v="-59"/>
    <x v="0"/>
    <d v="2024-11-24T13:34:00"/>
    <d v="2024-11-23T09:00:00"/>
    <d v="2024-11-24T14:19:00"/>
    <n v="1722.35"/>
    <n v="44.05"/>
    <x v="1"/>
    <d v="2024-11-25T11:40:00"/>
    <d v="2024-11-25T13:45:00"/>
    <n v="122.38333333333334"/>
    <x v="0"/>
    <d v="2024-11-25T18:43:00"/>
    <d v="2024-11-25T19:52:00"/>
    <n v="67.55"/>
    <x v="0"/>
    <n v="1.1833333333343035"/>
    <x v="3"/>
    <n v="-0.31666666666569654"/>
    <n v="28.400000000023283"/>
    <n v="12"/>
    <n v="16.400000000023283"/>
    <n v="9.3658536585232905"/>
    <x v="0"/>
  </r>
  <r>
    <x v="2"/>
    <x v="0"/>
    <d v="2024-11-24T18:30:07"/>
    <s v="OMGU31RRR"/>
    <x v="1"/>
    <s v="UBK 862R"/>
    <s v="SULAIMAN MUBIRU"/>
    <s v="KATO INVESTMENTS LTD-KATIKARA"/>
    <n v="156"/>
    <s v="A18695"/>
    <x v="5"/>
    <x v="0"/>
    <x v="0"/>
    <x v="0"/>
    <x v="5"/>
    <x v="5"/>
    <n v="828"/>
    <n v="-2"/>
    <x v="0"/>
    <d v="2024-11-24T18:46:00"/>
    <d v="2024-11-24T19:30:00"/>
    <d v="2024-11-24T19:35:00"/>
    <n v="4.8833333333333337"/>
    <n v="47.966666666666669"/>
    <x v="1"/>
    <d v="2024-11-25T14:10:00"/>
    <d v="2024-11-26T14:06:00"/>
    <n v="1406.0666666666666"/>
    <x v="0"/>
    <d v="2024-11-27T06:07:00"/>
    <d v="2024-11-27T08:28:00"/>
    <n v="138.05000000000001"/>
    <x v="9"/>
    <n v="2.4388888888934162"/>
    <x v="0"/>
    <n v="0.43888888889341615"/>
    <n v="58.533333333441988"/>
    <n v="24"/>
    <n v="34.533333333441988"/>
    <n v="4.5173745173603042"/>
    <x v="0"/>
  </r>
  <r>
    <x v="2"/>
    <x v="1"/>
    <d v="2024-11-24T18:31:22"/>
    <s v="OMJV5LGRR"/>
    <x v="1"/>
    <s v="UBJ 707D"/>
    <s v="Konge Husein"/>
    <s v="KATO INVESTMENTS LTD- KALISIZO"/>
    <n v="150.74400000000003"/>
    <s v="F15369"/>
    <x v="4"/>
    <x v="1"/>
    <x v="0"/>
    <x v="1"/>
    <x v="4"/>
    <x v="4"/>
    <n v="348"/>
    <n v="-2"/>
    <x v="0"/>
    <d v="2024-11-25T18:37:00"/>
    <d v="2024-11-25T03:43:00"/>
    <d v="2024-11-25T19:22:00"/>
    <n v="919.43333333333328"/>
    <n v="44.05"/>
    <x v="1"/>
    <d v="2024-11-26T20:35:00"/>
    <d v="2024-11-27T14:20:00"/>
    <n v="1042.8"/>
    <x v="0"/>
    <d v="2024-11-28T11:26:00"/>
    <d v="2024-11-28T12:43:00"/>
    <n v="75.38333333333334"/>
    <x v="0"/>
    <n v="2.6694444444510737"/>
    <x v="2"/>
    <n v="0.96944444445107369"/>
    <n v="64.066666666825768"/>
    <n v="24"/>
    <n v="40.066666666825768"/>
    <n v="3.7623294509002023"/>
    <x v="4"/>
  </r>
  <r>
    <x v="2"/>
    <x v="0"/>
    <d v="2024-11-25T00:00:00"/>
    <s v="OM02KSA4"/>
    <x v="0"/>
    <s v="UBF 070Q"/>
    <s v="NTUMWA SOLOMON"/>
    <s v="KATO INVESTMENTS LTD-KATIKARA"/>
    <n v="156"/>
    <s v="A18736"/>
    <x v="5"/>
    <x v="0"/>
    <x v="0"/>
    <x v="0"/>
    <x v="5"/>
    <x v="5"/>
    <n v="825"/>
    <n v="-5"/>
    <x v="0"/>
    <d v="2024-11-25T07:20:00"/>
    <d v="2024-11-25T07:30:00"/>
    <d v="2024-11-25T08:38:00"/>
    <n v="66.583333333333329"/>
    <n v="76.36666666666666"/>
    <x v="6"/>
    <d v="2024-11-26T09:53:00"/>
    <d v="2024-11-26T14:39:00"/>
    <n v="280.03333333333336"/>
    <x v="0"/>
    <d v="2024-11-27T19:27:00"/>
    <d v="2024-11-27T20:32:00"/>
    <n v="63.633333333333333"/>
    <x v="0"/>
    <n v="2.4506944444437977"/>
    <x v="0"/>
    <n v="0.45069444444379769"/>
    <n v="58.816666666651145"/>
    <n v="32"/>
    <n v="26.816666666651145"/>
    <n v="5.8172778123091469"/>
    <x v="0"/>
  </r>
  <r>
    <x v="2"/>
    <x v="0"/>
    <d v="2024-11-25T00:00:00"/>
    <s v="OM02KSA0"/>
    <x v="0"/>
    <s v="UBE 678K"/>
    <m/>
    <s v="Sawan Distributors Ltd-Kayabwe"/>
    <n v="156"/>
    <s v="A18733"/>
    <x v="9"/>
    <x v="0"/>
    <x v="0"/>
    <x v="0"/>
    <x v="9"/>
    <x v="9"/>
    <n v="402"/>
    <n v="2"/>
    <x v="0"/>
    <d v="2024-11-25T07:58:00"/>
    <d v="2024-11-25T07:30:00"/>
    <d v="2024-11-25T08:38:00"/>
    <n v="66.583333333333329"/>
    <n v="39.166666666666664"/>
    <x v="1"/>
    <d v="2024-11-25T17:38:00"/>
    <d v="2024-11-26T17:13:31"/>
    <n v="1386.0166666666667"/>
    <x v="0"/>
    <d v="2024-11-27T11:56:43"/>
    <d v="2024-11-27T12:59:43"/>
    <n v="61.68333333333333"/>
    <x v="0"/>
    <n v="2.1379999999990105"/>
    <x v="0"/>
    <n v="0.13799999999901047"/>
    <n v="51.311999999976251"/>
    <n v="24"/>
    <n v="27.311999999976251"/>
    <n v="5.7117750439416977"/>
    <x v="0"/>
  </r>
  <r>
    <x v="2"/>
    <x v="0"/>
    <d v="2024-11-25T00:00:00"/>
    <s v="OM02KS95"/>
    <x v="0"/>
    <s v="UBE 690K"/>
    <s v="MUKOSE MUZAMIRU"/>
    <s v="Kato Investments Ltd- Kyegegwa"/>
    <n v="151.68"/>
    <s v="A18726"/>
    <x v="18"/>
    <x v="0"/>
    <x v="0"/>
    <x v="0"/>
    <x v="18"/>
    <x v="18"/>
    <n v="581"/>
    <n v="16"/>
    <x v="0"/>
    <d v="2024-11-25T07:58:00"/>
    <d v="2024-11-25T07:30:00"/>
    <d v="2024-11-25T08:46:00"/>
    <n v="74.400000000000006"/>
    <n v="46.983333333333334"/>
    <x v="1"/>
    <d v="2024-11-26T10:16:00"/>
    <d v="2024-11-26T15:16:00"/>
    <n v="293.75"/>
    <x v="0"/>
    <d v="2024-11-27T09:59:12"/>
    <d v="2024-11-27T11:19:12"/>
    <n v="78.316666666666663"/>
    <x v="0"/>
    <n v="2.0508333333345945"/>
    <x v="0"/>
    <n v="5.0833333334594499E-2"/>
    <n v="49.220000000030268"/>
    <n v="24"/>
    <n v="25.220000000030268"/>
    <n v="6.0142743854011886"/>
    <x v="0"/>
  </r>
  <r>
    <x v="2"/>
    <x v="1"/>
    <d v="2024-11-25T13:53:16"/>
    <s v="OM852LCRR"/>
    <x v="1"/>
    <s v="UBJ 415C"/>
    <s v="Abel Mark naffa"/>
    <s v="KATO INVESTMENTS LIMITED-MASAK"/>
    <n v="151.94400000000002"/>
    <s v="F15370"/>
    <x v="14"/>
    <x v="1"/>
    <x v="0"/>
    <x v="1"/>
    <x v="14"/>
    <x v="14"/>
    <n v="474"/>
    <n v="134"/>
    <x v="0"/>
    <d v="2024-11-25T21:12:00"/>
    <d v="2024-11-26T04:14:00"/>
    <d v="2024-11-25T21:58:00"/>
    <n v="-368.16666666666669"/>
    <n v="45.033333333333331"/>
    <x v="1"/>
    <d v="2024-11-26T13:25:00"/>
    <d v="2024-11-26T18:52:00"/>
    <n v="320.18333333333334"/>
    <x v="0"/>
    <d v="2024-11-28T11:14:00"/>
    <d v="2024-11-28T12:38:00"/>
    <n v="82.25"/>
    <x v="0"/>
    <n v="2.5527777777751908"/>
    <x v="8"/>
    <n v="1.5527777777751908"/>
    <n v="61.266666666604578"/>
    <n v="24"/>
    <n v="37.266666666604578"/>
    <n v="4.077209302332375"/>
    <x v="10"/>
  </r>
  <r>
    <x v="2"/>
    <x v="1"/>
    <d v="2024-11-25T13:59:17"/>
    <s v="OM42JSIRR"/>
    <x v="1"/>
    <s v="UBE 422T"/>
    <s v="Jacob Oneka"/>
    <s v="RUGOMA TRADERS CO. LTD NTUNGAM"/>
    <n v="153.60000000000002"/>
    <s v="F15373"/>
    <x v="15"/>
    <x v="1"/>
    <x v="0"/>
    <x v="1"/>
    <x v="15"/>
    <x v="15"/>
    <n v="131"/>
    <n v="1"/>
    <x v="0"/>
    <d v="2024-11-25T15:19:00"/>
    <d v="2024-11-26T06:15:00"/>
    <d v="2024-11-25T16:04:00"/>
    <n v="-833.2833333333333"/>
    <n v="44.05"/>
    <x v="1"/>
    <d v="2024-11-25T17:51:00"/>
    <d v="2024-11-26T11:46:00"/>
    <n v="1052.5999999999999"/>
    <x v="0"/>
    <d v="2024-11-26T13:25:00"/>
    <d v="2024-11-26T15:57:00"/>
    <n v="148.81666666666666"/>
    <x v="6"/>
    <n v="0.88958333333721384"/>
    <x v="8"/>
    <n v="-0.11041666666278616"/>
    <n v="21.350000000093132"/>
    <n v="0"/>
    <n v="21.350000000093132"/>
    <n v="7.1943793910693206"/>
    <x v="0"/>
  </r>
  <r>
    <x v="2"/>
    <x v="1"/>
    <d v="2024-11-25T22:09:08"/>
    <s v="OMW0L1TRR"/>
    <x v="1"/>
    <s v="UAY 265V"/>
    <s v="Luyaga Isaac"/>
    <s v="KATO INVESTMENTS LIMITED-MASAK"/>
    <n v="153.60000000000002"/>
    <s v="F15378"/>
    <x v="14"/>
    <x v="1"/>
    <x v="0"/>
    <x v="1"/>
    <x v="14"/>
    <x v="14"/>
    <n v="295"/>
    <n v="-45"/>
    <x v="0"/>
    <d v="2024-11-26T10:01:00"/>
    <d v="2024-11-26T04:14:00"/>
    <d v="2024-11-26T10:48:00"/>
    <n v="385.78333333333336"/>
    <n v="46.016666666666666"/>
    <x v="1"/>
    <d v="2024-11-26T16:29:00"/>
    <d v="2024-11-27T11:56:00"/>
    <n v="1142.6833333333334"/>
    <x v="0"/>
    <d v="2024-11-27T16:20:00"/>
    <d v="2024-11-27T18:23:00"/>
    <n v="120.43333333333334"/>
    <x v="11"/>
    <n v="1.2305555555576575"/>
    <x v="8"/>
    <n v="0.2305555555576575"/>
    <n v="29.53333333338378"/>
    <n v="12"/>
    <n v="17.53333333338378"/>
    <n v="8.7604562737390541"/>
    <x v="0"/>
  </r>
  <r>
    <x v="2"/>
    <x v="0"/>
    <d v="2024-11-26T22:05:09"/>
    <s v="OMSRJDCRR"/>
    <x v="1"/>
    <s v="UBM 644D"/>
    <s v="KAJUBI ISMA"/>
    <s v="Kabaco U Ltd"/>
    <n v="156"/>
    <s v="Z81307"/>
    <x v="6"/>
    <x v="0"/>
    <x v="0"/>
    <x v="0"/>
    <x v="6"/>
    <x v="6"/>
    <n v="318"/>
    <n v="-2"/>
    <x v="0"/>
    <d v="2024-11-27T18:35:00"/>
    <d v="2024-11-27T02:22:00"/>
    <d v="2024-11-27T19:21:00"/>
    <n v="997.76666666666665"/>
    <n v="45.033333333333331"/>
    <x v="1"/>
    <d v="2024-11-30T14:34:00"/>
    <d v="2024-11-30T19:38:00"/>
    <n v="297.66666666666669"/>
    <x v="0"/>
    <d v="2024-11-30T18:59:00"/>
    <d v="2024-11-30T20:01:00"/>
    <n v="60.7"/>
    <x v="0"/>
    <n v="2.984722222223354"/>
    <x v="3"/>
    <n v="1.484722222223354"/>
    <n v="71.633333333360497"/>
    <n v="24"/>
    <n v="47.633333333360497"/>
    <n v="3.275017494749707"/>
    <x v="1"/>
  </r>
  <r>
    <x v="2"/>
    <x v="1"/>
    <d v="2024-11-26T22:06:13"/>
    <s v="OM9WGBFRR"/>
    <x v="1"/>
    <s v="UAY 265V"/>
    <s v="Luyaga Isaac"/>
    <s v="Ntale and Sons"/>
    <n v="153.60000000000002"/>
    <s v="A18785"/>
    <x v="19"/>
    <x v="1"/>
    <x v="0"/>
    <x v="1"/>
    <x v="19"/>
    <x v="19"/>
    <n v="796"/>
    <n v="-14"/>
    <x v="0"/>
    <d v="2024-12-27T10:28:00"/>
    <d v="2024-11-26T22:00:00"/>
    <d v="2024-12-27T11:15:00"/>
    <n v="43078.433333333334"/>
    <n v="46.016666666666666"/>
    <x v="8"/>
    <d v="2024-12-28T07:17:00"/>
    <d v="2024-12-28T11:22:00"/>
    <n v="239.88333333333333"/>
    <x v="0"/>
    <d v="2025-01-01T11:24:00"/>
    <d v="2025-01-01T12:59:00"/>
    <n v="93.016666666666666"/>
    <x v="0"/>
    <n v="5.0062499999985448"/>
    <x v="4"/>
    <n v="2.0062499999985448"/>
    <n v="120.14999999996508"/>
    <n v="80"/>
    <n v="40.149999999965075"/>
    <n v="3.8256537982598662"/>
    <x v="6"/>
  </r>
  <r>
    <x v="2"/>
    <x v="1"/>
    <d v="2024-11-26T22:09:25"/>
    <s v="OMB594CRR"/>
    <x v="1"/>
    <s v="UBE 422T"/>
    <s v="Jacob Oneka"/>
    <s v="Kabaco U Ltd"/>
    <n v="153.60000000000002"/>
    <s v="Z81309"/>
    <x v="6"/>
    <x v="1"/>
    <x v="0"/>
    <x v="1"/>
    <x v="6"/>
    <x v="6"/>
    <n v="455"/>
    <n v="135"/>
    <x v="0"/>
    <d v="2024-11-28T17:07:00"/>
    <d v="2024-11-27T02:22:00"/>
    <d v="2024-11-28T17:53:00"/>
    <n v="2321.6"/>
    <n v="45.033333333333331"/>
    <x v="1"/>
    <d v="2024-11-29T12:59:00"/>
    <d v="2024-11-29T18:03:00"/>
    <n v="297.64999999999998"/>
    <x v="0"/>
    <d v="2024-11-30T17:25:00"/>
    <d v="2024-11-30T18:30:00"/>
    <n v="63.633333333333333"/>
    <x v="0"/>
    <n v="1.9805555555576575"/>
    <x v="3"/>
    <n v="0.4805555555576575"/>
    <n v="47.53333333338378"/>
    <n v="12"/>
    <n v="35.53333333338378"/>
    <n v="4.3227016885492109"/>
    <x v="0"/>
  </r>
  <r>
    <x v="2"/>
    <x v="1"/>
    <d v="2024-11-26T22:15:20"/>
    <s v="OMNLNDVRR"/>
    <x v="1"/>
    <s v="UAV 203T"/>
    <s v="Mugisha  George"/>
    <s v="Kabaco U Ltd-Mbarara"/>
    <n v="150.74400000000003"/>
    <s v="Z81310"/>
    <x v="8"/>
    <x v="1"/>
    <x v="0"/>
    <x v="1"/>
    <x v="8"/>
    <x v="8"/>
    <n v="13"/>
    <n v="2"/>
    <x v="0"/>
    <d v="2024-11-27T17:02:00"/>
    <d v="2024-11-27T07:42:00"/>
    <d v="2024-11-27T17:51:00"/>
    <n v="596.29999999999995"/>
    <n v="47.966666666666669"/>
    <x v="1"/>
    <d v="2024-11-28T13:56:00"/>
    <d v="2024-11-28T17:57:00"/>
    <n v="235.96666666666667"/>
    <x v="0"/>
    <d v="2024-11-28T16:59:00"/>
    <d v="2024-11-28T18:06:00"/>
    <n v="65.599999999999994"/>
    <x v="0"/>
    <n v="0.96388888888759539"/>
    <x v="5"/>
    <n v="0.16388888888759534"/>
    <n v="23.133333333302289"/>
    <n v="0"/>
    <n v="23.133333333302289"/>
    <n v="6.5163112392018299"/>
    <x v="0"/>
  </r>
  <r>
    <x v="2"/>
    <x v="0"/>
    <d v="2024-11-26T22:16:26"/>
    <s v="OM4OC81RR"/>
    <x v="1"/>
    <s v="UBK 858R"/>
    <s v="ALIPA EREKU"/>
    <s v="Kato Investment Ltd -Kagadi"/>
    <n v="136.34400000000002"/>
    <s v="A18790"/>
    <x v="12"/>
    <x v="0"/>
    <x v="0"/>
    <x v="0"/>
    <x v="12"/>
    <x v="12"/>
    <n v="616"/>
    <n v="4"/>
    <x v="0"/>
    <d v="2024-11-27T18:38:00"/>
    <d v="2024-11-26T22:30:00"/>
    <d v="2024-11-27T19:22:00"/>
    <n v="1225.9000000000001"/>
    <n v="43.06666666666667"/>
    <x v="1"/>
    <d v="2024-11-28T14:37:00"/>
    <d v="2024-11-28T19:39:00"/>
    <n v="295.7"/>
    <x v="0"/>
    <d v="2024-11-30T18:51:00"/>
    <d v="2024-11-30T20:02:00"/>
    <n v="69.516666666666666"/>
    <x v="0"/>
    <n v="2.9784722222248092"/>
    <x v="6"/>
    <n v="0.67847222222480941"/>
    <n v="71.483333333395422"/>
    <n v="24"/>
    <n v="47.483333333395422"/>
    <n v="2.8714075114037572"/>
    <x v="9"/>
  </r>
  <r>
    <x v="2"/>
    <x v="1"/>
    <d v="2024-11-26T22:17:20"/>
    <s v="OM5EPFLRR"/>
    <x v="0"/>
    <s v="UAR 731Q"/>
    <s v="Godwin Niwensiima"/>
    <s v="KATO INVESTMENTS LIMITED-MASAK"/>
    <n v="147.88800000000001"/>
    <s v="F15391"/>
    <x v="14"/>
    <x v="1"/>
    <x v="0"/>
    <x v="1"/>
    <x v="14"/>
    <x v="14"/>
    <n v="415"/>
    <n v="75"/>
    <x v="0"/>
    <d v="2024-11-27T10:45:20"/>
    <d v="2024-11-27T10:17:20"/>
    <d v="2024-11-27T11:25:20"/>
    <n v="66.583333333333329"/>
    <n v="39.166666666666664"/>
    <x v="1"/>
    <d v="2024-11-27T14:38:20"/>
    <d v="2024-11-27T18:29:20"/>
    <n v="226.18333333333334"/>
    <x v="0"/>
    <d v="2024-11-28T08:53:20"/>
    <d v="2024-11-28T09:56:20"/>
    <n v="61.68333333333333"/>
    <x v="0"/>
    <n v="0.8944444444423425"/>
    <x v="8"/>
    <n v="-0.1055555555576575"/>
    <n v="21.46666666661622"/>
    <n v="0"/>
    <n v="21.46666666661622"/>
    <n v="6.8891925466000412"/>
    <x v="0"/>
  </r>
  <r>
    <x v="2"/>
    <x v="1"/>
    <d v="2024-11-26T22:45:32"/>
    <s v="OM9WJ15RR"/>
    <x v="1"/>
    <s v="UBE 287X"/>
    <s v="Isaac Tumuhimbise"/>
    <s v="KATO INVESTMENTS LIMITED-MASAK"/>
    <n v="151.94400000000002"/>
    <s v="F15392"/>
    <x v="14"/>
    <x v="1"/>
    <x v="0"/>
    <x v="1"/>
    <x v="14"/>
    <x v="14"/>
    <n v="401"/>
    <n v="61"/>
    <x v="6"/>
    <d v="2024-11-27T15:28:00"/>
    <d v="2024-11-26T08:30:00"/>
    <d v="2024-11-27T16:13:00"/>
    <n v="1863.35"/>
    <n v="44.05"/>
    <x v="1"/>
    <d v="2024-11-28T12:21:00"/>
    <d v="2024-11-28T16:22:00"/>
    <n v="235.96666666666667"/>
    <x v="0"/>
    <d v="2024-11-29T16:26:00"/>
    <d v="2024-11-29T17:40:00"/>
    <n v="72.45"/>
    <x v="0"/>
    <n v="2.0090277777781012"/>
    <x v="8"/>
    <n v="1.0090277777781012"/>
    <n v="48.216666666674428"/>
    <n v="24"/>
    <n v="24.216666666674428"/>
    <n v="6.2743565037832614"/>
    <x v="0"/>
  </r>
  <r>
    <x v="2"/>
    <x v="0"/>
    <d v="2024-11-26T22:52:33"/>
    <s v="OMWVNSKRR"/>
    <x v="0"/>
    <s v="UBF 379L"/>
    <m/>
    <s v="Kobusinge Steven-FPortal"/>
    <n v="119.08799999999999"/>
    <s v="Z81311"/>
    <x v="11"/>
    <x v="0"/>
    <x v="0"/>
    <x v="0"/>
    <x v="11"/>
    <x v="11"/>
    <n v="380"/>
    <n v="-10"/>
    <x v="0"/>
    <d v="2024-11-27T11:20:33"/>
    <d v="2024-11-27T10:52:33"/>
    <d v="2024-11-27T12:20:33"/>
    <n v="86.15"/>
    <n v="58.733333333333334"/>
    <x v="12"/>
    <d v="2024-11-28T10:50:33"/>
    <d v="2024-11-28T17:43:33"/>
    <n v="404.38333333333333"/>
    <x v="0"/>
    <d v="2024-11-29T11:33:45"/>
    <d v="2024-11-29T12:38:45"/>
    <n v="63.633333333333333"/>
    <x v="0"/>
    <n v="1.9674999999988358"/>
    <x v="0"/>
    <n v="-3.2500000001164153E-2"/>
    <n v="47.21999999997206"/>
    <n v="16"/>
    <n v="31.21999999997206"/>
    <n v="3.8144778987862451"/>
    <x v="0"/>
  </r>
  <r>
    <x v="2"/>
    <x v="0"/>
    <d v="2024-11-27T20:01:15"/>
    <s v="OMTYOBNRR"/>
    <x v="0"/>
    <s v="UBP 301H"/>
    <m/>
    <s v="Kabaco U Ltd"/>
    <n v="156"/>
    <s v="Z81324"/>
    <x v="6"/>
    <x v="0"/>
    <x v="0"/>
    <x v="0"/>
    <x v="6"/>
    <x v="6"/>
    <n v="324"/>
    <n v="4"/>
    <x v="0"/>
    <d v="2024-11-28T08:29:15"/>
    <d v="2024-11-28T08:01:15"/>
    <d v="2024-11-28T09:09:15"/>
    <n v="66.583333333333329"/>
    <n v="39.166666666666664"/>
    <x v="1"/>
    <d v="2024-11-28T15:09:15"/>
    <d v="2024-11-28T18:15:15"/>
    <n v="182.11666666666667"/>
    <x v="0"/>
    <d v="2024-11-28T23:35:15"/>
    <d v="2024-11-29T00:40:15"/>
    <n v="63.633333333333333"/>
    <x v="0"/>
    <n v="0.601388888884685"/>
    <x v="3"/>
    <n v="-0.898611111115315"/>
    <n v="14.43333333323244"/>
    <n v="0"/>
    <n v="14.43333333323244"/>
    <n v="10.808314087835369"/>
    <x v="0"/>
  </r>
  <r>
    <x v="2"/>
    <x v="1"/>
    <d v="2024-11-27T20:43:13"/>
    <s v="OMIWACPRR"/>
    <x v="0"/>
    <s v="UBJ 988D"/>
    <m/>
    <s v="Kabaco U Ltd-Mbarara"/>
    <n v="122.4"/>
    <s v="Z81329"/>
    <x v="8"/>
    <x v="1"/>
    <x v="0"/>
    <x v="1"/>
    <x v="8"/>
    <x v="8"/>
    <n v="11"/>
    <n v="0"/>
    <x v="0"/>
    <d v="2024-11-28T09:11:13"/>
    <d v="2024-11-28T08:43:13"/>
    <d v="2024-11-28T10:11:13"/>
    <n v="86.15"/>
    <n v="58.733333333333334"/>
    <x v="9"/>
    <d v="2024-11-28T10:36:13"/>
    <d v="2024-11-28T16:19:13"/>
    <n v="335.85"/>
    <x v="0"/>
    <d v="2024-11-28T16:52:13"/>
    <d v="2024-11-28T17:55:13"/>
    <n v="61.68333333333333"/>
    <x v="0"/>
    <n v="0.27847222222044365"/>
    <x v="5"/>
    <n v="-0.52152777777955639"/>
    <n v="6.6833333332906477"/>
    <n v="0"/>
    <n v="6.6833333332906477"/>
    <n v="18.31421446395737"/>
    <x v="0"/>
  </r>
  <r>
    <x v="2"/>
    <x v="1"/>
    <d v="2024-11-28T19:10:39"/>
    <s v="OMF46TCRR"/>
    <x v="1"/>
    <s v="UBE 422T"/>
    <s v="Jacob Oneka"/>
    <s v="Bates Enterprises U Ltd"/>
    <n v="153.60000000000002"/>
    <s v="Z81362"/>
    <x v="7"/>
    <x v="1"/>
    <x v="0"/>
    <x v="1"/>
    <x v="7"/>
    <x v="7"/>
    <n v="549"/>
    <n v="-57"/>
    <x v="0"/>
    <d v="2024-11-29T08:55:00"/>
    <d v="2024-11-28T19:30:00"/>
    <d v="2024-11-29T09:45:00"/>
    <n v="837.18333333333328"/>
    <n v="48.95"/>
    <x v="8"/>
    <d v="2024-11-29T18:18:00"/>
    <d v="2024-12-01T13:59:00"/>
    <n v="2566.3833333333332"/>
    <x v="0"/>
    <d v="2024-12-02T08:02:00"/>
    <d v="2024-12-02T09:48:00"/>
    <n v="103.78333333333333"/>
    <x v="0"/>
    <n v="2.9284722222218988"/>
    <x v="4"/>
    <n v="-7.1527777778101154E-2"/>
    <n v="70.283333333325572"/>
    <n v="32"/>
    <n v="38.283333333325572"/>
    <n v="4.0121898128001172"/>
    <x v="0"/>
  </r>
  <r>
    <x v="2"/>
    <x v="0"/>
    <d v="2024-11-29T00:00:00"/>
    <s v="OM02KV56"/>
    <x v="0"/>
    <s v="UBP 311H"/>
    <s v="Ekwalikwa Yusuf"/>
    <s v="Kato Investments Ltd-Bulenga"/>
    <n v="156"/>
    <s v="A18909"/>
    <x v="2"/>
    <x v="0"/>
    <x v="0"/>
    <x v="0"/>
    <x v="2"/>
    <x v="2"/>
    <n v="593"/>
    <n v="33"/>
    <x v="0"/>
    <d v="2024-11-29T07:58:00"/>
    <d v="2024-11-29T07:30:00"/>
    <d v="2024-11-29T08:58:00"/>
    <n v="86.15"/>
    <n v="58.733333333333334"/>
    <x v="5"/>
    <d v="2024-11-30T08:58:00"/>
    <d v="2024-11-30T12:19:00"/>
    <n v="196.8"/>
    <x v="0"/>
    <d v="2024-12-01T08:58:00"/>
    <d v="2024-12-01T10:14:00"/>
    <n v="74.400000000000006"/>
    <x v="0"/>
    <n v="2"/>
    <x v="0"/>
    <n v="0"/>
    <n v="48"/>
    <n v="32"/>
    <n v="16"/>
    <n v="9.75"/>
    <x v="0"/>
  </r>
  <r>
    <x v="2"/>
    <x v="0"/>
    <d v="2024-11-29T00:00:00"/>
    <s v="OM02KV5G"/>
    <x v="0"/>
    <s v="UBE 690K"/>
    <s v="MUKOSE MUZAMIRU"/>
    <s v="Boniface Harera"/>
    <n v="156"/>
    <s v="F15408"/>
    <x v="10"/>
    <x v="0"/>
    <x v="0"/>
    <x v="0"/>
    <x v="10"/>
    <x v="10"/>
    <n v="465"/>
    <n v="-5"/>
    <x v="0"/>
    <d v="2024-11-29T07:58:00"/>
    <d v="2024-11-29T07:30:00"/>
    <d v="2024-11-29T08:38:00"/>
    <n v="66.583333333333329"/>
    <n v="39.166666666666664"/>
    <x v="1"/>
    <d v="2024-11-30T08:38:00"/>
    <d v="2024-11-30T13:53:00"/>
    <n v="308.43333333333334"/>
    <x v="0"/>
    <d v="2024-12-01T12:41:00"/>
    <d v="2024-12-01T13:46:00"/>
    <n v="63.633333333333333"/>
    <x v="0"/>
    <n v="2.1687499999970896"/>
    <x v="1"/>
    <n v="-0.33125000000291038"/>
    <n v="52.049999999930151"/>
    <n v="24"/>
    <n v="28.049999999930151"/>
    <n v="5.5614973262170579"/>
    <x v="0"/>
  </r>
  <r>
    <x v="2"/>
    <x v="0"/>
    <d v="2024-11-29T00:00:00"/>
    <s v="OM02KV58"/>
    <x v="0"/>
    <s v="UBP 311H"/>
    <m/>
    <s v="Kato Investments Ltd- Kyegegwa"/>
    <n v="156"/>
    <s v="A18910"/>
    <x v="18"/>
    <x v="0"/>
    <x v="0"/>
    <x v="0"/>
    <x v="18"/>
    <x v="18"/>
    <n v="546"/>
    <n v="-19"/>
    <x v="0"/>
    <d v="2024-11-29T07:58:00"/>
    <d v="2024-11-29T07:30:00"/>
    <d v="2024-11-29T08:42:00"/>
    <n v="70.483333333333334"/>
    <n v="43.06666666666667"/>
    <x v="1"/>
    <d v="2024-11-30T11:02:00"/>
    <d v="2024-11-30T16:02:00"/>
    <n v="293.75"/>
    <x v="0"/>
    <d v="2024-12-01T10:45:12"/>
    <d v="2024-12-01T11:50:12"/>
    <n v="63.633333333333333"/>
    <x v="0"/>
    <n v="2.085555555553583"/>
    <x v="0"/>
    <n v="8.5555555553582963E-2"/>
    <n v="50.053333333285991"/>
    <n v="24"/>
    <n v="26.053333333285991"/>
    <n v="5.9877175025697342"/>
    <x v="0"/>
  </r>
  <r>
    <x v="2"/>
    <x v="0"/>
    <d v="2024-11-29T19:27:39"/>
    <s v="OMEICCKRR"/>
    <x v="1"/>
    <s v="UBK 882R"/>
    <s v="NASASIRA STEPHENE"/>
    <s v="Kato Investment Ltd -Mityana"/>
    <n v="172.8"/>
    <s v="A18890"/>
    <x v="16"/>
    <x v="0"/>
    <x v="0"/>
    <x v="0"/>
    <x v="16"/>
    <x v="16"/>
    <n v="643"/>
    <n v="-47"/>
    <x v="0"/>
    <d v="2024-11-29T19:03:00"/>
    <d v="2024-11-29T19:40:00"/>
    <d v="2024-11-29T19:45:00"/>
    <n v="4.8833333333333337"/>
    <n v="41.116666666666667"/>
    <x v="1"/>
    <d v="2024-12-01T09:57:00"/>
    <d v="2024-12-01T15:43:00"/>
    <n v="338.78333333333336"/>
    <x v="0"/>
    <d v="2024-12-03T09:11:00"/>
    <d v="2024-12-03T10:51:00"/>
    <n v="97.9"/>
    <x v="0"/>
    <n v="3.5597222222277196"/>
    <x v="0"/>
    <n v="1.5597222222277196"/>
    <n v="85.433333333465271"/>
    <n v="36"/>
    <n v="49.433333333465271"/>
    <n v="3.4956169925732734"/>
    <x v="4"/>
  </r>
  <r>
    <x v="2"/>
    <x v="1"/>
    <d v="2024-11-29T19:45:19"/>
    <s v="OMX1E73RR"/>
    <x v="1"/>
    <s v="UBJ 988D"/>
    <s v="Tumusiime Robert"/>
    <s v="RUGOMA TRADERS CO. LTD NTUNGAM"/>
    <n v="153.60000000000002"/>
    <s v="F15399"/>
    <x v="15"/>
    <x v="1"/>
    <x v="0"/>
    <x v="1"/>
    <x v="15"/>
    <x v="15"/>
    <n v="131"/>
    <n v="1"/>
    <x v="0"/>
    <d v="2024-11-30T06:02:00"/>
    <d v="2024-11-30T06:15:00"/>
    <d v="2024-11-30T06:49:00"/>
    <n v="33.283333333333331"/>
    <n v="46.016666666666666"/>
    <x v="1"/>
    <d v="2024-11-30T09:28:00"/>
    <d v="2024-12-01T12:37:00"/>
    <n v="1595.05"/>
    <x v="0"/>
    <d v="2024-12-01T15:25:00"/>
    <d v="2024-12-01T18:09:00"/>
    <n v="160.58333333333334"/>
    <x v="2"/>
    <n v="1.3583333333299379"/>
    <x v="8"/>
    <n v="0.35833333332993789"/>
    <n v="32.599999999918509"/>
    <n v="12"/>
    <n v="20.599999999918509"/>
    <n v="7.456310679641148"/>
    <x v="0"/>
  </r>
  <r>
    <x v="2"/>
    <x v="1"/>
    <d v="2024-11-29T19:46:21"/>
    <s v="OMIFVWYRR"/>
    <x v="1"/>
    <s v="UBA 523T"/>
    <s v="Kabene John"/>
    <s v="KATO INVESTMENTS LTD- KALISIZO"/>
    <n v="146.976"/>
    <s v="F15400"/>
    <x v="4"/>
    <x v="1"/>
    <x v="0"/>
    <x v="1"/>
    <x v="4"/>
    <x v="4"/>
    <n v="375"/>
    <n v="25"/>
    <x v="0"/>
    <d v="2024-11-30T09:43:00"/>
    <d v="2024-11-30T03:43:00"/>
    <d v="2024-11-30T10:29:00"/>
    <n v="397.53333333333336"/>
    <n v="45.033333333333331"/>
    <x v="1"/>
    <d v="2024-11-30T17:46:00"/>
    <d v="2024-12-01T12:48:00"/>
    <n v="1118.2"/>
    <x v="0"/>
    <d v="2024-12-02T08:41:00"/>
    <d v="2024-12-02T11:34:00"/>
    <n v="169.38333333333333"/>
    <x v="4"/>
    <n v="1.9250000000029104"/>
    <x v="2"/>
    <n v="0.22500000000291043"/>
    <n v="46.200000000069849"/>
    <n v="12"/>
    <n v="34.200000000069849"/>
    <n v="4.2975438596403457"/>
    <x v="0"/>
  </r>
  <r>
    <x v="2"/>
    <x v="1"/>
    <d v="2024-11-29T19:50:23"/>
    <s v="OM55N1ZRR"/>
    <x v="0"/>
    <s v="UAR 731Q"/>
    <s v="Godwin Niwensiima"/>
    <s v="KATO INVESTMENTS LIMITED-MASAK"/>
    <n v="145.32000000000002"/>
    <s v="F15403"/>
    <x v="14"/>
    <x v="1"/>
    <x v="0"/>
    <x v="1"/>
    <x v="14"/>
    <x v="14"/>
    <n v="328"/>
    <n v="-12"/>
    <x v="0"/>
    <d v="2024-11-30T08:18:23"/>
    <d v="2024-11-30T07:50:23"/>
    <d v="2024-11-30T09:07:23"/>
    <n v="75.38333333333334"/>
    <n v="47.966666666666669"/>
    <x v="8"/>
    <d v="2024-11-30T12:20:23"/>
    <d v="2024-11-30T17:12:23"/>
    <n v="285.89999999999998"/>
    <x v="0"/>
    <d v="2024-11-30T19:52:23"/>
    <d v="2024-11-30T20:54:23"/>
    <n v="60.7"/>
    <x v="0"/>
    <n v="0.44791666666424135"/>
    <x v="8"/>
    <n v="-0.55208333333575865"/>
    <n v="10.749999999941792"/>
    <n v="0"/>
    <n v="10.749999999941792"/>
    <n v="13.518139534956919"/>
    <x v="0"/>
  </r>
  <r>
    <x v="2"/>
    <x v="1"/>
    <d v="2024-11-29T19:55:46"/>
    <s v="OMOVWEGRR"/>
    <x v="0"/>
    <s v="UAV 051U"/>
    <s v="Angello Lumala"/>
    <s v="KATO INVESTMENTS LIMITED-MASAK"/>
    <n v="145.32000000000002"/>
    <s v="F15404"/>
    <x v="14"/>
    <x v="1"/>
    <x v="0"/>
    <x v="1"/>
    <x v="14"/>
    <x v="14"/>
    <n v="415"/>
    <n v="75"/>
    <x v="0"/>
    <d v="2024-11-30T08:23:46"/>
    <d v="2024-11-30T07:55:46"/>
    <d v="2024-11-30T09:03:46"/>
    <n v="66.583333333333329"/>
    <n v="39.166666666666664"/>
    <x v="1"/>
    <d v="2024-11-30T12:16:46"/>
    <d v="2024-11-30T17:24:46"/>
    <n v="301.56666666666666"/>
    <x v="0"/>
    <d v="2024-12-01T07:48:46"/>
    <d v="2024-12-01T09:08:46"/>
    <n v="78.316666666666663"/>
    <x v="0"/>
    <n v="0.94791666666424135"/>
    <x v="8"/>
    <n v="-5.2083333335758653E-2"/>
    <n v="22.749999999941792"/>
    <n v="0"/>
    <n v="22.749999999941792"/>
    <n v="6.3876923077086518"/>
    <x v="0"/>
  </r>
  <r>
    <x v="2"/>
    <x v="1"/>
    <d v="2024-11-29T20:10:36"/>
    <s v="OM1AWIPRR"/>
    <x v="1"/>
    <s v="UAV 203T"/>
    <s v="Mugisha  George"/>
    <s v="Ntale and Sons"/>
    <n v="153.60000000000002"/>
    <s v="A18897"/>
    <x v="19"/>
    <x v="1"/>
    <x v="0"/>
    <x v="1"/>
    <x v="19"/>
    <x v="19"/>
    <n v="799"/>
    <n v="-11"/>
    <x v="0"/>
    <d v="2024-11-30T09:30:00"/>
    <d v="2024-11-29T20:30:00"/>
    <d v="2024-11-30T10:14:00"/>
    <n v="806.83333333333337"/>
    <n v="43.06666666666667"/>
    <x v="1"/>
    <d v="2024-12-01T09:52:00"/>
    <d v="2024-12-02T10:55:00"/>
    <n v="1471.6833333333334"/>
    <x v="0"/>
    <d v="2024-12-03T14:22:00"/>
    <d v="2024-12-03T16:19:00"/>
    <n v="114.55"/>
    <x v="2"/>
    <n v="3.172222222223354"/>
    <x v="4"/>
    <n v="0.17222222222335404"/>
    <n v="76.133333333360497"/>
    <n v="36"/>
    <n v="40.133333333360497"/>
    <n v="3.8272425249143538"/>
    <x v="0"/>
  </r>
  <r>
    <x v="2"/>
    <x v="0"/>
    <d v="2024-11-29T20:57:58"/>
    <s v="OMEQ977RR"/>
    <x v="0"/>
    <s v="UBB 115P"/>
    <s v="Kakembo Masuud"/>
    <s v="Ntale and Sons Ltd-Kakiri"/>
    <n v="156"/>
    <s v="A18905"/>
    <x v="22"/>
    <x v="0"/>
    <x v="0"/>
    <x v="0"/>
    <x v="22"/>
    <x v="21"/>
    <n v="612"/>
    <n v="-8"/>
    <x v="0"/>
    <d v="2024-11-30T09:25:58"/>
    <d v="2024-11-30T08:57:58"/>
    <d v="2024-11-30T10:05:58"/>
    <n v="66.583333333333329"/>
    <n v="39.166666666666664"/>
    <x v="1"/>
    <d v="2024-12-01T08:35:58"/>
    <d v="2024-12-01T12:12:58"/>
    <n v="212.46666666666667"/>
    <x v="0"/>
    <d v="2024-12-02T08:36:58"/>
    <d v="2024-12-02T09:39:58"/>
    <n v="61.68333333333333"/>
    <x v="0"/>
    <n v="1.9381944444394321"/>
    <x v="0"/>
    <n v="-6.1805555560567882E-2"/>
    <n v="46.516666666546371"/>
    <n v="12"/>
    <n v="34.516666666546371"/>
    <n v="4.5195557701750948"/>
    <x v="0"/>
  </r>
  <r>
    <x v="2"/>
    <x v="0"/>
    <d v="2024-11-30T00:00:00"/>
    <s v="OM02KVUB"/>
    <x v="0"/>
    <s v="UBK 866R"/>
    <m/>
    <s v="KATO INVESTMENTS LTD-KATIKARA"/>
    <n v="156"/>
    <s v="A18969"/>
    <x v="5"/>
    <x v="0"/>
    <x v="0"/>
    <x v="0"/>
    <x v="5"/>
    <x v="5"/>
    <n v="836"/>
    <n v="6"/>
    <x v="0"/>
    <d v="2024-11-30T07:20:00"/>
    <d v="2024-11-30T07:30:00"/>
    <d v="2024-11-30T08:38:00"/>
    <n v="66.583333333333329"/>
    <n v="76.36666666666666"/>
    <x v="6"/>
    <d v="2024-12-01T09:53:00"/>
    <d v="2024-12-01T14:39:00"/>
    <n v="280.03333333333336"/>
    <x v="0"/>
    <d v="2024-12-02T19:27:00"/>
    <d v="2024-12-02T20:35:00"/>
    <n v="66.583333333333329"/>
    <x v="0"/>
    <n v="2.4506944444437977"/>
    <x v="0"/>
    <n v="0.45069444444379769"/>
    <n v="58.816666666651145"/>
    <n v="32"/>
    <n v="26.816666666651145"/>
    <n v="5.8172778123091469"/>
    <x v="0"/>
  </r>
  <r>
    <x v="2"/>
    <x v="1"/>
    <d v="2024-11-30T00:00:00"/>
    <s v="OM02KVNC"/>
    <x v="0"/>
    <s v="UBJ 707D"/>
    <m/>
    <s v="Ntale and Sons"/>
    <n v="153.60000000000002"/>
    <s v="A18936"/>
    <x v="19"/>
    <x v="1"/>
    <x v="0"/>
    <x v="1"/>
    <x v="19"/>
    <x v="19"/>
    <m/>
    <n v="-810"/>
    <x v="0"/>
    <d v="2024-11-30T07:58:00"/>
    <d v="2024-11-30T07:30:00"/>
    <d v="2024-11-30T08:38:00"/>
    <n v="66.583333333333329"/>
    <n v="39.166666666666664"/>
    <x v="1"/>
    <d v="2024-12-01T14:38:00"/>
    <d v="2024-12-01T18:30:00"/>
    <n v="227.16666666666666"/>
    <x v="0"/>
    <d v="2024-12-02T18:01:12"/>
    <d v="2024-12-02T19:06:12"/>
    <n v="63.633333333333333"/>
    <x v="0"/>
    <n v="2.391111111115606"/>
    <x v="4"/>
    <n v="-0.60888888888439396"/>
    <n v="57.386666666774545"/>
    <n v="24"/>
    <n v="33.386666666774545"/>
    <n v="4.6006389776209176"/>
    <x v="0"/>
  </r>
  <r>
    <x v="2"/>
    <x v="1"/>
    <d v="2024-11-30T00:00:00"/>
    <s v="OM02KVN9"/>
    <x v="0"/>
    <s v="UBJ 375N"/>
    <s v="Stephen Musoke "/>
    <s v="KATO INVESTMENTS LIMITED-MASAK"/>
    <n v="153.60000000000002"/>
    <s v="F15411"/>
    <x v="14"/>
    <x v="1"/>
    <x v="0"/>
    <x v="1"/>
    <x v="14"/>
    <x v="14"/>
    <n v="348"/>
    <n v="8"/>
    <x v="0"/>
    <d v="2024-11-30T07:58:00"/>
    <d v="2024-11-30T07:30:00"/>
    <d v="2024-11-30T08:42:00"/>
    <n v="70.483333333333334"/>
    <n v="43.06666666666667"/>
    <x v="1"/>
    <d v="2024-11-30T11:55:00"/>
    <d v="2024-11-30T16:18:00"/>
    <n v="257.51666666666665"/>
    <x v="0"/>
    <d v="2024-11-30T18:58:00"/>
    <d v="2024-11-30T20:08:00"/>
    <n v="68.533333333333331"/>
    <x v="0"/>
    <n v="0.42777777777519077"/>
    <x v="8"/>
    <n v="-0.57222222222480923"/>
    <n v="10.266666666604578"/>
    <n v="0"/>
    <n v="10.266666666604578"/>
    <n v="14.961038961129441"/>
    <x v="0"/>
  </r>
  <r>
    <x v="2"/>
    <x v="0"/>
    <d v="2024-11-30T21:33:31"/>
    <s v="OMV5PIYRR"/>
    <x v="1"/>
    <s v="UBE 680K"/>
    <s v="BYEKWASO TWAHA"/>
    <s v="Kato Investments Ltd-Bulenga"/>
    <n v="156"/>
    <s v="A18958"/>
    <x v="2"/>
    <x v="0"/>
    <x v="0"/>
    <x v="0"/>
    <x v="2"/>
    <x v="2"/>
    <n v="757"/>
    <n v="197"/>
    <x v="5"/>
    <d v="2024-11-30T22:25:00"/>
    <d v="2024-11-30T21:55:00"/>
    <d v="2024-11-30T23:07:00"/>
    <n v="70.483333333333334"/>
    <n v="41.116666666666667"/>
    <x v="1"/>
    <d v="2024-12-05T10:12:00"/>
    <d v="2024-12-05T16:21:00"/>
    <n v="361.3"/>
    <x v="0"/>
    <d v="2024-12-05T19:02:00"/>
    <d v="2024-12-05T20:08:00"/>
    <n v="64.61666666666666"/>
    <x v="7"/>
    <n v="4.8298611111167702"/>
    <x v="0"/>
    <n v="2.8298611111167702"/>
    <n v="115.91666666680248"/>
    <n v="48"/>
    <n v="67.916666666802485"/>
    <n v="2.2969325153328302"/>
    <x v="6"/>
  </r>
  <r>
    <x v="2"/>
    <x v="0"/>
    <d v="2024-11-30T21:56:17"/>
    <s v="OMDE56NRR"/>
    <x v="1"/>
    <s v="UBK 858R"/>
    <s v="ALIPA EREKU"/>
    <s v="Ntale and Sons Ltd-Kakiri"/>
    <n v="156"/>
    <s v="A18966"/>
    <x v="22"/>
    <x v="0"/>
    <x v="0"/>
    <x v="0"/>
    <x v="22"/>
    <x v="21"/>
    <n v="616"/>
    <n v="-4"/>
    <x v="0"/>
    <d v="2024-11-30T22:06:00"/>
    <d v="2024-12-01T01:59:00"/>
    <d v="2024-11-30T22:51:00"/>
    <n v="-184.1"/>
    <n v="44.05"/>
    <x v="1"/>
    <d v="2024-12-02T05:58:00"/>
    <d v="2024-12-04T10:09:00"/>
    <n v="3065.7666666666669"/>
    <x v="0"/>
    <d v="2024-12-04T20:03:00"/>
    <d v="2024-12-04T21:42:00"/>
    <n v="96.933333333333337"/>
    <x v="0"/>
    <n v="3.883333333338669"/>
    <x v="0"/>
    <n v="1.883333333338669"/>
    <n v="93.200000000128057"/>
    <n v="36"/>
    <n v="57.200000000128057"/>
    <n v="2.7272727272666217"/>
    <x v="0"/>
  </r>
  <r>
    <x v="2"/>
    <x v="0"/>
    <d v="2024-11-30T22:31:58"/>
    <s v="OM53H8GRR"/>
    <x v="0"/>
    <s v="UBM 644D"/>
    <s v="KAJUBI ISMA"/>
    <s v="KATO INVESTMENTS LTD-KATIKARA"/>
    <n v="153.60000000000002"/>
    <s v="A18976"/>
    <x v="5"/>
    <x v="0"/>
    <x v="0"/>
    <x v="0"/>
    <x v="5"/>
    <x v="5"/>
    <n v="836"/>
    <n v="6"/>
    <x v="0"/>
    <d v="2024-11-30T21:52:00"/>
    <d v="2024-11-30T15:48:00"/>
    <d v="2024-11-30T22:36:00"/>
    <n v="399.48333333333335"/>
    <n v="43.06666666666667"/>
    <x v="1"/>
    <d v="2024-12-02T00:20:00"/>
    <d v="2024-12-02T18:35:00"/>
    <n v="1072.1833333333334"/>
    <x v="0"/>
    <d v="2024-12-03T16:39:00"/>
    <d v="2024-12-03T17:49:00"/>
    <n v="68.533333333333331"/>
    <x v="0"/>
    <n v="2.7520833333328483"/>
    <x v="0"/>
    <n v="0.75208333333284827"/>
    <n v="66.049999999988358"/>
    <n v="24"/>
    <n v="42.049999999988358"/>
    <n v="3.6527942925099297"/>
    <x v="0"/>
  </r>
  <r>
    <x v="3"/>
    <x v="1"/>
    <d v="2024-12-01T18:54:31"/>
    <s v="OM278FZRR"/>
    <x v="1"/>
    <s v="UBE 419T"/>
    <s v="Kilabila Ismail"/>
    <s v="Rugoma Traders-Kanungu/Kihihi"/>
    <n v="153.60000000000002"/>
    <s v="F15425"/>
    <x v="23"/>
    <x v="1"/>
    <x v="0"/>
    <x v="1"/>
    <x v="23"/>
    <x v="14"/>
    <n v="340"/>
    <n v="0"/>
    <x v="0"/>
    <d v="2024-12-02T17:05:00"/>
    <d v="2024-12-02T01:59:00"/>
    <d v="2024-12-02T18:06:00"/>
    <n v="946.85"/>
    <n v="59.716666666666669"/>
    <x v="6"/>
    <d v="2024-12-02T23:09:00"/>
    <d v="2024-12-03T14:27:00"/>
    <n v="898.86666666666667"/>
    <x v="0"/>
    <d v="2024-12-04T10:29:00"/>
    <d v="2024-12-04T12:44:00"/>
    <n v="132.18333333333334"/>
    <x v="4"/>
    <n v="1.6826388888875954"/>
    <x v="3"/>
    <n v="0.18263888888759539"/>
    <n v="40.383333333302289"/>
    <n v="16"/>
    <n v="24.383333333302289"/>
    <n v="6.2993848257086364"/>
    <x v="0"/>
  </r>
  <r>
    <x v="3"/>
    <x v="1"/>
    <d v="2024-12-02T18:42:16"/>
    <s v="OMRV0BLRR"/>
    <x v="1"/>
    <s v="UBJ 707D"/>
    <s v="Konge Husein"/>
    <s v="Kabaco U Ltd-Mbarara"/>
    <n v="153.60000000000002"/>
    <s v="Z81438"/>
    <x v="8"/>
    <x v="1"/>
    <x v="0"/>
    <x v="1"/>
    <x v="8"/>
    <x v="8"/>
    <n v="13"/>
    <n v="2"/>
    <x v="0"/>
    <d v="2024-12-03T11:18:00"/>
    <d v="2024-12-03T07:42:00"/>
    <d v="2024-12-03T12:04:00"/>
    <n v="256.53333333333336"/>
    <n v="45.033333333333331"/>
    <x v="1"/>
    <d v="2024-12-03T12:52:00"/>
    <d v="2024-12-03T16:38:00"/>
    <n v="221.28333333333333"/>
    <x v="0"/>
    <d v="2024-12-03T17:28:00"/>
    <d v="2024-12-03T18:41:00"/>
    <n v="71.466666666666669"/>
    <x v="0"/>
    <n v="0.22499999999854481"/>
    <x v="5"/>
    <n v="-0.57500000000145524"/>
    <n v="5.3999999999650754"/>
    <n v="0"/>
    <n v="5.3999999999650754"/>
    <n v="28.444444444628413"/>
    <x v="0"/>
  </r>
  <r>
    <x v="3"/>
    <x v="1"/>
    <d v="2024-12-02T18:43:44"/>
    <s v="OMAQ02ARR"/>
    <x v="1"/>
    <s v="UBJ 988D"/>
    <s v="Tumusiime Robert"/>
    <s v="Kabaco U Ltd-Mbarara"/>
    <n v="153.60000000000002"/>
    <s v="Z81439"/>
    <x v="8"/>
    <x v="1"/>
    <x v="0"/>
    <x v="1"/>
    <x v="8"/>
    <x v="8"/>
    <n v="14"/>
    <n v="3"/>
    <x v="0"/>
    <d v="2024-12-02T18:07:00"/>
    <d v="2024-12-03T07:42:00"/>
    <d v="2024-12-02T19:00:00"/>
    <n v="-746.13333333333333"/>
    <n v="51.883333333333333"/>
    <x v="2"/>
    <d v="2024-12-02T20:14:00"/>
    <d v="2024-12-03T12:36:00"/>
    <n v="961.5333333333333"/>
    <x v="0"/>
    <d v="2024-12-03T13:49:00"/>
    <d v="2024-12-03T15:18:00"/>
    <n v="87.13333333333334"/>
    <x v="0"/>
    <n v="0.78402777777955635"/>
    <x v="5"/>
    <n v="-1.5972222220443699E-2"/>
    <n v="18.816666666709352"/>
    <n v="0"/>
    <n v="18.816666666709352"/>
    <n v="8.1629760850124846"/>
    <x v="0"/>
  </r>
  <r>
    <x v="3"/>
    <x v="0"/>
    <d v="2024-12-03T00:00:00"/>
    <s v="OM02KW7Q"/>
    <x v="0"/>
    <s v="UBP 311H"/>
    <s v="Bakwalika Yusifu"/>
    <s v="Sawan Distributors Ltd-Nabingo"/>
    <n v="156"/>
    <s v="A19000"/>
    <x v="21"/>
    <x v="0"/>
    <x v="0"/>
    <x v="0"/>
    <x v="21"/>
    <x v="2"/>
    <n v="554"/>
    <n v="-6"/>
    <x v="0"/>
    <d v="2024-12-03T07:58:00"/>
    <d v="2024-12-03T07:30:00"/>
    <d v="2024-12-03T08:38:00"/>
    <n v="66.583333333333329"/>
    <n v="39.166666666666664"/>
    <x v="1"/>
    <d v="2024-12-04T10:38:00"/>
    <d v="2024-12-04T15:38:00"/>
    <n v="293.75"/>
    <x v="0"/>
    <d v="2024-12-05T13:14:00"/>
    <d v="2024-12-05T14:19:00"/>
    <n v="63.633333333333333"/>
    <x v="0"/>
    <n v="2.1916666666729725"/>
    <x v="0"/>
    <n v="0.1916666666729725"/>
    <n v="52.60000000015134"/>
    <n v="24"/>
    <n v="28.60000000015134"/>
    <n v="5.454545454516591"/>
    <x v="0"/>
  </r>
  <r>
    <x v="3"/>
    <x v="0"/>
    <d v="2024-12-03T00:00:00"/>
    <s v="OM02KW8G"/>
    <x v="0"/>
    <s v="UBF 374L "/>
    <s v="Kidandaire Henry"/>
    <s v="Kabaco U Ltd"/>
    <n v="156"/>
    <s v="Z81467"/>
    <x v="6"/>
    <x v="0"/>
    <x v="0"/>
    <x v="0"/>
    <x v="6"/>
    <x v="6"/>
    <n v="318"/>
    <n v="-2"/>
    <x v="0"/>
    <d v="2024-12-03T07:42:00"/>
    <d v="2024-12-03T07:30:00"/>
    <d v="2024-12-03T08:38:00"/>
    <n v="66.583333333333329"/>
    <n v="54.833333333333336"/>
    <x v="3"/>
    <d v="2024-12-03T14:38:00"/>
    <d v="2024-12-03T21:05:00"/>
    <n v="378.93333333333334"/>
    <x v="0"/>
    <d v="2024-12-04T11:00:12"/>
    <d v="2024-12-04T12:05:12"/>
    <n v="63.633333333333333"/>
    <x v="0"/>
    <n v="1.0987500000046566"/>
    <x v="3"/>
    <n v="-0.40124999999534339"/>
    <n v="26.370000000111759"/>
    <n v="16"/>
    <n v="10.370000000111759"/>
    <n v="15.043394406780981"/>
    <x v="0"/>
  </r>
  <r>
    <x v="3"/>
    <x v="1"/>
    <d v="2024-12-03T18:40:27"/>
    <s v="OMSHKDPRR"/>
    <x v="1"/>
    <s v="UBK 881R"/>
    <s v="James  Kironde"/>
    <s v="Sawan Distributors Ltd-Nabingo"/>
    <n v="153.60000000000002"/>
    <s v="A19001"/>
    <x v="21"/>
    <x v="1"/>
    <x v="0"/>
    <x v="1"/>
    <x v="21"/>
    <x v="2"/>
    <n v="572"/>
    <n v="12"/>
    <x v="0"/>
    <d v="2024-12-04T08:28:00"/>
    <d v="2024-12-04T02:30:00"/>
    <d v="2024-12-04T09:18:00"/>
    <n v="399.48333333333335"/>
    <n v="48.95"/>
    <x v="0"/>
    <d v="2024-12-04T16:26:00"/>
    <d v="2024-12-06T13:35:00"/>
    <n v="2652.55"/>
    <x v="0"/>
    <d v="2024-12-08T14:03:00"/>
    <d v="2024-12-08T16:10:00"/>
    <n v="124.35"/>
    <x v="11"/>
    <n v="4.1979166666715173"/>
    <x v="0"/>
    <n v="2.1979166666715173"/>
    <n v="100.75000000011642"/>
    <n v="64"/>
    <n v="36.750000000116415"/>
    <n v="4.1795918367214542"/>
    <x v="0"/>
  </r>
  <r>
    <x v="3"/>
    <x v="1"/>
    <d v="2024-12-03T19:42:49"/>
    <s v="OM6P5Z8RR"/>
    <x v="0"/>
    <s v="UAT 351G"/>
    <s v="Hamudi Sesanga"/>
    <s v="Kabaco U Ltd-Mbarara"/>
    <n v="153.60000000000002"/>
    <s v="Z81470"/>
    <x v="8"/>
    <x v="1"/>
    <x v="0"/>
    <x v="1"/>
    <x v="8"/>
    <x v="8"/>
    <n v="12"/>
    <n v="1"/>
    <x v="0"/>
    <d v="2024-12-04T08:10:49"/>
    <d v="2024-12-04T07:42:49"/>
    <d v="2024-12-04T08:54:49"/>
    <n v="70.483333333333334"/>
    <n v="43.06666666666667"/>
    <x v="1"/>
    <d v="2024-12-04T09:30:49"/>
    <d v="2024-12-04T11:48:49"/>
    <n v="135.11666666666667"/>
    <x v="0"/>
    <d v="2024-12-04T12:20:49"/>
    <d v="2024-12-04T13:36:49"/>
    <n v="74.400000000000006"/>
    <x v="0"/>
    <n v="0.14305555555620231"/>
    <x v="5"/>
    <n v="-0.65694444444379774"/>
    <n v="3.4333333333488554"/>
    <n v="0"/>
    <n v="3.4333333333488554"/>
    <n v="44.737864077467648"/>
    <x v="0"/>
  </r>
  <r>
    <x v="3"/>
    <x v="1"/>
    <d v="2024-12-03T19:46:10"/>
    <s v="OM1B423RR"/>
    <x v="1"/>
    <s v="UBJ 375N"/>
    <s v="Stephen Musoke "/>
    <s v="Agaba Services"/>
    <n v="153.60000000000002"/>
    <s v="F15428"/>
    <x v="20"/>
    <x v="1"/>
    <x v="0"/>
    <x v="1"/>
    <x v="20"/>
    <x v="20"/>
    <n v="294"/>
    <n v="-8"/>
    <x v="0"/>
    <d v="2024-12-04T09:58:00"/>
    <d v="2024-12-04T04:15:00"/>
    <d v="2024-12-04T10:47:00"/>
    <n v="383.81666666666666"/>
    <n v="47.966666666666669"/>
    <x v="0"/>
    <d v="2024-12-04T15:16:00"/>
    <d v="2024-12-05T15:01:00"/>
    <n v="1395.3"/>
    <x v="0"/>
    <d v="2024-12-05T19:38:00"/>
    <d v="2024-12-05T21:01:00"/>
    <n v="81.266666666666666"/>
    <x v="0"/>
    <n v="1.3687500000014552"/>
    <x v="8"/>
    <n v="0.36875000000145519"/>
    <n v="32.850000000034925"/>
    <n v="16"/>
    <n v="16.850000000034925"/>
    <n v="9.1157270029484661"/>
    <x v="0"/>
  </r>
  <r>
    <x v="3"/>
    <x v="1"/>
    <d v="2024-12-03T19:51:01"/>
    <s v="OMWYGRLRR"/>
    <x v="1"/>
    <s v="UBE 422T"/>
    <s v="Jacob Oneka"/>
    <s v="Kabaco U Ltd"/>
    <n v="151.44"/>
    <s v="Z81471"/>
    <x v="6"/>
    <x v="1"/>
    <x v="0"/>
    <x v="1"/>
    <x v="6"/>
    <x v="6"/>
    <n v="321"/>
    <n v="1"/>
    <x v="0"/>
    <d v="2024-12-04T09:54:00"/>
    <d v="2024-12-03T08:00:00"/>
    <d v="2024-12-04T10:39:00"/>
    <n v="1565.6833333333334"/>
    <n v="44.05"/>
    <x v="1"/>
    <d v="2024-12-05T07:53:00"/>
    <d v="2024-12-05T14:16:00"/>
    <n v="375.01666666666665"/>
    <x v="0"/>
    <d v="2024-12-06T08:28:00"/>
    <d v="2024-12-06T11:07:00"/>
    <n v="155.68333333333334"/>
    <x v="2"/>
    <n v="1.9090277777795563"/>
    <x v="3"/>
    <n v="0.40902777777955635"/>
    <n v="45.816666666709352"/>
    <n v="12"/>
    <n v="33.816666666709352"/>
    <n v="4.4782651552432382"/>
    <x v="0"/>
  </r>
  <r>
    <x v="3"/>
    <x v="0"/>
    <d v="2024-12-04T00:00:00"/>
    <s v="OM02KWJZ"/>
    <x v="0"/>
    <s v="UBE 673K"/>
    <s v="Bulega Sperito"/>
    <s v="Kobusinge Steven-Kamwenge"/>
    <n v="156"/>
    <s v="Z81484"/>
    <x v="13"/>
    <x v="0"/>
    <x v="0"/>
    <x v="0"/>
    <x v="13"/>
    <x v="13"/>
    <n v="158"/>
    <n v="-72"/>
    <x v="0"/>
    <d v="2024-12-04T07:58:00"/>
    <d v="2024-12-04T07:30:00"/>
    <d v="2024-12-04T08:58:00"/>
    <n v="86.15"/>
    <n v="58.733333333333334"/>
    <x v="4"/>
    <d v="2024-12-05T09:50:00"/>
    <d v="2024-12-05T11:57:00"/>
    <n v="124.35"/>
    <x v="0"/>
    <d v="2024-12-05T17:27:00"/>
    <d v="2024-12-05T18:29:00"/>
    <n v="60.7"/>
    <x v="0"/>
    <n v="1.3534722222175333"/>
    <x v="7"/>
    <n v="5.3472222217533227E-2"/>
    <n v="32.483333333220799"/>
    <n v="16"/>
    <n v="16.483333333220799"/>
    <n v="9.4641051567885768"/>
    <x v="0"/>
  </r>
  <r>
    <x v="3"/>
    <x v="1"/>
    <d v="2024-12-04T17:21:26"/>
    <s v="OMP40Y3RR"/>
    <x v="1"/>
    <s v="UBE 287X"/>
    <s v="Isaac Tumuhimbise"/>
    <s v="Kobusinge Steven-FPortal"/>
    <n v="153.60000000000002"/>
    <s v="Z81481"/>
    <x v="11"/>
    <x v="1"/>
    <x v="0"/>
    <x v="1"/>
    <x v="11"/>
    <x v="11"/>
    <n v="370"/>
    <n v="-20"/>
    <x v="0"/>
    <d v="2024-12-05T10:55:00"/>
    <d v="2024-12-04T20:25:00"/>
    <d v="2024-12-05T11:40:00"/>
    <n v="895.93333333333328"/>
    <n v="44.05"/>
    <x v="1"/>
    <d v="2024-12-06T14:05:00"/>
    <d v="2024-12-07T15:36:00"/>
    <n v="1499.1"/>
    <x v="0"/>
    <d v="2024-12-08T08:48:00"/>
    <d v="2024-12-08T11:06:00"/>
    <n v="135.11666666666667"/>
    <x v="4"/>
    <n v="2.8805555555591127"/>
    <x v="0"/>
    <n v="0.88055555555911269"/>
    <n v="69.133333333418705"/>
    <n v="24"/>
    <n v="45.133333333418705"/>
    <n v="3.4032496307173443"/>
    <x v="1"/>
  </r>
  <r>
    <x v="3"/>
    <x v="1"/>
    <d v="2024-12-04T17:22:29"/>
    <s v="OM0XIP4RR"/>
    <x v="1"/>
    <s v="UBE 419T"/>
    <s v="Kilabila Ismail"/>
    <s v="Kobusinge Steven-FPortal"/>
    <n v="153.60000000000002"/>
    <s v="Z81482"/>
    <x v="11"/>
    <x v="1"/>
    <x v="0"/>
    <x v="1"/>
    <x v="11"/>
    <x v="11"/>
    <n v="374"/>
    <n v="-16"/>
    <x v="0"/>
    <d v="2024-12-05T09:32:00"/>
    <d v="2024-12-04T20:25:00"/>
    <d v="2024-12-05T10:17:00"/>
    <n v="814.65"/>
    <n v="44.05"/>
    <x v="1"/>
    <d v="2024-12-05T17:28:00"/>
    <d v="2024-12-06T19:06:00"/>
    <n v="1505.95"/>
    <x v="0"/>
    <d v="2024-12-07T12:52:00"/>
    <d v="2024-12-07T15:26:00"/>
    <n v="150.78333333333333"/>
    <x v="6"/>
    <n v="2.1076388888905058"/>
    <x v="0"/>
    <n v="0.10763888889050577"/>
    <n v="50.583333333372138"/>
    <n v="24"/>
    <n v="26.583333333372138"/>
    <n v="5.7780564263238547"/>
    <x v="0"/>
  </r>
  <r>
    <x v="3"/>
    <x v="1"/>
    <d v="2024-12-04T20:03:41"/>
    <s v="OMFBFCNRR"/>
    <x v="1"/>
    <s v="UBA 523T"/>
    <s v="Kabene John"/>
    <s v="Sawan Distributors Ltd-Nabingo"/>
    <n v="153.60000000000002"/>
    <s v="A19015"/>
    <x v="21"/>
    <x v="1"/>
    <x v="0"/>
    <x v="1"/>
    <x v="21"/>
    <x v="2"/>
    <n v="586"/>
    <n v="26"/>
    <x v="0"/>
    <d v="2024-12-05T09:07:00"/>
    <d v="2024-12-05T02:30:00"/>
    <d v="2024-12-05T09:57:00"/>
    <n v="437.68333333333334"/>
    <n v="48.95"/>
    <x v="13"/>
    <d v="2024-12-05T19:25:00"/>
    <d v="2024-12-09T12:53:00"/>
    <n v="5256.166666666667"/>
    <x v="0"/>
    <d v="2024-12-10T09:55:00"/>
    <d v="2024-12-10T11:56:00"/>
    <n v="118.46666666666667"/>
    <x v="10"/>
    <n v="4.9986111111138598"/>
    <x v="0"/>
    <n v="2.9986111111138598"/>
    <n v="119.96666666673264"/>
    <n v="64"/>
    <n v="55.966666666732635"/>
    <n v="2.7444907683112385"/>
    <x v="0"/>
  </r>
  <r>
    <x v="3"/>
    <x v="1"/>
    <d v="2024-12-04T20:20:32"/>
    <s v="OM1NG6ERR"/>
    <x v="0"/>
    <s v="UAV 051U"/>
    <s v="Angello Lumala"/>
    <s v="Kabaco U Ltd-Mbarara"/>
    <n v="153.60000000000002"/>
    <s v="Z81486"/>
    <x v="8"/>
    <x v="1"/>
    <x v="0"/>
    <x v="1"/>
    <x v="8"/>
    <x v="8"/>
    <n v="12"/>
    <n v="1"/>
    <x v="0"/>
    <d v="2024-12-05T08:48:32"/>
    <d v="2024-12-05T08:20:32"/>
    <d v="2024-12-05T09:28:32"/>
    <n v="66.583333333333329"/>
    <n v="39.166666666666664"/>
    <x v="1"/>
    <d v="2024-12-05T09:53:32"/>
    <d v="2024-12-05T13:10:32"/>
    <n v="192.88333333333333"/>
    <x v="0"/>
    <d v="2024-12-05T13:42:32"/>
    <d v="2024-12-05T14:45:32"/>
    <n v="61.68333333333333"/>
    <x v="0"/>
    <n v="0.17638888888905058"/>
    <x v="5"/>
    <n v="-0.62361111111094947"/>
    <n v="4.2333333333372138"/>
    <n v="0"/>
    <n v="4.2333333333372138"/>
    <n v="36.28346456689588"/>
    <x v="0"/>
  </r>
  <r>
    <x v="3"/>
    <x v="0"/>
    <d v="2024-12-04T22:31:22"/>
    <s v="OMMKVEDRR"/>
    <x v="1"/>
    <s v="UBP 298H"/>
    <s v="SENTONG DAVID"/>
    <s v="Kobusinge Steven-FPortal"/>
    <n v="156"/>
    <s v="Z81490"/>
    <x v="11"/>
    <x v="0"/>
    <x v="0"/>
    <x v="0"/>
    <x v="11"/>
    <x v="11"/>
    <n v="388"/>
    <n v="-2"/>
    <x v="0"/>
    <d v="2024-12-05T06:30:00"/>
    <d v="2024-12-04T20:25:00"/>
    <d v="2024-12-05T07:31:00"/>
    <n v="652.11666666666667"/>
    <n v="59.716666666666669"/>
    <x v="9"/>
    <d v="2024-12-05T13:51:00"/>
    <d v="2024-12-06T11:22:00"/>
    <n v="1264.0999999999999"/>
    <x v="0"/>
    <d v="2024-12-06T20:06:00"/>
    <d v="2024-12-06T21:18:00"/>
    <n v="70.483333333333334"/>
    <x v="0"/>
    <n v="1.5243055555547471"/>
    <x v="0"/>
    <n v="-0.47569444444525288"/>
    <n v="36.583333333313931"/>
    <n v="16"/>
    <n v="20.583333333313931"/>
    <n v="7.5789473684281967"/>
    <x v="0"/>
  </r>
  <r>
    <x v="3"/>
    <x v="0"/>
    <d v="2024-12-04T22:32:26"/>
    <s v="OMU9M25RR"/>
    <x v="1"/>
    <s v="UBP 301H"/>
    <s v="NAMINYA SIRAJE"/>
    <s v="Kobusinge Steven-FPortal"/>
    <n v="156"/>
    <s v="Z81491"/>
    <x v="11"/>
    <x v="0"/>
    <x v="0"/>
    <x v="0"/>
    <x v="11"/>
    <x v="11"/>
    <n v="391"/>
    <n v="1"/>
    <x v="0"/>
    <d v="2024-12-04T21:55:00"/>
    <d v="2024-12-04T20:25:00"/>
    <d v="2024-12-04T22:44:00"/>
    <n v="136.1"/>
    <n v="47.966666666666669"/>
    <x v="1"/>
    <d v="2024-12-06T11:53:00"/>
    <d v="2024-12-06T15:59:00"/>
    <n v="240.86666666666667"/>
    <x v="0"/>
    <d v="2024-12-06T22:22:00"/>
    <d v="2024-12-06T23:46:00"/>
    <n v="82.25"/>
    <x v="0"/>
    <n v="1.9847222222160781"/>
    <x v="0"/>
    <n v="-1.527777778392192E-2"/>
    <n v="47.633333333185874"/>
    <n v="12"/>
    <n v="35.633333333185874"/>
    <n v="4.3779232928151233"/>
    <x v="0"/>
  </r>
  <r>
    <x v="3"/>
    <x v="0"/>
    <d v="2024-12-04T22:37:03"/>
    <s v="OMTS5GDRR"/>
    <x v="0"/>
    <s v="UBJ 417C"/>
    <m/>
    <s v="Ntale and Sons Ltd-Kakiri"/>
    <n v="156"/>
    <s v="A19021"/>
    <x v="22"/>
    <x v="0"/>
    <x v="0"/>
    <x v="0"/>
    <x v="22"/>
    <x v="21"/>
    <n v="616"/>
    <n v="-4"/>
    <x v="0"/>
    <d v="2024-12-05T11:05:03"/>
    <d v="2024-12-05T10:37:03"/>
    <d v="2024-12-05T11:45:03"/>
    <n v="66.583333333333329"/>
    <n v="39.166666666666664"/>
    <x v="1"/>
    <d v="2024-12-06T08:15:03"/>
    <d v="2024-12-06T14:32:03"/>
    <n v="369.13333333333333"/>
    <x v="0"/>
    <d v="2024-12-07T10:20:03"/>
    <d v="2024-12-07T11:23:03"/>
    <n v="61.68333333333333"/>
    <x v="0"/>
    <n v="1.9409722222189885"/>
    <x v="0"/>
    <n v="-5.9027777781011537E-2"/>
    <n v="46.583333333255723"/>
    <n v="12"/>
    <n v="34.583333333255723"/>
    <n v="4.5108433735040991"/>
    <x v="0"/>
  </r>
  <r>
    <x v="3"/>
    <x v="1"/>
    <d v="2024-12-04T22:41:28"/>
    <s v="OMS3RY5RR"/>
    <x v="0"/>
    <s v="UAR 731Q"/>
    <s v="Godwin Niwensiima"/>
    <s v="Kabaco U Ltd"/>
    <n v="153.60000000000002"/>
    <s v="Z81494"/>
    <x v="6"/>
    <x v="1"/>
    <x v="0"/>
    <x v="1"/>
    <x v="6"/>
    <x v="6"/>
    <n v="321"/>
    <n v="1"/>
    <x v="0"/>
    <d v="2024-12-05T11:09:28"/>
    <d v="2024-12-05T10:41:28"/>
    <d v="2024-12-05T11:53:28"/>
    <n v="70.483333333333334"/>
    <n v="43.06666666666667"/>
    <x v="1"/>
    <d v="2024-12-05T17:53:28"/>
    <d v="2024-12-06T13:41:28"/>
    <n v="1163.2333333333333"/>
    <x v="0"/>
    <d v="2024-12-06T19:01:28"/>
    <d v="2024-12-06T20:17:28"/>
    <n v="74.400000000000006"/>
    <x v="0"/>
    <n v="1.2972222222160781"/>
    <x v="3"/>
    <n v="-0.20277777778392192"/>
    <n v="31.133333333185874"/>
    <n v="12"/>
    <n v="19.133333333185874"/>
    <n v="8.0278745645218024"/>
    <x v="0"/>
  </r>
  <r>
    <x v="3"/>
    <x v="0"/>
    <d v="2024-12-05T00:00:00"/>
    <s v="OM02KWUD"/>
    <x v="0"/>
    <s v="UBB 115P"/>
    <s v="Kakembo Masuud"/>
    <s v="Kato Investment Ltd -Mityana"/>
    <n v="156"/>
    <s v="A19033"/>
    <x v="16"/>
    <x v="0"/>
    <x v="0"/>
    <x v="0"/>
    <x v="16"/>
    <x v="16"/>
    <m/>
    <n v="-690"/>
    <x v="0"/>
    <d v="2024-12-05T07:58:00"/>
    <d v="2024-12-05T07:30:00"/>
    <d v="2024-12-05T08:53:00"/>
    <n v="81.266666666666666"/>
    <n v="53.85"/>
    <x v="7"/>
    <d v="2024-12-06T10:53:00"/>
    <d v="2024-12-06T18:24:00"/>
    <n v="441.6"/>
    <x v="0"/>
    <d v="2024-12-07T15:49:55"/>
    <d v="2024-12-07T17:09:55"/>
    <n v="78.316666666666663"/>
    <x v="0"/>
    <n v="2.2895277777788579"/>
    <x v="0"/>
    <n v="0.28952777777885785"/>
    <n v="54.948666666692588"/>
    <n v="32"/>
    <n v="22.948666666692588"/>
    <n v="6.7977805536918829"/>
    <x v="0"/>
  </r>
  <r>
    <x v="3"/>
    <x v="0"/>
    <d v="2024-12-05T00:00:00"/>
    <s v="OM02KWUC"/>
    <x v="0"/>
    <s v="UBJ 419C"/>
    <m/>
    <s v="KATO INVESTMENTS LTD-KATIKARA"/>
    <n v="156"/>
    <s v="A19032"/>
    <x v="5"/>
    <x v="0"/>
    <x v="0"/>
    <x v="0"/>
    <x v="5"/>
    <x v="5"/>
    <n v="836"/>
    <n v="6"/>
    <x v="0"/>
    <d v="2024-12-05T07:58:00"/>
    <d v="2024-12-05T07:30:00"/>
    <d v="2024-12-05T08:38:00"/>
    <n v="66.583333333333329"/>
    <n v="39.166666666666664"/>
    <x v="1"/>
    <d v="2024-12-06T09:53:00"/>
    <d v="2024-12-07T12:17:00"/>
    <n v="1550.9833333333333"/>
    <x v="0"/>
    <d v="2024-12-08T17:05:00"/>
    <d v="2024-12-08T18:07:00"/>
    <n v="60.7"/>
    <x v="0"/>
    <n v="3.3520833333313931"/>
    <x v="0"/>
    <n v="1.3520833333313931"/>
    <n v="80.449999999953434"/>
    <n v="36"/>
    <n v="44.449999999953434"/>
    <n v="3.509561304840572"/>
    <x v="12"/>
  </r>
  <r>
    <x v="3"/>
    <x v="0"/>
    <d v="2024-12-05T23:07:59"/>
    <s v="OM6BCAERR"/>
    <x v="0"/>
    <s v="UBM 648D"/>
    <m/>
    <s v="Kato Investment Ltd -Mubende"/>
    <n v="156"/>
    <s v="A19039"/>
    <x v="1"/>
    <x v="0"/>
    <x v="0"/>
    <x v="0"/>
    <x v="1"/>
    <x v="1"/>
    <n v="682"/>
    <n v="2"/>
    <x v="0"/>
    <d v="2024-12-06T11:35:59"/>
    <d v="2024-12-06T11:07:59"/>
    <d v="2024-12-06T12:19:59"/>
    <n v="70.483333333333334"/>
    <n v="43.06666666666667"/>
    <x v="1"/>
    <d v="2024-12-07T14:36:59"/>
    <d v="2024-12-07T20:06:59"/>
    <n v="323.11666666666667"/>
    <x v="0"/>
    <d v="2024-12-08T12:54:59"/>
    <d v="2024-12-08T13:59:59"/>
    <n v="63.633333333333333"/>
    <x v="0"/>
    <n v="2.0243055555474712"/>
    <x v="1"/>
    <n v="-0.47569444445252884"/>
    <n v="48.583333333139308"/>
    <n v="24"/>
    <n v="24.583333333139308"/>
    <n v="6.3457627119144915"/>
    <x v="0"/>
  </r>
  <r>
    <x v="3"/>
    <x v="1"/>
    <d v="2024-12-05T23:13:47"/>
    <s v="OMADKNQRR"/>
    <x v="1"/>
    <s v="UAV 203T"/>
    <s v="Mugisha  George"/>
    <s v="KATO INVESTMENTS LIMITED-MASAK"/>
    <n v="153.60000000000002"/>
    <s v="F15435"/>
    <x v="14"/>
    <x v="1"/>
    <x v="0"/>
    <x v="1"/>
    <x v="14"/>
    <x v="14"/>
    <n v="151"/>
    <n v="-189"/>
    <x v="2"/>
    <d v="2024-12-06T16:22:00"/>
    <d v="2024-12-05T08:00:00"/>
    <d v="2024-12-06T16:56:00"/>
    <n v="1934.8166666666666"/>
    <n v="33.283333333333331"/>
    <x v="1"/>
    <d v="2024-12-06T19:03:00"/>
    <d v="2024-12-07T13:00:00"/>
    <n v="1054.55"/>
    <x v="0"/>
    <d v="2024-12-07T16:05:00"/>
    <d v="2024-12-07T17:31:00"/>
    <n v="84.2"/>
    <x v="0"/>
    <n v="0.96458333333430346"/>
    <x v="8"/>
    <n v="-3.5416666665696539E-2"/>
    <n v="23.150000000023283"/>
    <n v="0"/>
    <n v="23.150000000023283"/>
    <n v="6.6349892008572589"/>
    <x v="0"/>
  </r>
  <r>
    <x v="3"/>
    <x v="0"/>
    <d v="2024-12-06T00:00:00"/>
    <s v="OM02KWYG"/>
    <x v="0"/>
    <s v="UBP 311H"/>
    <m/>
    <s v="Kato Investments Ltd-Bulenga"/>
    <n v="156"/>
    <s v="A19046"/>
    <x v="2"/>
    <x v="0"/>
    <x v="0"/>
    <x v="0"/>
    <x v="2"/>
    <x v="2"/>
    <n v="593"/>
    <n v="33"/>
    <x v="0"/>
    <d v="2024-12-06T07:58:00"/>
    <d v="2024-12-06T07:30:00"/>
    <d v="2024-12-06T08:38:00"/>
    <n v="66.583333333333329"/>
    <n v="39.166666666666664"/>
    <x v="1"/>
    <d v="2024-12-07T08:38:00"/>
    <d v="2024-12-07T14:11:00"/>
    <n v="326.05"/>
    <x v="0"/>
    <d v="2024-12-08T09:50:00"/>
    <d v="2024-12-08T10:55:00"/>
    <n v="63.633333333333333"/>
    <x v="0"/>
    <n v="2.0500000000029104"/>
    <x v="0"/>
    <n v="5.0000000002910383E-2"/>
    <n v="49.200000000069849"/>
    <n v="24"/>
    <n v="25.200000000069849"/>
    <n v="6.190476190459032"/>
    <x v="0"/>
  </r>
  <r>
    <x v="3"/>
    <x v="0"/>
    <d v="2024-12-06T00:00:00"/>
    <s v="OM02KX1B"/>
    <x v="0"/>
    <s v="UBP 311H"/>
    <s v="Ekwalikwa Yusuf"/>
    <s v="KATO INVESTMENTS LTD-KATIKARA"/>
    <n v="156"/>
    <s v="A19055"/>
    <x v="5"/>
    <x v="0"/>
    <x v="0"/>
    <x v="0"/>
    <x v="5"/>
    <x v="5"/>
    <n v="825"/>
    <n v="-5"/>
    <x v="0"/>
    <d v="2024-12-06T07:42:00"/>
    <d v="2024-12-06T07:30:00"/>
    <d v="2024-12-06T08:38:00"/>
    <n v="66.583333333333329"/>
    <n v="54.833333333333336"/>
    <x v="2"/>
    <d v="2024-12-07T09:53:00"/>
    <d v="2024-12-07T14:59:00"/>
    <n v="299.61666666666667"/>
    <x v="0"/>
    <d v="2024-12-08T19:47:00"/>
    <d v="2024-12-08T20:50:00"/>
    <n v="61.68333333333333"/>
    <x v="0"/>
    <n v="2.4645833333343035"/>
    <x v="0"/>
    <n v="0.46458333333430346"/>
    <n v="59.150000000023283"/>
    <n v="32"/>
    <n v="27.150000000023283"/>
    <n v="5.745856353586233"/>
    <x v="0"/>
  </r>
  <r>
    <x v="3"/>
    <x v="0"/>
    <d v="2024-12-06T00:00:00"/>
    <s v="OM02KX1Z"/>
    <x v="0"/>
    <s v="UBE 684K"/>
    <m/>
    <s v="Kato Investments Ltd-Bulenga"/>
    <n v="143.04000000000002"/>
    <s v="A19065"/>
    <x v="2"/>
    <x v="0"/>
    <x v="0"/>
    <x v="0"/>
    <x v="2"/>
    <x v="2"/>
    <n v="556"/>
    <n v="-4"/>
    <x v="0"/>
    <d v="2024-12-06T07:58:00"/>
    <d v="2024-12-06T07:30:00"/>
    <d v="2024-12-06T08:38:00"/>
    <n v="66.583333333333329"/>
    <n v="39.166666666666664"/>
    <x v="1"/>
    <d v="2024-12-07T08:38:00"/>
    <d v="2024-12-07T13:14:00"/>
    <n v="270.23333333333335"/>
    <x v="0"/>
    <d v="2024-12-08T08:38:00"/>
    <d v="2024-12-08T09:54:00"/>
    <n v="74.400000000000006"/>
    <x v="0"/>
    <n v="2"/>
    <x v="0"/>
    <n v="0"/>
    <n v="48"/>
    <n v="24"/>
    <n v="24"/>
    <n v="5.9600000000000009"/>
    <x v="0"/>
  </r>
  <r>
    <x v="3"/>
    <x v="0"/>
    <d v="2024-12-06T00:00:00"/>
    <s v="OM02KX22"/>
    <x v="0"/>
    <s v="UBK 882R"/>
    <m/>
    <s v="Kato Investment Ltd -Mityana"/>
    <n v="172.8"/>
    <s v="A19068"/>
    <x v="16"/>
    <x v="0"/>
    <x v="0"/>
    <x v="0"/>
    <x v="16"/>
    <x v="16"/>
    <m/>
    <n v="-690"/>
    <x v="0"/>
    <d v="2024-12-06T07:58:00"/>
    <d v="2024-12-06T07:30:00"/>
    <d v="2024-12-06T08:45:00"/>
    <n v="73.433333333333337"/>
    <n v="46.016666666666666"/>
    <x v="1"/>
    <d v="2024-12-07T10:45:00"/>
    <d v="2024-12-07T16:34:00"/>
    <n v="341.71666666666664"/>
    <x v="0"/>
    <d v="2024-12-08T12:04:43"/>
    <d v="2024-12-08T13:12:43"/>
    <n v="66.583333333333329"/>
    <x v="0"/>
    <n v="2.1386944444457185"/>
    <x v="0"/>
    <n v="0.13869444444571855"/>
    <n v="51.328666666697245"/>
    <n v="24"/>
    <n v="27.328666666697245"/>
    <n v="6.3230307613424239"/>
    <x v="0"/>
  </r>
  <r>
    <x v="3"/>
    <x v="1"/>
    <d v="2024-12-06T10:50:32"/>
    <s v="OMIUU1ZRR"/>
    <x v="1"/>
    <s v="UBE 422T"/>
    <s v="Jacob Oneka"/>
    <s v="KATO INVESTMENTS LIMITED-MASAK"/>
    <n v="156"/>
    <s v="F15436"/>
    <x v="14"/>
    <x v="1"/>
    <x v="0"/>
    <x v="1"/>
    <x v="14"/>
    <x v="14"/>
    <n v="403"/>
    <n v="63"/>
    <x v="6"/>
    <d v="2024-12-06T16:00:00"/>
    <d v="2024-12-07T04:14:00"/>
    <d v="2024-12-06T16:42:00"/>
    <n v="-677.6"/>
    <n v="41.116666666666667"/>
    <x v="1"/>
    <d v="2024-12-07T10:51:00"/>
    <d v="2024-12-07T15:44:00"/>
    <n v="286.88333333333333"/>
    <x v="0"/>
    <d v="2024-12-08T10:32:00"/>
    <d v="2024-12-08T11:42:00"/>
    <n v="68.533333333333331"/>
    <x v="3"/>
    <n v="1.7430555555547471"/>
    <x v="8"/>
    <n v="0.74305555555474712"/>
    <n v="41.833333333313931"/>
    <n v="12"/>
    <n v="29.833333333313931"/>
    <n v="5.22905027933301"/>
    <x v="0"/>
  </r>
  <r>
    <x v="3"/>
    <x v="1"/>
    <d v="2024-12-06T19:48:03"/>
    <s v="OMSRDZMRR"/>
    <x v="1"/>
    <s v="UBK 875R"/>
    <s v="Bisaso  Ronald"/>
    <s v="Ntale and Sons"/>
    <n v="153.60000000000002"/>
    <s v="A19056"/>
    <x v="19"/>
    <x v="1"/>
    <x v="0"/>
    <x v="1"/>
    <x v="19"/>
    <x v="19"/>
    <n v="818"/>
    <n v="8"/>
    <x v="0"/>
    <d v="2024-12-06T19:15:00"/>
    <d v="2024-12-06T21:00:00"/>
    <d v="2024-12-06T20:05:00"/>
    <n v="-53.866666666666667"/>
    <n v="48.95"/>
    <x v="1"/>
    <d v="2024-12-07T17:10:00"/>
    <d v="2024-12-08T18:00:00"/>
    <n v="1458.95"/>
    <x v="0"/>
    <d v="2024-12-09T19:07:00"/>
    <d v="2024-12-09T22:22:00"/>
    <n v="190.93333333333334"/>
    <x v="1"/>
    <n v="2.9597222222218988"/>
    <x v="4"/>
    <n v="-4.0277777778101154E-2"/>
    <n v="71.033333333325572"/>
    <n v="24"/>
    <n v="47.033333333325572"/>
    <n v="3.2657689581862233"/>
    <x v="0"/>
  </r>
  <r>
    <x v="3"/>
    <x v="0"/>
    <d v="2024-12-06T20:06:05"/>
    <s v="OMJTWC8RR"/>
    <x v="1"/>
    <s v="UBK 858R"/>
    <s v="ALIPA EREKU"/>
    <s v="KATO INVESTMENTS LTD-KATIKARA"/>
    <n v="156"/>
    <s v="A19061"/>
    <x v="5"/>
    <x v="0"/>
    <x v="0"/>
    <x v="0"/>
    <x v="5"/>
    <x v="5"/>
    <n v="836"/>
    <n v="6"/>
    <x v="0"/>
    <d v="2024-12-06T20:46:00"/>
    <d v="2024-12-06T15:48:00"/>
    <d v="2024-12-06T21:48:00"/>
    <n v="352.5"/>
    <n v="60.7"/>
    <x v="5"/>
    <d v="2024-12-08T12:07:00"/>
    <d v="2024-12-09T12:17:00"/>
    <n v="1419.7833333333333"/>
    <x v="0"/>
    <d v="2024-12-10T12:10:00"/>
    <d v="2024-12-10T13:29:00"/>
    <n v="77.349999999999994"/>
    <x v="0"/>
    <n v="3.5986111111124046"/>
    <x v="0"/>
    <n v="1.5986111111124046"/>
    <n v="86.366666666697711"/>
    <n v="48"/>
    <n v="38.366666666697711"/>
    <n v="4.0660295395275527"/>
    <x v="9"/>
  </r>
  <r>
    <x v="3"/>
    <x v="1"/>
    <d v="2024-12-06T20:11:39"/>
    <s v="OMBY08PRR"/>
    <x v="1"/>
    <s v="UBJ 707D"/>
    <s v="Konge Husein"/>
    <s v="KATO INVESTMENTS LIMITED-MASAK"/>
    <n v="153.60000000000002"/>
    <s v="F15437"/>
    <x v="14"/>
    <x v="1"/>
    <x v="0"/>
    <x v="1"/>
    <x v="14"/>
    <x v="14"/>
    <n v="294"/>
    <n v="-46"/>
    <x v="0"/>
    <d v="2024-12-06T19:56:00"/>
    <d v="2024-12-07T04:14:00"/>
    <d v="2024-12-06T20:49:00"/>
    <n v="-435.73333333333335"/>
    <n v="51.883333333333333"/>
    <x v="0"/>
    <d v="2024-12-07T09:39:00"/>
    <d v="2024-12-07T16:11:00"/>
    <n v="383.81666666666666"/>
    <x v="0"/>
    <d v="2024-12-08T12:17:00"/>
    <d v="2024-12-08T15:21:00"/>
    <n v="180.15"/>
    <x v="1"/>
    <n v="1.6444444444496185"/>
    <x v="8"/>
    <n v="0.64444444444961846"/>
    <n v="39.466666666790843"/>
    <n v="16"/>
    <n v="23.466666666790843"/>
    <n v="6.5454545454199105"/>
    <x v="0"/>
  </r>
  <r>
    <x v="3"/>
    <x v="1"/>
    <d v="2024-12-06T20:12:30"/>
    <s v="OMRGM7ERR"/>
    <x v="1"/>
    <s v="UAY 526V"/>
    <s v="Benon Ssempijja"/>
    <s v="Kobusinge Steven-Kamwenge"/>
    <n v="150.28800000000001"/>
    <s v="Z81512"/>
    <x v="13"/>
    <x v="1"/>
    <x v="0"/>
    <x v="1"/>
    <x v="13"/>
    <x v="13"/>
    <n v="231"/>
    <n v="1"/>
    <x v="0"/>
    <d v="2024-12-07T08:37:00"/>
    <d v="2024-12-07T03:17:00"/>
    <d v="2024-12-07T09:38:00"/>
    <n v="373.05"/>
    <n v="59.716666666666669"/>
    <x v="11"/>
    <d v="2024-12-07T12:55:00"/>
    <d v="2024-12-07T16:10:00"/>
    <n v="190.93333333333334"/>
    <x v="0"/>
    <d v="2024-12-08T08:27:00"/>
    <d v="2024-12-08T11:06:00"/>
    <n v="155.68333333333334"/>
    <x v="2"/>
    <n v="0.95069444444379769"/>
    <x v="7"/>
    <n v="-0.34930555555620235"/>
    <n v="22.816666666651145"/>
    <n v="0"/>
    <n v="22.816666666651145"/>
    <n v="6.5867640613631373"/>
    <x v="0"/>
  </r>
  <r>
    <x v="3"/>
    <x v="0"/>
    <d v="2024-12-06T20:13:35"/>
    <s v="OMLP5AERR"/>
    <x v="1"/>
    <s v="UBM 644D"/>
    <s v="KAJUBI ISMA"/>
    <s v="Boniface Harera"/>
    <n v="152.68799999999999"/>
    <s v="F15438"/>
    <x v="10"/>
    <x v="0"/>
    <x v="0"/>
    <x v="0"/>
    <x v="10"/>
    <x v="10"/>
    <n v="493"/>
    <n v="23"/>
    <x v="0"/>
    <d v="2024-12-06T19:39:00"/>
    <d v="2024-12-07T01:30:00"/>
    <d v="2024-12-06T20:34:00"/>
    <n v="-289.85000000000002"/>
    <n v="53.85"/>
    <x v="0"/>
    <d v="2024-12-07T21:05:00"/>
    <d v="2024-12-08T15:39:00"/>
    <n v="1090.7833333333333"/>
    <x v="0"/>
    <d v="2024-12-09T08:04:00"/>
    <d v="2024-12-09T09:26:00"/>
    <n v="80.283333333333331"/>
    <x v="0"/>
    <n v="2.4791666666642413"/>
    <x v="1"/>
    <n v="-2.0833333335758653E-2"/>
    <n v="59.499999999941792"/>
    <n v="32"/>
    <n v="27.499999999941792"/>
    <n v="5.5522909091026609"/>
    <x v="0"/>
  </r>
  <r>
    <x v="3"/>
    <x v="0"/>
    <d v="2024-12-06T23:26:51"/>
    <s v="OMXWJOLRR"/>
    <x v="1"/>
    <s v="UBP 301H"/>
    <s v="NAMINYA SIRAJE"/>
    <s v="Kato Investment Ltd -Mityana"/>
    <n v="157.5"/>
    <s v="A19073"/>
    <x v="16"/>
    <x v="0"/>
    <x v="0"/>
    <x v="0"/>
    <x v="16"/>
    <x v="16"/>
    <n v="692"/>
    <n v="2"/>
    <x v="0"/>
    <d v="2024-12-07T11:14:00"/>
    <d v="2024-12-06T19:35:00"/>
    <d v="2024-12-07T12:03:00"/>
    <n v="967.41666666666663"/>
    <n v="47.966666666666669"/>
    <x v="1"/>
    <d v="2024-12-08T14:28:00"/>
    <d v="2024-12-08T20:32:00"/>
    <n v="356.41666666666669"/>
    <x v="0"/>
    <d v="2024-12-09T14:43:00"/>
    <d v="2024-12-09T16:56:00"/>
    <n v="130.21666666666667"/>
    <x v="4"/>
    <n v="2.1111111111094942"/>
    <x v="0"/>
    <n v="0.11111111110949423"/>
    <n v="50.666666666627862"/>
    <n v="24"/>
    <n v="26.666666666627862"/>
    <n v="5.9062500000085949"/>
    <x v="0"/>
  </r>
  <r>
    <x v="3"/>
    <x v="1"/>
    <d v="2024-12-07T15:08:14"/>
    <s v="OMKIQ1ARR"/>
    <x v="0"/>
    <s v="UAR 731Q"/>
    <s v="Godwin Niwensiima"/>
    <s v="Ntale and Sons"/>
    <n v="144"/>
    <s v="A19078"/>
    <x v="19"/>
    <x v="1"/>
    <x v="0"/>
    <x v="1"/>
    <x v="19"/>
    <x v="19"/>
    <m/>
    <n v="-810"/>
    <x v="0"/>
    <d v="2024-12-08T03:36:14"/>
    <d v="2024-12-08T03:08:14"/>
    <d v="2024-12-08T04:16:14"/>
    <n v="66.583333333333329"/>
    <n v="39.166666666666664"/>
    <x v="1"/>
    <d v="2024-12-09T10:16:14"/>
    <d v="2024-12-09T14:48:14"/>
    <n v="266.31666666666666"/>
    <x v="0"/>
    <d v="2024-12-10T14:19:26"/>
    <d v="2024-12-10T15:24:26"/>
    <n v="63.633333333333333"/>
    <x v="0"/>
    <n v="2.4188888888893416"/>
    <x v="4"/>
    <n v="-0.58111111111065838"/>
    <n v="58.053333333344199"/>
    <n v="24"/>
    <n v="34.053333333344199"/>
    <n v="4.2286609240393709"/>
    <x v="0"/>
  </r>
  <r>
    <x v="3"/>
    <x v="0"/>
    <d v="2024-12-07T17:55:19"/>
    <s v="OM0LS57RR"/>
    <x v="1"/>
    <s v="UBE 680K"/>
    <s v="BYEKWASO TWAHA"/>
    <s v="Ntale and Sons Ltd-Kakiri"/>
    <n v="156"/>
    <s v="A19079"/>
    <x v="22"/>
    <x v="0"/>
    <x v="0"/>
    <x v="0"/>
    <x v="22"/>
    <x v="21"/>
    <n v="576"/>
    <n v="-44"/>
    <x v="0"/>
    <d v="2024-12-07T21:49:00"/>
    <d v="2024-12-08T01:59:00"/>
    <d v="2024-12-07T22:34:00"/>
    <n v="-200.73333333333332"/>
    <n v="44.05"/>
    <x v="1"/>
    <d v="2024-12-09T09:32:00"/>
    <d v="2024-12-09T15:38:00"/>
    <n v="358.36666666666667"/>
    <x v="0"/>
    <d v="2024-12-10T10:27:00"/>
    <d v="2024-12-10T11:59:00"/>
    <n v="90.066666666666663"/>
    <x v="0"/>
    <n v="2.4951388888875954"/>
    <x v="0"/>
    <n v="0.49513888888759539"/>
    <n v="59.883333333302289"/>
    <n v="24"/>
    <n v="35.883333333302289"/>
    <n v="4.3474222015829529"/>
    <x v="0"/>
  </r>
  <r>
    <x v="3"/>
    <x v="1"/>
    <d v="2024-12-07T18:01:46"/>
    <s v="OM3D5GGRR"/>
    <x v="1"/>
    <s v="UBJ 988D"/>
    <s v="Tumusiime Robert"/>
    <s v="KATO INVESTMENTS LIMITED-MASAK"/>
    <n v="153.60000000000002"/>
    <s v="F15440"/>
    <x v="14"/>
    <x v="1"/>
    <x v="0"/>
    <x v="1"/>
    <x v="14"/>
    <x v="14"/>
    <n v="437"/>
    <n v="97"/>
    <x v="7"/>
    <d v="2024-12-08T06:43:00"/>
    <d v="2024-12-08T04:14:00"/>
    <d v="2024-12-08T07:33:00"/>
    <n v="194.85"/>
    <n v="48.95"/>
    <x v="1"/>
    <d v="2024-12-09T09:19:00"/>
    <d v="2024-12-09T18:38:00"/>
    <n v="547.35"/>
    <x v="0"/>
    <d v="2024-12-10T17:32:00"/>
    <d v="2024-12-10T20:19:00"/>
    <n v="163.51666666666668"/>
    <x v="2"/>
    <n v="2.4159722222248092"/>
    <x v="8"/>
    <n v="1.4159722222248092"/>
    <n v="57.983333333395422"/>
    <n v="24"/>
    <n v="33.983333333395422"/>
    <n v="4.5198626777749702"/>
    <x v="0"/>
  </r>
  <r>
    <x v="3"/>
    <x v="1"/>
    <d v="2024-12-07T18:08:17"/>
    <s v="OMS1P7MRR"/>
    <x v="1"/>
    <s v="UBJ 375N"/>
    <s v="Stephen Musoke "/>
    <s v="DE PLACE INVESTMENTS LTD"/>
    <n v="153.60000000000002"/>
    <s v="F15442"/>
    <x v="0"/>
    <x v="1"/>
    <x v="0"/>
    <x v="1"/>
    <x v="0"/>
    <x v="0"/>
    <n v="758"/>
    <n v="-2"/>
    <x v="0"/>
    <d v="2024-12-08T08:37:00"/>
    <d v="2024-12-08T16:40:00"/>
    <d v="2024-12-08T09:37:00"/>
    <n v="-414.2"/>
    <n v="58.733333333333334"/>
    <x v="11"/>
    <d v="2024-12-08T21:27:00"/>
    <d v="2024-12-09T10:22:00"/>
    <n v="758.85"/>
    <x v="0"/>
    <d v="2024-12-10T10:16:00"/>
    <d v="2024-12-10T11:27:00"/>
    <n v="69.516666666666666"/>
    <x v="0"/>
    <n v="2.0270833333343035"/>
    <x v="0"/>
    <n v="2.7083333334303461E-2"/>
    <n v="48.650000000023283"/>
    <n v="32"/>
    <n v="16.650000000023283"/>
    <n v="9.225225225212327"/>
    <x v="0"/>
  </r>
  <r>
    <x v="3"/>
    <x v="1"/>
    <d v="2024-12-07T18:11:58"/>
    <s v="OMWG7S4RR"/>
    <x v="0"/>
    <s v="UAV 051U"/>
    <s v="Angello Lumala"/>
    <s v="Agaba Services"/>
    <n v="153.60000000000002"/>
    <s v="F15443"/>
    <x v="20"/>
    <x v="1"/>
    <x v="0"/>
    <x v="1"/>
    <x v="20"/>
    <x v="20"/>
    <n v="292"/>
    <n v="-10"/>
    <x v="0"/>
    <d v="2024-12-08T07:58:58"/>
    <d v="2024-12-08T07:30:58"/>
    <d v="2024-12-08T08:53:58"/>
    <n v="81.266666666666666"/>
    <n v="53.85"/>
    <x v="4"/>
    <d v="2024-12-08T14:53:58"/>
    <d v="2024-12-08T17:05:58"/>
    <n v="129.25"/>
    <x v="0"/>
    <d v="2024-12-09T07:58:46"/>
    <d v="2024-12-09T09:00:46"/>
    <n v="60.7"/>
    <x v="0"/>
    <n v="0.96166666666977108"/>
    <x v="8"/>
    <n v="-3.8333333330228925E-2"/>
    <n v="23.080000000074506"/>
    <n v="0"/>
    <n v="23.080000000074506"/>
    <n v="6.6551126516249646"/>
    <x v="0"/>
  </r>
  <r>
    <x v="3"/>
    <x v="0"/>
    <d v="2024-12-08T00:00:00"/>
    <s v="OM02KXB2"/>
    <x v="0"/>
    <s v="UBJ 705D"/>
    <s v="KASULE JOHNBOSC"/>
    <s v="Kato Investments Ltd-Bulenga"/>
    <n v="156"/>
    <s v="A19098"/>
    <x v="2"/>
    <x v="0"/>
    <x v="0"/>
    <x v="0"/>
    <x v="2"/>
    <x v="2"/>
    <n v="556"/>
    <n v="-4"/>
    <x v="0"/>
    <d v="2024-12-08T07:58:00"/>
    <d v="2024-12-08T07:30:00"/>
    <d v="2024-12-08T08:47:00"/>
    <n v="75.38333333333334"/>
    <n v="47.966666666666669"/>
    <x v="1"/>
    <d v="2024-12-09T08:47:00"/>
    <d v="2024-12-09T14:02:00"/>
    <n v="308.43333333333334"/>
    <x v="0"/>
    <d v="2024-12-10T09:59:00"/>
    <d v="2024-12-10T11:04:00"/>
    <n v="63.633333333333333"/>
    <x v="0"/>
    <n v="2.0500000000029104"/>
    <x v="0"/>
    <n v="5.0000000002910383E-2"/>
    <n v="49.200000000069849"/>
    <n v="24"/>
    <n v="25.200000000069849"/>
    <n v="6.190476190459032"/>
    <x v="0"/>
  </r>
  <r>
    <x v="3"/>
    <x v="0"/>
    <d v="2024-12-08T00:00:00"/>
    <s v="OM02KXB8"/>
    <x v="0"/>
    <s v="UBK 866R"/>
    <m/>
    <s v="Sawan Distributors Ltd-Kayabwe"/>
    <n v="156"/>
    <s v="A19101"/>
    <x v="9"/>
    <x v="0"/>
    <x v="0"/>
    <x v="0"/>
    <x v="9"/>
    <x v="9"/>
    <n v="397"/>
    <n v="-3"/>
    <x v="0"/>
    <d v="2024-12-08T07:58:00"/>
    <d v="2024-12-08T07:30:00"/>
    <d v="2024-12-08T08:42:00"/>
    <n v="70.483333333333334"/>
    <n v="43.06666666666667"/>
    <x v="1"/>
    <d v="2024-12-09T11:42:00"/>
    <d v="2024-12-09T16:11:00"/>
    <n v="263.38333333333333"/>
    <x v="0"/>
    <d v="2024-12-10T11:23:00"/>
    <d v="2024-12-10T12:33:00"/>
    <n v="68.533333333333331"/>
    <x v="0"/>
    <n v="2.1118055555562023"/>
    <x v="0"/>
    <n v="0.11180555555620231"/>
    <n v="50.683333333348855"/>
    <n v="24"/>
    <n v="26.683333333348855"/>
    <n v="5.8463460337255189"/>
    <x v="0"/>
  </r>
  <r>
    <x v="3"/>
    <x v="0"/>
    <d v="2024-12-08T00:00:00"/>
    <s v="OM02KXBX"/>
    <x v="0"/>
    <s v="UBE 684K"/>
    <m/>
    <s v="Kato Investments Ltd- Kyegegwa"/>
    <n v="156"/>
    <s v="A19099"/>
    <x v="18"/>
    <x v="0"/>
    <x v="0"/>
    <x v="0"/>
    <x v="18"/>
    <x v="18"/>
    <n v="565"/>
    <n v="0"/>
    <x v="0"/>
    <d v="2024-12-08T07:58:00"/>
    <d v="2024-12-08T07:30:00"/>
    <d v="2024-12-08T09:02:00"/>
    <n v="90.066666666666663"/>
    <n v="62.65"/>
    <x v="6"/>
    <d v="2024-12-09T11:22:00"/>
    <d v="2024-12-09T14:41:00"/>
    <n v="194.85"/>
    <x v="0"/>
    <d v="2024-12-09T21:11:00"/>
    <d v="2024-12-09T22:13:00"/>
    <n v="60.7"/>
    <x v="0"/>
    <n v="1.5062499999985448"/>
    <x v="0"/>
    <n v="-0.49375000000145519"/>
    <n v="36.149999999965075"/>
    <n v="16"/>
    <n v="20.149999999965075"/>
    <n v="7.7419354838843866"/>
    <x v="0"/>
  </r>
  <r>
    <x v="3"/>
    <x v="1"/>
    <d v="2024-12-08T13:59:27"/>
    <s v="OMC5SGURR"/>
    <x v="1"/>
    <s v="UBE 287X"/>
    <s v="Isaac Tumuhimbise"/>
    <s v="Rugoma Traders-Rukungiri"/>
    <n v="153.60000000000002"/>
    <s v="Z81529"/>
    <x v="17"/>
    <x v="1"/>
    <x v="0"/>
    <x v="1"/>
    <x v="17"/>
    <x v="17"/>
    <n v="231"/>
    <n v="-25"/>
    <x v="0"/>
    <d v="2024-12-08T13:34:00"/>
    <d v="2024-12-09T04:04:00"/>
    <d v="2024-12-08T14:16:00"/>
    <n v="-810.75"/>
    <n v="41.116666666666667"/>
    <x v="1"/>
    <d v="2024-12-09T08:20:00"/>
    <d v="2024-12-09T11:54:00"/>
    <n v="209.53333333333333"/>
    <x v="0"/>
    <d v="2024-12-09T18:10:00"/>
    <d v="2024-12-09T20:40:00"/>
    <n v="146.86666666666667"/>
    <x v="5"/>
    <n v="1.1624999999985448"/>
    <x v="8"/>
    <n v="0.16249999999854481"/>
    <n v="27.899999999965075"/>
    <n v="12"/>
    <n v="15.899999999965075"/>
    <n v="9.660377358511786"/>
    <x v="0"/>
  </r>
  <r>
    <x v="3"/>
    <x v="1"/>
    <d v="2024-12-08T14:00:59"/>
    <s v="OMZ3RT3RR"/>
    <x v="1"/>
    <s v="UBE 422T"/>
    <s v="Jacob Oneka"/>
    <s v="Ntale and Sons"/>
    <n v="153.60000000000002"/>
    <s v="A19094"/>
    <x v="19"/>
    <x v="1"/>
    <x v="0"/>
    <x v="1"/>
    <x v="19"/>
    <x v="19"/>
    <n v="804"/>
    <n v="-6"/>
    <x v="0"/>
    <d v="2024-12-08T16:19:00"/>
    <d v="2024-12-08T16:40:00"/>
    <d v="2024-12-08T17:06:00"/>
    <n v="25.45"/>
    <n v="46.016666666666666"/>
    <x v="8"/>
    <d v="2024-12-09T17:31:00"/>
    <d v="2024-12-10T16:29:00"/>
    <n v="1349.2833333333333"/>
    <x v="0"/>
    <d v="2024-12-11T15:57:00"/>
    <d v="2024-12-11T17:18:00"/>
    <n v="79.3"/>
    <x v="0"/>
    <n v="2.9520833333299379"/>
    <x v="4"/>
    <n v="-4.7916666670062114E-2"/>
    <n v="70.849999999918509"/>
    <n v="32"/>
    <n v="38.849999999918509"/>
    <n v="3.9536679536762476"/>
    <x v="0"/>
  </r>
  <r>
    <x v="3"/>
    <x v="1"/>
    <d v="2024-12-08T17:32:37"/>
    <s v="OMFCVJ4RR"/>
    <x v="1"/>
    <s v="UBK 881R"/>
    <s v="James  Kironde"/>
    <s v="Kobusinge Steven-Kamwenge"/>
    <n v="153.60000000000002"/>
    <s v="Z81535"/>
    <x v="13"/>
    <x v="1"/>
    <x v="0"/>
    <x v="1"/>
    <x v="13"/>
    <x v="13"/>
    <n v="174"/>
    <n v="-56"/>
    <x v="0"/>
    <d v="2024-12-08T17:27:00"/>
    <d v="2024-12-09T03:17:00"/>
    <d v="2024-12-08T18:12:00"/>
    <n v="-533.65"/>
    <n v="44.05"/>
    <x v="1"/>
    <d v="2024-12-09T09:27:00"/>
    <d v="2024-12-09T13:51:00"/>
    <n v="258.48333333333335"/>
    <x v="0"/>
    <d v="2024-12-09T17:57:00"/>
    <d v="2024-12-09T20:18:00"/>
    <n v="138.05000000000001"/>
    <x v="4"/>
    <n v="0.98958333333575865"/>
    <x v="7"/>
    <n v="-0.31041666666424139"/>
    <n v="23.750000000058208"/>
    <n v="0"/>
    <n v="23.750000000058208"/>
    <n v="6.4673684210367819"/>
    <x v="0"/>
  </r>
  <r>
    <x v="3"/>
    <x v="1"/>
    <d v="2024-12-08T18:43:32"/>
    <s v="OM8IC2MRR"/>
    <x v="0"/>
    <s v="UAR 731Q"/>
    <s v="Godwin Niwensiima"/>
    <s v="Agaba Services"/>
    <n v="153.60000000000002"/>
    <s v="F15445"/>
    <x v="20"/>
    <x v="1"/>
    <x v="0"/>
    <x v="1"/>
    <x v="20"/>
    <x v="20"/>
    <n v="297"/>
    <n v="-5"/>
    <x v="0"/>
    <d v="2024-12-09T07:58:32"/>
    <d v="2024-12-09T07:30:32"/>
    <d v="2024-12-09T08:38:32"/>
    <n v="66.583333333333329"/>
    <n v="39.166666666666664"/>
    <x v="1"/>
    <d v="2024-12-09T14:38:32"/>
    <d v="2024-12-09T18:49:32"/>
    <n v="245.76666666666668"/>
    <x v="0"/>
    <d v="2024-12-10T09:42:20"/>
    <d v="2024-12-10T10:45:20"/>
    <n v="61.68333333333333"/>
    <x v="0"/>
    <n v="1.0443055555588217"/>
    <x v="8"/>
    <n v="4.4305555558821652E-2"/>
    <n v="25.06333333341172"/>
    <n v="12"/>
    <n v="13.06333333341172"/>
    <n v="11.758101556448969"/>
    <x v="0"/>
  </r>
  <r>
    <x v="3"/>
    <x v="1"/>
    <d v="2024-12-08T18:44:21"/>
    <s v="OMBXUABRR"/>
    <x v="1"/>
    <s v="UBJ 707D"/>
    <s v="Konge Husein"/>
    <s v="DE PLACE INVESTMENTS LTD"/>
    <n v="153.60000000000002"/>
    <s v="F15446"/>
    <x v="0"/>
    <x v="1"/>
    <x v="0"/>
    <x v="1"/>
    <x v="0"/>
    <x v="0"/>
    <n v="763"/>
    <n v="3"/>
    <x v="0"/>
    <d v="2024-12-08T18:15:00"/>
    <d v="2024-12-09T19:00:00"/>
    <d v="2024-12-08T19:01:00"/>
    <n v="-1409.0333333333333"/>
    <n v="45.033333333333331"/>
    <x v="1"/>
    <d v="2024-12-09T18:32:00"/>
    <d v="2024-12-10T10:53:00"/>
    <n v="960.55"/>
    <x v="0"/>
    <d v="2024-12-13T08:59:00"/>
    <d v="2024-12-13T10:27:00"/>
    <n v="86.166666666666671"/>
    <x v="0"/>
    <n v="4.5819444444423425"/>
    <x v="0"/>
    <n v="2.5819444444423425"/>
    <n v="109.96666666661622"/>
    <n v="48"/>
    <n v="61.96666666661622"/>
    <n v="2.4787520172155739"/>
    <x v="7"/>
  </r>
  <r>
    <x v="3"/>
    <x v="1"/>
    <d v="2024-12-08T21:50:03"/>
    <s v="OM2COWXRR"/>
    <x v="1"/>
    <s v="UAY 265V"/>
    <s v="Luyaga Isaac"/>
    <s v="Kobusinge Steven-FPortal"/>
    <n v="153.60000000000002"/>
    <s v="Z81538"/>
    <x v="11"/>
    <x v="1"/>
    <x v="0"/>
    <x v="1"/>
    <x v="11"/>
    <x v="11"/>
    <n v="369"/>
    <n v="-21"/>
    <x v="0"/>
    <d v="2024-12-09T08:43:00"/>
    <d v="2024-12-08T20:25:00"/>
    <d v="2024-12-09T09:27:00"/>
    <n v="765.7"/>
    <n v="43.083333333333336"/>
    <x v="1"/>
    <d v="2024-12-10T09:30:00"/>
    <d v="2024-12-10T15:37:00"/>
    <n v="359.35"/>
    <x v="0"/>
    <d v="2024-12-11T09:39:00"/>
    <d v="2024-12-11T11:37:00"/>
    <n v="115.53333333333333"/>
    <x v="10"/>
    <n v="2.0083333333313931"/>
    <x v="0"/>
    <n v="8.333333331393078E-3"/>
    <n v="48.199999999953434"/>
    <n v="24"/>
    <n v="24.199999999953434"/>
    <n v="6.3471074380287433"/>
    <x v="0"/>
  </r>
  <r>
    <x v="3"/>
    <x v="0"/>
    <d v="2024-12-09T00:00:00"/>
    <s v="OM02KXLU"/>
    <x v="0"/>
    <s v="UBP 311H"/>
    <s v="Ekwalikwa Yusuf"/>
    <s v="Kato Investments Ltd-Bulenga"/>
    <n v="156"/>
    <s v="A19110"/>
    <x v="2"/>
    <x v="0"/>
    <x v="0"/>
    <x v="0"/>
    <x v="2"/>
    <x v="2"/>
    <n v="556"/>
    <n v="-4"/>
    <x v="0"/>
    <d v="2024-12-09T07:49:00"/>
    <d v="2024-12-09T07:30:00"/>
    <d v="2024-12-09T08:38:00"/>
    <n v="66.583333333333329"/>
    <n v="47.966666666666669"/>
    <x v="6"/>
    <d v="2024-12-10T08:38:00"/>
    <d v="2024-12-10T14:11:00"/>
    <n v="326.05"/>
    <x v="0"/>
    <d v="2024-12-11T09:50:00"/>
    <d v="2024-12-11T11:10:00"/>
    <n v="78.316666666666663"/>
    <x v="0"/>
    <n v="2.0500000000029104"/>
    <x v="0"/>
    <n v="5.0000000002910383E-2"/>
    <n v="49.200000000069849"/>
    <n v="32"/>
    <n v="17.200000000069849"/>
    <n v="9.0697674418236325"/>
    <x v="0"/>
  </r>
  <r>
    <x v="3"/>
    <x v="0"/>
    <d v="2024-12-09T00:00:00"/>
    <s v="OM02KXSM"/>
    <x v="0"/>
    <s v="UBP 311H"/>
    <m/>
    <s v="Kabaco U Ltd"/>
    <n v="156"/>
    <s v="Z81546"/>
    <x v="6"/>
    <x v="0"/>
    <x v="0"/>
    <x v="0"/>
    <x v="6"/>
    <x v="6"/>
    <n v="121"/>
    <n v="-199"/>
    <x v="0"/>
    <d v="2024-12-09T07:58:00"/>
    <d v="2024-12-09T07:30:00"/>
    <d v="2024-12-09T08:38:00"/>
    <n v="66.583333333333329"/>
    <n v="39.166666666666664"/>
    <x v="1"/>
    <d v="2024-12-09T14:38:00"/>
    <d v="2024-12-09T21:05:00"/>
    <n v="378.93333333333334"/>
    <x v="0"/>
    <d v="2024-12-10T11:00:12"/>
    <d v="2024-12-10T12:16:12"/>
    <n v="74.400000000000006"/>
    <x v="0"/>
    <n v="1.0987500000046566"/>
    <x v="3"/>
    <n v="-0.40124999999534339"/>
    <n v="26.370000000111759"/>
    <n v="12"/>
    <n v="14.370000000111759"/>
    <n v="10.855949895531436"/>
    <x v="0"/>
  </r>
  <r>
    <x v="3"/>
    <x v="1"/>
    <d v="2024-12-09T16:21:06"/>
    <s v="OMX33QHRR"/>
    <x v="1"/>
    <s v="UBK 881R"/>
    <s v="James  Kironde"/>
    <s v="KATO INVESTMENTS LIMITED-MASAK"/>
    <n v="153.60000000000002"/>
    <s v="F15449"/>
    <x v="14"/>
    <x v="1"/>
    <x v="0"/>
    <x v="1"/>
    <x v="14"/>
    <x v="14"/>
    <n v="170"/>
    <n v="-170"/>
    <x v="2"/>
    <d v="2024-12-10T07:55:00"/>
    <d v="2024-12-10T04:14:00"/>
    <d v="2024-12-10T08:40:00"/>
    <n v="260.45"/>
    <n v="44.05"/>
    <x v="1"/>
    <d v="2024-12-10T10:48:00"/>
    <d v="2024-12-10T17:34:00"/>
    <n v="397.53333333333336"/>
    <x v="0"/>
    <d v="2024-12-11T09:40:00"/>
    <d v="2024-12-11T11:25:00"/>
    <n v="102.8"/>
    <x v="0"/>
    <n v="1.0416666666715173"/>
    <x v="8"/>
    <n v="4.1666666671517305E-2"/>
    <n v="25.000000000116415"/>
    <n v="12"/>
    <n v="13.000000000116415"/>
    <n v="11.815384615278811"/>
    <x v="0"/>
  </r>
  <r>
    <x v="3"/>
    <x v="1"/>
    <d v="2024-12-09T16:22:03"/>
    <s v="OM51CIKRR"/>
    <x v="1"/>
    <s v="UBE 419T"/>
    <s v="Kilabila Ismail"/>
    <s v="KATO INVESTMENTS LIMITED-MASAK"/>
    <n v="153.60000000000002"/>
    <s v="F15450"/>
    <x v="14"/>
    <x v="1"/>
    <x v="0"/>
    <x v="1"/>
    <x v="14"/>
    <x v="14"/>
    <n v="189"/>
    <n v="-151"/>
    <x v="2"/>
    <d v="2024-12-09T17:53:00"/>
    <d v="2024-12-10T04:14:00"/>
    <d v="2024-12-09T18:55:00"/>
    <n v="-547.36666666666667"/>
    <n v="60.7"/>
    <x v="11"/>
    <d v="2024-12-10T13:01:00"/>
    <d v="2024-12-10T16:46:00"/>
    <n v="220.3"/>
    <x v="0"/>
    <d v="2024-12-11T10:38:00"/>
    <d v="2024-12-11T13:09:00"/>
    <n v="147.85"/>
    <x v="6"/>
    <n v="1.6548611111138598"/>
    <x v="8"/>
    <n v="0.65486111111385981"/>
    <n v="39.716666666732635"/>
    <n v="16"/>
    <n v="23.716666666732635"/>
    <n v="6.4764581869110094"/>
    <x v="0"/>
  </r>
  <r>
    <x v="3"/>
    <x v="1"/>
    <d v="2024-12-09T20:00:18"/>
    <s v="OM8V2ZMRR"/>
    <x v="1"/>
    <s v="UBK 875R"/>
    <s v="Bisaso  Ronald"/>
    <s v="Agaba Services"/>
    <n v="153.60000000000002"/>
    <s v="F15453"/>
    <x v="20"/>
    <x v="1"/>
    <x v="0"/>
    <x v="1"/>
    <x v="20"/>
    <x v="20"/>
    <n v="301"/>
    <n v="-1"/>
    <x v="0"/>
    <d v="2024-12-10T10:12:00"/>
    <d v="2024-12-09T08:00:00"/>
    <d v="2024-12-10T10:57:00"/>
    <n v="1583.3"/>
    <n v="44.05"/>
    <x v="1"/>
    <d v="2024-12-10T17:34:00"/>
    <d v="2024-12-11T15:39:00"/>
    <n v="1297.3833333333334"/>
    <x v="0"/>
    <d v="2024-12-12T08:49:00"/>
    <d v="2024-12-12T11:46:00"/>
    <n v="173.3"/>
    <x v="3"/>
    <n v="1.9111111111051287"/>
    <x v="8"/>
    <n v="0.91111111110512866"/>
    <n v="45.866666666523088"/>
    <n v="12"/>
    <n v="33.866666666523088"/>
    <n v="4.5354330708853707"/>
    <x v="0"/>
  </r>
  <r>
    <x v="3"/>
    <x v="0"/>
    <d v="2024-12-09T21:35:57"/>
    <s v="OM4PWY7RR"/>
    <x v="0"/>
    <s v="UBF 379L"/>
    <m/>
    <s v="KATO INVESTMENTS LTD-KATIKARA"/>
    <n v="156"/>
    <s v="A19130"/>
    <x v="5"/>
    <x v="0"/>
    <x v="0"/>
    <x v="0"/>
    <x v="5"/>
    <x v="5"/>
    <n v="836"/>
    <n v="6"/>
    <x v="0"/>
    <d v="2024-12-10T10:03:57"/>
    <d v="2024-12-10T09:35:57"/>
    <d v="2024-12-10T10:47:57"/>
    <n v="70.483333333333334"/>
    <n v="43.06666666666667"/>
    <x v="1"/>
    <d v="2024-12-11T13:02:57"/>
    <d v="2024-12-12T13:02:48"/>
    <n v="1409.85"/>
    <x v="0"/>
    <d v="2024-12-13T17:50:48"/>
    <d v="2024-12-13T18:55:48"/>
    <n v="63.633333333333333"/>
    <x v="0"/>
    <n v="3.2936499999996158"/>
    <x v="0"/>
    <n v="1.2936499999996158"/>
    <n v="79.04759999999078"/>
    <n v="36"/>
    <n v="43.04759999999078"/>
    <n v="3.6238954088040543"/>
    <x v="1"/>
  </r>
  <r>
    <x v="3"/>
    <x v="0"/>
    <d v="2024-12-10T00:00:00"/>
    <s v="OM02KYDN"/>
    <x v="0"/>
    <s v="UBM 644D"/>
    <m/>
    <s v="Kobusinge Steven-FPortal"/>
    <n v="156"/>
    <s v="Z81557"/>
    <x v="11"/>
    <x v="0"/>
    <x v="0"/>
    <x v="0"/>
    <x v="11"/>
    <x v="11"/>
    <n v="388"/>
    <n v="-2"/>
    <x v="0"/>
    <d v="2024-12-10T07:58:00"/>
    <d v="2024-12-10T07:30:00"/>
    <d v="2024-12-10T08:38:00"/>
    <n v="66.583333333333329"/>
    <n v="39.166666666666664"/>
    <x v="1"/>
    <d v="2024-12-11T10:08:00"/>
    <d v="2024-12-11T14:52:00"/>
    <n v="278.08333333333331"/>
    <x v="0"/>
    <d v="2024-12-12T10:51:12"/>
    <d v="2024-12-12T11:53:12"/>
    <n v="60.7"/>
    <x v="0"/>
    <n v="2.0924999999988358"/>
    <x v="0"/>
    <n v="9.2499999998835847E-2"/>
    <n v="50.21999999997206"/>
    <n v="24"/>
    <n v="26.21999999997206"/>
    <n v="5.9496567505784226"/>
    <x v="0"/>
  </r>
  <r>
    <x v="3"/>
    <x v="0"/>
    <d v="2024-12-10T00:00:00"/>
    <s v="OM02KY5H"/>
    <x v="0"/>
    <s v="UBP 311H"/>
    <m/>
    <s v="Kabaco U Ltd"/>
    <n v="156"/>
    <s v="Z81555"/>
    <x v="6"/>
    <x v="0"/>
    <x v="0"/>
    <x v="0"/>
    <x v="6"/>
    <x v="6"/>
    <n v="323"/>
    <n v="3"/>
    <x v="0"/>
    <d v="2024-12-10T07:58:00"/>
    <d v="2024-12-10T07:30:00"/>
    <d v="2024-12-10T08:45:00"/>
    <n v="73.433333333333337"/>
    <n v="46.016666666666666"/>
    <x v="1"/>
    <d v="2024-12-10T14:45:00"/>
    <d v="2024-12-10T18:42:00"/>
    <n v="232.05"/>
    <x v="0"/>
    <d v="2024-12-11T08:37:12"/>
    <d v="2024-12-11T09:53:12"/>
    <n v="74.400000000000006"/>
    <x v="0"/>
    <n v="0.99458333333313931"/>
    <x v="3"/>
    <n v="-0.50541666666686069"/>
    <n v="23.869999999995343"/>
    <n v="0"/>
    <n v="23.869999999995343"/>
    <n v="6.5354000837884554"/>
    <x v="0"/>
  </r>
  <r>
    <x v="3"/>
    <x v="0"/>
    <d v="2024-12-10T00:00:00"/>
    <s v="OM02KY22"/>
    <x v="0"/>
    <s v="UBJ 705D"/>
    <s v="KASULE JOHNBOSC"/>
    <s v="Kato Investments Ltd-Bulenga"/>
    <n v="156"/>
    <s v="A19142"/>
    <x v="2"/>
    <x v="0"/>
    <x v="0"/>
    <x v="0"/>
    <x v="2"/>
    <x v="2"/>
    <n v="593"/>
    <n v="33"/>
    <x v="0"/>
    <d v="2024-12-10T07:58:00"/>
    <d v="2024-12-10T07:30:00"/>
    <d v="2024-12-10T08:58:00"/>
    <n v="86.15"/>
    <n v="58.733333333333334"/>
    <x v="4"/>
    <d v="2024-12-11T08:58:00"/>
    <d v="2024-12-11T12:33:00"/>
    <n v="210.51666666666668"/>
    <x v="0"/>
    <d v="2024-12-12T10:10:00"/>
    <d v="2024-12-12T11:13:00"/>
    <n v="61.68333333333333"/>
    <x v="0"/>
    <n v="2.0500000000029104"/>
    <x v="0"/>
    <n v="5.0000000002910383E-2"/>
    <n v="49.200000000069849"/>
    <n v="32"/>
    <n v="17.200000000069849"/>
    <n v="9.0697674418236325"/>
    <x v="0"/>
  </r>
  <r>
    <x v="3"/>
    <x v="1"/>
    <d v="2024-12-10T13:27:40"/>
    <s v="OMEUI13RR"/>
    <x v="1"/>
    <s v="UAY 526V"/>
    <s v="Benon Ssempijja"/>
    <s v="KATO INVESTMENTS LIMITED-MASAK"/>
    <n v="153.60000000000002"/>
    <s v="F15456"/>
    <x v="14"/>
    <x v="1"/>
    <x v="0"/>
    <x v="1"/>
    <x v="14"/>
    <x v="14"/>
    <n v="440"/>
    <n v="100"/>
    <x v="7"/>
    <d v="2024-12-11T07:42:00"/>
    <d v="2024-12-11T04:14:00"/>
    <d v="2024-12-11T08:43:00"/>
    <n v="263.38333333333333"/>
    <n v="59.716666666666669"/>
    <x v="9"/>
    <d v="2024-12-11T17:23:00"/>
    <d v="2024-12-12T17:35:00"/>
    <n v="1421.7333333333333"/>
    <x v="0"/>
    <d v="2024-12-13T15:08:00"/>
    <d v="2024-12-13T16:47:00"/>
    <n v="96.933333333333337"/>
    <x v="0"/>
    <n v="2.2673611111167702"/>
    <x v="8"/>
    <n v="1.2673611111167702"/>
    <n v="54.416666666802485"/>
    <n v="32"/>
    <n v="22.416666666802485"/>
    <n v="6.8520446096239134"/>
    <x v="0"/>
  </r>
  <r>
    <x v="3"/>
    <x v="0"/>
    <d v="2024-12-10T15:48:56"/>
    <s v="OMR9PE3RR"/>
    <x v="1"/>
    <s v="UBK 882R"/>
    <s v="NASASIRA STEPHENE"/>
    <s v="Kato Investment Ltd -Mubende"/>
    <n v="187.20000000000002"/>
    <s v="A19144"/>
    <x v="1"/>
    <x v="0"/>
    <x v="0"/>
    <x v="0"/>
    <x v="1"/>
    <x v="1"/>
    <n v="713"/>
    <n v="33"/>
    <x v="0"/>
    <d v="2024-12-10T22:04:00"/>
    <d v="2024-12-10T19:37:00"/>
    <d v="2024-12-10T22:51:00"/>
    <n v="189.95"/>
    <n v="46.016666666666666"/>
    <x v="1"/>
    <d v="2024-12-12T08:03:00"/>
    <d v="2024-12-12T13:08:00"/>
    <n v="298.63333333333333"/>
    <x v="0"/>
    <d v="2024-12-13T07:49:00"/>
    <d v="2024-12-13T08:59:00"/>
    <n v="68.533333333333331"/>
    <x v="0"/>
    <n v="2.3736111111138598"/>
    <x v="1"/>
    <n v="-0.12638888888614019"/>
    <n v="56.966666666732635"/>
    <n v="24"/>
    <n v="32.966666666732635"/>
    <n v="5.6784630940230159"/>
    <x v="0"/>
  </r>
  <r>
    <x v="3"/>
    <x v="1"/>
    <d v="2024-12-10T15:51:28"/>
    <s v="OMGCIN3RR"/>
    <x v="1"/>
    <s v="UBJ 988D"/>
    <s v="Tumusiime Robert"/>
    <s v="Kabaco U Ltd-Mbarara"/>
    <n v="153.60000000000002"/>
    <s v="Z81556"/>
    <x v="8"/>
    <x v="1"/>
    <x v="0"/>
    <x v="1"/>
    <x v="8"/>
    <x v="8"/>
    <n v="14"/>
    <n v="3"/>
    <x v="0"/>
    <d v="2024-12-11T07:07:00"/>
    <d v="2024-12-11T07:42:00"/>
    <d v="2024-12-11T07:53:00"/>
    <n v="10.766666666666667"/>
    <n v="45.033333333333331"/>
    <x v="1"/>
    <d v="2024-12-11T08:36:00"/>
    <d v="2024-12-11T11:49:00"/>
    <n v="188.96666666666667"/>
    <x v="0"/>
    <d v="2024-12-11T12:40:00"/>
    <d v="2024-12-11T15:26:00"/>
    <n v="162.53333333333333"/>
    <x v="2"/>
    <n v="0.1993055555576575"/>
    <x v="5"/>
    <n v="-0.60069444444234255"/>
    <n v="4.78333333338378"/>
    <n v="0"/>
    <n v="4.78333333338378"/>
    <n v="32.111498257501069"/>
    <x v="0"/>
  </r>
  <r>
    <x v="3"/>
    <x v="1"/>
    <d v="2024-12-10T21:10:48"/>
    <s v="OM137FPRR"/>
    <x v="1"/>
    <s v="UBJ 415C"/>
    <s v="Abel Mark naffa"/>
    <s v="Kabaco U Ltd-Mbarara"/>
    <n v="153.60000000000002"/>
    <s v="Z81563"/>
    <x v="8"/>
    <x v="1"/>
    <x v="0"/>
    <x v="1"/>
    <x v="8"/>
    <x v="8"/>
    <n v="12"/>
    <n v="1"/>
    <x v="0"/>
    <d v="2024-12-11T09:42:00"/>
    <d v="2024-12-10T09:00:00"/>
    <d v="2024-12-11T10:27:00"/>
    <n v="1495.1833333333334"/>
    <n v="44.05"/>
    <x v="1"/>
    <d v="2024-12-11T12:05:00"/>
    <d v="2024-12-11T15:26:00"/>
    <n v="196.8"/>
    <x v="0"/>
    <d v="2024-12-11T16:17:00"/>
    <d v="2024-12-11T18:57:00"/>
    <n v="156.65"/>
    <x v="2"/>
    <n v="0.24305555555474712"/>
    <x v="5"/>
    <n v="-0.55694444444525293"/>
    <n v="5.8333333333139308"/>
    <n v="0"/>
    <n v="5.8333333333139308"/>
    <n v="26.331428571516156"/>
    <x v="0"/>
  </r>
  <r>
    <x v="3"/>
    <x v="1"/>
    <d v="2024-12-10T21:17:20"/>
    <s v="OM8U45ERR"/>
    <x v="0"/>
    <s v="UAR 731Q"/>
    <s v="Godwin Niwensiima"/>
    <s v="Kabaco U Ltd"/>
    <n v="153.60000000000002"/>
    <s v="Z81565"/>
    <x v="6"/>
    <x v="1"/>
    <x v="0"/>
    <x v="1"/>
    <x v="6"/>
    <x v="6"/>
    <n v="321"/>
    <n v="1"/>
    <x v="0"/>
    <d v="2024-12-11T09:45:20"/>
    <d v="2024-12-11T09:17:20"/>
    <d v="2024-12-11T10:25:20"/>
    <n v="66.583333333333329"/>
    <n v="39.166666666666664"/>
    <x v="1"/>
    <d v="2024-12-11T16:25:20"/>
    <d v="2024-12-12T12:42:08"/>
    <n v="1191.45"/>
    <x v="0"/>
    <d v="2024-12-12T18:02:08"/>
    <d v="2024-12-12T19:07:08"/>
    <n v="63.633333333333333"/>
    <x v="0"/>
    <n v="1.3172222222201526"/>
    <x v="3"/>
    <n v="-0.18277777777984738"/>
    <n v="31.613333333283663"/>
    <n v="12"/>
    <n v="19.613333333283663"/>
    <n v="7.8314072060021589"/>
    <x v="0"/>
  </r>
  <r>
    <x v="3"/>
    <x v="1"/>
    <d v="2024-12-10T21:30:58"/>
    <s v="OMYXZNYRR"/>
    <x v="1"/>
    <s v="UBE 419T"/>
    <s v="Kilabila Ismail"/>
    <s v="Rugoma Traders-Kanungu/Kihihi"/>
    <n v="153.60000000000002"/>
    <s v="F15458"/>
    <x v="23"/>
    <x v="1"/>
    <x v="0"/>
    <x v="1"/>
    <x v="23"/>
    <x v="14"/>
    <n v="339"/>
    <n v="-1"/>
    <x v="0"/>
    <d v="2024-12-11T13:28:00"/>
    <d v="2024-12-11T01:59:00"/>
    <d v="2024-12-11T14:15:00"/>
    <n v="720.65"/>
    <n v="46.016666666666666"/>
    <x v="1"/>
    <d v="2024-12-11T20:54:00"/>
    <d v="2024-12-12T13:57:00"/>
    <n v="1001.6833333333333"/>
    <x v="0"/>
    <d v="2024-12-12T19:38:00"/>
    <d v="2024-12-12T21:17:00"/>
    <n v="96.933333333333337"/>
    <x v="0"/>
    <n v="1.2243055555591127"/>
    <x v="3"/>
    <n v="-0.27569444444088731"/>
    <n v="29.383333333418705"/>
    <n v="12"/>
    <n v="17.383333333418705"/>
    <n v="8.8360498561406917"/>
    <x v="0"/>
  </r>
  <r>
    <x v="3"/>
    <x v="0"/>
    <d v="2024-12-11T00:00:00"/>
    <s v="OM02KYZ6"/>
    <x v="0"/>
    <s v="UBK 681R"/>
    <m/>
    <s v="Kato Investment Ltd -Kagadi"/>
    <n v="156"/>
    <s v="A19160"/>
    <x v="12"/>
    <x v="0"/>
    <x v="0"/>
    <x v="0"/>
    <x v="12"/>
    <x v="12"/>
    <n v="603"/>
    <n v="-9"/>
    <x v="0"/>
    <d v="2024-12-11T07:48:00"/>
    <d v="2024-12-11T07:30:00"/>
    <d v="2024-12-11T08:42:00"/>
    <n v="70.483333333333334"/>
    <n v="52.866666666666667"/>
    <x v="1"/>
    <d v="2024-12-12T12:12:00"/>
    <d v="2024-12-12T16:49:00"/>
    <n v="271.21666666666664"/>
    <x v="0"/>
    <d v="2024-12-13T12:26:55"/>
    <d v="2024-12-13T13:29:55"/>
    <n v="61.68333333333333"/>
    <x v="0"/>
    <n v="2.1561944444474648"/>
    <x v="6"/>
    <n v="-0.14380555555253505"/>
    <n v="51.748666666739155"/>
    <n v="24"/>
    <n v="27.748666666739155"/>
    <n v="5.6218917425315027"/>
    <x v="0"/>
  </r>
  <r>
    <x v="3"/>
    <x v="0"/>
    <d v="2024-12-11T00:00:00"/>
    <s v="OM02KYYH"/>
    <x v="0"/>
    <s v="UBE 675K"/>
    <m/>
    <s v="Kobusinge Steven-Kamwenge"/>
    <n v="156"/>
    <s v="Z81577"/>
    <x v="13"/>
    <x v="0"/>
    <x v="0"/>
    <x v="0"/>
    <x v="13"/>
    <x v="13"/>
    <n v="230"/>
    <n v="0"/>
    <x v="0"/>
    <d v="2024-12-11T07:58:00"/>
    <d v="2024-12-11T07:30:00"/>
    <d v="2024-12-11T09:02:00"/>
    <n v="90.066666666666663"/>
    <n v="62.65"/>
    <x v="6"/>
    <d v="2024-12-12T09:32:00"/>
    <d v="2024-12-12T13:48:00"/>
    <n v="250.65"/>
    <x v="0"/>
    <d v="2024-12-12T19:18:00"/>
    <d v="2024-12-12T20:20:00"/>
    <n v="60.7"/>
    <x v="0"/>
    <n v="1.4277777777751908"/>
    <x v="7"/>
    <n v="0.12777777777519073"/>
    <n v="34.266666666604578"/>
    <n v="16"/>
    <n v="18.266666666604578"/>
    <n v="8.5401459854304882"/>
    <x v="0"/>
  </r>
  <r>
    <x v="3"/>
    <x v="0"/>
    <d v="2024-12-11T00:00:00"/>
    <s v="OM02KYZB"/>
    <x v="0"/>
    <s v="UBE 684K"/>
    <m/>
    <s v="Kato Investments Ltd- Kyegegwa"/>
    <n v="156"/>
    <s v="A19163"/>
    <x v="18"/>
    <x v="0"/>
    <x v="0"/>
    <x v="0"/>
    <x v="18"/>
    <x v="18"/>
    <n v="581"/>
    <n v="16"/>
    <x v="0"/>
    <d v="2024-12-11T07:58:00"/>
    <d v="2024-12-11T07:30:00"/>
    <d v="2024-12-11T08:46:00"/>
    <n v="74.400000000000006"/>
    <n v="46.983333333333334"/>
    <x v="1"/>
    <d v="2024-12-12T10:16:00"/>
    <d v="2024-12-12T15:16:00"/>
    <n v="293.75"/>
    <x v="0"/>
    <d v="2024-12-13T10:46:43"/>
    <d v="2024-12-13T11:54:43"/>
    <n v="66.583333333333329"/>
    <x v="0"/>
    <n v="2.0838333333376795"/>
    <x v="0"/>
    <n v="8.3833333337679505E-2"/>
    <n v="50.012000000104308"/>
    <n v="24"/>
    <n v="26.012000000104308"/>
    <n v="5.9972320467236058"/>
    <x v="0"/>
  </r>
  <r>
    <x v="3"/>
    <x v="1"/>
    <d v="2024-12-11T19:26:31"/>
    <s v="OMBTC10RR"/>
    <x v="1"/>
    <s v="UAY 265V"/>
    <s v="Luyaga Isaac"/>
    <s v="Kobusinge Steven-FPortal"/>
    <n v="153.60000000000002"/>
    <s v="Z81571"/>
    <x v="11"/>
    <x v="1"/>
    <x v="0"/>
    <x v="1"/>
    <x v="11"/>
    <x v="11"/>
    <n v="367"/>
    <n v="-23"/>
    <x v="0"/>
    <d v="2024-12-12T06:37:00"/>
    <d v="2024-12-11T20:30:00"/>
    <d v="2024-12-12T07:22:00"/>
    <n v="638.4"/>
    <n v="44.05"/>
    <x v="1"/>
    <d v="2024-12-12T14:17:00"/>
    <d v="2024-12-13T15:14:00"/>
    <n v="1465.8"/>
    <x v="0"/>
    <d v="2024-12-14T07:30:00"/>
    <d v="2024-12-14T09:45:00"/>
    <n v="132.18333333333334"/>
    <x v="4"/>
    <n v="2.0055555555591127"/>
    <x v="0"/>
    <n v="5.5555555591126904E-3"/>
    <n v="48.133333333418705"/>
    <n v="24"/>
    <n v="24.133333333418705"/>
    <n v="6.3646408839553867"/>
    <x v="0"/>
  </r>
  <r>
    <x v="3"/>
    <x v="1"/>
    <d v="2024-12-11T19:27:50"/>
    <s v="OMCE37ORR"/>
    <x v="1"/>
    <s v="UBK 875R"/>
    <s v="Bisaso  Ronald"/>
    <s v="Kobusinge Acaali- Kyenjojo"/>
    <n v="153.60000000000002"/>
    <s v="Z81572"/>
    <x v="3"/>
    <x v="1"/>
    <x v="0"/>
    <x v="1"/>
    <x v="3"/>
    <x v="3"/>
    <n v="481"/>
    <n v="1"/>
    <x v="0"/>
    <d v="2024-12-12T11:39:00"/>
    <d v="2024-12-12T08:00:00"/>
    <d v="2024-12-12T12:29:00"/>
    <n v="263.38333333333333"/>
    <n v="48.95"/>
    <x v="1"/>
    <d v="2024-12-13T10:18:00"/>
    <d v="2024-12-13T17:38:00"/>
    <n v="430.81666666666666"/>
    <x v="0"/>
    <d v="2024-12-14T12:20:00"/>
    <d v="2024-12-14T14:21:00"/>
    <n v="118.46666666666667"/>
    <x v="10"/>
    <n v="1.9937500000014552"/>
    <x v="1"/>
    <n v="-0.50624999999854481"/>
    <n v="47.850000000034925"/>
    <n v="12"/>
    <n v="35.850000000034925"/>
    <n v="4.2845188284477098"/>
    <x v="0"/>
  </r>
  <r>
    <x v="3"/>
    <x v="1"/>
    <d v="2024-12-11T19:35:57"/>
    <s v="OMZZ7AQRR"/>
    <x v="1"/>
    <s v="UBJ 415C"/>
    <s v="Abel Mark naffa"/>
    <s v="Agaba Services"/>
    <n v="153.60000000000002"/>
    <s v="F15459"/>
    <x v="20"/>
    <x v="1"/>
    <x v="0"/>
    <x v="1"/>
    <x v="20"/>
    <x v="20"/>
    <n v="296"/>
    <n v="-6"/>
    <x v="0"/>
    <d v="2024-12-11T19:33:00"/>
    <d v="2024-12-12T08:00:00"/>
    <d v="2024-12-11T20:15:00"/>
    <n v="-690.31666666666672"/>
    <n v="41.116666666666667"/>
    <x v="1"/>
    <d v="2024-12-12T16:30:00"/>
    <d v="2024-12-12T18:03:00"/>
    <n v="91.05"/>
    <x v="0"/>
    <d v="2024-12-13T10:41:00"/>
    <d v="2024-12-13T12:28:00"/>
    <n v="104.76666666666667"/>
    <x v="0"/>
    <n v="1.601388888891961"/>
    <x v="8"/>
    <n v="0.60138888889196096"/>
    <n v="38.433333333407063"/>
    <n v="12"/>
    <n v="26.433333333407063"/>
    <n v="5.8108448927958989"/>
    <x v="0"/>
  </r>
  <r>
    <x v="3"/>
    <x v="1"/>
    <d v="2024-12-11T19:41:18"/>
    <s v="OMQW2SNRR"/>
    <x v="1"/>
    <s v="UBJ 988D"/>
    <s v="Tumusiime Robert"/>
    <s v="Kobusinge Steven-FPortal"/>
    <n v="134.4"/>
    <s v="Z81575"/>
    <x v="11"/>
    <x v="1"/>
    <x v="0"/>
    <x v="1"/>
    <x v="11"/>
    <x v="11"/>
    <n v="363"/>
    <n v="-27"/>
    <x v="0"/>
    <d v="2024-12-13T16:23:00"/>
    <d v="2024-12-12T20:25:00"/>
    <d v="2024-12-13T17:12:00"/>
    <n v="1221.0166666666667"/>
    <n v="47.966666666666669"/>
    <x v="1"/>
    <d v="2024-12-14T11:28:00"/>
    <d v="2024-12-15T16:24:00"/>
    <n v="1699.8333333333333"/>
    <x v="0"/>
    <d v="2024-12-16T10:58:00"/>
    <d v="2024-12-16T13:22:00"/>
    <n v="140.98333333333332"/>
    <x v="5"/>
    <n v="2.7402777777751908"/>
    <x v="0"/>
    <n v="0.74027777777519077"/>
    <n v="65.766666666604578"/>
    <n v="24"/>
    <n v="41.766666666604578"/>
    <n v="3.2178770949768509"/>
    <x v="1"/>
  </r>
  <r>
    <x v="3"/>
    <x v="1"/>
    <d v="2024-12-11T19:42:27"/>
    <s v="OMI1CZGRR"/>
    <x v="1"/>
    <s v="UBJ 375N"/>
    <s v="Stephen Musoke "/>
    <s v="Kobusinge Steven-FPortal"/>
    <n v="153.60000000000002"/>
    <s v="Z81576"/>
    <x v="11"/>
    <x v="1"/>
    <x v="0"/>
    <x v="1"/>
    <x v="11"/>
    <x v="11"/>
    <n v="370"/>
    <n v="-20"/>
    <x v="0"/>
    <d v="2024-12-12T13:55:00"/>
    <d v="2024-12-12T20:25:00"/>
    <d v="2024-12-12T15:00:00"/>
    <n v="-318.23333333333335"/>
    <n v="63.633333333333333"/>
    <x v="6"/>
    <d v="2024-12-13T11:53:00"/>
    <d v="2024-12-14T10:01:00"/>
    <n v="1300.3333333333333"/>
    <x v="0"/>
    <d v="2024-12-14T15:11:00"/>
    <d v="2024-12-14T17:11:00"/>
    <n v="117.48333333333333"/>
    <x v="10"/>
    <n v="2.007638888891961"/>
    <x v="0"/>
    <n v="7.6388888919609599E-3"/>
    <n v="48.183333333407063"/>
    <n v="32"/>
    <n v="16.183333333407063"/>
    <n v="9.4912461379588198"/>
    <x v="0"/>
  </r>
  <r>
    <x v="3"/>
    <x v="1"/>
    <d v="2024-12-11T21:18:51"/>
    <s v="OMDR8N2RR"/>
    <x v="1"/>
    <s v="UBE 287X"/>
    <s v="Isaac Tumuhimbise"/>
    <s v="KATO INVESTMENTS LIMITED-MASAK"/>
    <n v="153.60000000000002"/>
    <s v="F15462"/>
    <x v="14"/>
    <x v="1"/>
    <x v="0"/>
    <x v="1"/>
    <x v="14"/>
    <x v="14"/>
    <n v="399"/>
    <n v="59"/>
    <x v="6"/>
    <d v="2024-12-12T10:39:00"/>
    <d v="2024-12-12T08:00:00"/>
    <d v="2024-12-12T11:29:00"/>
    <n v="204.63333333333333"/>
    <n v="48.95"/>
    <x v="1"/>
    <d v="2024-12-12T18:12:00"/>
    <d v="2024-12-13T09:43:00"/>
    <n v="911.6"/>
    <x v="0"/>
    <d v="2024-12-13T15:14:00"/>
    <d v="2024-12-13T16:22:00"/>
    <n v="66.566666666666663"/>
    <x v="3"/>
    <n v="1.15625"/>
    <x v="8"/>
    <n v="0.15625"/>
    <n v="27.75"/>
    <n v="12"/>
    <n v="15.75"/>
    <n v="9.7523809523809533"/>
    <x v="0"/>
  </r>
  <r>
    <x v="3"/>
    <x v="0"/>
    <d v="2024-12-12T00:00:00"/>
    <s v="OM02KZ77"/>
    <x v="0"/>
    <s v="UBE 678K"/>
    <m/>
    <s v="Kobusinge Steven-Kamwenge"/>
    <n v="156"/>
    <s v="Z81590"/>
    <x v="13"/>
    <x v="0"/>
    <x v="0"/>
    <x v="0"/>
    <x v="13"/>
    <x v="13"/>
    <n v="230"/>
    <n v="0"/>
    <x v="0"/>
    <d v="2024-12-12T07:58:00"/>
    <d v="2024-12-12T07:30:00"/>
    <d v="2024-12-12T08:38:00"/>
    <n v="66.583333333333329"/>
    <n v="39.166666666666664"/>
    <x v="1"/>
    <d v="2024-12-13T09:30:00"/>
    <d v="2024-12-13T14:11:00"/>
    <n v="275.13333333333333"/>
    <x v="0"/>
    <d v="2024-12-13T19:41:00"/>
    <d v="2024-12-13T20:57:00"/>
    <n v="74.400000000000006"/>
    <x v="0"/>
    <n v="1.4604166666686069"/>
    <x v="7"/>
    <n v="0.16041666666860688"/>
    <n v="35.050000000046566"/>
    <n v="12"/>
    <n v="23.050000000046566"/>
    <n v="6.7678958785112728"/>
    <x v="0"/>
  </r>
  <r>
    <x v="3"/>
    <x v="0"/>
    <d v="2024-12-12T18:49:40"/>
    <s v="OMNL4Y6RR"/>
    <x v="1"/>
    <s v="UBE 680K"/>
    <s v="BYEKWASO TWAHA"/>
    <s v="Kabaco U Ltd"/>
    <n v="151.5"/>
    <s v="Z81588"/>
    <x v="6"/>
    <x v="0"/>
    <x v="0"/>
    <x v="0"/>
    <x v="6"/>
    <x v="6"/>
    <n v="321"/>
    <n v="1"/>
    <x v="0"/>
    <d v="2024-12-12T21:58:00"/>
    <d v="2024-12-13T02:22:00"/>
    <d v="2024-12-12T22:47:00"/>
    <n v="-210.53333333333333"/>
    <n v="47.966666666666669"/>
    <x v="1"/>
    <d v="2024-12-13T12:24:00"/>
    <d v="2024-12-13T16:04:00"/>
    <n v="215.4"/>
    <x v="0"/>
    <d v="2024-12-13T18:11:00"/>
    <d v="2024-12-13T19:26:00"/>
    <n v="73.433333333333337"/>
    <x v="0"/>
    <n v="0.80833333333430346"/>
    <x v="3"/>
    <n v="-0.69166666666569654"/>
    <n v="19.400000000023283"/>
    <n v="0"/>
    <n v="19.400000000023283"/>
    <n v="7.8092783505060916"/>
    <x v="0"/>
  </r>
  <r>
    <x v="3"/>
    <x v="0"/>
    <d v="2024-12-12T18:55:32"/>
    <s v="OM5GPAARR"/>
    <x v="1"/>
    <s v="UBM 644D"/>
    <s v="KAJUBI ISMA"/>
    <s v="Kato Investment Ltd -Mubende"/>
    <n v="156"/>
    <s v="A19179"/>
    <x v="1"/>
    <x v="0"/>
    <x v="0"/>
    <x v="0"/>
    <x v="1"/>
    <x v="1"/>
    <n v="747"/>
    <n v="67"/>
    <x v="0"/>
    <d v="2024-12-15T12:22:00"/>
    <d v="2024-12-12T20:00:00"/>
    <d v="2024-12-15T13:07:00"/>
    <n v="3825.6"/>
    <n v="44.05"/>
    <x v="1"/>
    <d v="2024-12-16T10:24:00"/>
    <d v="2024-12-16T14:55:00"/>
    <n v="265.35000000000002"/>
    <x v="0"/>
    <d v="2024-12-17T08:18:00"/>
    <d v="2024-12-17T09:51:00"/>
    <n v="91.05"/>
    <x v="0"/>
    <n v="1.7993055555562023"/>
    <x v="1"/>
    <n v="-0.70069444444379769"/>
    <n v="43.183333333348855"/>
    <n v="12"/>
    <n v="31.183333333348855"/>
    <n v="5.0026723677153075"/>
    <x v="0"/>
  </r>
  <r>
    <x v="3"/>
    <x v="0"/>
    <d v="2024-12-12T18:58:22"/>
    <s v="OM4JQC4RR"/>
    <x v="1"/>
    <s v="UBK 882R"/>
    <s v="NASASIRA STEPHENE"/>
    <s v="Kato Investment Ltd -Mityana"/>
    <n v="182.8"/>
    <s v="A19181"/>
    <x v="16"/>
    <x v="0"/>
    <x v="0"/>
    <x v="0"/>
    <x v="16"/>
    <x v="16"/>
    <n v="772"/>
    <n v="82"/>
    <x v="1"/>
    <d v="2024-12-13T10:14:00"/>
    <d v="2024-12-12T22:30:00"/>
    <d v="2024-12-13T11:16:00"/>
    <n v="750.0333333333333"/>
    <n v="60.7"/>
    <x v="12"/>
    <d v="2024-12-14T09:18:00"/>
    <d v="2024-12-14T14:33:00"/>
    <n v="308.43333333333334"/>
    <x v="0"/>
    <d v="2024-12-15T07:16:00"/>
    <d v="2024-12-15T09:47:00"/>
    <n v="147.85"/>
    <x v="6"/>
    <n v="1.8333333333284827"/>
    <x v="0"/>
    <n v="-0.16666666667151731"/>
    <n v="43.999999999883585"/>
    <n v="16"/>
    <n v="27.999999999883585"/>
    <n v="6.528571428598573"/>
    <x v="0"/>
  </r>
  <r>
    <x v="3"/>
    <x v="1"/>
    <d v="2024-12-12T19:01:37"/>
    <s v="OMICO1IRR"/>
    <x v="1"/>
    <s v="UAV 203T"/>
    <s v="Mugisha  George"/>
    <s v="KATO INVESTMENTS LIMITED-MASAK"/>
    <n v="153.60000000000002"/>
    <s v="F15464"/>
    <x v="14"/>
    <x v="1"/>
    <x v="0"/>
    <x v="1"/>
    <x v="14"/>
    <x v="14"/>
    <n v="154"/>
    <n v="-186"/>
    <x v="2"/>
    <d v="2024-12-12T18:35:00"/>
    <d v="2024-12-12T20:30:00"/>
    <d v="2024-12-12T19:17:00"/>
    <n v="-71.483333333333334"/>
    <n v="41.116666666666667"/>
    <x v="1"/>
    <d v="2024-12-13T08:15:00"/>
    <d v="2024-12-13T13:36:00"/>
    <n v="314.3"/>
    <x v="0"/>
    <d v="2024-12-14T09:47:00"/>
    <d v="2024-12-14T12:50:00"/>
    <n v="179.18333333333334"/>
    <x v="1"/>
    <n v="1.6041666666642413"/>
    <x v="8"/>
    <n v="0.60416666666424135"/>
    <n v="38.499999999941792"/>
    <n v="12"/>
    <n v="26.499999999941792"/>
    <n v="5.7962264151070721"/>
    <x v="0"/>
  </r>
  <r>
    <x v="3"/>
    <x v="0"/>
    <d v="2024-12-12T20:43:27"/>
    <s v="OMIT7SVRR"/>
    <x v="1"/>
    <s v="UBP 298H"/>
    <s v="SENTONG DAVID"/>
    <s v="Rugoma Traders-Rukungiri"/>
    <n v="156"/>
    <s v="Z81589"/>
    <x v="17"/>
    <x v="0"/>
    <x v="0"/>
    <x v="0"/>
    <x v="17"/>
    <x v="17"/>
    <n v="252"/>
    <n v="-4"/>
    <x v="0"/>
    <d v="2024-12-13T07:01:00"/>
    <d v="2024-12-13T04:04:00"/>
    <d v="2024-12-13T07:45:00"/>
    <n v="216.38333333333333"/>
    <n v="43.06666666666667"/>
    <x v="1"/>
    <d v="2024-12-13T12:51:00"/>
    <d v="2024-12-13T17:12:00"/>
    <n v="255.55"/>
    <x v="0"/>
    <d v="2024-12-14T06:46:00"/>
    <d v="2024-12-14T09:40:00"/>
    <n v="170.36666666666667"/>
    <x v="4"/>
    <n v="0.95902777778246673"/>
    <x v="8"/>
    <n v="-4.0972222217533272E-2"/>
    <n v="23.016666666779201"/>
    <n v="0"/>
    <n v="23.016666666779201"/>
    <n v="6.7776973207489037"/>
    <x v="0"/>
  </r>
  <r>
    <x v="3"/>
    <x v="1"/>
    <d v="2024-12-12T22:29:36"/>
    <s v="OMWTB4ZRR"/>
    <x v="1"/>
    <s v="UBJ 415C"/>
    <s v="Abel Mark naffa"/>
    <s v="KATO INVESTMENTS LIMITED-MASAK"/>
    <n v="153.60000000000002"/>
    <s v="F15468"/>
    <x v="14"/>
    <x v="1"/>
    <x v="0"/>
    <x v="1"/>
    <x v="14"/>
    <x v="14"/>
    <n v="335"/>
    <n v="-5"/>
    <x v="0"/>
    <d v="2024-12-13T12:27:00"/>
    <d v="2024-12-13T08:00:00"/>
    <d v="2024-12-13T13:13:00"/>
    <n v="306.46666666666664"/>
    <n v="45.033333333333331"/>
    <x v="1"/>
    <d v="2024-12-14T07:36:00"/>
    <d v="2024-12-14T13:45:00"/>
    <n v="361.3"/>
    <x v="0"/>
    <d v="2024-12-15T10:21:00"/>
    <d v="2024-12-15T11:55:00"/>
    <n v="92.033333333333331"/>
    <x v="0"/>
    <n v="1.8805555555591127"/>
    <x v="8"/>
    <n v="0.88055555555911269"/>
    <n v="45.133333333418705"/>
    <n v="12"/>
    <n v="33.133333333418705"/>
    <n v="4.635814889324072"/>
    <x v="0"/>
  </r>
  <r>
    <x v="3"/>
    <x v="1"/>
    <d v="2024-12-12T22:32:04"/>
    <s v="OMZE2K5RR"/>
    <x v="1"/>
    <s v="UBE 419T"/>
    <s v="Kilabila Ismail"/>
    <s v="Ntale and Sons"/>
    <n v="153.60000000000002"/>
    <s v="A19190"/>
    <x v="19"/>
    <x v="1"/>
    <x v="0"/>
    <x v="1"/>
    <x v="19"/>
    <x v="19"/>
    <n v="805"/>
    <n v="-5"/>
    <x v="0"/>
    <d v="2024-12-13T08:22:00"/>
    <d v="2024-12-13T16:40:00"/>
    <d v="2024-12-13T09:12:00"/>
    <n v="-438.68333333333334"/>
    <n v="48.95"/>
    <x v="1"/>
    <d v="2024-12-14T16:24:00"/>
    <d v="2024-12-15T08:56:00"/>
    <n v="971.31666666666672"/>
    <x v="0"/>
    <d v="2024-12-15T20:03:00"/>
    <d v="2024-12-15T22:12:00"/>
    <n v="126.3"/>
    <x v="11"/>
    <n v="2.4520833333372138"/>
    <x v="4"/>
    <n v="-0.54791666666278616"/>
    <n v="58.850000000093132"/>
    <n v="24"/>
    <n v="34.850000000093132"/>
    <n v="4.4074605451819098"/>
    <x v="0"/>
  </r>
  <r>
    <x v="3"/>
    <x v="0"/>
    <d v="2024-12-12T22:33:00"/>
    <s v="OMPUONYRR"/>
    <x v="1"/>
    <s v="UBK 862R"/>
    <s v="SULAIMAN MUBIRU"/>
    <s v="Kato Investments Ltd-Bulenga"/>
    <n v="156"/>
    <s v="A19191"/>
    <x v="2"/>
    <x v="0"/>
    <x v="0"/>
    <x v="0"/>
    <x v="2"/>
    <x v="2"/>
    <n v="777"/>
    <n v="217"/>
    <x v="5"/>
    <d v="2024-12-13T09:05:00"/>
    <d v="2024-12-13T20:13:00"/>
    <d v="2024-12-13T09:50:00"/>
    <n v="-610.0333333333333"/>
    <n v="44.05"/>
    <x v="1"/>
    <d v="2024-12-13T21:26:00"/>
    <d v="2024-12-14T21:23:00"/>
    <n v="1407.05"/>
    <x v="0"/>
    <d v="2024-12-18T16:04:00"/>
    <d v="2024-12-18T18:31:00"/>
    <n v="143.93333333333334"/>
    <x v="5"/>
    <n v="5.2597222222248092"/>
    <x v="0"/>
    <n v="3.2597222222248092"/>
    <n v="126.23333333339542"/>
    <n v="60"/>
    <n v="66.233333333395422"/>
    <n v="2.3553095118246667"/>
    <x v="4"/>
  </r>
  <r>
    <x v="3"/>
    <x v="0"/>
    <d v="2024-12-13T00:00:00"/>
    <s v="OM02KZES"/>
    <x v="0"/>
    <s v="UBK 858R"/>
    <m/>
    <s v="Boniface Harera"/>
    <n v="156"/>
    <s v="F15469"/>
    <x v="10"/>
    <x v="0"/>
    <x v="0"/>
    <x v="0"/>
    <x v="10"/>
    <x v="10"/>
    <n v="465"/>
    <n v="-5"/>
    <x v="0"/>
    <d v="2024-12-13T07:42:00"/>
    <d v="2024-12-13T07:30:00"/>
    <d v="2024-12-13T08:38:00"/>
    <n v="66.583333333333329"/>
    <n v="54.833333333333336"/>
    <x v="7"/>
    <d v="2024-12-14T10:08:00"/>
    <d v="2024-12-14T15:23:00"/>
    <n v="308.43333333333334"/>
    <x v="0"/>
    <d v="2024-12-15T14:11:00"/>
    <d v="2024-12-15T15:16:00"/>
    <n v="63.633333333333333"/>
    <x v="0"/>
    <n v="2.2312499999970896"/>
    <x v="1"/>
    <n v="-0.26875000000291038"/>
    <n v="53.549999999930151"/>
    <n v="32"/>
    <n v="21.549999999930151"/>
    <n v="7.2389791183529297"/>
    <x v="0"/>
  </r>
  <r>
    <x v="3"/>
    <x v="0"/>
    <d v="2024-12-13T00:00:00"/>
    <s v="OM02KZP5"/>
    <x v="0"/>
    <s v="UBK 866R"/>
    <m/>
    <s v="Kato Investments Ltd-Bulenga"/>
    <n v="156"/>
    <s v="A19209"/>
    <x v="2"/>
    <x v="0"/>
    <x v="0"/>
    <x v="0"/>
    <x v="2"/>
    <x v="2"/>
    <n v="556"/>
    <n v="-4"/>
    <x v="0"/>
    <d v="2024-12-13T07:58:00"/>
    <d v="2024-12-13T07:30:00"/>
    <d v="2024-12-13T08:58:00"/>
    <n v="86.15"/>
    <n v="58.733333333333334"/>
    <x v="9"/>
    <d v="2024-12-14T08:58:00"/>
    <d v="2024-12-14T13:34:00"/>
    <n v="270.23333333333335"/>
    <x v="0"/>
    <d v="2024-12-15T08:58:00"/>
    <d v="2024-12-15T10:18:00"/>
    <n v="78.316666666666663"/>
    <x v="0"/>
    <n v="2"/>
    <x v="0"/>
    <n v="0"/>
    <n v="48"/>
    <n v="32"/>
    <n v="16"/>
    <n v="9.75"/>
    <x v="0"/>
  </r>
  <r>
    <x v="3"/>
    <x v="0"/>
    <d v="2024-12-13T00:00:00"/>
    <s v="OM02KZPC"/>
    <x v="0"/>
    <s v="UBE 679K"/>
    <m/>
    <s v="Kato Investment Ltd -Mityana"/>
    <n v="157.5"/>
    <s v="A19211"/>
    <x v="16"/>
    <x v="0"/>
    <x v="0"/>
    <x v="0"/>
    <x v="16"/>
    <x v="16"/>
    <m/>
    <n v="-690"/>
    <x v="0"/>
    <d v="2024-12-13T07:58:00"/>
    <d v="2024-12-13T07:30:00"/>
    <d v="2024-12-13T08:53:00"/>
    <n v="81.266666666666666"/>
    <n v="53.85"/>
    <x v="5"/>
    <d v="2024-12-14T10:53:00"/>
    <d v="2024-12-14T15:43:00"/>
    <n v="283.95"/>
    <x v="0"/>
    <d v="2024-12-15T10:59:19"/>
    <d v="2024-12-15T12:02:19"/>
    <n v="61.68333333333333"/>
    <x v="0"/>
    <n v="2.087722222226148"/>
    <x v="0"/>
    <n v="8.7722222226148006E-2"/>
    <n v="50.105333333427552"/>
    <n v="32"/>
    <n v="18.105333333427552"/>
    <n v="8.6990941895121345"/>
    <x v="0"/>
  </r>
  <r>
    <x v="3"/>
    <x v="1"/>
    <d v="2024-12-13T18:58:00"/>
    <s v="OMG0K7URR"/>
    <x v="1"/>
    <s v="UAY 526V"/>
    <s v="Benon Ssempijja"/>
    <s v="Ntale and Sons"/>
    <n v="147.12"/>
    <s v="A19206"/>
    <x v="19"/>
    <x v="1"/>
    <x v="0"/>
    <x v="1"/>
    <x v="19"/>
    <x v="19"/>
    <n v="802"/>
    <n v="-8"/>
    <x v="0"/>
    <d v="2024-12-14T16:13:00"/>
    <d v="2024-12-13T20:00:00"/>
    <d v="2024-12-14T16:58:00"/>
    <n v="1231.7833333333333"/>
    <n v="44.05"/>
    <x v="1"/>
    <d v="2024-12-15T11:59:00"/>
    <d v="2024-12-17T17:01:00"/>
    <n v="3115.7"/>
    <x v="0"/>
    <d v="2024-12-18T17:02:00"/>
    <d v="2024-12-18T18:22:00"/>
    <n v="78.316666666666663"/>
    <x v="0"/>
    <n v="4.0027777777795563"/>
    <x v="4"/>
    <n v="1.0027777777795563"/>
    <n v="96.066666666709352"/>
    <n v="48"/>
    <n v="48.066666666709352"/>
    <n v="3.0607489597753679"/>
    <x v="11"/>
  </r>
  <r>
    <x v="3"/>
    <x v="1"/>
    <d v="2024-12-13T18:59:14"/>
    <s v="OMK0PBERR"/>
    <x v="1"/>
    <s v="UBE 287X"/>
    <s v="Isaac Tumuhimbise"/>
    <s v="KATO INVESTMENTS LIMITED-MASAK"/>
    <n v="153.60000000000002"/>
    <s v="F15472"/>
    <x v="14"/>
    <x v="1"/>
    <x v="0"/>
    <x v="1"/>
    <x v="14"/>
    <x v="14"/>
    <n v="399"/>
    <n v="59"/>
    <x v="6"/>
    <d v="2024-12-14T07:38:00"/>
    <d v="2024-12-14T04:14:00"/>
    <d v="2024-12-14T08:38:00"/>
    <n v="258.5"/>
    <n v="58.733333333333334"/>
    <x v="9"/>
    <d v="2024-12-14T14:42:00"/>
    <d v="2024-12-14T18:27:00"/>
    <n v="220.3"/>
    <x v="0"/>
    <d v="2024-12-15T10:33:00"/>
    <d v="2024-12-15T11:44:00"/>
    <n v="69.516666666666666"/>
    <x v="7"/>
    <n v="1.0798611111094942"/>
    <x v="8"/>
    <n v="7.9861111109494232E-2"/>
    <n v="25.916666666627862"/>
    <n v="16"/>
    <n v="9.9166666666278616"/>
    <n v="15.489075630312714"/>
    <x v="0"/>
  </r>
  <r>
    <x v="3"/>
    <x v="1"/>
    <d v="2024-12-13T19:00:11"/>
    <s v="OMF2R1ORR"/>
    <x v="0"/>
    <s v="UAT 351G"/>
    <s v="Hamudi Sesanga"/>
    <s v="Kabaco U Ltd-Mbarara"/>
    <n v="153.60000000000002"/>
    <s v="Z81601"/>
    <x v="8"/>
    <x v="1"/>
    <x v="0"/>
    <x v="1"/>
    <x v="8"/>
    <x v="8"/>
    <n v="13"/>
    <n v="2"/>
    <x v="0"/>
    <d v="2024-12-14T07:28:11"/>
    <d v="2024-12-14T07:00:11"/>
    <d v="2024-12-14T08:08:11"/>
    <n v="66.583333333333329"/>
    <n v="39.166666666666664"/>
    <x v="1"/>
    <d v="2024-12-14T08:39:11"/>
    <d v="2024-12-14T12:35:11"/>
    <n v="231.08333333333334"/>
    <x v="0"/>
    <d v="2024-12-14T13:07:11"/>
    <d v="2024-12-14T14:12:11"/>
    <n v="63.633333333333333"/>
    <x v="0"/>
    <n v="0.20763888888905058"/>
    <x v="5"/>
    <n v="-0.59236111111094947"/>
    <n v="4.9833333333372138"/>
    <n v="0"/>
    <n v="4.9833333333372138"/>
    <n v="30.82274247489239"/>
    <x v="0"/>
  </r>
  <r>
    <x v="3"/>
    <x v="1"/>
    <d v="2024-12-13T19:10:19"/>
    <s v="OMBMBBARR"/>
    <x v="1"/>
    <s v="UBK 881R"/>
    <s v="James  Kironde"/>
    <s v="KATO INVESTMENTS LTD- KALISIZO"/>
    <n v="153.60000000000002"/>
    <s v="F15473"/>
    <x v="4"/>
    <x v="1"/>
    <x v="0"/>
    <x v="1"/>
    <x v="4"/>
    <x v="4"/>
    <n v="361"/>
    <n v="11"/>
    <x v="0"/>
    <d v="2024-12-14T12:24:00"/>
    <d v="2024-12-14T15:45:00"/>
    <d v="2024-12-14T13:14:00"/>
    <n v="-147.86666666666667"/>
    <n v="48.95"/>
    <x v="1"/>
    <d v="2024-12-14T17:15:00"/>
    <d v="2024-12-14T20:12:00"/>
    <n v="173.3"/>
    <x v="0"/>
    <d v="2024-12-15T11:31:00"/>
    <d v="2024-12-15T13:06:00"/>
    <n v="93.016666666666666"/>
    <x v="0"/>
    <n v="0.92847222222189885"/>
    <x v="2"/>
    <n v="-0.77152777777810111"/>
    <n v="22.283333333325572"/>
    <n v="0"/>
    <n v="22.283333333325572"/>
    <n v="6.8930441286486248"/>
    <x v="0"/>
  </r>
  <r>
    <x v="3"/>
    <x v="0"/>
    <d v="2024-12-13T20:04:06"/>
    <s v="OM9OMHWRR"/>
    <x v="1"/>
    <s v="UBE 680K"/>
    <s v="BYEKWASO TWAHA"/>
    <s v="Kobusinge Steven-FPortal"/>
    <n v="156"/>
    <s v="Z81603"/>
    <x v="11"/>
    <x v="0"/>
    <x v="0"/>
    <x v="0"/>
    <x v="11"/>
    <x v="11"/>
    <n v="368"/>
    <n v="-22"/>
    <x v="0"/>
    <d v="2024-12-13T20:40:00"/>
    <d v="2024-12-13T21:00:00"/>
    <d v="2024-12-13T21:42:00"/>
    <n v="41.116666666666667"/>
    <n v="60.7"/>
    <x v="9"/>
    <d v="2024-12-14T12:14:00"/>
    <d v="2024-12-14T17:20:00"/>
    <n v="299.61666666666667"/>
    <x v="0"/>
    <d v="2024-12-15T07:11:00"/>
    <d v="2024-12-15T08:33:00"/>
    <n v="80.283333333333331"/>
    <x v="0"/>
    <n v="1.3951388888890506"/>
    <x v="0"/>
    <n v="-0.60486111111094942"/>
    <n v="33.483333333337214"/>
    <n v="16"/>
    <n v="17.483333333337214"/>
    <n v="8.9227836034298598"/>
    <x v="0"/>
  </r>
  <r>
    <x v="3"/>
    <x v="0"/>
    <d v="2024-12-14T00:00:00"/>
    <s v="OM02KZUB"/>
    <x v="0"/>
    <s v="UBF 382L"/>
    <m/>
    <s v="Kabaco U Ltd"/>
    <n v="156"/>
    <s v="Z81614"/>
    <x v="6"/>
    <x v="0"/>
    <x v="0"/>
    <x v="0"/>
    <x v="6"/>
    <x v="6"/>
    <n v="121"/>
    <n v="-199"/>
    <x v="0"/>
    <d v="2024-12-14T07:58:00"/>
    <d v="2024-12-14T07:30:00"/>
    <d v="2024-12-14T08:47:00"/>
    <n v="75.38333333333334"/>
    <n v="47.966666666666669"/>
    <x v="1"/>
    <d v="2024-12-14T14:47:00"/>
    <d v="2024-12-14T21:28:00"/>
    <n v="392.63333333333333"/>
    <x v="0"/>
    <d v="2024-12-15T13:47:12"/>
    <d v="2024-12-15T14:52:12"/>
    <n v="63.633333333333333"/>
    <x v="0"/>
    <n v="1.2084722222207347"/>
    <x v="3"/>
    <n v="-0.29152777777926531"/>
    <n v="29.003333333297633"/>
    <n v="12"/>
    <n v="17.003333333297633"/>
    <n v="9.1746716330323981"/>
    <x v="0"/>
  </r>
  <r>
    <x v="3"/>
    <x v="0"/>
    <d v="2024-12-14T00:00:00"/>
    <s v="OM02KZSD"/>
    <x v="0"/>
    <s v="UBE 673K"/>
    <s v="Bulega Sperito"/>
    <s v="KATO INVESTMENTS LTD-KATIKARA"/>
    <n v="156"/>
    <s v="A19223"/>
    <x v="5"/>
    <x v="0"/>
    <x v="0"/>
    <x v="0"/>
    <x v="5"/>
    <x v="5"/>
    <n v="842"/>
    <n v="12"/>
    <x v="0"/>
    <d v="2024-12-14T07:58:00"/>
    <d v="2024-12-14T07:30:00"/>
    <d v="2024-12-14T08:38:00"/>
    <n v="66.583333333333329"/>
    <n v="39.166666666666664"/>
    <x v="1"/>
    <d v="2024-12-15T09:53:00"/>
    <d v="2024-12-15T14:59:00"/>
    <n v="299.61666666666667"/>
    <x v="0"/>
    <d v="2024-12-16T19:47:00"/>
    <d v="2024-12-16T21:03:00"/>
    <n v="74.400000000000006"/>
    <x v="0"/>
    <n v="2.4645833333343035"/>
    <x v="0"/>
    <n v="0.46458333333430346"/>
    <n v="59.150000000023283"/>
    <n v="24"/>
    <n v="35.150000000023283"/>
    <n v="4.4381223328562349"/>
    <x v="0"/>
  </r>
  <r>
    <x v="3"/>
    <x v="0"/>
    <d v="2024-12-14T13:29:03"/>
    <s v="OMF6DZHRR"/>
    <x v="0"/>
    <s v="UBM 648D"/>
    <s v="Nakalya John"/>
    <s v="Kobusinge Steven-FPortal"/>
    <n v="156"/>
    <s v="Z81609"/>
    <x v="11"/>
    <x v="0"/>
    <x v="0"/>
    <x v="0"/>
    <x v="11"/>
    <x v="11"/>
    <n v="390"/>
    <n v="0"/>
    <x v="0"/>
    <d v="2024-12-15T01:57:03"/>
    <d v="2024-12-15T01:29:03"/>
    <d v="2024-12-15T02:57:03"/>
    <n v="86.15"/>
    <n v="58.733333333333334"/>
    <x v="10"/>
    <d v="2024-12-16T12:27:03"/>
    <d v="2024-12-17T13:53:27"/>
    <n v="1494.5833333333333"/>
    <x v="0"/>
    <d v="2024-12-17T15:34:15"/>
    <d v="2024-12-17T16:39:15"/>
    <n v="63.633333333333333"/>
    <x v="0"/>
    <n v="2.5258333333331393"/>
    <x v="0"/>
    <n v="0.52583333333313931"/>
    <n v="60.619999999995343"/>
    <n v="32"/>
    <n v="28.619999999995343"/>
    <n v="5.4507337526214323"/>
    <x v="1"/>
  </r>
  <r>
    <x v="3"/>
    <x v="1"/>
    <d v="2024-12-14T13:32:36"/>
    <s v="OM61WJ8RR"/>
    <x v="1"/>
    <s v="UAY 265V"/>
    <s v="Luyaga Isaac"/>
    <s v="KATO INVESTMENTS LIMITED-MASAK"/>
    <n v="153.60000000000002"/>
    <s v="F15476"/>
    <x v="14"/>
    <x v="1"/>
    <x v="0"/>
    <x v="1"/>
    <x v="14"/>
    <x v="14"/>
    <n v="297"/>
    <n v="-43"/>
    <x v="0"/>
    <d v="2024-12-15T09:00:00"/>
    <d v="2024-12-15T04:14:00"/>
    <d v="2024-12-15T09:42:00"/>
    <n v="321.16666666666669"/>
    <n v="41.116666666666667"/>
    <x v="1"/>
    <d v="2024-12-15T12:11:00"/>
    <d v="2024-12-15T17:18:00"/>
    <n v="300.60000000000002"/>
    <x v="0"/>
    <d v="2024-12-17T15:36:00"/>
    <d v="2024-12-17T18:52:00"/>
    <n v="191.9"/>
    <x v="1"/>
    <n v="2.2458333333343035"/>
    <x v="8"/>
    <n v="1.2458333333343035"/>
    <n v="53.900000000023283"/>
    <n v="24"/>
    <n v="29.900000000023283"/>
    <n v="5.1371237458153987"/>
    <x v="0"/>
  </r>
  <r>
    <x v="3"/>
    <x v="1"/>
    <d v="2024-12-14T20:07:49"/>
    <s v="OMRO6G8RR"/>
    <x v="1"/>
    <s v="UBE 422T"/>
    <s v="Jacob Oneka"/>
    <s v="Ntale and Sons"/>
    <n v="153.60000000000002"/>
    <s v="A19237"/>
    <x v="19"/>
    <x v="1"/>
    <x v="0"/>
    <x v="1"/>
    <x v="19"/>
    <x v="19"/>
    <n v="806"/>
    <n v="-4"/>
    <x v="0"/>
    <d v="2024-12-14T19:34:00"/>
    <d v="2024-12-14T21:00:00"/>
    <d v="2024-12-14T20:19:00"/>
    <n v="-40.15"/>
    <n v="44.05"/>
    <x v="1"/>
    <d v="2024-12-15T16:20:00"/>
    <d v="2024-12-16T21:45:00"/>
    <n v="1728.2166666666667"/>
    <x v="0"/>
    <d v="2024-12-17T17:17:00"/>
    <d v="2024-12-17T18:47:00"/>
    <n v="88.11666666666666"/>
    <x v="0"/>
    <n v="2.8736111111065838"/>
    <x v="4"/>
    <n v="-0.12638888889341615"/>
    <n v="68.966666666558012"/>
    <n v="24"/>
    <n v="44.966666666558012"/>
    <n v="3.4158636026768976"/>
    <x v="0"/>
  </r>
  <r>
    <x v="3"/>
    <x v="1"/>
    <d v="2024-12-14T21:21:08"/>
    <s v="OM9VTCIRR"/>
    <x v="1"/>
    <s v="UBK 881R"/>
    <s v="James  Kironde"/>
    <s v="Kato Investments Ltd-Bulenga"/>
    <n v="134.4"/>
    <s v="A19238"/>
    <x v="2"/>
    <x v="1"/>
    <x v="0"/>
    <x v="1"/>
    <x v="2"/>
    <x v="2"/>
    <n v="583"/>
    <n v="23"/>
    <x v="0"/>
    <d v="2024-12-15T15:25:00"/>
    <d v="2024-12-15T20:13:00"/>
    <d v="2024-12-15T16:26:00"/>
    <n v="-222.28333333333333"/>
    <n v="59.716666666666669"/>
    <x v="5"/>
    <d v="2024-12-18T18:57:00"/>
    <d v="2024-12-19T16:36:00"/>
    <n v="1271.9333333333334"/>
    <x v="0"/>
    <d v="2024-12-20T08:12:00"/>
    <d v="2024-12-20T09:41:00"/>
    <n v="87.13333333333334"/>
    <x v="0"/>
    <n v="4.6569444444467081"/>
    <x v="0"/>
    <n v="2.6569444444467081"/>
    <n v="111.76666666672099"/>
    <n v="64"/>
    <n v="47.766666666720994"/>
    <n v="2.8136775994385306"/>
    <x v="4"/>
  </r>
  <r>
    <x v="3"/>
    <x v="0"/>
    <d v="2024-12-15T12:40:32"/>
    <s v="OM4R37HRR"/>
    <x v="1"/>
    <s v="UBK 882R"/>
    <s v="NASASIRA STEPHENE"/>
    <s v="Kato Investment Ltd -Mityana"/>
    <n v="187.20000000000002"/>
    <s v="A19253"/>
    <x v="16"/>
    <x v="0"/>
    <x v="0"/>
    <x v="0"/>
    <x v="16"/>
    <x v="16"/>
    <n v="780"/>
    <n v="90"/>
    <x v="1"/>
    <d v="2024-12-15T12:24:00"/>
    <d v="2024-12-15T19:35:00"/>
    <d v="2024-12-15T13:11:00"/>
    <n v="-376"/>
    <n v="46.016666666666666"/>
    <x v="1"/>
    <d v="2024-12-16T14:30:00"/>
    <d v="2024-12-16T19:01:00"/>
    <n v="265.35000000000002"/>
    <x v="0"/>
    <d v="2024-12-17T18:14:00"/>
    <d v="2024-12-17T19:57:00"/>
    <n v="100.85"/>
    <x v="0"/>
    <n v="2.2104166666686069"/>
    <x v="0"/>
    <n v="0.21041666666860692"/>
    <n v="53.050000000046566"/>
    <n v="24"/>
    <n v="29.050000000046566"/>
    <n v="6.4440619621239223"/>
    <x v="0"/>
  </r>
  <r>
    <x v="3"/>
    <x v="0"/>
    <d v="2024-12-15T12:41:42"/>
    <s v="OMBAQCQRR"/>
    <x v="1"/>
    <s v="UBE 680K"/>
    <s v="BYEKWASO TWAHA"/>
    <s v="Sawan Distributors Ltd-Nabingo"/>
    <n v="156"/>
    <s v="A19254"/>
    <x v="21"/>
    <x v="0"/>
    <x v="0"/>
    <x v="0"/>
    <x v="21"/>
    <x v="2"/>
    <n v="563"/>
    <n v="3"/>
    <x v="0"/>
    <d v="2024-12-15T15:43:00"/>
    <d v="2024-12-16T02:30:00"/>
    <d v="2024-12-15T16:29:00"/>
    <n v="-588.48333333333335"/>
    <n v="45.033333333333331"/>
    <x v="1"/>
    <d v="2024-12-16T08:28:00"/>
    <d v="2024-12-16T16:38:00"/>
    <n v="479.78333333333336"/>
    <x v="0"/>
    <d v="2024-12-17T06:59:00"/>
    <d v="2024-12-17T08:24:00"/>
    <n v="83.216666666666669"/>
    <x v="0"/>
    <n v="1.6041666666715173"/>
    <x v="0"/>
    <n v="-0.39583333332848269"/>
    <n v="38.500000000116415"/>
    <n v="12"/>
    <n v="26.500000000116415"/>
    <n v="5.8867924528043281"/>
    <x v="0"/>
  </r>
  <r>
    <x v="3"/>
    <x v="0"/>
    <d v="2024-12-16T00:00:00"/>
    <s v="OM02L04W"/>
    <x v="0"/>
    <s v="UBP 311H"/>
    <m/>
    <s v="Kato Investment Ltd -Kagadi"/>
    <n v="156"/>
    <s v="A19265"/>
    <x v="12"/>
    <x v="0"/>
    <x v="0"/>
    <x v="0"/>
    <x v="12"/>
    <x v="12"/>
    <n v="607"/>
    <n v="-5"/>
    <x v="0"/>
    <d v="2024-12-16T07:05:00"/>
    <d v="2024-12-16T07:30:00"/>
    <d v="2024-12-16T08:02:00"/>
    <n v="31.316666666666666"/>
    <n v="55.8"/>
    <x v="1"/>
    <d v="2024-12-17T09:32:00"/>
    <d v="2024-12-17T14:20:00"/>
    <n v="281.98333333333335"/>
    <x v="0"/>
    <d v="2024-12-18T09:57:55"/>
    <d v="2024-12-18T11:00:55"/>
    <n v="61.68333333333333"/>
    <x v="0"/>
    <n v="2.0804999999963911"/>
    <x v="6"/>
    <n v="-0.2195000000036087"/>
    <n v="49.931999999913387"/>
    <n v="24"/>
    <n v="25.931999999913387"/>
    <n v="6.0157334567530869"/>
    <x v="0"/>
  </r>
  <r>
    <x v="3"/>
    <x v="0"/>
    <d v="2024-12-16T00:00:00"/>
    <s v="OM02L052"/>
    <x v="0"/>
    <s v="UBP 311H"/>
    <s v="Ekwalikwa Yusuf"/>
    <s v="Kobusinge Acaali- Kyenjojo"/>
    <n v="156"/>
    <s v="Z81639"/>
    <x v="3"/>
    <x v="0"/>
    <x v="0"/>
    <x v="0"/>
    <x v="3"/>
    <x v="3"/>
    <n v="490"/>
    <n v="10"/>
    <x v="0"/>
    <d v="2024-12-16T07:58:00"/>
    <d v="2024-12-16T07:30:00"/>
    <d v="2024-12-16T09:02:00"/>
    <n v="90.066666666666663"/>
    <n v="62.65"/>
    <x v="6"/>
    <d v="2024-12-17T11:02:00"/>
    <d v="2024-12-17T17:51:00"/>
    <n v="400.46666666666664"/>
    <x v="0"/>
    <d v="2024-12-18T20:27:58"/>
    <d v="2024-12-18T21:30:58"/>
    <n v="61.68333333333333"/>
    <x v="0"/>
    <n v="2.4763611111120554"/>
    <x v="1"/>
    <n v="-2.3638888887944631E-2"/>
    <n v="59.432666666689329"/>
    <n v="32"/>
    <n v="27.432666666689329"/>
    <n v="5.6866509514157499"/>
    <x v="0"/>
  </r>
  <r>
    <x v="3"/>
    <x v="0"/>
    <d v="2024-12-16T00:00:00"/>
    <s v="OM02L0H7"/>
    <x v="0"/>
    <s v="UBF 379L"/>
    <m/>
    <s v="Kabaco U Ltd"/>
    <n v="156"/>
    <s v="Z81652"/>
    <x v="6"/>
    <x v="0"/>
    <x v="0"/>
    <x v="0"/>
    <x v="6"/>
    <x v="6"/>
    <n v="321"/>
    <n v="1"/>
    <x v="0"/>
    <d v="2024-12-16T07:58:00"/>
    <d v="2024-12-16T07:30:00"/>
    <d v="2024-12-16T08:58:00"/>
    <n v="86.15"/>
    <n v="58.733333333333334"/>
    <x v="9"/>
    <d v="2024-12-16T14:58:00"/>
    <d v="2024-12-16T18:04:00"/>
    <n v="182.11666666666667"/>
    <x v="0"/>
    <d v="2024-12-17T10:23:12"/>
    <d v="2024-12-17T11:25:12"/>
    <n v="60.7"/>
    <x v="0"/>
    <n v="1.0591666666659876"/>
    <x v="3"/>
    <n v="-0.44083333333401242"/>
    <n v="25.419999999983702"/>
    <n v="16"/>
    <n v="9.4199999999837019"/>
    <n v="16.560509554168778"/>
    <x v="0"/>
  </r>
  <r>
    <x v="3"/>
    <x v="0"/>
    <d v="2024-12-16T00:00:00"/>
    <s v="OM02L04X"/>
    <x v="0"/>
    <s v="UBP 311H"/>
    <m/>
    <s v="Kato Investments Ltd-Bulenga"/>
    <n v="156"/>
    <s v="A19266"/>
    <x v="2"/>
    <x v="0"/>
    <x v="0"/>
    <x v="0"/>
    <x v="2"/>
    <x v="2"/>
    <n v="556"/>
    <n v="-4"/>
    <x v="0"/>
    <d v="2024-12-16T07:58:00"/>
    <d v="2024-12-16T07:30:00"/>
    <d v="2024-12-16T08:47:00"/>
    <n v="75.38333333333334"/>
    <n v="47.966666666666669"/>
    <x v="1"/>
    <d v="2024-12-17T08:47:00"/>
    <d v="2024-12-17T13:46:00"/>
    <n v="292.76666666666665"/>
    <x v="0"/>
    <d v="2024-12-18T14:18:12"/>
    <d v="2024-12-18T15:23:12"/>
    <n v="63.633333333333333"/>
    <x v="0"/>
    <n v="2.2300000000032014"/>
    <x v="0"/>
    <n v="0.23000000000320142"/>
    <n v="53.520000000076834"/>
    <n v="24"/>
    <n v="29.520000000076834"/>
    <n v="5.2845528455147006"/>
    <x v="0"/>
  </r>
  <r>
    <x v="3"/>
    <x v="0"/>
    <d v="2024-12-16T00:00:00"/>
    <s v="OM02L058"/>
    <x v="0"/>
    <s v="UBK 858R"/>
    <m/>
    <s v="KATO INVESTMENTS LTD-KATIKARA"/>
    <n v="156"/>
    <s v="A19268"/>
    <x v="5"/>
    <x v="0"/>
    <x v="0"/>
    <x v="0"/>
    <x v="5"/>
    <x v="5"/>
    <n v="842"/>
    <n v="12"/>
    <x v="0"/>
    <d v="2024-12-16T07:58:00"/>
    <d v="2024-12-16T07:30:00"/>
    <d v="2024-12-16T08:38:00"/>
    <n v="66.583333333333329"/>
    <n v="39.166666666666664"/>
    <x v="1"/>
    <d v="2024-12-17T10:53:00"/>
    <d v="2024-12-17T15:52:00"/>
    <n v="292.76666666666665"/>
    <x v="0"/>
    <d v="2024-12-18T20:40:00"/>
    <d v="2024-12-18T21:56:00"/>
    <n v="74.400000000000006"/>
    <x v="0"/>
    <n v="2.5013888888861402"/>
    <x v="0"/>
    <n v="0.50138888888614019"/>
    <n v="60.033333333267365"/>
    <n v="24"/>
    <n v="36.033333333267365"/>
    <n v="4.3293246993603773"/>
    <x v="0"/>
  </r>
  <r>
    <x v="3"/>
    <x v="0"/>
    <d v="2024-12-16T00:00:00"/>
    <s v="OM02L0HA"/>
    <x v="0"/>
    <s v="UBF 374L "/>
    <m/>
    <s v="Kobusinge Steven-FPortal"/>
    <n v="156"/>
    <s v="Z81654"/>
    <x v="11"/>
    <x v="0"/>
    <x v="0"/>
    <x v="0"/>
    <x v="11"/>
    <x v="11"/>
    <n v="390"/>
    <n v="0"/>
    <x v="0"/>
    <d v="2024-12-16T07:58:00"/>
    <d v="2024-12-16T07:30:00"/>
    <d v="2024-12-16T08:38:00"/>
    <n v="66.583333333333329"/>
    <n v="39.166666666666664"/>
    <x v="1"/>
    <d v="2024-12-17T10:08:00"/>
    <d v="2024-12-17T13:25:00"/>
    <n v="192.88333333333333"/>
    <x v="0"/>
    <d v="2024-12-18T10:51:12"/>
    <d v="2024-12-18T12:01:12"/>
    <n v="68.533333333333331"/>
    <x v="0"/>
    <n v="2.0924999999988358"/>
    <x v="0"/>
    <n v="9.2499999998835847E-2"/>
    <n v="50.21999999997206"/>
    <n v="24"/>
    <n v="26.21999999997206"/>
    <n v="5.9496567505784226"/>
    <x v="0"/>
  </r>
  <r>
    <x v="3"/>
    <x v="0"/>
    <d v="2024-12-16T19:58:51"/>
    <s v="OMG5AFKRR"/>
    <x v="1"/>
    <s v="UBK 858R"/>
    <s v="ALIPA EREKU"/>
    <s v="Rugoma Traders-Rukungiri"/>
    <n v="156"/>
    <s v="Z81646"/>
    <x v="17"/>
    <x v="0"/>
    <x v="0"/>
    <x v="0"/>
    <x v="17"/>
    <x v="17"/>
    <n v="256"/>
    <n v="0"/>
    <x v="0"/>
    <d v="2024-12-16T20:24:00"/>
    <d v="2024-12-17T04:04:00"/>
    <d v="2024-12-16T21:13:00"/>
    <n v="-402.45"/>
    <n v="47.966666666666669"/>
    <x v="1"/>
    <d v="2024-12-17T09:21:00"/>
    <d v="2024-12-17T14:04:00"/>
    <n v="277.10000000000002"/>
    <x v="0"/>
    <d v="2024-12-17T18:11:00"/>
    <d v="2024-12-17T20:37:00"/>
    <n v="142.94999999999999"/>
    <x v="5"/>
    <n v="0.87361111111385981"/>
    <x v="8"/>
    <n v="-0.12638888888614019"/>
    <n v="20.966666666732635"/>
    <n v="0"/>
    <n v="20.966666666732635"/>
    <n v="7.4403815580052068"/>
    <x v="0"/>
  </r>
  <r>
    <x v="3"/>
    <x v="1"/>
    <d v="2024-12-16T21:02:12"/>
    <s v="OM25X6ORR"/>
    <x v="0"/>
    <s v="UAT 351G"/>
    <s v="Hamudi Sesanga"/>
    <s v="Kabaco U Ltd-Mbarara"/>
    <n v="153.60000000000002"/>
    <s v="Z81647"/>
    <x v="8"/>
    <x v="1"/>
    <x v="0"/>
    <x v="1"/>
    <x v="8"/>
    <x v="8"/>
    <n v="12"/>
    <n v="1"/>
    <x v="0"/>
    <d v="2024-12-17T09:30:12"/>
    <d v="2024-12-17T09:02:12"/>
    <d v="2024-12-17T10:10:12"/>
    <n v="66.583333333333329"/>
    <n v="39.166666666666664"/>
    <x v="1"/>
    <d v="2024-12-17T10:52:12"/>
    <d v="2024-12-17T14:29:12"/>
    <n v="212.46666666666667"/>
    <x v="0"/>
    <d v="2024-12-17T15:01:12"/>
    <d v="2024-12-17T16:17:12"/>
    <n v="74.400000000000006"/>
    <x v="0"/>
    <n v="0.20208333332993789"/>
    <x v="5"/>
    <n v="-0.59791666667006216"/>
    <n v="4.8499999999185093"/>
    <n v="0"/>
    <n v="4.8499999999185093"/>
    <n v="31.670103093315639"/>
    <x v="0"/>
  </r>
  <r>
    <x v="3"/>
    <x v="1"/>
    <d v="2024-12-16T21:07:25"/>
    <s v="OMTWRSWRR"/>
    <x v="1"/>
    <s v="UBJ 375N"/>
    <s v="Stephen Musoke "/>
    <s v="Kabaco U Ltd"/>
    <n v="153.60000000000002"/>
    <s v="Z81648"/>
    <x v="6"/>
    <x v="1"/>
    <x v="0"/>
    <x v="1"/>
    <x v="6"/>
    <x v="6"/>
    <n v="330"/>
    <n v="10"/>
    <x v="0"/>
    <d v="2024-12-17T09:32:00"/>
    <d v="2024-12-17T02:22:00"/>
    <d v="2024-12-17T10:22:00"/>
    <n v="469.98333333333335"/>
    <n v="48.95"/>
    <x v="1"/>
    <d v="2024-12-17T16:19:00"/>
    <d v="2024-12-18T18:58:00"/>
    <n v="1565.6833333333334"/>
    <x v="0"/>
    <d v="2024-12-19T14:07:00"/>
    <d v="2024-12-19T16:29:00"/>
    <n v="139.03333333333333"/>
    <x v="4"/>
    <n v="2.15625"/>
    <x v="3"/>
    <n v="0.65625"/>
    <n v="51.75"/>
    <n v="24"/>
    <n v="27.75"/>
    <n v="5.5351351351351363"/>
    <x v="0"/>
  </r>
  <r>
    <x v="3"/>
    <x v="1"/>
    <d v="2024-12-16T21:13:03"/>
    <s v="OM1IYBMRR"/>
    <x v="1"/>
    <s v="UBJ 988D"/>
    <s v="Tumusiime Robert"/>
    <s v="Kobusinge Steven-FPortal"/>
    <n v="118.52000000000001"/>
    <s v="Z81649"/>
    <x v="11"/>
    <x v="1"/>
    <x v="0"/>
    <x v="1"/>
    <x v="11"/>
    <x v="11"/>
    <n v="365"/>
    <n v="-25"/>
    <x v="0"/>
    <d v="2024-12-17T10:29:00"/>
    <d v="2024-12-16T21:30:00"/>
    <d v="2024-12-17T11:24:00"/>
    <n v="816.61666666666667"/>
    <n v="53.85"/>
    <x v="6"/>
    <d v="2024-12-17T18:49:00"/>
    <d v="2024-12-19T13:42:00"/>
    <n v="2519.3833333333332"/>
    <x v="0"/>
    <d v="2024-12-20T07:44:00"/>
    <d v="2024-12-20T08:51:00"/>
    <n v="65.599999999999994"/>
    <x v="0"/>
    <n v="2.8472222222262644"/>
    <x v="0"/>
    <n v="0.84722222222626442"/>
    <n v="68.333333333430346"/>
    <n v="32"/>
    <n v="36.333333333430346"/>
    <n v="3.2620183486151437"/>
    <x v="1"/>
  </r>
  <r>
    <x v="3"/>
    <x v="0"/>
    <d v="2024-12-17T00:00:00"/>
    <s v="OM02L0YY"/>
    <x v="0"/>
    <s v="UBE 681K"/>
    <s v="KYAPA AKIMU"/>
    <s v="Kobusinge Steven-Kamwenge"/>
    <n v="156"/>
    <s v="Z81674"/>
    <x v="13"/>
    <x v="0"/>
    <x v="0"/>
    <x v="0"/>
    <x v="13"/>
    <x v="13"/>
    <n v="230"/>
    <n v="0"/>
    <x v="0"/>
    <d v="2024-12-17T07:51:00"/>
    <d v="2024-12-17T07:30:00"/>
    <d v="2024-12-17T08:38:00"/>
    <n v="66.583333333333329"/>
    <n v="46.016666666666666"/>
    <x v="6"/>
    <d v="2024-12-18T09:08:00"/>
    <d v="2024-12-18T13:49:00"/>
    <n v="275.13333333333333"/>
    <x v="0"/>
    <d v="2024-12-18T19:19:00"/>
    <d v="2024-12-18T20:39:00"/>
    <n v="78.316666666666663"/>
    <x v="0"/>
    <n v="1.445138888891961"/>
    <x v="7"/>
    <n v="0.14513888889196092"/>
    <n v="34.683333333407063"/>
    <n v="16"/>
    <n v="18.683333333407063"/>
    <n v="8.3496877787360066"/>
    <x v="0"/>
  </r>
  <r>
    <x v="3"/>
    <x v="0"/>
    <d v="2024-12-17T19:46:50"/>
    <s v="OM5XG0GRR"/>
    <x v="1"/>
    <s v="UBK 858R"/>
    <s v="ALIPA EREKU"/>
    <s v="Rugoma Traders-Rukungiri"/>
    <n v="156"/>
    <s v="Z81664"/>
    <x v="17"/>
    <x v="0"/>
    <x v="0"/>
    <x v="0"/>
    <x v="17"/>
    <x v="17"/>
    <n v="255"/>
    <n v="-1"/>
    <x v="0"/>
    <d v="2024-12-17T20:57:00"/>
    <d v="2024-12-18T04:04:00"/>
    <d v="2024-12-17T21:57:00"/>
    <n v="-359.36666666666667"/>
    <n v="58.733333333333334"/>
    <x v="11"/>
    <d v="2024-12-18T09:04:00"/>
    <d v="2024-12-18T13:27:00"/>
    <n v="257.51666666666665"/>
    <x v="0"/>
    <d v="2024-12-18T18:31:00"/>
    <d v="2024-12-18T20:57:00"/>
    <n v="142.94999999999999"/>
    <x v="5"/>
    <n v="0.85694444444379769"/>
    <x v="8"/>
    <n v="-0.14305555555620231"/>
    <n v="20.566666666651145"/>
    <n v="0"/>
    <n v="20.566666666651145"/>
    <n v="7.5850891410105872"/>
    <x v="0"/>
  </r>
  <r>
    <x v="3"/>
    <x v="1"/>
    <d v="2024-12-17T19:52:47"/>
    <s v="OM4LK9LRR"/>
    <x v="1"/>
    <s v="UAY 526V"/>
    <s v="Benon Ssempijja"/>
    <s v="Rugoma Traders-Rukungiri"/>
    <n v="153.60000000000002"/>
    <s v="Z81665"/>
    <x v="17"/>
    <x v="1"/>
    <x v="0"/>
    <x v="1"/>
    <x v="17"/>
    <x v="17"/>
    <n v="245"/>
    <n v="-11"/>
    <x v="0"/>
    <d v="2024-12-18T08:13:00"/>
    <d v="2024-12-18T04:04:00"/>
    <d v="2024-12-18T09:06:00"/>
    <n v="295.7"/>
    <n v="51.883333333333333"/>
    <x v="0"/>
    <d v="2024-12-18T14:08:00"/>
    <d v="2024-12-18T19:59:00"/>
    <n v="343.68333333333334"/>
    <x v="0"/>
    <d v="2024-12-19T10:09:00"/>
    <d v="2024-12-19T13:06:00"/>
    <n v="173.3"/>
    <x v="3"/>
    <n v="1.0437500000043656"/>
    <x v="8"/>
    <n v="4.3750000004365575E-2"/>
    <n v="25.050000000104774"/>
    <n v="16"/>
    <n v="9.0500000001047738"/>
    <n v="16.972375690411244"/>
    <x v="0"/>
  </r>
  <r>
    <x v="3"/>
    <x v="1"/>
    <d v="2024-12-17T19:53:41"/>
    <s v="OML5YVWRR"/>
    <x v="1"/>
    <s v="UBE 287X"/>
    <s v="Isaac Tumuhimbise"/>
    <s v="RUGOMA TRADERS CO. LTD NTUNGAM"/>
    <n v="153.60000000000002"/>
    <s v="F15482"/>
    <x v="15"/>
    <x v="1"/>
    <x v="0"/>
    <x v="1"/>
    <x v="15"/>
    <x v="15"/>
    <n v="129"/>
    <n v="-1"/>
    <x v="0"/>
    <d v="2024-12-18T07:58:00"/>
    <d v="2024-12-18T06:15:00"/>
    <d v="2024-12-18T08:47:00"/>
    <n v="148.83333333333334"/>
    <n v="47.966666666666669"/>
    <x v="8"/>
    <d v="2024-12-18T10:27:00"/>
    <d v="2024-12-18T16:32:00"/>
    <n v="357.38333333333333"/>
    <x v="0"/>
    <d v="2024-12-19T09:00:00"/>
    <d v="2024-12-19T10:41:00"/>
    <n v="98.88333333333334"/>
    <x v="0"/>
    <n v="1.0090277777781012"/>
    <x v="8"/>
    <n v="9.0277777781011537E-3"/>
    <n v="24.216666666674428"/>
    <n v="16"/>
    <n v="8.2166666666744277"/>
    <n v="18.693711967527985"/>
    <x v="0"/>
  </r>
  <r>
    <x v="3"/>
    <x v="0"/>
    <d v="2024-12-17T20:26:49"/>
    <s v="OMK6OU0RR"/>
    <x v="1"/>
    <s v="UBM 644D"/>
    <s v="KAJUBI ISMA"/>
    <s v="Kabaco U Ltd"/>
    <n v="156"/>
    <s v="Z81667"/>
    <x v="6"/>
    <x v="0"/>
    <x v="0"/>
    <x v="0"/>
    <x v="6"/>
    <x v="6"/>
    <n v="321"/>
    <n v="1"/>
    <x v="0"/>
    <d v="2024-12-18T09:53:00"/>
    <d v="2024-12-18T02:22:00"/>
    <d v="2024-12-18T10:35:00"/>
    <n v="482.71666666666664"/>
    <n v="41.116666666666667"/>
    <x v="1"/>
    <d v="2024-12-19T10:30:00"/>
    <d v="2024-12-19T15:56:00"/>
    <n v="319.2"/>
    <x v="0"/>
    <d v="2024-12-19T16:11:00"/>
    <d v="2024-12-19T17:45:00"/>
    <n v="92.033333333333331"/>
    <x v="0"/>
    <n v="1.2333333333372138"/>
    <x v="3"/>
    <n v="-0.26666666666278616"/>
    <n v="29.600000000093132"/>
    <n v="12"/>
    <n v="17.600000000093132"/>
    <n v="8.8636363635894604"/>
    <x v="0"/>
  </r>
  <r>
    <x v="3"/>
    <x v="1"/>
    <d v="2024-12-17T20:27:46"/>
    <s v="OMU1Y4ARR"/>
    <x v="1"/>
    <s v="UAY 265V"/>
    <s v="Luyaga Isaac"/>
    <s v="Kobusinge Steven-FPortal"/>
    <n v="153.60000000000002"/>
    <s v="Z81668"/>
    <x v="11"/>
    <x v="1"/>
    <x v="0"/>
    <x v="1"/>
    <x v="11"/>
    <x v="11"/>
    <n v="386"/>
    <n v="-4"/>
    <x v="0"/>
    <d v="2024-12-17T20:22:00"/>
    <d v="2024-12-17T21:30:00"/>
    <d v="2024-12-17T21:07:00"/>
    <n v="-22.533333333333335"/>
    <n v="44.05"/>
    <x v="1"/>
    <d v="2024-12-18T08:37:00"/>
    <d v="2024-12-18T13:40:00"/>
    <n v="296.68333333333334"/>
    <x v="0"/>
    <d v="2024-12-19T12:55:00"/>
    <d v="2024-12-19T15:42:00"/>
    <n v="163.51666666666668"/>
    <x v="2"/>
    <n v="1.6583333333328483"/>
    <x v="0"/>
    <n v="-0.34166666666715173"/>
    <n v="39.799999999988358"/>
    <n v="12"/>
    <n v="27.799999999988358"/>
    <n v="5.5251798561174228"/>
    <x v="0"/>
  </r>
  <r>
    <x v="3"/>
    <x v="1"/>
    <d v="2024-12-17T20:28:47"/>
    <s v="OMYYSXZRR"/>
    <x v="1"/>
    <s v="UBK 875R"/>
    <s v="Bisaso  Ronald"/>
    <s v="Kabaco U Ltd-Mbarara"/>
    <n v="153.60000000000002"/>
    <s v="Z81669"/>
    <x v="8"/>
    <x v="1"/>
    <x v="0"/>
    <x v="1"/>
    <x v="8"/>
    <x v="8"/>
    <n v="14"/>
    <n v="3"/>
    <x v="0"/>
    <d v="2024-12-18T10:59:00"/>
    <d v="2024-12-18T07:42:00"/>
    <d v="2024-12-18T11:49:00"/>
    <n v="241.85"/>
    <n v="48.95"/>
    <x v="1"/>
    <d v="2024-12-18T12:22:00"/>
    <d v="2024-12-18T17:27:00"/>
    <n v="298.63333333333333"/>
    <x v="0"/>
    <d v="2024-12-18T18:00:00"/>
    <d v="2024-12-18T20:13:00"/>
    <n v="130.21666666666667"/>
    <x v="4"/>
    <n v="0.25763888889196096"/>
    <x v="5"/>
    <n v="-0.54236111110803908"/>
    <n v="6.183333333407063"/>
    <n v="0"/>
    <n v="6.183333333407063"/>
    <n v="24.840970350108115"/>
    <x v="0"/>
  </r>
  <r>
    <x v="3"/>
    <x v="0"/>
    <d v="2024-12-18T00:00:00"/>
    <s v="OM02L19L"/>
    <x v="0"/>
    <s v="UBM 644D"/>
    <m/>
    <s v="Kato Investment Ltd -Mityana"/>
    <n v="156"/>
    <s v="A19329"/>
    <x v="16"/>
    <x v="0"/>
    <x v="0"/>
    <x v="0"/>
    <x v="16"/>
    <x v="16"/>
    <n v="784"/>
    <n v="94"/>
    <x v="0"/>
    <d v="2024-12-18T07:58:00"/>
    <d v="2024-12-18T07:30:00"/>
    <d v="2024-12-18T08:42:00"/>
    <n v="70.483333333333334"/>
    <n v="43.06666666666667"/>
    <x v="1"/>
    <d v="2024-12-19T10:42:00"/>
    <d v="2024-12-19T15:42:00"/>
    <n v="293.75"/>
    <x v="0"/>
    <d v="2024-12-20T10:58:19"/>
    <d v="2024-12-20T12:06:19"/>
    <n v="66.583333333333329"/>
    <x v="0"/>
    <n v="2.0946666666714009"/>
    <x v="0"/>
    <n v="9.466666667140089E-2"/>
    <n v="50.272000000113621"/>
    <n v="24"/>
    <n v="26.272000000113621"/>
    <n v="5.9378806333482537"/>
    <x v="0"/>
  </r>
  <r>
    <x v="3"/>
    <x v="0"/>
    <d v="2024-12-18T00:00:00"/>
    <s v="OM02L1B0"/>
    <x v="0"/>
    <s v="UBK 866R"/>
    <m/>
    <s v="Bates Enterprises U Ltd"/>
    <n v="156"/>
    <s v="Z81704"/>
    <x v="7"/>
    <x v="0"/>
    <x v="0"/>
    <x v="0"/>
    <x v="7"/>
    <x v="7"/>
    <n v="576"/>
    <n v="-30"/>
    <x v="0"/>
    <d v="2024-12-18T07:58:00"/>
    <d v="2024-12-18T07:30:00"/>
    <d v="2024-12-18T08:46:00"/>
    <n v="74.400000000000006"/>
    <n v="46.983333333333334"/>
    <x v="1"/>
    <d v="2024-12-20T08:46:00"/>
    <d v="2024-12-20T13:56:00"/>
    <n v="303.53333333333336"/>
    <x v="0"/>
    <d v="2024-12-21T16:20:00"/>
    <d v="2024-12-21T17:25:00"/>
    <n v="63.633333333333333"/>
    <x v="0"/>
    <n v="3.3152777777795563"/>
    <x v="4"/>
    <n v="0.31527777777955635"/>
    <n v="79.566666666709352"/>
    <n v="36"/>
    <n v="43.566666666709352"/>
    <n v="3.5807192042811131"/>
    <x v="0"/>
  </r>
  <r>
    <x v="3"/>
    <x v="0"/>
    <d v="2024-12-18T00:00:00"/>
    <s v="OM02L172"/>
    <x v="0"/>
    <s v="UBE 673K"/>
    <s v="Bulega Sperito"/>
    <s v="DE PLACE INVESTMENTS LTD"/>
    <n v="156"/>
    <s v="F15483"/>
    <x v="0"/>
    <x v="0"/>
    <x v="0"/>
    <x v="0"/>
    <x v="0"/>
    <x v="0"/>
    <n v="758"/>
    <n v="-2"/>
    <x v="0"/>
    <d v="2024-12-18T07:58:00"/>
    <d v="2024-12-18T07:30:00"/>
    <d v="2024-12-18T08:38:00"/>
    <n v="66.583333333333329"/>
    <n v="39.166666666666664"/>
    <x v="1"/>
    <d v="2024-12-19T08:38:00"/>
    <d v="2024-12-19T12:40:00"/>
    <n v="236.95"/>
    <x v="0"/>
    <d v="2024-12-20T14:49:36"/>
    <d v="2024-12-20T15:54:36"/>
    <n v="63.633333333333333"/>
    <x v="0"/>
    <n v="2.258055555554165"/>
    <x v="0"/>
    <n v="0.25805555555416504"/>
    <n v="54.193333333299961"/>
    <n v="24"/>
    <n v="30.193333333299961"/>
    <n v="5.1667034665546181"/>
    <x v="0"/>
  </r>
  <r>
    <x v="3"/>
    <x v="0"/>
    <d v="2024-12-18T00:00:00"/>
    <s v="OM02L19G"/>
    <x v="0"/>
    <s v="UBJ 419C"/>
    <m/>
    <s v="Kobusinge Steven-Kamwenge"/>
    <n v="156"/>
    <s v="Z81695"/>
    <x v="13"/>
    <x v="0"/>
    <x v="0"/>
    <x v="0"/>
    <x v="13"/>
    <x v="13"/>
    <n v="230"/>
    <n v="0"/>
    <x v="0"/>
    <d v="2024-12-18T07:58:00"/>
    <d v="2024-12-18T07:30:00"/>
    <d v="2024-12-18T08:45:00"/>
    <n v="73.433333333333337"/>
    <n v="46.016666666666666"/>
    <x v="1"/>
    <d v="2024-12-19T09:45:00"/>
    <d v="2024-12-19T11:52:00"/>
    <n v="124.35"/>
    <x v="0"/>
    <d v="2024-12-19T17:22:00"/>
    <d v="2024-12-19T18:38:00"/>
    <n v="74.400000000000006"/>
    <x v="0"/>
    <n v="1.35902777776937"/>
    <x v="7"/>
    <n v="5.902777776936996E-2"/>
    <n v="32.61666666646488"/>
    <n v="12"/>
    <n v="20.61666666646488"/>
    <n v="7.5666936136553042"/>
    <x v="0"/>
  </r>
  <r>
    <x v="3"/>
    <x v="1"/>
    <d v="2024-12-18T18:44:45"/>
    <s v="OMXILE4RR"/>
    <x v="1"/>
    <s v="UBK 875R"/>
    <s v="Bisaso  Ronald"/>
    <s v="KATO INVESTMENTS LIMITED-MASAK"/>
    <n v="153.60000000000002"/>
    <s v="F15484"/>
    <x v="14"/>
    <x v="1"/>
    <x v="0"/>
    <x v="1"/>
    <x v="14"/>
    <x v="14"/>
    <n v="411"/>
    <n v="71"/>
    <x v="6"/>
    <d v="2024-12-18T20:01:00"/>
    <d v="2024-12-19T08:00:00"/>
    <d v="2024-12-18T21:02:00"/>
    <n v="-644.29999999999995"/>
    <n v="59.716666666666669"/>
    <x v="11"/>
    <d v="2024-12-19T14:38:00"/>
    <d v="2024-12-19T17:50:00"/>
    <n v="187.98333333333332"/>
    <x v="0"/>
    <d v="2024-12-20T13:57:00"/>
    <d v="2024-12-20T16:24:00"/>
    <n v="143.93333333333334"/>
    <x v="5"/>
    <n v="1.7048611111167702"/>
    <x v="8"/>
    <n v="0.70486111111677019"/>
    <n v="40.916666666802485"/>
    <n v="16"/>
    <n v="24.916666666802485"/>
    <n v="6.1645484949496758"/>
    <x v="0"/>
  </r>
  <r>
    <x v="3"/>
    <x v="1"/>
    <d v="2024-12-18T18:53:27"/>
    <s v="OM5Z00JRR"/>
    <x v="1"/>
    <s v="UBE 419T"/>
    <s v="Kilabila Ismail"/>
    <s v="Ntale and Sons"/>
    <n v="153.60000000000002"/>
    <s v="A19325"/>
    <x v="19"/>
    <x v="1"/>
    <x v="0"/>
    <x v="1"/>
    <x v="19"/>
    <x v="19"/>
    <n v="803"/>
    <n v="-7"/>
    <x v="0"/>
    <d v="2024-12-18T20:07:00"/>
    <d v="2024-12-18T20:00:00"/>
    <d v="2024-12-18T20:51:00"/>
    <n v="49.93333333333333"/>
    <n v="43.06666666666667"/>
    <x v="1"/>
    <d v="2024-12-19T16:34:00"/>
    <d v="2024-12-20T09:31:00"/>
    <n v="995.8"/>
    <x v="0"/>
    <d v="2024-12-21T10:46:00"/>
    <d v="2024-12-21T13:48:00"/>
    <n v="178.2"/>
    <x v="1"/>
    <n v="2.5798611111094942"/>
    <x v="4"/>
    <n v="-0.42013888889050577"/>
    <n v="61.916666666627862"/>
    <n v="24"/>
    <n v="37.916666666627862"/>
    <n v="4.0509890109931579"/>
    <x v="0"/>
  </r>
  <r>
    <x v="3"/>
    <x v="1"/>
    <d v="2024-12-18T19:10:16"/>
    <s v="OMBORXZRR"/>
    <x v="1"/>
    <s v="UBE 422T"/>
    <s v="Jacob Oneka"/>
    <s v="Kabaco U Ltd-Mbarara"/>
    <n v="153.60000000000002"/>
    <s v="Z81694"/>
    <x v="8"/>
    <x v="1"/>
    <x v="0"/>
    <x v="1"/>
    <x v="8"/>
    <x v="8"/>
    <n v="13"/>
    <n v="2"/>
    <x v="0"/>
    <d v="2024-12-19T07:39:00"/>
    <d v="2024-12-20T07:42:00"/>
    <d v="2024-12-19T08:26:00"/>
    <n v="-1366.9166666666667"/>
    <n v="46.016666666666666"/>
    <x v="1"/>
    <d v="2024-12-19T09:14:00"/>
    <d v="2024-12-19T13:58:00"/>
    <n v="278.06666666666666"/>
    <x v="0"/>
    <d v="2024-12-19T14:23:00"/>
    <d v="2024-12-19T16:58:00"/>
    <n v="151.76666666666668"/>
    <x v="6"/>
    <n v="0.24791666666715173"/>
    <x v="5"/>
    <n v="-0.55208333333284831"/>
    <n v="5.9500000000116415"/>
    <n v="0"/>
    <n v="5.9500000000116415"/>
    <n v="25.815126050369663"/>
    <x v="0"/>
  </r>
  <r>
    <x v="3"/>
    <x v="1"/>
    <d v="2024-12-18T20:34:22"/>
    <s v="OMV2A70RR"/>
    <x v="1"/>
    <s v="UAY 265V"/>
    <s v="Luyaga Isaac"/>
    <s v="Kato Investments Ltd-Bulenga"/>
    <n v="153.60000000000002"/>
    <s v="A19330"/>
    <x v="2"/>
    <x v="1"/>
    <x v="0"/>
    <x v="1"/>
    <x v="2"/>
    <x v="2"/>
    <n v="586"/>
    <n v="26"/>
    <x v="0"/>
    <d v="2024-12-19T17:38:00"/>
    <d v="2024-12-19T20:13:00"/>
    <d v="2024-12-19T18:24:00"/>
    <n v="-106.73333333333333"/>
    <n v="45.033333333333331"/>
    <x v="1"/>
    <d v="2024-12-21T10:04:00"/>
    <d v="2024-12-21T14:30:00"/>
    <n v="260.45"/>
    <x v="0"/>
    <d v="2024-12-22T07:20:00"/>
    <d v="2024-12-22T08:26:00"/>
    <n v="64.61666666666666"/>
    <x v="0"/>
    <n v="2.538888888884685"/>
    <x v="0"/>
    <n v="0.538888888884685"/>
    <n v="60.93333333323244"/>
    <n v="24"/>
    <n v="36.93333333323244"/>
    <n v="4.1588447653543215"/>
    <x v="11"/>
  </r>
  <r>
    <x v="3"/>
    <x v="1"/>
    <d v="2024-12-18T20:55:18"/>
    <s v="OM76BUMRR"/>
    <x v="1"/>
    <s v="UAV 203T"/>
    <s v="Mugisha  George"/>
    <s v="KATO INVESTMENTS LTD- KALISIZO"/>
    <n v="153.60000000000002"/>
    <s v="F15490"/>
    <x v="4"/>
    <x v="1"/>
    <x v="0"/>
    <x v="1"/>
    <x v="4"/>
    <x v="4"/>
    <n v="350"/>
    <n v="0"/>
    <x v="0"/>
    <d v="2024-12-20T10:05:00"/>
    <d v="2024-12-19T08:00:00"/>
    <d v="2024-12-20T10:54:00"/>
    <n v="1580.3666666666666"/>
    <n v="47.966666666666669"/>
    <x v="1"/>
    <d v="2024-12-20T15:38:00"/>
    <d v="2024-12-21T13:52:00"/>
    <n v="1306.2"/>
    <x v="0"/>
    <d v="2024-12-21T19:01:00"/>
    <d v="2024-12-21T21:27:00"/>
    <n v="142.94999999999999"/>
    <x v="5"/>
    <n v="1.3381944444408873"/>
    <x v="2"/>
    <n v="-0.36180555555911265"/>
    <n v="32.116666666581295"/>
    <n v="12"/>
    <n v="20.116666666581295"/>
    <n v="7.635459817762313"/>
    <x v="0"/>
  </r>
  <r>
    <x v="3"/>
    <x v="1"/>
    <d v="2024-12-18T20:57:14"/>
    <s v="OMSZ36FRR"/>
    <x v="1"/>
    <s v="UBE 287X"/>
    <s v="Isaac Tumuhimbise"/>
    <s v="Kato Investments Ltd-Bulenga"/>
    <n v="153.60000000000002"/>
    <s v="A19331"/>
    <x v="2"/>
    <x v="1"/>
    <x v="0"/>
    <x v="1"/>
    <x v="2"/>
    <x v="2"/>
    <n v="588"/>
    <n v="28"/>
    <x v="0"/>
    <d v="2024-12-19T12:58:00"/>
    <d v="2024-12-19T20:13:00"/>
    <d v="2024-12-19T13:48:00"/>
    <n v="-376.98333333333335"/>
    <n v="48.95"/>
    <x v="1"/>
    <d v="2024-12-20T11:12:00"/>
    <d v="2024-12-20T20:05:00"/>
    <n v="521.88333333333333"/>
    <x v="0"/>
    <d v="2024-12-21T14:20:00"/>
    <d v="2024-12-21T15:34:00"/>
    <n v="72.45"/>
    <x v="0"/>
    <n v="2.0222222222218988"/>
    <x v="0"/>
    <n v="2.2222222221898846E-2"/>
    <n v="48.533333333325572"/>
    <n v="24"/>
    <n v="24.533333333325572"/>
    <n v="6.2608695652193731"/>
    <x v="0"/>
  </r>
  <r>
    <x v="3"/>
    <x v="1"/>
    <d v="2024-12-18T21:52:51"/>
    <s v="OM3UC71RR"/>
    <x v="1"/>
    <s v="UBJ 707D"/>
    <s v="Konge Husein"/>
    <s v="Kabaco U Ltd-Mbarara"/>
    <n v="153.60000000000002"/>
    <s v="Z81700"/>
    <x v="8"/>
    <x v="1"/>
    <x v="0"/>
    <x v="1"/>
    <x v="8"/>
    <x v="8"/>
    <n v="11"/>
    <n v="0"/>
    <x v="0"/>
    <d v="2024-12-19T16:09:00"/>
    <d v="2024-12-19T08:00:00"/>
    <d v="2024-12-19T16:54:00"/>
    <n v="522.86666666666667"/>
    <n v="44.05"/>
    <x v="1"/>
    <d v="2024-12-20T11:14:00"/>
    <d v="2024-12-20T16:46:00"/>
    <n v="325.08333333333331"/>
    <x v="0"/>
    <d v="2024-12-20T12:19:00"/>
    <d v="2024-12-20T14:25:00"/>
    <n v="123.36666666666666"/>
    <x v="11"/>
    <n v="0.80902777777373558"/>
    <x v="5"/>
    <n v="9.0277777737355347E-3"/>
    <n v="19.416666666569654"/>
    <n v="0"/>
    <n v="19.416666666569654"/>
    <n v="7.910729613773432"/>
    <x v="0"/>
  </r>
  <r>
    <x v="3"/>
    <x v="1"/>
    <d v="2024-12-18T21:54:41"/>
    <s v="OMZEBWURR"/>
    <x v="1"/>
    <s v="UAY 526V"/>
    <s v="Benon Ssempijja"/>
    <s v="KATO INVESTMENTS LIMITED-MASAK"/>
    <n v="153.60000000000002"/>
    <s v="F15491"/>
    <x v="14"/>
    <x v="1"/>
    <x v="0"/>
    <x v="1"/>
    <x v="14"/>
    <x v="14"/>
    <n v="296"/>
    <n v="-44"/>
    <x v="0"/>
    <d v="2024-12-19T13:26:00"/>
    <d v="2024-12-19T09:00:00"/>
    <d v="2024-12-19T14:26:00"/>
    <n v="319.2"/>
    <n v="58.733333333333334"/>
    <x v="9"/>
    <d v="2024-12-19T18:19:00"/>
    <d v="2024-12-20T14:05:00"/>
    <n v="1161.2833333333333"/>
    <x v="0"/>
    <d v="2024-12-20T17:40:00"/>
    <d v="2024-12-20T19:17:00"/>
    <n v="94.966666666666669"/>
    <x v="0"/>
    <n v="1.1347222222175333"/>
    <x v="8"/>
    <n v="0.13472222221753327"/>
    <n v="27.233333333220799"/>
    <n v="16"/>
    <n v="11.233333333220799"/>
    <n v="13.673590504588022"/>
    <x v="0"/>
  </r>
  <r>
    <x v="3"/>
    <x v="1"/>
    <d v="2024-12-18T22:38:05"/>
    <s v="OM9EHJJRR"/>
    <x v="1"/>
    <s v="UBK 881R"/>
    <s v="James  Kironde"/>
    <s v="KATO INVESTMENTS LTD- KALISIZO"/>
    <n v="153.60000000000002"/>
    <s v="F15493"/>
    <x v="4"/>
    <x v="1"/>
    <x v="0"/>
    <x v="1"/>
    <x v="4"/>
    <x v="4"/>
    <n v="361"/>
    <n v="11"/>
    <x v="0"/>
    <d v="2024-12-20T10:28:00"/>
    <d v="2024-12-19T09:00:00"/>
    <d v="2024-12-20T11:17:00"/>
    <n v="1544.1333333333334"/>
    <n v="47.966666666666669"/>
    <x v="1"/>
    <d v="2024-12-20T15:02:00"/>
    <d v="2024-12-20T19:46:00"/>
    <n v="278.08333333333331"/>
    <x v="0"/>
    <d v="2024-12-21T12:17:00"/>
    <d v="2024-12-21T14:23:00"/>
    <n v="123.36666666666666"/>
    <x v="11"/>
    <n v="1.0416666666715173"/>
    <x v="2"/>
    <n v="-0.65833333332848265"/>
    <n v="25.000000000116415"/>
    <n v="12"/>
    <n v="13.000000000116415"/>
    <n v="11.815384615278811"/>
    <x v="0"/>
  </r>
  <r>
    <x v="3"/>
    <x v="0"/>
    <d v="2024-12-19T00:00:00"/>
    <s v="OM02L1XM"/>
    <x v="0"/>
    <s v="UBJ 705D"/>
    <s v="KASULE JOHNBOSC"/>
    <s v="Kobusinge Steven-FPortal"/>
    <n v="156"/>
    <s v="Z81723"/>
    <x v="11"/>
    <x v="0"/>
    <x v="0"/>
    <x v="0"/>
    <x v="11"/>
    <x v="11"/>
    <m/>
    <n v="-390"/>
    <x v="0"/>
    <d v="2024-12-19T07:58:00"/>
    <d v="2024-12-19T07:30:00"/>
    <d v="2024-12-19T08:38:00"/>
    <n v="66.583333333333329"/>
    <n v="39.166666666666664"/>
    <x v="1"/>
    <d v="2024-12-20T07:08:00"/>
    <d v="2024-12-20T16:17:00"/>
    <n v="537.54999999999995"/>
    <x v="0"/>
    <d v="2024-12-21T06:30:34"/>
    <d v="2024-12-21T07:33:34"/>
    <n v="61.68333333333333"/>
    <x v="0"/>
    <n v="1.9115000000019791"/>
    <x v="0"/>
    <n v="-8.849999999802094E-2"/>
    <n v="45.876000000047497"/>
    <n v="12"/>
    <n v="33.876000000047497"/>
    <n v="4.6050301098058002"/>
    <x v="0"/>
  </r>
  <r>
    <x v="3"/>
    <x v="0"/>
    <d v="2024-12-19T00:00:00"/>
    <s v="OM02L1ZG"/>
    <x v="0"/>
    <s v="UBB 115P"/>
    <s v="Kakembo Masuud"/>
    <s v="Kato Investment Ltd -Mubende"/>
    <n v="156"/>
    <s v="A19373"/>
    <x v="1"/>
    <x v="0"/>
    <x v="0"/>
    <x v="0"/>
    <x v="1"/>
    <x v="1"/>
    <n v="665"/>
    <n v="-15"/>
    <x v="0"/>
    <d v="2024-12-19T07:58:00"/>
    <d v="2024-12-19T07:30:00"/>
    <d v="2024-12-19T08:58:00"/>
    <n v="86.15"/>
    <n v="58.733333333333334"/>
    <x v="5"/>
    <d v="2024-12-20T11:15:00"/>
    <d v="2024-12-20T16:00:00"/>
    <n v="279.05"/>
    <x v="0"/>
    <d v="2024-12-21T18:52:48"/>
    <d v="2024-12-21T19:54:48"/>
    <n v="60.7"/>
    <x v="0"/>
    <n v="2.4130555555530009"/>
    <x v="1"/>
    <n v="-8.6944444446999114E-2"/>
    <n v="57.913333333272021"/>
    <n v="32"/>
    <n v="25.913333333272021"/>
    <n v="6.0200668896463512"/>
    <x v="0"/>
  </r>
  <r>
    <x v="3"/>
    <x v="0"/>
    <d v="2024-12-19T00:00:00"/>
    <s v="OM02L1YH"/>
    <x v="0"/>
    <s v="UBF 379L"/>
    <m/>
    <s v="Rugoma Traders-Rukungiri"/>
    <n v="151.68"/>
    <s v="Z81727"/>
    <x v="17"/>
    <x v="0"/>
    <x v="0"/>
    <x v="0"/>
    <x v="17"/>
    <x v="17"/>
    <n v="252"/>
    <n v="-4"/>
    <x v="0"/>
    <d v="2024-12-19T07:58:00"/>
    <d v="2024-12-19T07:30:00"/>
    <d v="2024-12-19T08:38:00"/>
    <n v="66.583333333333329"/>
    <n v="39.166666666666664"/>
    <x v="1"/>
    <d v="2024-12-19T15:18:00"/>
    <d v="2024-12-19T19:37:12"/>
    <n v="253.8"/>
    <x v="0"/>
    <d v="2024-12-20T08:37:12"/>
    <d v="2024-12-20T09:39:12"/>
    <n v="60.7"/>
    <x v="0"/>
    <n v="0.99944444444554392"/>
    <x v="8"/>
    <n v="-5.5555555445607752E-4"/>
    <n v="23.986666666693054"/>
    <n v="0"/>
    <n v="23.986666666693054"/>
    <n v="6.3235130628057172"/>
    <x v="0"/>
  </r>
  <r>
    <x v="3"/>
    <x v="0"/>
    <d v="2024-12-19T13:13:15"/>
    <s v="OM60DENRR"/>
    <x v="1"/>
    <s v="UBK 858R"/>
    <s v="ALIPA EREKU"/>
    <s v="KATO INVESTMENTS LTD-KATIKARA"/>
    <n v="156"/>
    <s v="A19341"/>
    <x v="5"/>
    <x v="0"/>
    <x v="0"/>
    <x v="0"/>
    <x v="5"/>
    <x v="5"/>
    <n v="837"/>
    <n v="7"/>
    <x v="0"/>
    <d v="2024-12-19T19:38:00"/>
    <d v="2024-12-19T15:48:00"/>
    <d v="2024-12-19T20:24:00"/>
    <n v="270.23333333333335"/>
    <n v="45.033333333333331"/>
    <x v="1"/>
    <d v="2024-12-20T17:47:00"/>
    <d v="2024-12-21T14:50:00"/>
    <n v="1236.6833333333334"/>
    <x v="0"/>
    <d v="2024-12-22T12:26:00"/>
    <d v="2024-12-22T13:35:00"/>
    <n v="67.55"/>
    <x v="0"/>
    <n v="2.6680555555576575"/>
    <x v="0"/>
    <n v="0.6680555555576575"/>
    <n v="64.03333333338378"/>
    <n v="24"/>
    <n v="40.03333333338378"/>
    <n v="3.8967527060733578"/>
    <x v="9"/>
  </r>
  <r>
    <x v="3"/>
    <x v="0"/>
    <d v="2024-12-19T13:14:25"/>
    <s v="OMRRU7URR"/>
    <x v="0"/>
    <s v="UBJ 705D"/>
    <s v="KASULE JOHNBOSC"/>
    <s v="Kato Investments Ltd- Kakumiro"/>
    <n v="156"/>
    <s v="A19342"/>
    <x v="24"/>
    <x v="0"/>
    <x v="0"/>
    <x v="0"/>
    <x v="24"/>
    <x v="22"/>
    <n v="764"/>
    <n v="-1"/>
    <x v="0"/>
    <d v="2024-12-20T01:42:25"/>
    <d v="2024-12-20T01:14:25"/>
    <d v="2024-12-20T02:22:25"/>
    <n v="66.583333333333329"/>
    <n v="39.166666666666664"/>
    <x v="1"/>
    <d v="2024-12-20T10:52:25"/>
    <d v="2024-12-20T15:54:25"/>
    <n v="295.7"/>
    <x v="0"/>
    <d v="2024-12-21T09:25:37"/>
    <d v="2024-12-21T10:30:37"/>
    <n v="63.633333333333333"/>
    <x v="0"/>
    <n v="1.2938888888893416"/>
    <x v="3"/>
    <n v="-0.20611111111065838"/>
    <n v="31.053333333344199"/>
    <n v="12"/>
    <n v="19.053333333344199"/>
    <n v="8.1875437368742681"/>
    <x v="0"/>
  </r>
  <r>
    <x v="3"/>
    <x v="0"/>
    <d v="2024-12-19T13:18:03"/>
    <s v="OMDM1I9RR"/>
    <x v="1"/>
    <s v="UBK 882R"/>
    <s v="NASASIRA STEPHENE"/>
    <s v="Kato Investment Ltd -Mubende"/>
    <n v="187.20000000000002"/>
    <s v="A19343"/>
    <x v="1"/>
    <x v="0"/>
    <x v="0"/>
    <x v="0"/>
    <x v="1"/>
    <x v="1"/>
    <n v="813"/>
    <n v="133"/>
    <x v="0"/>
    <d v="2024-12-19T14:11:00"/>
    <d v="2024-12-19T19:37:00"/>
    <d v="2024-12-19T15:01:00"/>
    <n v="-270.25"/>
    <n v="48.95"/>
    <x v="1"/>
    <d v="2024-12-20T12:04:00"/>
    <d v="2024-12-20T18:09:00"/>
    <n v="357.38333333333333"/>
    <x v="0"/>
    <d v="2024-12-21T19:31:00"/>
    <d v="2024-12-21T21:37:00"/>
    <n v="123.36666666666666"/>
    <x v="11"/>
    <n v="2.1875"/>
    <x v="1"/>
    <n v="-0.3125"/>
    <n v="52.5"/>
    <n v="24"/>
    <n v="28.5"/>
    <n v="6.5684210526315798"/>
    <x v="0"/>
  </r>
  <r>
    <x v="3"/>
    <x v="0"/>
    <d v="2024-12-19T13:19:02"/>
    <s v="OMRG3LKRR"/>
    <x v="1"/>
    <s v="UBK 862R"/>
    <s v="SULAIMAN MUBIRU"/>
    <s v="Kato Investment Ltd -Kagadi"/>
    <n v="156"/>
    <s v="A19344"/>
    <x v="12"/>
    <x v="0"/>
    <x v="0"/>
    <x v="0"/>
    <x v="12"/>
    <x v="12"/>
    <n v="607"/>
    <n v="-5"/>
    <x v="0"/>
    <d v="2024-12-19T12:55:00"/>
    <d v="2024-12-19T17:46:00"/>
    <d v="2024-12-19T14:00:00"/>
    <n v="-221.3"/>
    <n v="63.633333333333333"/>
    <x v="6"/>
    <d v="2024-12-20T07:29:00"/>
    <d v="2024-12-20T14:36:00"/>
    <n v="418.1"/>
    <x v="0"/>
    <d v="2024-12-21T07:01:00"/>
    <d v="2024-12-21T08:05:00"/>
    <n v="62.65"/>
    <x v="0"/>
    <n v="1.7090277777751908"/>
    <x v="6"/>
    <n v="-0.59097222222480905"/>
    <n v="41.016666666604578"/>
    <n v="16"/>
    <n v="25.016666666604578"/>
    <n v="6.2358427715011526"/>
    <x v="0"/>
  </r>
  <r>
    <x v="3"/>
    <x v="1"/>
    <d v="2024-12-19T21:23:25"/>
    <s v="OMP3CU1RR"/>
    <x v="1"/>
    <s v="UBJ 988D"/>
    <s v="Tumusiime Robert"/>
    <s v="RUGOMA TRADERS CO. LTD NTUNGAM"/>
    <n v="153.60000000000002"/>
    <s v="F15496"/>
    <x v="15"/>
    <x v="1"/>
    <x v="0"/>
    <x v="1"/>
    <x v="15"/>
    <x v="15"/>
    <n v="134"/>
    <n v="4"/>
    <x v="0"/>
    <d v="2024-12-21T05:52:00"/>
    <d v="2024-12-20T09:00:00"/>
    <d v="2024-12-21T06:42:00"/>
    <n v="1274.8666666666666"/>
    <n v="48.95"/>
    <x v="1"/>
    <d v="2024-12-25T07:52:00"/>
    <d v="2024-12-25T14:48:00"/>
    <n v="407.33333333333331"/>
    <x v="0"/>
    <d v="2024-12-26T12:44:00"/>
    <d v="2024-12-26T14:51:00"/>
    <n v="124.35"/>
    <x v="11"/>
    <n v="5.2513888888861402"/>
    <x v="8"/>
    <n v="4.2513888888861402"/>
    <n v="126.03333333326736"/>
    <n v="60"/>
    <n v="66.033333333267365"/>
    <n v="2.3260979303405374"/>
    <x v="0"/>
  </r>
  <r>
    <x v="3"/>
    <x v="1"/>
    <d v="2024-12-19T21:29:38"/>
    <s v="OMTZ1JKRR"/>
    <x v="0"/>
    <s v="UBK 875R"/>
    <m/>
    <s v="KATO INVESTMENTS LIMITED-MASAK"/>
    <n v="153.60000000000002"/>
    <s v="F15498"/>
    <x v="14"/>
    <x v="1"/>
    <x v="0"/>
    <x v="1"/>
    <x v="14"/>
    <x v="14"/>
    <n v="415"/>
    <n v="75"/>
    <x v="0"/>
    <d v="2024-12-20T09:57:38"/>
    <d v="2024-12-20T09:29:38"/>
    <d v="2024-12-20T10:37:38"/>
    <n v="66.583333333333329"/>
    <n v="39.166666666666664"/>
    <x v="1"/>
    <d v="2024-12-20T13:50:38"/>
    <d v="2024-12-20T21:21:38"/>
    <n v="441.6"/>
    <x v="0"/>
    <d v="2024-12-21T11:45:38"/>
    <d v="2024-12-21T12:48:38"/>
    <n v="61.68333333333333"/>
    <x v="0"/>
    <n v="1.047222222223354"/>
    <x v="8"/>
    <n v="4.7222222223354038E-2"/>
    <n v="25.133333333360497"/>
    <n v="12"/>
    <n v="13.133333333360497"/>
    <n v="11.695431472057031"/>
    <x v="0"/>
  </r>
  <r>
    <x v="3"/>
    <x v="1"/>
    <d v="2024-12-19T21:35:19"/>
    <s v="OMMJ384RR"/>
    <x v="1"/>
    <s v="UBE 422T"/>
    <s v="Jacob Oneka"/>
    <s v="Ntale and Sons"/>
    <n v="153.60000000000002"/>
    <s v="A19372"/>
    <x v="19"/>
    <x v="1"/>
    <x v="0"/>
    <x v="1"/>
    <x v="19"/>
    <x v="19"/>
    <n v="835"/>
    <n v="25"/>
    <x v="0"/>
    <d v="2024-12-20T08:03:00"/>
    <d v="2024-12-20T16:40:00"/>
    <d v="2024-12-20T08:50:00"/>
    <n v="-460.21666666666664"/>
    <n v="46.016666666666666"/>
    <x v="8"/>
    <d v="2024-12-21T09:06:00"/>
    <d v="2024-12-21T20:43:00"/>
    <n v="682.4666666666667"/>
    <x v="0"/>
    <d v="2024-12-23T10:40:00"/>
    <d v="2024-12-23T12:10:00"/>
    <n v="88.11666666666666"/>
    <x v="0"/>
    <n v="3.0763888888905058"/>
    <x v="4"/>
    <n v="7.6388888890505768E-2"/>
    <n v="73.833333333372138"/>
    <n v="48"/>
    <n v="25.833333333372138"/>
    <n v="5.945806451603973"/>
    <x v="0"/>
  </r>
  <r>
    <x v="3"/>
    <x v="0"/>
    <d v="2024-12-19T23:10:03"/>
    <s v="OMTV686RR"/>
    <x v="1"/>
    <s v="UBE 680K"/>
    <s v="BYEKWASO TWAHA"/>
    <s v="Kato Investment Ltd -Mityana"/>
    <n v="156"/>
    <s v="A19375"/>
    <x v="16"/>
    <x v="0"/>
    <x v="0"/>
    <x v="0"/>
    <x v="16"/>
    <x v="16"/>
    <n v="641"/>
    <n v="-49"/>
    <x v="0"/>
    <d v="2024-12-20T06:10:00"/>
    <d v="2024-12-20T19:35:00"/>
    <d v="2024-12-20T07:03:00"/>
    <n v="-736.33333333333337"/>
    <n v="51.883333333333333"/>
    <x v="0"/>
    <d v="2024-12-21T12:38:00"/>
    <d v="2024-12-21T19:09:00"/>
    <n v="382.85"/>
    <x v="0"/>
    <d v="2024-12-22T14:16:00"/>
    <d v="2024-12-22T17:00:00"/>
    <n v="160.58333333333334"/>
    <x v="2"/>
    <n v="2.3006944444496185"/>
    <x v="0"/>
    <n v="0.30069444444961846"/>
    <n v="55.216666666790843"/>
    <n v="32"/>
    <n v="23.216666666790843"/>
    <n v="6.7193108398779158"/>
    <x v="0"/>
  </r>
  <r>
    <x v="3"/>
    <x v="0"/>
    <d v="2024-12-20T00:00:00"/>
    <s v="OM02L2CP"/>
    <x v="0"/>
    <s v="UBF 379L"/>
    <m/>
    <s v="Kabaco U Ltd"/>
    <n v="156"/>
    <s v="Z81750"/>
    <x v="6"/>
    <x v="0"/>
    <x v="0"/>
    <x v="0"/>
    <x v="6"/>
    <x v="6"/>
    <n v="321"/>
    <n v="1"/>
    <x v="0"/>
    <d v="2024-12-20T07:42:00"/>
    <d v="2024-12-20T07:30:00"/>
    <d v="2024-12-20T08:38:00"/>
    <n v="66.583333333333329"/>
    <n v="54.833333333333336"/>
    <x v="6"/>
    <d v="2024-12-20T14:38:00"/>
    <d v="2024-12-20T20:07:00"/>
    <n v="322.13333333333333"/>
    <x v="0"/>
    <d v="2024-12-21T12:26:12"/>
    <d v="2024-12-21T13:42:12"/>
    <n v="74.400000000000006"/>
    <x v="0"/>
    <n v="1.1584722222251003"/>
    <x v="3"/>
    <n v="-0.34152777777489973"/>
    <n v="27.803333333402406"/>
    <n v="16"/>
    <n v="11.803333333402406"/>
    <n v="13.216605478600997"/>
    <x v="0"/>
  </r>
  <r>
    <x v="3"/>
    <x v="0"/>
    <d v="2024-12-20T00:00:00"/>
    <s v="OM02L2D5"/>
    <x v="0"/>
    <s v="UBE 673K"/>
    <s v="Bulega Sperito"/>
    <s v="KATO INVESTMENTS LTD-KATIKARA"/>
    <n v="156"/>
    <s v="A19409"/>
    <x v="5"/>
    <x v="0"/>
    <x v="0"/>
    <x v="0"/>
    <x v="5"/>
    <x v="5"/>
    <n v="821"/>
    <n v="-9"/>
    <x v="0"/>
    <d v="2024-12-20T07:58:00"/>
    <d v="2024-12-20T07:30:00"/>
    <d v="2024-12-20T08:38:00"/>
    <n v="66.583333333333329"/>
    <n v="39.166666666666664"/>
    <x v="1"/>
    <d v="2024-12-21T09:53:00"/>
    <d v="2024-12-21T14:39:00"/>
    <n v="280.03333333333336"/>
    <x v="0"/>
    <d v="2024-12-22T19:27:00"/>
    <d v="2024-12-22T20:32:00"/>
    <n v="63.633333333333333"/>
    <x v="0"/>
    <n v="2.4506944444437977"/>
    <x v="0"/>
    <n v="0.45069444444379769"/>
    <n v="58.816666666651145"/>
    <n v="24"/>
    <n v="34.816666666651145"/>
    <n v="4.4806127333672441"/>
    <x v="0"/>
  </r>
  <r>
    <x v="3"/>
    <x v="0"/>
    <d v="2024-12-20T00:00:00"/>
    <s v="OM02L261"/>
    <x v="0"/>
    <s v="UBE 690K"/>
    <s v="MUKOSE MUZAMIRU"/>
    <s v="Kobusinge Steven-FPortal"/>
    <n v="156"/>
    <s v="Z81737"/>
    <x v="11"/>
    <x v="0"/>
    <x v="0"/>
    <x v="0"/>
    <x v="11"/>
    <x v="11"/>
    <n v="386"/>
    <n v="-4"/>
    <x v="0"/>
    <d v="2024-12-20T07:58:00"/>
    <d v="2024-12-20T07:30:00"/>
    <d v="2024-12-20T08:38:00"/>
    <n v="66.583333333333329"/>
    <n v="39.166666666666664"/>
    <x v="1"/>
    <d v="2024-12-21T10:08:00"/>
    <d v="2024-12-21T15:41:00"/>
    <n v="326.05"/>
    <x v="0"/>
    <d v="2024-12-22T10:51:12"/>
    <d v="2024-12-22T12:11:12"/>
    <n v="78.316666666666663"/>
    <x v="0"/>
    <n v="2.0924999999988358"/>
    <x v="0"/>
    <n v="9.2499999998835847E-2"/>
    <n v="50.21999999997206"/>
    <n v="24"/>
    <n v="26.21999999997206"/>
    <n v="5.9496567505784226"/>
    <x v="0"/>
  </r>
  <r>
    <x v="3"/>
    <x v="0"/>
    <d v="2024-12-20T00:00:00"/>
    <s v="OM02L2BX"/>
    <x v="0"/>
    <s v="UBB 115P"/>
    <s v="Kakembo Masuud"/>
    <s v="Kato Investment Ltd -Mityana"/>
    <n v="156"/>
    <s v="A19398"/>
    <x v="16"/>
    <x v="0"/>
    <x v="0"/>
    <x v="0"/>
    <x v="16"/>
    <x v="16"/>
    <m/>
    <n v="-690"/>
    <x v="0"/>
    <d v="2024-12-20T07:58:00"/>
    <d v="2024-12-20T07:30:00"/>
    <d v="2024-12-20T08:58:00"/>
    <n v="86.15"/>
    <n v="58.733333333333334"/>
    <x v="9"/>
    <d v="2024-12-21T09:58:00"/>
    <d v="2024-12-21T17:29:00"/>
    <n v="441.6"/>
    <x v="0"/>
    <d v="2024-12-22T14:54:55"/>
    <d v="2024-12-22T15:56:55"/>
    <n v="60.7"/>
    <x v="0"/>
    <n v="2.2478611111073405"/>
    <x v="0"/>
    <n v="0.24786111110734055"/>
    <n v="53.948666666576173"/>
    <n v="32"/>
    <n v="21.948666666576173"/>
    <n v="7.107493241835944"/>
    <x v="0"/>
  </r>
  <r>
    <x v="3"/>
    <x v="1"/>
    <d v="2024-12-20T12:49:44"/>
    <s v="OMZK7HPRR"/>
    <x v="1"/>
    <s v="UAY 526V"/>
    <s v="Benon Ssempijja"/>
    <s v="Kato Investments Ltd-Bulenga"/>
    <n v="149.28000000000003"/>
    <s v="A19383"/>
    <x v="2"/>
    <x v="1"/>
    <x v="0"/>
    <x v="1"/>
    <x v="2"/>
    <x v="2"/>
    <n v="624"/>
    <n v="64"/>
    <x v="3"/>
    <d v="2024-12-21T07:36:00"/>
    <d v="2024-12-20T20:13:00"/>
    <d v="2024-12-21T08:25:00"/>
    <n v="716.73333333333335"/>
    <n v="47.966666666666669"/>
    <x v="1"/>
    <d v="2024-12-22T09:57:00"/>
    <d v="2024-12-22T17:35:00"/>
    <n v="448.45"/>
    <x v="0"/>
    <d v="2024-12-23T15:08:00"/>
    <d v="2024-12-23T18:14:00"/>
    <n v="182.11666666666667"/>
    <x v="1"/>
    <n v="2.2798611111138598"/>
    <x v="0"/>
    <n v="0.27986111111385981"/>
    <n v="54.716666666732635"/>
    <n v="24"/>
    <n v="30.716666666732635"/>
    <n v="4.8599023331420321"/>
    <x v="0"/>
  </r>
  <r>
    <x v="3"/>
    <x v="1"/>
    <d v="2024-12-20T12:50:41"/>
    <s v="OM4L3J4RR"/>
    <x v="1"/>
    <s v="UBJ 375N"/>
    <s v="Stephen Musoke "/>
    <s v="KATO INVESTMENTS LTD- KALISIZO"/>
    <n v="153.60000000000002"/>
    <s v="F15501"/>
    <x v="4"/>
    <x v="1"/>
    <x v="0"/>
    <x v="1"/>
    <x v="4"/>
    <x v="4"/>
    <n v="344"/>
    <n v="-6"/>
    <x v="0"/>
    <d v="2024-12-22T09:05:00"/>
    <d v="2024-12-21T03:43:00"/>
    <d v="2024-12-22T09:55:00"/>
    <n v="1774.2333333333333"/>
    <n v="48.95"/>
    <x v="1"/>
    <d v="2024-12-22T14:47:00"/>
    <d v="2024-12-22T20:23:00"/>
    <n v="329"/>
    <x v="0"/>
    <d v="2024-12-23T13:37:00"/>
    <d v="2024-12-23T14:46:00"/>
    <n v="67.55"/>
    <x v="0"/>
    <n v="1.1541666666671517"/>
    <x v="2"/>
    <n v="-0.54583333333284823"/>
    <n v="27.700000000011642"/>
    <n v="12"/>
    <n v="15.700000000011642"/>
    <n v="9.7834394904386066"/>
    <x v="0"/>
  </r>
  <r>
    <x v="3"/>
    <x v="1"/>
    <d v="2024-12-20T12:53:16"/>
    <s v="OM0XD20RR"/>
    <x v="1"/>
    <s v="UBJ 415C"/>
    <s v="Abel Mark naffa"/>
    <s v="Kabaco U Ltd-Mbarara"/>
    <n v="153.60000000000002"/>
    <s v="Z81738"/>
    <x v="8"/>
    <x v="1"/>
    <x v="0"/>
    <x v="1"/>
    <x v="8"/>
    <x v="8"/>
    <n v="11"/>
    <n v="0"/>
    <x v="0"/>
    <d v="2024-12-20T15:41:00"/>
    <d v="2024-12-20T15:00:00"/>
    <d v="2024-12-20T16:26:00"/>
    <n v="84.2"/>
    <n v="44.05"/>
    <x v="1"/>
    <d v="2024-12-20T14:39:00"/>
    <d v="2024-12-21T12:00:36"/>
    <n v="1254.8833333333334"/>
    <x v="0"/>
    <d v="2024-12-21T07:56:00"/>
    <d v="2024-12-21T09:54:00"/>
    <n v="115.53333333333333"/>
    <x v="10"/>
    <n v="0.64583333333575865"/>
    <x v="5"/>
    <n v="-0.15416666666424139"/>
    <n v="15.500000000058208"/>
    <n v="0"/>
    <n v="15.500000000058208"/>
    <n v="9.9096774193176262"/>
    <x v="0"/>
  </r>
  <r>
    <x v="3"/>
    <x v="1"/>
    <d v="2024-12-20T14:41:49"/>
    <s v="OM3MEBCRR"/>
    <x v="1"/>
    <s v="UBJ 415C"/>
    <s v="Abel Mark naffa"/>
    <s v="Rugoma Traders-Kanungu/Kihihi"/>
    <n v="149.28000000000003"/>
    <s v="F15502"/>
    <x v="23"/>
    <x v="1"/>
    <x v="0"/>
    <x v="1"/>
    <x v="23"/>
    <x v="14"/>
    <n v="279"/>
    <n v="-61"/>
    <x v="0"/>
    <d v="2024-12-21T12:53:00"/>
    <d v="2024-12-21T08:00:00"/>
    <d v="2024-12-21T13:55:00"/>
    <n v="347.6"/>
    <n v="60.7"/>
    <x v="11"/>
    <d v="2024-12-22T11:20:00"/>
    <d v="2024-12-22T16:29:00"/>
    <n v="302.55"/>
    <x v="0"/>
    <d v="2024-12-23T09:32:00"/>
    <d v="2024-12-23T12:07:00"/>
    <n v="151.76666666666668"/>
    <x v="6"/>
    <n v="1.8173611111124046"/>
    <x v="3"/>
    <n v="0.31736111111240461"/>
    <n v="43.616666666697711"/>
    <n v="16"/>
    <n v="27.616666666697711"/>
    <n v="5.4054315027096758"/>
    <x v="0"/>
  </r>
  <r>
    <x v="3"/>
    <x v="1"/>
    <d v="2024-12-20T19:47:42"/>
    <s v="OM5IJAWRR"/>
    <x v="0"/>
    <s v="UBK 875R"/>
    <m/>
    <s v="Ntale and Sons"/>
    <n v="127.20000000000002"/>
    <s v="A19400"/>
    <x v="19"/>
    <x v="1"/>
    <x v="0"/>
    <x v="1"/>
    <x v="19"/>
    <x v="19"/>
    <m/>
    <n v="-810"/>
    <x v="0"/>
    <d v="2024-12-21T08:15:42"/>
    <d v="2024-12-21T07:47:42"/>
    <d v="2024-12-21T09:03:42"/>
    <n v="74.400000000000006"/>
    <n v="46.983333333333334"/>
    <x v="1"/>
    <d v="2024-12-22T15:03:42"/>
    <d v="2024-12-22T19:45:42"/>
    <n v="276.11666666666667"/>
    <x v="0"/>
    <d v="2024-12-24T08:43:18"/>
    <d v="2024-12-24T09:48:18"/>
    <n v="63.633333333333333"/>
    <x v="0"/>
    <n v="2.9858333333322662"/>
    <x v="4"/>
    <n v="-1.4166666667733807E-2"/>
    <n v="71.659999999974389"/>
    <n v="24"/>
    <n v="47.659999999974389"/>
    <n v="2.6689047419233818"/>
    <x v="0"/>
  </r>
  <r>
    <x v="3"/>
    <x v="0"/>
    <d v="2024-12-21T00:00:00"/>
    <s v="OM02L2GM"/>
    <x v="0"/>
    <s v="UBE 678K"/>
    <m/>
    <s v="KATO INVESTMENTS LIMITED-MASAK"/>
    <n v="156"/>
    <s v="F15510"/>
    <x v="14"/>
    <x v="0"/>
    <x v="0"/>
    <x v="0"/>
    <x v="14"/>
    <x v="14"/>
    <n v="328"/>
    <n v="-12"/>
    <x v="0"/>
    <d v="2024-12-21T07:58:00"/>
    <d v="2024-12-21T07:30:00"/>
    <d v="2024-12-21T08:42:00"/>
    <n v="70.483333333333334"/>
    <n v="43.06666666666667"/>
    <x v="1"/>
    <d v="2024-12-21T11:55:00"/>
    <d v="2024-12-21T17:47:00"/>
    <n v="344.65"/>
    <x v="0"/>
    <d v="2024-12-22T08:11:00"/>
    <d v="2024-12-22T09:19:00"/>
    <n v="66.583333333333329"/>
    <x v="0"/>
    <n v="0.97847222221753327"/>
    <x v="8"/>
    <n v="-2.1527777782466728E-2"/>
    <n v="23.483333333220799"/>
    <n v="0"/>
    <n v="23.483333333220799"/>
    <n v="6.643009226433537"/>
    <x v="0"/>
  </r>
  <r>
    <x v="3"/>
    <x v="0"/>
    <d v="2024-12-21T00:00:00"/>
    <s v="OM02L2KY"/>
    <x v="0"/>
    <s v="UBP 311H"/>
    <m/>
    <s v="KATO INVESTMENTS LIMITED-MASAK"/>
    <n v="156"/>
    <s v="F15512"/>
    <x v="14"/>
    <x v="0"/>
    <x v="0"/>
    <x v="0"/>
    <x v="14"/>
    <x v="14"/>
    <n v="415"/>
    <n v="75"/>
    <x v="0"/>
    <d v="2024-12-21T08:11:00"/>
    <d v="2024-12-21T07:30:00"/>
    <d v="2024-12-21T08:38:00"/>
    <n v="66.583333333333329"/>
    <n v="26.433333333333334"/>
    <x v="1"/>
    <d v="2024-12-21T11:51:00"/>
    <d v="2024-12-21T16:43:00"/>
    <n v="285.89999999999998"/>
    <x v="0"/>
    <d v="2024-12-22T07:07:00"/>
    <d v="2024-12-22T08:10:00"/>
    <n v="61.68333333333333"/>
    <x v="0"/>
    <n v="0.93680555555329192"/>
    <x v="8"/>
    <n v="-6.3194444446708076E-2"/>
    <n v="22.483333333279006"/>
    <n v="0"/>
    <n v="22.483333333279006"/>
    <n v="6.9384729429374472"/>
    <x v="0"/>
  </r>
  <r>
    <x v="3"/>
    <x v="1"/>
    <d v="2024-12-21T12:50:43"/>
    <s v="OM6PJYCRR"/>
    <x v="1"/>
    <s v="UBJ 375N"/>
    <s v="Stephen Musoke "/>
    <s v="Kabaco U Ltd-Mbarara"/>
    <n v="153.60000000000002"/>
    <s v="Z81756"/>
    <x v="8"/>
    <x v="1"/>
    <x v="0"/>
    <x v="1"/>
    <x v="8"/>
    <x v="8"/>
    <n v="14"/>
    <n v="3"/>
    <x v="0"/>
    <d v="2024-12-21T13:29:00"/>
    <d v="2024-12-22T07:42:00"/>
    <d v="2024-12-21T14:15:00"/>
    <n v="-1025.2"/>
    <n v="45.033333333333331"/>
    <x v="1"/>
    <d v="2024-12-21T14:46:00"/>
    <d v="2024-12-21T17:42:00"/>
    <n v="172.33333333333334"/>
    <x v="0"/>
    <d v="2024-12-21T18:44:00"/>
    <d v="2024-12-21T19:53:00"/>
    <n v="67.55"/>
    <x v="0"/>
    <n v="0.18680555555329192"/>
    <x v="5"/>
    <n v="-0.61319444444670812"/>
    <n v="4.4833333332790062"/>
    <n v="0"/>
    <n v="4.4833333332790062"/>
    <n v="34.26022304874229"/>
    <x v="0"/>
  </r>
  <r>
    <x v="3"/>
    <x v="1"/>
    <d v="2024-12-21T12:52:24"/>
    <s v="OMGU95ZRR"/>
    <x v="1"/>
    <s v="UBJ 707D"/>
    <s v="Konge Husein"/>
    <s v="Agaba Services"/>
    <n v="153.60000000000002"/>
    <s v="F15504"/>
    <x v="20"/>
    <x v="1"/>
    <x v="0"/>
    <x v="1"/>
    <x v="20"/>
    <x v="20"/>
    <n v="292"/>
    <n v="-10"/>
    <x v="0"/>
    <d v="2024-12-22T06:41:00"/>
    <d v="2024-12-22T04:15:00"/>
    <d v="2024-12-22T07:23:00"/>
    <n v="184.06666666666666"/>
    <n v="41.116666666666667"/>
    <x v="1"/>
    <d v="2024-12-22T13:46:00"/>
    <d v="2024-12-22T16:08:00"/>
    <n v="139.03333333333333"/>
    <x v="0"/>
    <d v="2024-12-23T12:05:00"/>
    <d v="2024-12-23T13:56:00"/>
    <n v="108.68333333333334"/>
    <x v="0"/>
    <n v="1.1958333333313931"/>
    <x v="8"/>
    <n v="0.19583333333139308"/>
    <n v="28.699999999953434"/>
    <n v="12"/>
    <n v="16.699999999953434"/>
    <n v="9.1976047904448102"/>
    <x v="0"/>
  </r>
  <r>
    <x v="3"/>
    <x v="1"/>
    <d v="2024-12-21T12:53:06"/>
    <s v="OMC8YRYRR"/>
    <x v="0"/>
    <s v="UAR 731Q"/>
    <s v="Godwin Niwensiima"/>
    <s v="Agaba Services"/>
    <n v="153.60000000000002"/>
    <s v="F15505"/>
    <x v="20"/>
    <x v="1"/>
    <x v="0"/>
    <x v="1"/>
    <x v="20"/>
    <x v="20"/>
    <n v="297"/>
    <n v="-5"/>
    <x v="0"/>
    <d v="2024-12-22T01:21:06"/>
    <d v="2024-12-22T00:53:06"/>
    <d v="2024-12-22T02:25:06"/>
    <n v="90.066666666666663"/>
    <n v="62.65"/>
    <x v="6"/>
    <d v="2024-12-22T08:25:06"/>
    <d v="2024-12-22T10:37:06"/>
    <n v="129.25"/>
    <x v="0"/>
    <d v="2024-12-22T16:24:06"/>
    <d v="2024-12-22T17:29:06"/>
    <n v="63.633333333333333"/>
    <x v="0"/>
    <n v="0.58263888888905058"/>
    <x v="8"/>
    <n v="-0.41736111111094942"/>
    <n v="13.983333333337214"/>
    <n v="0"/>
    <n v="13.983333333337214"/>
    <n v="10.984505363524963"/>
    <x v="0"/>
  </r>
  <r>
    <x v="3"/>
    <x v="1"/>
    <d v="2024-12-21T12:56:01"/>
    <s v="OMB79VARR"/>
    <x v="1"/>
    <s v="UBK 881R"/>
    <s v="James  Kironde"/>
    <s v="Ntale and Sons"/>
    <n v="144"/>
    <s v="A19418"/>
    <x v="19"/>
    <x v="1"/>
    <x v="0"/>
    <x v="1"/>
    <x v="19"/>
    <x v="19"/>
    <n v="831"/>
    <n v="21"/>
    <x v="0"/>
    <d v="2024-12-21T14:55:00"/>
    <d v="2024-12-21T16:40:00"/>
    <d v="2024-12-21T15:50:00"/>
    <n v="-48.966666666666669"/>
    <n v="53.85"/>
    <x v="0"/>
    <d v="2024-12-23T09:47:00"/>
    <d v="2024-12-24T16:43:00"/>
    <n v="1817.3333333333333"/>
    <x v="0"/>
    <d v="2024-12-25T10:53:00"/>
    <d v="2024-12-25T11:55:00"/>
    <n v="60.7"/>
    <x v="0"/>
    <n v="3.7937500000043656"/>
    <x v="4"/>
    <n v="0.79375000000436557"/>
    <n v="91.050000000104774"/>
    <n v="48"/>
    <n v="43.050000000104774"/>
    <n v="3.3449477351834966"/>
    <x v="14"/>
  </r>
  <r>
    <x v="3"/>
    <x v="1"/>
    <d v="2024-12-21T12:57:06"/>
    <s v="OM1T350RR"/>
    <x v="1"/>
    <s v="UBE 419T"/>
    <s v="Kilabila Ismail"/>
    <s v="Agaba Services"/>
    <n v="153.6"/>
    <s v="F15506"/>
    <x v="20"/>
    <x v="1"/>
    <x v="0"/>
    <x v="1"/>
    <x v="20"/>
    <x v="20"/>
    <n v="296"/>
    <n v="-6"/>
    <x v="0"/>
    <d v="2024-12-21T14:06:00"/>
    <d v="2024-12-22T04:15:00"/>
    <d v="2024-12-21T14:51:00"/>
    <n v="-787.26666666666665"/>
    <n v="44.05"/>
    <x v="1"/>
    <d v="2024-12-21T18:53:00"/>
    <d v="2024-12-22T08:36:00"/>
    <n v="805.85"/>
    <x v="0"/>
    <d v="2024-12-22T14:04:00"/>
    <d v="2024-12-22T15:57:00"/>
    <n v="110.63333333333334"/>
    <x v="0"/>
    <n v="0.96736111110658385"/>
    <x v="8"/>
    <n v="-3.2638888893416151E-2"/>
    <n v="23.216666666558012"/>
    <n v="0"/>
    <n v="23.216666666558012"/>
    <n v="6.6159368270230656"/>
    <x v="0"/>
  </r>
  <r>
    <x v="3"/>
    <x v="0"/>
    <d v="2024-12-21T13:11:42"/>
    <s v="OMNVFR9RR"/>
    <x v="1"/>
    <s v="UBP 301H"/>
    <s v="NAMINYA SIRAJE"/>
    <s v="RUGOMA TRADERS CO. LTD NTUNGAM"/>
    <n v="156"/>
    <s v="F15507"/>
    <x v="15"/>
    <x v="0"/>
    <x v="0"/>
    <x v="0"/>
    <x v="15"/>
    <x v="15"/>
    <n v="143"/>
    <n v="13"/>
    <x v="0"/>
    <d v="2024-12-21T17:09:00"/>
    <d v="2024-12-22T06:15:00"/>
    <d v="2024-12-21T17:56:00"/>
    <n v="-723.61666666666667"/>
    <n v="46.016666666666666"/>
    <x v="1"/>
    <d v="2024-12-22T08:43:00"/>
    <d v="2024-12-22T13:18:00"/>
    <n v="269.26666666666665"/>
    <x v="0"/>
    <d v="2024-12-22T16:21:00"/>
    <d v="2024-12-22T18:12:00"/>
    <n v="108.68333333333334"/>
    <x v="0"/>
    <n v="0.93402777778101154"/>
    <x v="8"/>
    <n v="-6.5972222218988463E-2"/>
    <n v="22.416666666744277"/>
    <n v="0"/>
    <n v="22.416666666744277"/>
    <n v="6.9591078066673564"/>
    <x v="0"/>
  </r>
  <r>
    <x v="3"/>
    <x v="0"/>
    <d v="2024-12-21T13:12:44"/>
    <s v="OMP8GIFRR"/>
    <x v="1"/>
    <s v="UBK 862R"/>
    <s v="SULAIMAN MUBIRU"/>
    <s v="KATO INVESTMENTS LIMITED-MASAK"/>
    <n v="156"/>
    <s v="F15508"/>
    <x v="14"/>
    <x v="0"/>
    <x v="0"/>
    <x v="0"/>
    <x v="14"/>
    <x v="14"/>
    <n v="303"/>
    <n v="-37"/>
    <x v="0"/>
    <d v="2024-12-21T14:42:00"/>
    <d v="2024-12-22T04:14:00"/>
    <d v="2024-12-21T15:32:00"/>
    <n v="-746.13333333333333"/>
    <n v="48.95"/>
    <x v="1"/>
    <d v="2024-12-21T22:50:00"/>
    <d v="2024-12-22T13:17:00"/>
    <n v="848.93333333333328"/>
    <x v="0"/>
    <d v="2024-12-22T18:01:00"/>
    <d v="2024-12-22T19:13:00"/>
    <n v="70.483333333333334"/>
    <x v="0"/>
    <n v="1.1034722222248092"/>
    <x v="8"/>
    <n v="0.10347222222480923"/>
    <n v="26.483333333395422"/>
    <n v="12"/>
    <n v="14.483333333395422"/>
    <n v="10.771001150701812"/>
    <x v="0"/>
  </r>
  <r>
    <x v="3"/>
    <x v="1"/>
    <d v="2024-12-23T16:58:21"/>
    <s v="OM5WJSJRR"/>
    <x v="1"/>
    <s v="UBE 419T"/>
    <s v="Kilabila Ismail"/>
    <s v="KATO INVESTMENTS LTD- KALISIZO"/>
    <n v="110.88000000000001"/>
    <s v="F15515"/>
    <x v="4"/>
    <x v="1"/>
    <x v="0"/>
    <x v="1"/>
    <x v="4"/>
    <x v="4"/>
    <n v="352"/>
    <n v="2"/>
    <x v="0"/>
    <d v="2024-12-23T19:15:00"/>
    <d v="2024-12-24T03:43:00"/>
    <d v="2024-12-23T19:57:00"/>
    <n v="-456.3"/>
    <n v="41.116666666666667"/>
    <x v="1"/>
    <d v="2024-12-24T11:19:00"/>
    <d v="2024-12-24T17:05:00"/>
    <n v="338.78333333333336"/>
    <x v="0"/>
    <d v="2024-12-25T11:21:00"/>
    <d v="2024-12-25T14:41:00"/>
    <n v="195.83333333333334"/>
    <x v="3"/>
    <n v="1.6416666666627862"/>
    <x v="2"/>
    <n v="-5.83333333372138E-2"/>
    <n v="39.399999999906868"/>
    <n v="12"/>
    <n v="27.399999999906868"/>
    <n v="4.0467153284809081"/>
    <x v="0"/>
  </r>
  <r>
    <x v="3"/>
    <x v="0"/>
    <d v="2024-12-24T00:00:00"/>
    <s v="OM02L3VH"/>
    <x v="0"/>
    <s v="UBE 690K"/>
    <s v="MUKOSE MUZAMIRU"/>
    <s v="Kato Investment Ltd -Kagadi"/>
    <n v="156"/>
    <s v="A19486"/>
    <x v="12"/>
    <x v="0"/>
    <x v="0"/>
    <x v="0"/>
    <x v="12"/>
    <x v="12"/>
    <n v="607"/>
    <n v="-5"/>
    <x v="0"/>
    <d v="2024-12-24T07:33:00"/>
    <d v="2024-12-24T07:30:00"/>
    <d v="2024-12-24T08:38:00"/>
    <n v="66.583333333333329"/>
    <n v="63.633333333333333"/>
    <x v="6"/>
    <d v="2024-12-25T10:08:00"/>
    <d v="2024-12-25T16:58:00"/>
    <n v="401.45"/>
    <x v="0"/>
    <d v="2024-12-26T13:33:31"/>
    <d v="2024-12-26T14:49:31"/>
    <n v="74.400000000000006"/>
    <x v="0"/>
    <n v="2.2052222222191631"/>
    <x v="6"/>
    <n v="-9.4777777780836736E-2"/>
    <n v="52.925333333259914"/>
    <n v="32"/>
    <n v="20.925333333259914"/>
    <n v="7.4550783739270106"/>
    <x v="0"/>
  </r>
  <r>
    <x v="3"/>
    <x v="0"/>
    <d v="2024-12-24T00:00:00"/>
    <s v="OM02L3VB"/>
    <x v="0"/>
    <s v="UBE 690K"/>
    <s v="MUKOSE MUZAMIRU"/>
    <s v="Kabaco U Ltd"/>
    <n v="149.52000000000001"/>
    <s v="Z81797"/>
    <x v="6"/>
    <x v="0"/>
    <x v="0"/>
    <x v="0"/>
    <x v="6"/>
    <x v="6"/>
    <n v="120"/>
    <n v="-200"/>
    <x v="0"/>
    <d v="2024-12-24T07:58:00"/>
    <d v="2024-12-24T07:30:00"/>
    <d v="2024-12-24T08:46:00"/>
    <n v="74.400000000000006"/>
    <n v="46.983333333333334"/>
    <x v="1"/>
    <d v="2024-12-24T14:46:00"/>
    <d v="2024-12-24T19:33:00"/>
    <n v="281.01666666666665"/>
    <x v="0"/>
    <d v="2024-12-25T11:52:12"/>
    <d v="2024-12-25T12:57:12"/>
    <n v="63.633333333333333"/>
    <x v="0"/>
    <n v="1.1293055555579485"/>
    <x v="3"/>
    <n v="-0.37069444444205146"/>
    <n v="27.103333333390765"/>
    <n v="12"/>
    <n v="15.103333333390765"/>
    <n v="9.8998013683137138"/>
    <x v="0"/>
  </r>
  <r>
    <x v="3"/>
    <x v="1"/>
    <d v="2024-12-24T22:51:41"/>
    <s v="OMQ06XHRR"/>
    <x v="1"/>
    <s v="UAY 526V"/>
    <s v="Benon Ssempijja"/>
    <s v="Agaba Services"/>
    <n v="153.60000000000002"/>
    <s v="F15516"/>
    <x v="20"/>
    <x v="1"/>
    <x v="0"/>
    <x v="1"/>
    <x v="20"/>
    <x v="20"/>
    <n v="293"/>
    <n v="-9"/>
    <x v="0"/>
    <d v="2024-12-25T08:50:00"/>
    <d v="2024-12-25T09:00:00"/>
    <d v="2024-12-25T09:39:00"/>
    <n v="38.18333333333333"/>
    <n v="47.966666666666669"/>
    <x v="1"/>
    <d v="2024-12-25T13:18:00"/>
    <d v="2024-12-25T16:43:00"/>
    <n v="200.71666666666667"/>
    <x v="0"/>
    <d v="2024-12-26T07:57:00"/>
    <d v="2024-12-26T11:00:00"/>
    <n v="179.18333333333334"/>
    <x v="1"/>
    <n v="0.92916666666860692"/>
    <x v="8"/>
    <n v="-7.0833333331393078E-2"/>
    <n v="22.300000000046566"/>
    <n v="0"/>
    <n v="22.300000000046566"/>
    <n v="6.8878923766672324"/>
    <x v="0"/>
  </r>
  <r>
    <x v="3"/>
    <x v="1"/>
    <d v="2024-12-24T22:52:35"/>
    <s v="OMQUYOLRR"/>
    <x v="1"/>
    <s v="UBJ 375N"/>
    <s v="Stephen Musoke "/>
    <s v="KATO INVESTMENTS LIMITED-MASAK"/>
    <n v="153.60000000000002"/>
    <s v="F15517"/>
    <x v="14"/>
    <x v="1"/>
    <x v="0"/>
    <x v="1"/>
    <x v="14"/>
    <x v="14"/>
    <n v="297"/>
    <n v="-43"/>
    <x v="0"/>
    <d v="2024-12-25T09:09:00"/>
    <d v="2024-12-25T09:00:00"/>
    <d v="2024-12-25T10:10:00"/>
    <n v="68.533333333333331"/>
    <n v="59.716666666666669"/>
    <x v="9"/>
    <d v="2024-12-25T14:45:00"/>
    <d v="2024-12-25T19:39:00"/>
    <n v="287.86666666666667"/>
    <x v="0"/>
    <d v="2024-12-26T14:16:00"/>
    <d v="2024-12-26T15:32:00"/>
    <n v="74.400000000000006"/>
    <x v="0"/>
    <n v="1.1708333333372138"/>
    <x v="8"/>
    <n v="0.17083333333721384"/>
    <n v="28.100000000093132"/>
    <n v="16"/>
    <n v="12.100000000093132"/>
    <n v="12.694214875935353"/>
    <x v="0"/>
  </r>
  <r>
    <x v="3"/>
    <x v="1"/>
    <d v="2024-12-24T22:53:28"/>
    <s v="OM5NSQERR"/>
    <x v="0"/>
    <s v="UAT 351G"/>
    <s v="Hamudi Sesanga"/>
    <s v="KATO INVESTMENTS LIMITED-MASAK"/>
    <n v="153.60000000000002"/>
    <s v="F15518"/>
    <x v="14"/>
    <x v="1"/>
    <x v="0"/>
    <x v="1"/>
    <x v="14"/>
    <x v="14"/>
    <n v="151"/>
    <n v="-189"/>
    <x v="0"/>
    <d v="2024-12-25T11:21:28"/>
    <d v="2024-12-25T10:53:28"/>
    <d v="2024-12-25T12:25:28"/>
    <n v="90.066666666666663"/>
    <n v="62.65"/>
    <x v="6"/>
    <d v="2024-12-25T15:38:28"/>
    <d v="2024-12-25T20:01:28"/>
    <n v="257.51666666666665"/>
    <x v="0"/>
    <d v="2024-12-26T10:25:28"/>
    <d v="2024-12-26T11:27:28"/>
    <n v="60.7"/>
    <x v="0"/>
    <n v="0.91666666666424135"/>
    <x v="8"/>
    <n v="-8.3333333335758653E-2"/>
    <n v="21.999999999941792"/>
    <n v="0"/>
    <n v="21.999999999941792"/>
    <n v="6.9818181818366556"/>
    <x v="0"/>
  </r>
  <r>
    <x v="3"/>
    <x v="1"/>
    <d v="2024-12-24T23:00:05"/>
    <s v="OM39FWMRR"/>
    <x v="1"/>
    <s v="UBJ 707D"/>
    <s v="Konge Husein"/>
    <s v="KATO INVESTMENTS LIMITED-MASAK"/>
    <n v="153.60000000000002"/>
    <s v="F15520"/>
    <x v="14"/>
    <x v="1"/>
    <x v="0"/>
    <x v="1"/>
    <x v="14"/>
    <x v="14"/>
    <n v="295"/>
    <n v="-45"/>
    <x v="0"/>
    <d v="2024-12-25T07:03:00"/>
    <d v="2024-12-25T09:00:00"/>
    <d v="2024-12-25T07:52:00"/>
    <n v="-66.599999999999994"/>
    <n v="47.966666666666669"/>
    <x v="8"/>
    <d v="2024-12-25T12:19:00"/>
    <d v="2024-12-26T14:30:00"/>
    <n v="1538.2666666666667"/>
    <x v="0"/>
    <d v="2024-12-26T18:39:00"/>
    <d v="2024-12-26T20:07:00"/>
    <n v="86.15"/>
    <x v="0"/>
    <n v="1.4493055555576575"/>
    <x v="8"/>
    <n v="0.4493055555576575"/>
    <n v="34.78333333338378"/>
    <n v="16"/>
    <n v="18.78333333338378"/>
    <n v="8.1774622892415696"/>
    <x v="0"/>
  </r>
  <r>
    <x v="3"/>
    <x v="0"/>
    <d v="2024-12-25T00:00:00"/>
    <s v="OM02L3YP"/>
    <x v="0"/>
    <s v="UBP 311H"/>
    <s v="Ekwalikwa Yusuf"/>
    <s v="Kabaco U Ltd"/>
    <n v="156"/>
    <s v="Z81810"/>
    <x v="6"/>
    <x v="0"/>
    <x v="0"/>
    <x v="0"/>
    <x v="6"/>
    <x v="6"/>
    <n v="120"/>
    <n v="-200"/>
    <x v="0"/>
    <d v="2024-12-25T07:58:00"/>
    <d v="2024-12-25T07:30:00"/>
    <d v="2024-12-25T08:58:00"/>
    <n v="86.15"/>
    <n v="58.733333333333334"/>
    <x v="4"/>
    <d v="2024-12-25T14:58:00"/>
    <d v="2024-12-25T19:45:00"/>
    <n v="281.01666666666665"/>
    <x v="0"/>
    <d v="2024-12-26T12:04:12"/>
    <d v="2024-12-26T13:09:12"/>
    <n v="63.633333333333333"/>
    <x v="0"/>
    <n v="1.1293055555579485"/>
    <x v="3"/>
    <n v="-0.37069444444205146"/>
    <n v="27.103333333390765"/>
    <n v="16"/>
    <n v="11.103333333390765"/>
    <n v="14.049834884346421"/>
    <x v="0"/>
  </r>
  <r>
    <x v="3"/>
    <x v="0"/>
    <d v="2024-12-25T15:30:43"/>
    <s v="OMF6QJPRR"/>
    <x v="1"/>
    <s v="UBK 858R"/>
    <s v="ALIPA EREKU"/>
    <s v="Kato Investment Ltd -Mubende"/>
    <n v="149.52000000000001"/>
    <s v="A19493"/>
    <x v="1"/>
    <x v="0"/>
    <x v="0"/>
    <x v="0"/>
    <x v="1"/>
    <x v="1"/>
    <n v="707"/>
    <n v="27"/>
    <x v="0"/>
    <d v="2024-12-25T16:53:00"/>
    <d v="2024-12-25T19:37:00"/>
    <d v="2024-12-25T17:55:00"/>
    <n v="-99.88333333333334"/>
    <n v="60.7"/>
    <x v="10"/>
    <d v="2024-12-26T10:26:00"/>
    <d v="2024-12-26T16:57:00"/>
    <n v="382.85"/>
    <x v="0"/>
    <d v="2024-12-27T12:03:00"/>
    <d v="2024-12-27T13:07:00"/>
    <n v="62.65"/>
    <x v="0"/>
    <n v="1.7555555555518367"/>
    <x v="1"/>
    <n v="-0.74444444444816327"/>
    <n v="42.133333333244082"/>
    <n v="16"/>
    <n v="26.133333333244082"/>
    <n v="5.7214285714481123"/>
    <x v="0"/>
  </r>
  <r>
    <x v="3"/>
    <x v="1"/>
    <d v="2024-12-25T15:33:10"/>
    <s v="OMMREX2RR"/>
    <x v="1"/>
    <s v="UAY 265V"/>
    <s v="Luyaga Isaac"/>
    <s v="Kabaco U Ltd-Mbarara"/>
    <n v="153.60000000000002"/>
    <s v="Z81811"/>
    <x v="8"/>
    <x v="1"/>
    <x v="0"/>
    <x v="1"/>
    <x v="8"/>
    <x v="8"/>
    <n v="14"/>
    <n v="3"/>
    <x v="0"/>
    <d v="2024-12-25T15:07:00"/>
    <d v="2024-12-26T07:42:00"/>
    <d v="2024-12-25T15:57:00"/>
    <n v="-925.31666666666672"/>
    <n v="48.95"/>
    <x v="1"/>
    <d v="2024-12-25T16:29:00"/>
    <d v="2024-12-25T19:24:00"/>
    <n v="171.35"/>
    <x v="0"/>
    <d v="2024-12-26T09:48:00"/>
    <d v="2024-12-26T12:56:00"/>
    <n v="184.08333333333334"/>
    <x v="1"/>
    <n v="0.74375000000145519"/>
    <x v="5"/>
    <n v="-5.6249999998544853E-2"/>
    <n v="17.850000000034925"/>
    <n v="0"/>
    <n v="17.850000000034925"/>
    <n v="8.6050420167898878"/>
    <x v="0"/>
  </r>
  <r>
    <x v="3"/>
    <x v="0"/>
    <d v="2024-12-25T23:01:49"/>
    <s v="OMN5IDSRR"/>
    <x v="1"/>
    <s v="UBK 862R"/>
    <s v="SULAIMAN MUBIRU"/>
    <s v="Kobusinge Acaali- Kyenjojo"/>
    <n v="156"/>
    <s v="Z81818"/>
    <x v="3"/>
    <x v="0"/>
    <x v="0"/>
    <x v="0"/>
    <x v="3"/>
    <x v="3"/>
    <n v="496"/>
    <n v="16"/>
    <x v="0"/>
    <d v="2024-12-26T10:06:00"/>
    <d v="2024-12-26T09:00:00"/>
    <d v="2024-12-26T10:50:00"/>
    <n v="107.7"/>
    <n v="43.06666666666667"/>
    <x v="1"/>
    <d v="2024-12-27T08:19:00"/>
    <d v="2024-12-27T13:37:00"/>
    <n v="311.36666666666667"/>
    <x v="0"/>
    <d v="2024-12-27T20:57:00"/>
    <d v="2024-12-27T22:47:00"/>
    <n v="107.7"/>
    <x v="0"/>
    <n v="1.421527777776646"/>
    <x v="1"/>
    <n v="-1.078472222223354"/>
    <n v="34.116666666639503"/>
    <n v="12"/>
    <n v="22.116666666639503"/>
    <n v="7.0535041446959275"/>
    <x v="0"/>
  </r>
  <r>
    <x v="3"/>
    <x v="1"/>
    <d v="2024-12-25T23:32:56"/>
    <s v="OMDGZZ6RR"/>
    <x v="0"/>
    <s v="UBA 523T"/>
    <s v="Kabene John"/>
    <s v="RUGOMA TRADERS CO. LTD NTUNGAM"/>
    <n v="149.28000000000003"/>
    <s v="F15523"/>
    <x v="15"/>
    <x v="1"/>
    <x v="0"/>
    <x v="1"/>
    <x v="15"/>
    <x v="15"/>
    <n v="136"/>
    <n v="6"/>
    <x v="0"/>
    <d v="2024-12-26T12:00:56"/>
    <d v="2024-12-26T11:32:56"/>
    <d v="2024-12-26T12:55:56"/>
    <n v="81.266666666666666"/>
    <n v="53.85"/>
    <x v="3"/>
    <d v="2024-12-26T15:35:56"/>
    <d v="2024-12-26T20:15:56"/>
    <n v="274.16666666666669"/>
    <x v="0"/>
    <d v="2024-12-27T10:32:44"/>
    <d v="2024-12-27T11:52:44"/>
    <n v="78.316666666666663"/>
    <x v="0"/>
    <n v="0.90055555555591127"/>
    <x v="8"/>
    <n v="-9.9444444444088731E-2"/>
    <n v="21.61333333334187"/>
    <n v="0"/>
    <n v="21.61333333334187"/>
    <n v="6.90684762492016"/>
    <x v="0"/>
  </r>
  <r>
    <x v="3"/>
    <x v="0"/>
    <d v="2024-12-26T00:00:00"/>
    <s v="OM02L45C"/>
    <x v="0"/>
    <s v="UBK 866R"/>
    <m/>
    <s v="Kabaco U Ltd"/>
    <n v="156"/>
    <s v="Z81831"/>
    <x v="6"/>
    <x v="0"/>
    <x v="0"/>
    <x v="0"/>
    <x v="6"/>
    <x v="6"/>
    <n v="321"/>
    <n v="1"/>
    <x v="0"/>
    <d v="2024-12-26T07:58:00"/>
    <d v="2024-12-26T07:30:00"/>
    <d v="2024-12-26T08:38:00"/>
    <n v="66.583333333333329"/>
    <n v="39.166666666666664"/>
    <x v="1"/>
    <d v="2024-12-26T14:38:00"/>
    <d v="2024-12-26T20:07:00"/>
    <n v="322.13333333333333"/>
    <x v="0"/>
    <d v="2024-12-27T12:26:12"/>
    <d v="2024-12-27T13:42:12"/>
    <n v="74.400000000000006"/>
    <x v="0"/>
    <n v="1.1584722222251003"/>
    <x v="3"/>
    <n v="-0.34152777777489973"/>
    <n v="27.803333333402406"/>
    <n v="12"/>
    <n v="15.803333333402406"/>
    <n v="9.8713351613152174"/>
    <x v="0"/>
  </r>
  <r>
    <x v="3"/>
    <x v="0"/>
    <d v="2024-12-26T00:00:00"/>
    <s v="OM02L42T"/>
    <x v="0"/>
    <s v="UBE 678K"/>
    <m/>
    <s v="Kato Investments Ltd- Kakumiro"/>
    <n v="156"/>
    <s v="A19504"/>
    <x v="24"/>
    <x v="0"/>
    <x v="0"/>
    <x v="0"/>
    <x v="24"/>
    <x v="22"/>
    <n v="764"/>
    <n v="-1"/>
    <x v="0"/>
    <d v="2024-12-26T07:58:00"/>
    <d v="2024-12-26T07:30:00"/>
    <d v="2024-12-26T09:02:00"/>
    <n v="90.066666666666663"/>
    <n v="62.65"/>
    <x v="6"/>
    <d v="2024-12-26T18:02:00"/>
    <d v="2024-12-27T12:46:38"/>
    <n v="1101.2"/>
    <x v="0"/>
    <d v="2024-12-27T21:16:38"/>
    <d v="2024-12-27T22:26:38"/>
    <n v="68.533333333333331"/>
    <x v="0"/>
    <n v="1.5101666666669189"/>
    <x v="3"/>
    <n v="1.01666666669189E-2"/>
    <n v="36.244000000006054"/>
    <n v="16"/>
    <n v="20.244000000006054"/>
    <n v="7.7059869590966876"/>
    <x v="0"/>
  </r>
  <r>
    <x v="3"/>
    <x v="1"/>
    <d v="2024-12-26T12:38:57"/>
    <s v="OMAX1RCRR"/>
    <x v="1"/>
    <s v="UBE 422T"/>
    <s v="Jacob Oneka"/>
    <s v="Rugoma Traders-Kanungu/Kihihi"/>
    <n v="153.60000000000002"/>
    <s v="F15524"/>
    <x v="23"/>
    <x v="1"/>
    <x v="0"/>
    <x v="1"/>
    <x v="23"/>
    <x v="14"/>
    <n v="338"/>
    <n v="-2"/>
    <x v="0"/>
    <d v="2024-12-26T13:35:00"/>
    <d v="2024-12-27T01:59:00"/>
    <d v="2024-12-26T14:19:00"/>
    <n v="-685.41666666666663"/>
    <n v="43.06666666666667"/>
    <x v="1"/>
    <d v="2024-12-26T19:14:00"/>
    <d v="2024-12-27T13:25:00"/>
    <n v="1068.2666666666667"/>
    <x v="0"/>
    <d v="2024-12-27T18:01:00"/>
    <d v="2024-12-27T19:09:00"/>
    <n v="66.583333333333329"/>
    <x v="0"/>
    <n v="1.1541666666671517"/>
    <x v="3"/>
    <n v="-0.34583333333284827"/>
    <n v="27.700000000011642"/>
    <n v="12"/>
    <n v="15.700000000011642"/>
    <n v="9.7834394904386066"/>
    <x v="0"/>
  </r>
  <r>
    <x v="3"/>
    <x v="1"/>
    <d v="2024-12-26T12:39:58"/>
    <s v="OMR254KRR"/>
    <x v="1"/>
    <s v="UBK 881R"/>
    <s v="James  Kironde"/>
    <s v="RUGOMA TRADERS CO. LTD NTUNGAM"/>
    <n v="153.60000000000002"/>
    <s v="F15525"/>
    <x v="15"/>
    <x v="1"/>
    <x v="0"/>
    <x v="1"/>
    <x v="15"/>
    <x v="15"/>
    <n v="136"/>
    <n v="6"/>
    <x v="0"/>
    <d v="2024-12-26T12:35:00"/>
    <d v="2024-12-27T06:15:00"/>
    <d v="2024-12-26T13:25:00"/>
    <n v="-988.9666666666667"/>
    <n v="48.95"/>
    <x v="1"/>
    <d v="2024-12-26T14:59:00"/>
    <d v="2024-12-27T14:53:00"/>
    <n v="1404.1166666666666"/>
    <x v="0"/>
    <d v="2024-12-27T17:31:00"/>
    <d v="2024-12-27T18:33:00"/>
    <n v="60.7"/>
    <x v="0"/>
    <n v="1.1708333333299379"/>
    <x v="8"/>
    <n v="0.17083333332993789"/>
    <n v="28.099999999918509"/>
    <n v="12"/>
    <n v="16.099999999918509"/>
    <n v="9.5403726708557439"/>
    <x v="0"/>
  </r>
  <r>
    <x v="3"/>
    <x v="1"/>
    <d v="2024-12-26T13:39:32"/>
    <s v="OMX9ORORR"/>
    <x v="1"/>
    <s v="UAY 526V"/>
    <s v="Benon Ssempijja"/>
    <s v="Kato Investments Ltd-Bulenga"/>
    <n v="153.60000000000002"/>
    <s v="A19507"/>
    <x v="2"/>
    <x v="1"/>
    <x v="0"/>
    <x v="1"/>
    <x v="2"/>
    <x v="2"/>
    <n v="585"/>
    <n v="25"/>
    <x v="0"/>
    <d v="2024-12-26T13:02:00"/>
    <d v="2024-12-26T20:13:00"/>
    <d v="2024-12-26T13:55:00"/>
    <n v="-370.13333333333333"/>
    <n v="51.883333333333333"/>
    <x v="0"/>
    <d v="2024-12-27T09:25:00"/>
    <d v="2024-12-27T19:53:00"/>
    <n v="614.91666666666663"/>
    <x v="0"/>
    <d v="2024-12-28T13:59:00"/>
    <d v="2024-12-28T15:17:00"/>
    <n v="76.36666666666666"/>
    <x v="0"/>
    <n v="2.0027777777795563"/>
    <x v="0"/>
    <n v="2.7777777795563452E-3"/>
    <n v="48.066666666709352"/>
    <n v="32"/>
    <n v="16.066666666709352"/>
    <n v="9.5601659750783359"/>
    <x v="0"/>
  </r>
  <r>
    <x v="3"/>
    <x v="1"/>
    <d v="2024-12-26T20:05:58"/>
    <s v="OMY7HKZRR"/>
    <x v="0"/>
    <s v="UAT 351G"/>
    <s v="Hamudi Sesanga"/>
    <s v="RUGOMA TRADERS CO. LTD NTUNGAM"/>
    <n v="117.6"/>
    <s v="F15530"/>
    <x v="15"/>
    <x v="1"/>
    <x v="0"/>
    <x v="1"/>
    <x v="15"/>
    <x v="15"/>
    <n v="136"/>
    <n v="6"/>
    <x v="0"/>
    <d v="2024-12-27T08:33:58"/>
    <d v="2024-12-27T08:05:58"/>
    <d v="2024-12-27T09:17:58"/>
    <n v="70.483333333333334"/>
    <n v="43.06666666666667"/>
    <x v="1"/>
    <d v="2024-12-27T11:47:58"/>
    <d v="2024-12-27T14:53:58"/>
    <n v="182.11666666666667"/>
    <x v="0"/>
    <d v="2024-12-27T18:23:58"/>
    <d v="2024-12-27T19:28:58"/>
    <n v="63.633333333333333"/>
    <x v="0"/>
    <n v="0.37916666666569654"/>
    <x v="8"/>
    <n v="-0.62083333333430346"/>
    <n v="9.0999999999767169"/>
    <n v="0"/>
    <n v="9.0999999999767169"/>
    <n v="12.923076923109987"/>
    <x v="0"/>
  </r>
  <r>
    <x v="3"/>
    <x v="1"/>
    <d v="2024-12-26T20:56:40"/>
    <s v="OM9KLY2RR"/>
    <x v="1"/>
    <s v="UBJ 988D"/>
    <s v="Tumusiime Robert"/>
    <s v="KATO INVESTMENTS LTD- KALISIZO"/>
    <n v="147.12"/>
    <s v="F15532"/>
    <x v="4"/>
    <x v="1"/>
    <x v="0"/>
    <x v="1"/>
    <x v="4"/>
    <x v="4"/>
    <n v="348"/>
    <n v="-2"/>
    <x v="0"/>
    <d v="2024-12-27T10:56:00"/>
    <d v="2024-12-27T09:00:00"/>
    <d v="2024-12-27T11:40:00"/>
    <n v="156.65"/>
    <n v="43.06666666666667"/>
    <x v="1"/>
    <d v="2024-12-27T17:34:00"/>
    <d v="2024-12-28T14:04:00"/>
    <n v="1204.3666666666666"/>
    <x v="0"/>
    <d v="2024-12-29T08:29:00"/>
    <d v="2024-12-29T10:56:00"/>
    <n v="143.93333333333334"/>
    <x v="5"/>
    <n v="1.867361111115315"/>
    <x v="2"/>
    <n v="0.16736111111531504"/>
    <n v="44.81666666676756"/>
    <n v="12"/>
    <n v="32.81666666676756"/>
    <n v="4.4830878618450285"/>
    <x v="0"/>
  </r>
  <r>
    <x v="3"/>
    <x v="1"/>
    <d v="2024-12-26T20:57:59"/>
    <s v="OMOJKZARR"/>
    <x v="1"/>
    <s v="UAV 203T"/>
    <s v="Mugisha  George"/>
    <s v="Kabaco U Ltd-Mbarara"/>
    <n v="162.75"/>
    <s v="Z81832"/>
    <x v="8"/>
    <x v="1"/>
    <x v="0"/>
    <x v="1"/>
    <x v="8"/>
    <x v="8"/>
    <n v="14"/>
    <n v="3"/>
    <x v="0"/>
    <d v="2024-12-27T18:50:00"/>
    <d v="2024-12-27T10:00:00"/>
    <d v="2024-12-27T19:24:00"/>
    <n v="552.25"/>
    <n v="33.283333333333331"/>
    <x v="1"/>
    <d v="2024-12-27T20:03:00"/>
    <d v="2024-12-28T16:07:00"/>
    <n v="1178.9000000000001"/>
    <x v="0"/>
    <d v="2024-12-28T16:57:00"/>
    <d v="2024-12-28T18:44:00"/>
    <n v="104.76666666666667"/>
    <x v="0"/>
    <n v="0.89791666666860692"/>
    <x v="5"/>
    <n v="9.7916666668606878E-2"/>
    <n v="21.550000000046566"/>
    <n v="0"/>
    <n v="21.550000000046566"/>
    <n v="7.5522041763177876"/>
    <x v="0"/>
  </r>
  <r>
    <x v="3"/>
    <x v="1"/>
    <d v="2024-12-26T21:01:55"/>
    <s v="OMYY14GRR"/>
    <x v="1"/>
    <s v="UBK 881R"/>
    <s v="James  Kironde"/>
    <s v="KATO INVESTMENTS LIMITED-MASAK"/>
    <n v="148.5"/>
    <s v="F15533"/>
    <x v="14"/>
    <x v="1"/>
    <x v="0"/>
    <x v="1"/>
    <x v="14"/>
    <x v="14"/>
    <n v="314"/>
    <n v="-26"/>
    <x v="0"/>
    <d v="2024-12-27T19:06:00"/>
    <d v="2024-12-28T04:14:00"/>
    <d v="2024-12-27T19:50:00"/>
    <n v="-493.5"/>
    <n v="43.06666666666667"/>
    <x v="1"/>
    <d v="2024-12-28T13:48:00"/>
    <d v="2024-12-28T16:51:00"/>
    <n v="179.18333333333334"/>
    <x v="0"/>
    <d v="2024-12-29T10:51:00"/>
    <d v="2024-12-29T12:04:00"/>
    <n v="71.466666666666669"/>
    <x v="0"/>
    <n v="1.6256944444394321"/>
    <x v="8"/>
    <n v="0.62569444443943212"/>
    <n v="39.016666666546371"/>
    <n v="12"/>
    <n v="27.016666666546371"/>
    <n v="5.4966070327203411"/>
    <x v="0"/>
  </r>
  <r>
    <x v="3"/>
    <x v="0"/>
    <d v="2024-12-27T00:00:00"/>
    <s v="OM02L4CH"/>
    <x v="0"/>
    <s v="UBF 374L "/>
    <m/>
    <s v="KATO INVESTMENTS LTD-KATIKARA"/>
    <n v="156"/>
    <s v="A19522"/>
    <x v="5"/>
    <x v="0"/>
    <x v="0"/>
    <x v="0"/>
    <x v="5"/>
    <x v="5"/>
    <n v="842"/>
    <n v="12"/>
    <x v="0"/>
    <d v="2024-12-27T12:28:00"/>
    <d v="2024-12-27T12:00:00"/>
    <d v="2024-12-27T13:08:00"/>
    <n v="66.583333333333329"/>
    <n v="39.166666666666664"/>
    <x v="1"/>
    <d v="2024-12-28T14:23:00"/>
    <d v="2024-12-29T14:08:27"/>
    <n v="1395.75"/>
    <x v="0"/>
    <d v="2024-12-30T18:56:27"/>
    <d v="2024-12-30T19:59:27"/>
    <n v="61.68333333333333"/>
    <x v="0"/>
    <n v="3.2419833333333372"/>
    <x v="0"/>
    <n v="1.2419833333333372"/>
    <n v="77.807600000000093"/>
    <n v="36"/>
    <n v="41.807600000000093"/>
    <n v="3.7313789837254387"/>
    <x v="6"/>
  </r>
  <r>
    <x v="3"/>
    <x v="1"/>
    <d v="2024-12-27T00:00:00"/>
    <s v="OM02L4DP"/>
    <x v="0"/>
    <s v="UBA 523T"/>
    <s v="Kabene John"/>
    <s v="Agaba Services"/>
    <n v="153.60000000000002"/>
    <s v="F15540"/>
    <x v="20"/>
    <x v="1"/>
    <x v="0"/>
    <x v="1"/>
    <x v="20"/>
    <x v="20"/>
    <n v="297"/>
    <n v="-5"/>
    <x v="0"/>
    <d v="2024-12-27T07:58:00"/>
    <d v="2024-12-27T07:30:00"/>
    <d v="2024-12-27T08:42:00"/>
    <n v="70.483333333333334"/>
    <n v="43.06666666666667"/>
    <x v="1"/>
    <d v="2024-12-27T14:42:00"/>
    <d v="2024-12-27T16:40:00"/>
    <n v="115.53333333333333"/>
    <x v="0"/>
    <d v="2024-12-28T07:32:48"/>
    <d v="2024-12-28T08:34:48"/>
    <n v="60.7"/>
    <x v="0"/>
    <n v="0.95194444444496185"/>
    <x v="8"/>
    <n v="-4.8055555555038154E-2"/>
    <n v="22.846666666679084"/>
    <n v="0"/>
    <n v="22.846666666679084"/>
    <n v="6.7230814123103242"/>
    <x v="0"/>
  </r>
  <r>
    <x v="3"/>
    <x v="0"/>
    <d v="2024-12-27T00:00:00"/>
    <s v="OM02L4JB"/>
    <x v="0"/>
    <s v="UBE 681K"/>
    <s v="KYAPA AKIMU"/>
    <s v="Kato Investments Ltd- Kyegegwa"/>
    <n v="156"/>
    <s v="A19579"/>
    <x v="18"/>
    <x v="0"/>
    <x v="0"/>
    <x v="0"/>
    <x v="18"/>
    <x v="18"/>
    <n v="565"/>
    <n v="0"/>
    <x v="0"/>
    <d v="2024-12-27T07:58:00"/>
    <d v="2024-12-27T07:30:00"/>
    <d v="2024-12-27T08:46:00"/>
    <n v="74.400000000000006"/>
    <n v="46.983333333333334"/>
    <x v="1"/>
    <d v="2024-12-28T10:16:00"/>
    <d v="2024-12-28T13:35:00"/>
    <n v="194.85"/>
    <x v="0"/>
    <d v="2024-12-28T20:25:00"/>
    <d v="2024-12-28T21:41:00"/>
    <n v="74.400000000000006"/>
    <x v="0"/>
    <n v="1.4854166666627862"/>
    <x v="0"/>
    <n v="-0.51458333333721384"/>
    <n v="35.649999999906868"/>
    <n v="12"/>
    <n v="23.649999999906868"/>
    <n v="6.5961945031972231"/>
    <x v="0"/>
  </r>
  <r>
    <x v="3"/>
    <x v="1"/>
    <d v="2024-12-27T13:30:36"/>
    <s v="OMX8NC1RR"/>
    <x v="1"/>
    <s v="UBK 875R"/>
    <s v="Bisaso  Ronald"/>
    <s v="Rugoma Traders-Kanungu/Kihihi"/>
    <n v="153.60000000000002"/>
    <s v="F15535"/>
    <x v="23"/>
    <x v="1"/>
    <x v="0"/>
    <x v="1"/>
    <x v="23"/>
    <x v="14"/>
    <n v="345"/>
    <n v="5"/>
    <x v="0"/>
    <d v="2024-12-27T13:44:00"/>
    <d v="2024-12-28T09:00:00"/>
    <d v="2024-12-27T14:31:00"/>
    <n v="-1085.9000000000001"/>
    <n v="46.016666666666666"/>
    <x v="8"/>
    <d v="2024-12-27T20:23:00"/>
    <d v="2024-12-28T14:18:00"/>
    <n v="1052.5999999999999"/>
    <x v="0"/>
    <d v="2024-12-29T10:05:00"/>
    <d v="2024-12-29T13:23:00"/>
    <n v="193.86666666666667"/>
    <x v="3"/>
    <n v="1.8152777777795563"/>
    <x v="3"/>
    <n v="0.31527777777955635"/>
    <n v="43.566666666709352"/>
    <n v="16"/>
    <n v="27.566666666709352"/>
    <n v="5.5719467956382891"/>
    <x v="0"/>
  </r>
  <r>
    <x v="3"/>
    <x v="0"/>
    <d v="2024-12-27T18:12:09"/>
    <s v="OMLFTPXRR"/>
    <x v="1"/>
    <s v="UBK 858R"/>
    <s v="ALIPA EREKU"/>
    <s v="Sawan Distributors Ltd-Nabingo"/>
    <n v="156"/>
    <s v="A19564"/>
    <x v="21"/>
    <x v="0"/>
    <x v="0"/>
    <x v="0"/>
    <x v="21"/>
    <x v="2"/>
    <n v="550"/>
    <n v="-10"/>
    <x v="0"/>
    <d v="2024-12-27T17:39:00"/>
    <d v="2024-12-28T02:30:00"/>
    <d v="2024-12-27T18:23:00"/>
    <n v="-476.86666666666667"/>
    <n v="43.06666666666667"/>
    <x v="1"/>
    <d v="2024-12-28T06:56:00"/>
    <d v="2024-12-28T18:04:00"/>
    <n v="654.06666666666672"/>
    <x v="0"/>
    <d v="2024-12-29T10:37:00"/>
    <d v="2024-12-29T13:29:00"/>
    <n v="168.4"/>
    <x v="4"/>
    <n v="1.6763888888890506"/>
    <x v="0"/>
    <n v="-0.32361111111094942"/>
    <n v="40.233333333337214"/>
    <n v="12"/>
    <n v="28.233333333337214"/>
    <n v="5.5253837072011294"/>
    <x v="0"/>
  </r>
  <r>
    <x v="3"/>
    <x v="0"/>
    <d v="2024-12-27T19:08:40"/>
    <s v="OM0IB8GRR"/>
    <x v="1"/>
    <s v="UBP 301H"/>
    <s v="NAMINYA SIRAJE"/>
    <s v="Ntale and Sons Ltd-Kakiri"/>
    <n v="156"/>
    <s v="A19572"/>
    <x v="22"/>
    <x v="0"/>
    <x v="0"/>
    <x v="0"/>
    <x v="22"/>
    <x v="21"/>
    <n v="585"/>
    <n v="-35"/>
    <x v="0"/>
    <d v="2024-12-27T19:14:00"/>
    <d v="2024-12-28T01:59:00"/>
    <d v="2024-12-27T19:58:00"/>
    <n v="-353.48333333333335"/>
    <n v="43.06666666666667"/>
    <x v="1"/>
    <d v="2024-12-28T14:27:00"/>
    <d v="2024-12-28T19:33:00"/>
    <n v="299.61666666666667"/>
    <x v="0"/>
    <d v="2024-12-29T13:07:00"/>
    <d v="2024-12-29T15:40:00"/>
    <n v="149.80000000000001"/>
    <x v="6"/>
    <n v="1.7145833333343035"/>
    <x v="0"/>
    <n v="-0.28541666666569654"/>
    <n v="41.150000000023283"/>
    <n v="12"/>
    <n v="29.150000000023283"/>
    <n v="5.351629502568624"/>
    <x v="0"/>
  </r>
  <r>
    <x v="3"/>
    <x v="1"/>
    <d v="2024-12-27T22:43:06"/>
    <s v="OM2MF9ARR"/>
    <x v="1"/>
    <s v="UBE 422T"/>
    <s v="Jacob Oneka"/>
    <s v="Kato Investments Ltd-Bulenga"/>
    <n v="153.60000000000002"/>
    <s v="A19580"/>
    <x v="2"/>
    <x v="1"/>
    <x v="0"/>
    <x v="1"/>
    <x v="2"/>
    <x v="2"/>
    <n v="593"/>
    <n v="33"/>
    <x v="3"/>
    <d v="2024-12-28T10:40:00"/>
    <d v="2024-12-28T20:13:00"/>
    <d v="2024-12-28T11:33:00"/>
    <n v="-509.18333333333334"/>
    <n v="51.883333333333333"/>
    <x v="6"/>
    <d v="2024-12-28T21:20:00"/>
    <d v="2024-12-29T11:56:00"/>
    <n v="857.73333333333335"/>
    <x v="0"/>
    <d v="2024-12-29T18:40:00"/>
    <d v="2024-12-29T20:06:00"/>
    <n v="84.2"/>
    <x v="0"/>
    <n v="1.2965277777839219"/>
    <x v="0"/>
    <n v="-0.70347222221607808"/>
    <n v="31.116666666814126"/>
    <n v="16"/>
    <n v="15.116666666814126"/>
    <n v="10.160970231433408"/>
    <x v="0"/>
  </r>
  <r>
    <x v="3"/>
    <x v="1"/>
    <d v="2024-12-27T22:45:22"/>
    <s v="OM5KYOPRR"/>
    <x v="0"/>
    <s v="UBE 419T"/>
    <s v="Kilabila Ismail"/>
    <s v="Ntale and Sons"/>
    <n v="153.60000000000002"/>
    <s v="A19581"/>
    <x v="19"/>
    <x v="1"/>
    <x v="0"/>
    <x v="1"/>
    <x v="19"/>
    <x v="19"/>
    <m/>
    <n v="-810"/>
    <x v="0"/>
    <d v="2024-12-28T11:13:22"/>
    <d v="2024-12-28T10:45:22"/>
    <d v="2024-12-28T12:08:22"/>
    <n v="81.266666666666666"/>
    <n v="53.85"/>
    <x v="3"/>
    <d v="2024-12-29T18:08:22"/>
    <d v="2024-12-30T18:40:22"/>
    <n v="1441.3166666666666"/>
    <x v="0"/>
    <d v="2024-12-31T19:09:10"/>
    <d v="2024-12-31T20:17:10"/>
    <n v="66.583333333333329"/>
    <x v="0"/>
    <n v="3.2922222222186974"/>
    <x v="4"/>
    <n v="0.29222222221869742"/>
    <n v="79.013333333248738"/>
    <n v="48"/>
    <n v="31.013333333248738"/>
    <n v="4.9527085124812658"/>
    <x v="0"/>
  </r>
  <r>
    <x v="3"/>
    <x v="0"/>
    <d v="2024-12-28T00:00:00"/>
    <s v="OM02L4PD"/>
    <x v="0"/>
    <s v="UBF 375L"/>
    <m/>
    <s v="Kato Investment Ltd -Mubende"/>
    <n v="156"/>
    <s v="A19596"/>
    <x v="1"/>
    <x v="0"/>
    <x v="0"/>
    <x v="0"/>
    <x v="1"/>
    <x v="1"/>
    <n v="686"/>
    <n v="6"/>
    <x v="0"/>
    <d v="2024-12-28T08:11:00"/>
    <d v="2024-12-28T07:30:00"/>
    <d v="2024-12-28T08:38:00"/>
    <n v="66.583333333333329"/>
    <n v="26.433333333333334"/>
    <x v="1"/>
    <d v="2024-12-29T10:55:00"/>
    <d v="2024-12-29T15:33:00"/>
    <n v="272.2"/>
    <x v="0"/>
    <d v="2024-12-30T18:25:48"/>
    <d v="2024-12-30T19:28:48"/>
    <n v="61.68333333333333"/>
    <x v="0"/>
    <n v="2.4081944444478722"/>
    <x v="1"/>
    <n v="-9.1805555552127771E-2"/>
    <n v="57.796666666748933"/>
    <n v="24"/>
    <n v="33.796666666748933"/>
    <n v="4.6158398264016256"/>
    <x v="0"/>
  </r>
  <r>
    <x v="3"/>
    <x v="1"/>
    <d v="2024-12-28T13:21:20"/>
    <s v="OM9TI1BRR"/>
    <x v="1"/>
    <s v="UBJ 375N"/>
    <s v="Stephen Musoke "/>
    <s v="KATO INVESTMENTS LTD- KALISIZO"/>
    <n v="149.28000000000003"/>
    <s v="F15564"/>
    <x v="4"/>
    <x v="1"/>
    <x v="0"/>
    <x v="1"/>
    <x v="4"/>
    <x v="4"/>
    <n v="346"/>
    <n v="-4"/>
    <x v="0"/>
    <d v="2024-12-28T17:37:00"/>
    <d v="2024-12-29T03:43:00"/>
    <d v="2024-12-28T18:11:00"/>
    <n v="-560.08333333333337"/>
    <n v="33.283333333333331"/>
    <x v="1"/>
    <d v="2024-12-29T10:16:00"/>
    <d v="2024-12-29T13:35:00"/>
    <n v="194.85"/>
    <x v="0"/>
    <d v="2024-12-29T19:09:00"/>
    <d v="2024-12-29T21:49:00"/>
    <n v="156.65"/>
    <x v="2"/>
    <n v="1.0402777777781012"/>
    <x v="2"/>
    <n v="-0.6597222222218988"/>
    <n v="24.966666666674428"/>
    <n v="12"/>
    <n v="12.966666666674428"/>
    <n v="11.512596401021389"/>
    <x v="0"/>
  </r>
  <r>
    <x v="3"/>
    <x v="1"/>
    <d v="2024-12-28T21:55:49"/>
    <s v="OMQ3K3BRR"/>
    <x v="1"/>
    <s v="UBK 875R"/>
    <s v="Bisaso  Ronald"/>
    <s v="Kato Investments Ltd-Bulenga"/>
    <n v="153.60000000000002"/>
    <s v="A19605"/>
    <x v="2"/>
    <x v="1"/>
    <x v="0"/>
    <x v="1"/>
    <x v="2"/>
    <x v="2"/>
    <n v="671"/>
    <n v="111"/>
    <x v="5"/>
    <d v="2024-12-29T13:19:00"/>
    <d v="2024-12-29T20:13:00"/>
    <d v="2024-12-29T14:03:00"/>
    <n v="-362.3"/>
    <n v="43.06666666666667"/>
    <x v="1"/>
    <d v="2024-12-30T10:48:00"/>
    <d v="2024-12-30T13:40:00"/>
    <n v="168.41666666666666"/>
    <x v="0"/>
    <d v="2025-01-01T19:16:00"/>
    <d v="2025-01-01T21:39:00"/>
    <n v="140.01666666666668"/>
    <x v="5"/>
    <n v="3.2173611111065838"/>
    <x v="0"/>
    <n v="1.2173611111065838"/>
    <n v="77.216666666558012"/>
    <n v="36"/>
    <n v="41.216666666558012"/>
    <n v="3.7266477962087734"/>
    <x v="4"/>
  </r>
  <r>
    <x v="3"/>
    <x v="1"/>
    <d v="2024-12-28T22:03:10"/>
    <s v="OM4W1R2RR"/>
    <x v="0"/>
    <s v="UBA 523T"/>
    <s v="Kabene John"/>
    <s v="KATO INVESTMENTS LTD- KALISIZO"/>
    <n v="153.60000000000002"/>
    <s v="F15571"/>
    <x v="4"/>
    <x v="1"/>
    <x v="0"/>
    <x v="1"/>
    <x v="4"/>
    <x v="4"/>
    <n v="351"/>
    <n v="1"/>
    <x v="0"/>
    <d v="2024-12-29T10:31:10"/>
    <d v="2024-12-29T10:03:10"/>
    <d v="2024-12-29T11:11:10"/>
    <n v="66.583333333333329"/>
    <n v="39.166666666666664"/>
    <x v="1"/>
    <d v="2024-12-29T18:11:10"/>
    <d v="2024-12-30T11:25:05"/>
    <n v="1012.3666666666667"/>
    <x v="0"/>
    <d v="2024-12-30T16:25:05"/>
    <d v="2024-12-30T17:30:05"/>
    <n v="63.633333333333333"/>
    <x v="0"/>
    <n v="1.2180000000007567"/>
    <x v="2"/>
    <n v="-0.48199999999924326"/>
    <n v="29.232000000018161"/>
    <n v="12"/>
    <n v="17.232000000018161"/>
    <n v="8.9136490250602449"/>
    <x v="0"/>
  </r>
  <r>
    <x v="3"/>
    <x v="1"/>
    <d v="2024-12-28T23:08:43"/>
    <s v="OMC3470RR"/>
    <x v="1"/>
    <s v="UBK 881R"/>
    <s v="James  Kironde"/>
    <s v="Kato Investments Ltd-Bulenga"/>
    <n v="153.60000000000002"/>
    <s v="A19607"/>
    <x v="2"/>
    <x v="1"/>
    <x v="0"/>
    <x v="1"/>
    <x v="2"/>
    <x v="2"/>
    <n v="610"/>
    <n v="50"/>
    <x v="3"/>
    <d v="2024-12-29T13:30:00"/>
    <d v="2024-12-29T20:13:00"/>
    <d v="2024-12-29T14:23:00"/>
    <n v="-342.71666666666664"/>
    <n v="51.883333333333333"/>
    <x v="0"/>
    <d v="2024-12-30T07:58:00"/>
    <d v="2024-12-30T11:57:00"/>
    <n v="234.01666666666668"/>
    <x v="0"/>
    <d v="2024-12-31T10:42:00"/>
    <d v="2024-12-31T11:55:00"/>
    <n v="71.466666666666669"/>
    <x v="0"/>
    <n v="1.8465277777722804"/>
    <x v="0"/>
    <n v="-0.15347222222771961"/>
    <n v="44.316666666534729"/>
    <n v="16"/>
    <n v="28.316666666534729"/>
    <n v="5.4243672748928438"/>
    <x v="0"/>
  </r>
  <r>
    <x v="3"/>
    <x v="0"/>
    <d v="2024-12-29T00:00:00"/>
    <s v="OM02L4TB"/>
    <x v="0"/>
    <s v="UBJ 419C"/>
    <m/>
    <s v="Kato Investment Ltd -Kagadi"/>
    <n v="156"/>
    <s v="A19613"/>
    <x v="12"/>
    <x v="0"/>
    <x v="0"/>
    <x v="0"/>
    <x v="12"/>
    <x v="12"/>
    <n v="607"/>
    <n v="-5"/>
    <x v="0"/>
    <d v="2024-12-29T07:44:00"/>
    <d v="2024-12-29T07:30:00"/>
    <d v="2024-12-29T08:38:00"/>
    <n v="66.583333333333329"/>
    <n v="52.866666666666667"/>
    <x v="1"/>
    <d v="2024-12-30T10:38:00"/>
    <d v="2024-12-30T15:38:00"/>
    <n v="293.75"/>
    <x v="0"/>
    <d v="2024-12-31T12:13:31"/>
    <d v="2024-12-31T13:18:31"/>
    <n v="63.633333333333333"/>
    <x v="0"/>
    <n v="2.1496666666716919"/>
    <x v="6"/>
    <n v="-0.15033333332830789"/>
    <n v="51.592000000120606"/>
    <n v="24"/>
    <n v="27.592000000120606"/>
    <n v="5.6538126993084266"/>
    <x v="0"/>
  </r>
  <r>
    <x v="3"/>
    <x v="0"/>
    <d v="2024-12-29T00:00:00"/>
    <s v="OM02L4TG"/>
    <x v="0"/>
    <s v="UBJ 419C"/>
    <m/>
    <s v="Kobusinge Acaali- Kyenjojo"/>
    <n v="156"/>
    <s v="Z81909"/>
    <x v="3"/>
    <x v="0"/>
    <x v="0"/>
    <x v="0"/>
    <x v="3"/>
    <x v="3"/>
    <n v="474"/>
    <n v="-6"/>
    <x v="0"/>
    <d v="2024-12-29T07:58:00"/>
    <d v="2024-12-29T07:30:00"/>
    <d v="2024-12-29T08:45:00"/>
    <n v="73.433333333333337"/>
    <n v="46.016666666666666"/>
    <x v="1"/>
    <d v="2024-12-30T10:45:00"/>
    <d v="2024-12-30T15:06:00"/>
    <n v="255.55"/>
    <x v="0"/>
    <d v="2024-12-31T17:15:36"/>
    <d v="2024-12-31T18:35:36"/>
    <n v="78.316666666666663"/>
    <x v="0"/>
    <n v="2.3545833333337214"/>
    <x v="1"/>
    <n v="-0.14541666666627862"/>
    <n v="56.510000000009313"/>
    <n v="24"/>
    <n v="32.510000000009313"/>
    <n v="4.7985235312197885"/>
    <x v="0"/>
  </r>
  <r>
    <x v="3"/>
    <x v="0"/>
    <d v="2024-12-30T00:00:00"/>
    <s v="OM02L5A2"/>
    <x v="0"/>
    <s v="UBP 311H"/>
    <m/>
    <s v="Kato Investment Ltd -Mubende"/>
    <n v="156"/>
    <s v="A19622"/>
    <x v="1"/>
    <x v="0"/>
    <x v="0"/>
    <x v="0"/>
    <x v="1"/>
    <x v="1"/>
    <n v="686"/>
    <n v="6"/>
    <x v="0"/>
    <d v="2024-12-30T08:11:00"/>
    <d v="2024-12-30T07:30:00"/>
    <d v="2024-12-30T08:38:00"/>
    <n v="66.583333333333329"/>
    <n v="26.433333333333334"/>
    <x v="1"/>
    <d v="2024-12-31T10:55:00"/>
    <d v="2024-12-31T17:00:00"/>
    <n v="357.38333333333333"/>
    <x v="0"/>
    <d v="2025-01-01T19:52:48"/>
    <d v="2025-01-01T20:55:48"/>
    <n v="61.68333333333333"/>
    <x v="0"/>
    <n v="2.468611111107748"/>
    <x v="1"/>
    <n v="-3.1388888892251998E-2"/>
    <n v="59.246666666585952"/>
    <n v="24"/>
    <n v="35.246666666585952"/>
    <n v="4.4259504444966113"/>
    <x v="0"/>
  </r>
  <r>
    <x v="3"/>
    <x v="0"/>
    <d v="2024-12-30T00:00:00"/>
    <s v="OM02L5ZH"/>
    <x v="0"/>
    <s v="UBP 311H"/>
    <s v="Ekwalikwa Yusuf"/>
    <s v="Kato Investment Ltd -Kagadi"/>
    <n v="153.94400000000002"/>
    <s v="A19654"/>
    <x v="12"/>
    <x v="0"/>
    <x v="0"/>
    <x v="0"/>
    <x v="12"/>
    <x v="12"/>
    <n v="612"/>
    <n v="0"/>
    <x v="0"/>
    <d v="2024-12-30T07:42:00"/>
    <d v="2024-12-30T07:30:00"/>
    <d v="2024-12-30T08:38:00"/>
    <n v="66.583333333333329"/>
    <n v="54.833333333333336"/>
    <x v="5"/>
    <d v="2024-12-31T10:08:00"/>
    <d v="2024-12-31T15:27:00"/>
    <n v="312.35000000000002"/>
    <x v="0"/>
    <d v="2025-01-01T12:02:31"/>
    <d v="2025-01-01T13:18:31"/>
    <n v="74.400000000000006"/>
    <x v="0"/>
    <n v="2.142027777779731"/>
    <x v="6"/>
    <n v="-0.15797222222026885"/>
    <n v="51.408666666713543"/>
    <n v="32"/>
    <n v="19.408666666713543"/>
    <n v="7.9317143543929625"/>
    <x v="0"/>
  </r>
  <r>
    <x v="3"/>
    <x v="0"/>
    <d v="2024-12-30T00:00:00"/>
    <s v="OM02L60Q"/>
    <x v="0"/>
    <s v="UBE 690K"/>
    <s v="MUKOSE MUZAMIRU"/>
    <s v="Bates Enterprises Ltd-Ntoroko"/>
    <n v="156"/>
    <s v="Z81945"/>
    <x v="25"/>
    <x v="0"/>
    <x v="0"/>
    <x v="0"/>
    <x v="25"/>
    <x v="24"/>
    <n v="509"/>
    <n v="-3"/>
    <x v="0"/>
    <d v="2024-12-30T07:58:00"/>
    <d v="2024-12-30T07:30:00"/>
    <d v="2024-12-30T08:46:00"/>
    <n v="74.400000000000006"/>
    <n v="46.983333333333334"/>
    <x v="8"/>
    <d v="2025-01-01T08:46:00"/>
    <d v="2025-01-01T14:46:00"/>
    <n v="352.5"/>
    <x v="0"/>
    <d v="2025-01-02T19:34:00"/>
    <d v="2025-01-02T20:39:00"/>
    <n v="63.633333333333333"/>
    <x v="0"/>
    <n v="3.4499999999970896"/>
    <x v="4"/>
    <n v="0.44999999999708962"/>
    <n v="82.799999999930151"/>
    <n v="48"/>
    <n v="34.799999999930151"/>
    <n v="4.4827586206986529"/>
    <x v="9"/>
  </r>
  <r>
    <x v="3"/>
    <x v="0"/>
    <d v="2024-12-30T00:00:00"/>
    <s v="OM02L609"/>
    <x v="0"/>
    <s v="UBP 301H"/>
    <m/>
    <s v="Boniface Harera"/>
    <n v="149.232"/>
    <s v="F15590"/>
    <x v="10"/>
    <x v="0"/>
    <x v="0"/>
    <x v="0"/>
    <x v="10"/>
    <x v="10"/>
    <n v="484"/>
    <n v="14"/>
    <x v="0"/>
    <d v="2024-12-30T07:58:00"/>
    <d v="2024-12-30T07:30:00"/>
    <d v="2024-12-30T08:47:00"/>
    <n v="75.38333333333334"/>
    <n v="47.966666666666669"/>
    <x v="1"/>
    <d v="2024-12-31T10:17:00"/>
    <d v="2024-12-31T16:02:00"/>
    <n v="337.8"/>
    <x v="0"/>
    <d v="2025-01-01T14:50:00"/>
    <d v="2025-01-01T15:55:00"/>
    <n v="63.633333333333333"/>
    <x v="0"/>
    <n v="2.2520833333328483"/>
    <x v="1"/>
    <n v="-0.24791666666715173"/>
    <n v="54.049999999988358"/>
    <n v="24"/>
    <n v="30.049999999988358"/>
    <n v="4.9661231281217244"/>
    <x v="0"/>
  </r>
  <r>
    <x v="3"/>
    <x v="0"/>
    <d v="2024-12-30T00:00:00"/>
    <s v="OM02L60J"/>
    <x v="0"/>
    <s v="UBE 690K"/>
    <s v="MUKOSE MUZAMIRU"/>
    <s v="KATO INVESTMENTS LTD-KATIKARA"/>
    <n v="156"/>
    <s v="A19659"/>
    <x v="5"/>
    <x v="0"/>
    <x v="0"/>
    <x v="0"/>
    <x v="5"/>
    <x v="5"/>
    <n v="842"/>
    <n v="12"/>
    <x v="0"/>
    <d v="2024-12-30T07:58:00"/>
    <d v="2024-12-30T07:30:00"/>
    <d v="2024-12-30T08:42:00"/>
    <n v="70.483333333333334"/>
    <n v="43.06666666666667"/>
    <x v="1"/>
    <d v="2024-12-31T09:57:00"/>
    <d v="2025-01-01T14:45:00"/>
    <n v="1691.9833333333333"/>
    <x v="0"/>
    <d v="2025-01-02T19:33:00"/>
    <d v="2025-01-02T20:38:00"/>
    <n v="63.633333333333333"/>
    <x v="0"/>
    <n v="3.4520833333299379"/>
    <x v="0"/>
    <n v="1.4520833333299379"/>
    <n v="82.849999999918509"/>
    <n v="36"/>
    <n v="46.849999999918509"/>
    <n v="3.3297758804753754"/>
    <x v="1"/>
  </r>
  <r>
    <x v="3"/>
    <x v="1"/>
    <d v="2024-12-30T15:50:48"/>
    <s v="OMDRB7XRR"/>
    <x v="1"/>
    <s v="UBJ 988D"/>
    <s v="Tumusiime Robert"/>
    <s v="KATO INVESTMENTS LTD- KALISIZO"/>
    <n v="153.60000000000002"/>
    <s v="F15577"/>
    <x v="4"/>
    <x v="1"/>
    <x v="0"/>
    <x v="1"/>
    <x v="4"/>
    <x v="4"/>
    <n v="356"/>
    <n v="6"/>
    <x v="0"/>
    <d v="2024-12-31T06:24:00"/>
    <d v="2024-12-31T08:00:00"/>
    <d v="2024-12-31T07:11:00"/>
    <n v="-47.983333333333334"/>
    <n v="46.016666666666666"/>
    <x v="1"/>
    <d v="2024-12-31T15:06:00"/>
    <d v="2024-12-31T19:21:00"/>
    <n v="249.68333333333334"/>
    <x v="0"/>
    <d v="2025-01-01T09:18:00"/>
    <d v="2025-01-01T10:30:00"/>
    <n v="70.5"/>
    <x v="0"/>
    <n v="1.0881944444408873"/>
    <x v="2"/>
    <n v="-0.61180555555911265"/>
    <n v="26.116666666581295"/>
    <n v="12"/>
    <n v="14.116666666581295"/>
    <n v="10.880755608094139"/>
    <x v="0"/>
  </r>
  <r>
    <x v="3"/>
    <x v="1"/>
    <d v="2024-12-30T15:51:40"/>
    <s v="OMND2UTRR"/>
    <x v="0"/>
    <s v="UAR 731Q"/>
    <s v="Godwin Niwensiima"/>
    <s v="KATO INVESTMENTS LIMITED-MASAK"/>
    <n v="153.60000000000002"/>
    <s v="F15578"/>
    <x v="14"/>
    <x v="1"/>
    <x v="0"/>
    <x v="1"/>
    <x v="14"/>
    <x v="14"/>
    <n v="415"/>
    <n v="75"/>
    <x v="0"/>
    <d v="2024-12-31T04:19:40"/>
    <d v="2024-12-31T03:51:40"/>
    <d v="2024-12-31T05:23:40"/>
    <n v="90.066666666666663"/>
    <n v="62.65"/>
    <x v="6"/>
    <d v="2024-12-31T08:36:40"/>
    <d v="2024-12-31T14:28:40"/>
    <n v="344.65"/>
    <x v="0"/>
    <d v="2024-12-31T17:08:40"/>
    <d v="2024-12-31T18:11:40"/>
    <n v="61.68333333333333"/>
    <x v="0"/>
    <n v="0.48958333332848269"/>
    <x v="8"/>
    <n v="-0.51041666667151731"/>
    <n v="11.749999999883585"/>
    <n v="0"/>
    <n v="11.749999999883585"/>
    <n v="13.072340425661434"/>
    <x v="0"/>
  </r>
  <r>
    <x v="3"/>
    <x v="1"/>
    <d v="2024-12-30T23:32:42"/>
    <s v="OMOGHDSRR"/>
    <x v="0"/>
    <s v="UBE 419T"/>
    <s v="Kilabila Ismail"/>
    <s v="KATO INVESTMENTS LTD- KALISIZO"/>
    <n v="153.60000000000002"/>
    <s v="F15596"/>
    <x v="4"/>
    <x v="1"/>
    <x v="0"/>
    <x v="1"/>
    <x v="4"/>
    <x v="4"/>
    <n v="351"/>
    <n v="1"/>
    <x v="0"/>
    <d v="2024-12-31T12:00:42"/>
    <d v="2024-12-31T11:32:42"/>
    <d v="2024-12-31T12:40:42"/>
    <n v="66.583333333333329"/>
    <n v="39.166666666666664"/>
    <x v="1"/>
    <d v="2024-12-31T19:40:42"/>
    <d v="2025-01-01T13:23:25"/>
    <n v="1040.5666666666666"/>
    <x v="0"/>
    <d v="2025-01-01T18:23:25"/>
    <d v="2025-01-01T19:25:25"/>
    <n v="60.7"/>
    <x v="0"/>
    <n v="1.2379999999975553"/>
    <x v="2"/>
    <n v="-0.46200000000244468"/>
    <n v="29.711999999941327"/>
    <n v="12"/>
    <n v="17.711999999941327"/>
    <n v="8.6720867208959369"/>
    <x v="0"/>
  </r>
  <r>
    <x v="3"/>
    <x v="1"/>
    <d v="2024-12-31T12:02:49"/>
    <s v="OMZT3OARR"/>
    <x v="0"/>
    <s v="UAY 526V"/>
    <s v="Benon Ssempijja"/>
    <s v="Kato Investments Ltd-Bulenga"/>
    <n v="153.60000000000002"/>
    <s v="A19679"/>
    <x v="2"/>
    <x v="1"/>
    <x v="0"/>
    <x v="1"/>
    <x v="2"/>
    <x v="2"/>
    <n v="556"/>
    <n v="-4"/>
    <x v="0"/>
    <d v="2025-01-01T00:30:49"/>
    <d v="2025-01-01T00:02:49"/>
    <d v="2025-01-01T01:34:49"/>
    <n v="90.066666666666663"/>
    <n v="62.65"/>
    <x v="6"/>
    <d v="2025-01-03T09:34:49"/>
    <d v="2025-01-03T14:10:49"/>
    <n v="270.23333333333335"/>
    <x v="0"/>
    <d v="2025-01-04T09:34:49"/>
    <d v="2025-01-04T10:50:49"/>
    <n v="74.400000000000006"/>
    <x v="0"/>
    <n v="3.3333333333357587"/>
    <x v="0"/>
    <n v="1.3333333333357587"/>
    <n v="80.000000000058208"/>
    <n v="48"/>
    <n v="32.000000000058208"/>
    <n v="4.7999999999912699"/>
    <x v="11"/>
  </r>
  <r>
    <x v="3"/>
    <x v="1"/>
    <d v="2024-12-31T12:06:37"/>
    <s v="OMKSIHORR"/>
    <x v="0"/>
    <s v="UAV 051U"/>
    <s v="Angello Lumala"/>
    <s v="Kobusinge Steven-FPortal"/>
    <n v="151.94400000000002"/>
    <s v="Z81957"/>
    <x v="11"/>
    <x v="1"/>
    <x v="0"/>
    <x v="1"/>
    <x v="11"/>
    <x v="11"/>
    <n v="409"/>
    <n v="19"/>
    <x v="0"/>
    <d v="2025-01-01T00:34:37"/>
    <d v="2025-01-01T00:06:37"/>
    <d v="2025-01-01T01:21:37"/>
    <n v="73.433333333333337"/>
    <n v="46.016666666666666"/>
    <x v="1"/>
    <d v="2025-01-02T10:51:37"/>
    <d v="2025-01-02T19:20:37"/>
    <n v="498.38333333333333"/>
    <x v="0"/>
    <d v="2025-01-03T12:36:44"/>
    <d v="2025-01-03T13:44:44"/>
    <n v="66.583333333333329"/>
    <x v="0"/>
    <n v="2.4688333333324408"/>
    <x v="0"/>
    <n v="0.46883333333244082"/>
    <n v="59.25199999997858"/>
    <n v="24"/>
    <n v="35.25199999997858"/>
    <n v="4.3102235334191636"/>
    <x v="0"/>
  </r>
  <r>
    <x v="3"/>
    <x v="1"/>
    <d v="2024-12-31T19:22:24"/>
    <s v="OM1KD8ERR"/>
    <x v="0"/>
    <s v="UBK 881R"/>
    <m/>
    <s v="KATO INVESTMENTS LIMITED-MASAK"/>
    <n v="153.60000000000002"/>
    <s v="F15648"/>
    <x v="14"/>
    <x v="1"/>
    <x v="0"/>
    <x v="1"/>
    <x v="14"/>
    <x v="14"/>
    <n v="328"/>
    <n v="-12"/>
    <x v="0"/>
    <d v="2025-01-01T07:50:24"/>
    <d v="2025-01-01T07:22:24"/>
    <d v="2025-01-01T08:30:24"/>
    <n v="66.583333333333329"/>
    <n v="39.166666666666664"/>
    <x v="1"/>
    <d v="2025-01-01T11:43:24"/>
    <d v="2025-01-01T17:35:24"/>
    <n v="344.65"/>
    <x v="0"/>
    <d v="2025-01-02T07:59:24"/>
    <d v="2025-01-02T09:02:24"/>
    <n v="61.68333333333333"/>
    <x v="0"/>
    <n v="0.97847222221753327"/>
    <x v="8"/>
    <n v="-2.1527777782466728E-2"/>
    <n v="23.483333333220799"/>
    <n v="0"/>
    <n v="23.483333333220799"/>
    <n v="6.5408090844884068"/>
    <x v="0"/>
  </r>
  <r>
    <x v="3"/>
    <x v="0"/>
    <d v="2024-12-31T19:25:51"/>
    <s v="OMU7K8ARR"/>
    <x v="0"/>
    <s v="UBJ 417C"/>
    <m/>
    <s v="Kato Investment Ltd -Mityana"/>
    <n v="154.34400000000002"/>
    <s v="A19754"/>
    <x v="16"/>
    <x v="0"/>
    <x v="0"/>
    <x v="0"/>
    <x v="16"/>
    <x v="16"/>
    <m/>
    <n v="-690"/>
    <x v="0"/>
    <d v="2025-01-01T07:53:51"/>
    <d v="2025-01-01T07:25:51"/>
    <d v="2025-01-01T08:41:51"/>
    <n v="74.400000000000006"/>
    <n v="46.983333333333334"/>
    <x v="8"/>
    <d v="2025-01-02T09:41:51"/>
    <d v="2025-01-02T14:43:51"/>
    <n v="295.7"/>
    <x v="0"/>
    <d v="2025-01-03T10:14:34"/>
    <d v="2025-01-03T11:34:34"/>
    <n v="78.316666666666663"/>
    <x v="0"/>
    <n v="2.064388888888061"/>
    <x v="0"/>
    <n v="6.4388888888061047E-2"/>
    <n v="49.545333333313465"/>
    <n v="32"/>
    <n v="17.545333333313465"/>
    <n v="8.7968690630086712"/>
    <x v="0"/>
  </r>
  <r>
    <x v="3"/>
    <x v="1"/>
    <d v="2024-12-31T19:29:06"/>
    <s v="OMXAK9LRR"/>
    <x v="0"/>
    <s v="UAR 731Q"/>
    <s v="Godwin Niwensiima"/>
    <s v="Sawan Distributors Ltd-Kayabwe"/>
    <n v="153.60000000000002"/>
    <s v="A19755"/>
    <x v="9"/>
    <x v="1"/>
    <x v="0"/>
    <x v="1"/>
    <x v="9"/>
    <x v="9"/>
    <n v="402"/>
    <n v="2"/>
    <x v="0"/>
    <d v="2025-01-01T08:10:06"/>
    <d v="2025-01-01T07:29:06"/>
    <d v="2025-01-01T08:37:06"/>
    <n v="66.583333333333329"/>
    <n v="26.433333333333334"/>
    <x v="1"/>
    <d v="2025-01-02T11:37:06"/>
    <d v="2025-01-02T16:06:06"/>
    <n v="263.38333333333333"/>
    <x v="0"/>
    <d v="2025-01-03T10:49:18"/>
    <d v="2025-01-03T11:51:18"/>
    <n v="60.7"/>
    <x v="0"/>
    <n v="2.0918055555521278"/>
    <x v="0"/>
    <n v="9.1805555552127771E-2"/>
    <n v="50.203333333251067"/>
    <n v="24"/>
    <n v="26.203333333251067"/>
    <n v="5.8618496374691107"/>
    <x v="0"/>
  </r>
  <r>
    <x v="3"/>
    <x v="0"/>
    <d v="2024-12-31T19:38:11"/>
    <s v="OMHA1HPRR"/>
    <x v="0"/>
    <s v="UBJ 419C"/>
    <m/>
    <s v="Kato Investments Ltd-Bulenga"/>
    <n v="156"/>
    <s v="A19759"/>
    <x v="2"/>
    <x v="0"/>
    <x v="0"/>
    <x v="0"/>
    <x v="2"/>
    <x v="2"/>
    <n v="556"/>
    <n v="-4"/>
    <x v="0"/>
    <d v="2025-01-01T08:06:11"/>
    <d v="2025-01-01T07:38:11"/>
    <d v="2025-01-01T08:55:11"/>
    <n v="75.38333333333334"/>
    <n v="47.966666666666669"/>
    <x v="1"/>
    <d v="2025-01-02T08:55:11"/>
    <d v="2025-01-02T13:30:11"/>
    <n v="269.26666666666665"/>
    <x v="0"/>
    <d v="2025-01-03T14:26:23"/>
    <d v="2025-01-03T15:42:23"/>
    <n v="74.400000000000006"/>
    <x v="0"/>
    <n v="2.2300000000032014"/>
    <x v="0"/>
    <n v="0.23000000000320142"/>
    <n v="53.520000000076834"/>
    <n v="24"/>
    <n v="29.520000000076834"/>
    <n v="5.2845528455147006"/>
    <x v="0"/>
  </r>
  <r>
    <x v="4"/>
    <x v="1"/>
    <d v="2025-01-05T13:13:52"/>
    <s v="OMIUJ2ERR"/>
    <x v="0"/>
    <s v="UAR 731Q"/>
    <s v="Godwin Niwensiima"/>
    <s v="Kabaco U Ltd-Mbarara"/>
    <n v="153.60000000000002"/>
    <s v="Z82066"/>
    <x v="8"/>
    <x v="1"/>
    <x v="0"/>
    <x v="1"/>
    <x v="8"/>
    <x v="8"/>
    <n v="12"/>
    <n v="1"/>
    <x v="0"/>
    <d v="2025-01-06T13:41:52"/>
    <d v="2025-01-06T01:13:52"/>
    <d v="2025-01-06T14:21:52"/>
    <n v="771.58333333333337"/>
    <n v="39.166666666666664"/>
    <x v="1"/>
    <d v="2025-01-06T14:57:52"/>
    <d v="2025-01-06T18:34:52"/>
    <n v="212.46666666666667"/>
    <x v="0"/>
    <d v="2025-01-06T19:06:52"/>
    <d v="2025-01-06T19:57:52"/>
    <n v="49.93333333333333"/>
    <x v="0"/>
    <n v="0.19791666666424135"/>
    <x v="5"/>
    <n v="-0.6020833333357587"/>
    <n v="4.7499999999417923"/>
    <n v="0"/>
    <n v="4.7499999999417923"/>
    <n v="32.336842105659429"/>
    <x v="0"/>
  </r>
  <r>
    <x v="4"/>
    <x v="0"/>
    <d v="2025-01-05T14:34:19"/>
    <s v="OMNWADWRR"/>
    <x v="0"/>
    <s v="UBJ 419C"/>
    <m/>
    <s v="Ntale and Sons Ltd-Kakiri"/>
    <n v="156"/>
    <s v="A19868"/>
    <x v="22"/>
    <x v="0"/>
    <x v="0"/>
    <x v="0"/>
    <x v="22"/>
    <x v="21"/>
    <n v="602"/>
    <n v="-18"/>
    <x v="0"/>
    <d v="2025-01-06T03:02:19"/>
    <d v="2025-01-06T02:34:19"/>
    <d v="2025-01-06T03:49:19"/>
    <n v="73.433333333333337"/>
    <n v="46.016666666666666"/>
    <x v="1"/>
    <d v="2025-01-06T16:19:19"/>
    <d v="2025-01-07T10:33:43"/>
    <n v="1071.5999999999999"/>
    <x v="0"/>
    <d v="2025-01-08T09:21:43"/>
    <d v="2025-01-08T10:15:43"/>
    <n v="52.866666666666667"/>
    <x v="0"/>
    <n v="2.2308333333348855"/>
    <x v="0"/>
    <n v="0.23083333333488554"/>
    <n v="53.540000000037253"/>
    <n v="24"/>
    <n v="29.540000000037253"/>
    <n v="5.2809749492147349"/>
    <x v="0"/>
  </r>
  <r>
    <x v="4"/>
    <x v="1"/>
    <d v="2025-01-05T14:37:21"/>
    <s v="OMZFBPWRR"/>
    <x v="1"/>
    <s v="UBK 881R"/>
    <s v="James  Kironde"/>
    <s v="KATO INVESTMENTS LIMITED-MASAK"/>
    <n v="153.60000000000002"/>
    <s v="F15679"/>
    <x v="14"/>
    <x v="1"/>
    <x v="0"/>
    <x v="1"/>
    <x v="14"/>
    <x v="14"/>
    <n v="415"/>
    <n v="75"/>
    <x v="6"/>
    <d v="2025-01-07T06:47:00"/>
    <d v="2025-01-06T04:14:00"/>
    <d v="2025-01-07T07:21:00"/>
    <n v="1593.1"/>
    <n v="33.283333333333331"/>
    <x v="1"/>
    <d v="2025-01-07T12:21:00"/>
    <d v="2025-01-07T18:53:00"/>
    <n v="383.83333333333331"/>
    <x v="0"/>
    <d v="2025-01-08T12:27:00"/>
    <d v="2025-01-08T13:09:00"/>
    <n v="41.116666666666667"/>
    <x v="0"/>
    <n v="1.2125000000014552"/>
    <x v="8"/>
    <n v="0.21250000000145519"/>
    <n v="29.100000000034925"/>
    <n v="12"/>
    <n v="17.100000000034925"/>
    <n v="8.9824561403325323"/>
    <x v="0"/>
  </r>
  <r>
    <x v="4"/>
    <x v="1"/>
    <d v="2025-01-05T14:38:19"/>
    <s v="OMXTBKSRR"/>
    <x v="1"/>
    <s v="UBE 287X"/>
    <s v="Isaac Tumuhimbise"/>
    <s v="KATO INVESTMENTS LIMITED-MASAK"/>
    <n v="153.60000000000002"/>
    <s v="F15680"/>
    <x v="14"/>
    <x v="1"/>
    <x v="0"/>
    <x v="1"/>
    <x v="14"/>
    <x v="14"/>
    <n v="403"/>
    <n v="63"/>
    <x v="6"/>
    <d v="2025-01-05T18:44:00"/>
    <d v="2025-01-06T04:14:00"/>
    <d v="2025-01-05T19:28:00"/>
    <n v="-515.04999999999995"/>
    <n v="43.06666666666667"/>
    <x v="1"/>
    <d v="2025-01-06T10:23:00"/>
    <d v="2025-01-06T15:57:00"/>
    <n v="327.03333333333336"/>
    <x v="0"/>
    <d v="2025-01-07T13:49:00"/>
    <d v="2025-01-07T15:37:00"/>
    <n v="105.73333333333333"/>
    <x v="7"/>
    <n v="1.7645833333299379"/>
    <x v="8"/>
    <n v="0.76458333332993789"/>
    <n v="42.349999999918509"/>
    <n v="12"/>
    <n v="30.349999999918509"/>
    <n v="5.0609555189592239"/>
    <x v="0"/>
  </r>
  <r>
    <x v="4"/>
    <x v="1"/>
    <d v="2025-01-05T15:54:21"/>
    <s v="OMK5QNURR"/>
    <x v="0"/>
    <s v="UAR 731Q"/>
    <s v="Godwin Niwensiima"/>
    <s v="Kabaco U Ltd-Mbarara"/>
    <n v="153.60000000000002"/>
    <s v="Z82069"/>
    <x v="8"/>
    <x v="1"/>
    <x v="0"/>
    <x v="1"/>
    <x v="8"/>
    <x v="8"/>
    <n v="12"/>
    <n v="1"/>
    <x v="0"/>
    <d v="2025-01-06T10:22:21"/>
    <d v="2025-01-06T03:54:21"/>
    <d v="2025-01-06T11:22:21"/>
    <n v="438.66666666666669"/>
    <n v="58.733333333333334"/>
    <x v="4"/>
    <d v="2025-01-06T11:47:21"/>
    <d v="2025-01-06T15:04:21"/>
    <n v="192.88333333333333"/>
    <x v="0"/>
    <d v="2025-01-06T15:36:21"/>
    <d v="2025-01-06T16:21:21"/>
    <n v="44.05"/>
    <x v="0"/>
    <n v="0.17638888888905058"/>
    <x v="5"/>
    <n v="-0.62361111111094947"/>
    <n v="4.2333333333372138"/>
    <n v="0"/>
    <n v="4.2333333333372138"/>
    <n v="36.28346456689588"/>
    <x v="0"/>
  </r>
  <r>
    <x v="4"/>
    <x v="1"/>
    <d v="2025-01-05T16:48:09"/>
    <s v="OMQO9OURR"/>
    <x v="1"/>
    <s v="UBE 422T"/>
    <s v="Jacob Oneka"/>
    <s v="Kabaco U Ltd"/>
    <n v="153.60000000000002"/>
    <s v="Z82071"/>
    <x v="6"/>
    <x v="1"/>
    <x v="0"/>
    <x v="1"/>
    <x v="6"/>
    <x v="6"/>
    <n v="320"/>
    <n v="0"/>
    <x v="0"/>
    <d v="2025-01-05T19:02:00"/>
    <d v="2025-01-06T02:22:00"/>
    <d v="2025-01-05T19:46:00"/>
    <n v="-387.76666666666665"/>
    <n v="43.06666666666667"/>
    <x v="1"/>
    <d v="2025-01-05T23:58:00"/>
    <d v="2025-01-06T10:18:00"/>
    <n v="607.06666666666672"/>
    <x v="0"/>
    <d v="2025-01-06T12:04:00"/>
    <d v="2025-01-06T13:12:00"/>
    <n v="66.583333333333329"/>
    <x v="0"/>
    <n v="0.67916666666860692"/>
    <x v="3"/>
    <n v="-0.82083333333139308"/>
    <n v="16.300000000046566"/>
    <n v="0"/>
    <n v="16.300000000046566"/>
    <n v="9.4233128834086628"/>
    <x v="0"/>
  </r>
  <r>
    <x v="4"/>
    <x v="0"/>
    <d v="2025-01-05T16:49:09"/>
    <s v="OM42HHBRR"/>
    <x v="0"/>
    <s v="UBP 298H"/>
    <s v="SENTONG DAVID"/>
    <s v="Kabaco U Ltd"/>
    <n v="156"/>
    <s v="Z82072"/>
    <x v="6"/>
    <x v="0"/>
    <x v="0"/>
    <x v="0"/>
    <x v="6"/>
    <x v="6"/>
    <n v="321"/>
    <n v="1"/>
    <x v="0"/>
    <d v="2025-01-05T16:48:00"/>
    <d v="2025-01-06T02:22:00"/>
    <d v="2025-01-05T17:35:00"/>
    <n v="-516.0333333333333"/>
    <n v="46.016666666666666"/>
    <x v="1"/>
    <d v="2025-01-06T08:01:00"/>
    <d v="2025-01-06T14:39:00"/>
    <n v="389.7"/>
    <x v="0"/>
    <d v="2025-01-07T14:56:00"/>
    <d v="2025-01-07T15:51:00"/>
    <n v="53.85"/>
    <x v="0"/>
    <n v="1.8895833333299379"/>
    <x v="3"/>
    <n v="0.38958333332993789"/>
    <n v="45.349999999918509"/>
    <n v="12"/>
    <n v="33.349999999918509"/>
    <n v="4.6776611694267221"/>
    <x v="0"/>
  </r>
  <r>
    <x v="4"/>
    <x v="0"/>
    <d v="2025-01-05T16:49:53"/>
    <s v="OMNK83VRR"/>
    <x v="1"/>
    <s v="UBK 858R"/>
    <s v="ALIPA EREKU"/>
    <s v="Bates Enterprises U Ltd"/>
    <n v="156"/>
    <s v="Z82073"/>
    <x v="7"/>
    <x v="0"/>
    <x v="0"/>
    <x v="0"/>
    <x v="7"/>
    <x v="7"/>
    <n v="576"/>
    <n v="-30"/>
    <x v="0"/>
    <d v="2025-01-05T17:55:00"/>
    <d v="2025-01-05T17:30:00"/>
    <d v="2025-01-05T18:39:00"/>
    <n v="67.55"/>
    <n v="43.06666666666667"/>
    <x v="1"/>
    <d v="2025-01-07T07:57:00"/>
    <d v="2025-01-07T18:32:00"/>
    <n v="621.76666666666665"/>
    <x v="0"/>
    <d v="2025-01-08T10:08:00"/>
    <d v="2025-01-08T12:22:00"/>
    <n v="131.19999999999999"/>
    <x v="4"/>
    <n v="2.6451388888890506"/>
    <x v="4"/>
    <n v="-0.35486111111094942"/>
    <n v="63.483333333337214"/>
    <n v="24"/>
    <n v="39.483333333337214"/>
    <n v="3.9510341916416549"/>
    <x v="0"/>
  </r>
  <r>
    <x v="4"/>
    <x v="0"/>
    <d v="2025-01-05T23:16:45"/>
    <s v="OM49I5JRR"/>
    <x v="0"/>
    <s v="UBJ 420C"/>
    <s v="ZIWA ABASI"/>
    <s v="Boniface Harera"/>
    <n v="156"/>
    <s v="F15681"/>
    <x v="10"/>
    <x v="0"/>
    <x v="0"/>
    <x v="0"/>
    <x v="10"/>
    <x v="10"/>
    <n v="465"/>
    <n v="-5"/>
    <x v="0"/>
    <d v="2025-01-06T11:44:45"/>
    <d v="2025-01-06T11:16:45"/>
    <d v="2025-01-06T12:24:45"/>
    <n v="66.583333333333329"/>
    <n v="39.166666666666664"/>
    <x v="1"/>
    <d v="2025-01-07T12:24:45"/>
    <d v="2025-01-07T17:19:45"/>
    <n v="288.85000000000002"/>
    <x v="0"/>
    <d v="2025-01-08T16:07:45"/>
    <d v="2025-01-08T17:02:45"/>
    <n v="53.85"/>
    <x v="0"/>
    <n v="2.1548611111065838"/>
    <x v="1"/>
    <n v="-0.34513888889341615"/>
    <n v="51.716666666558012"/>
    <n v="24"/>
    <n v="27.716666666558012"/>
    <n v="5.6283824413930805"/>
    <x v="0"/>
  </r>
  <r>
    <x v="4"/>
    <x v="0"/>
    <d v="2025-01-05T23:17:56"/>
    <s v="OMYOY87RR"/>
    <x v="1"/>
    <s v="UBK 862R"/>
    <s v="SULAIMAN MUBIRU"/>
    <s v="Kato Investment Ltd -Kagadi"/>
    <n v="156"/>
    <s v="A19879"/>
    <x v="12"/>
    <x v="0"/>
    <x v="0"/>
    <x v="0"/>
    <x v="12"/>
    <x v="12"/>
    <n v="622"/>
    <n v="10"/>
    <x v="0"/>
    <d v="2025-01-05T22:47:00"/>
    <d v="2025-01-06T17:46:00"/>
    <d v="2025-01-05T23:31:00"/>
    <n v="-1072.2"/>
    <n v="43.06666666666667"/>
    <x v="1"/>
    <d v="2025-01-06T20:05:00"/>
    <d v="2025-01-07T12:54:00"/>
    <n v="987.9666666666667"/>
    <x v="0"/>
    <d v="2025-01-07T22:06:00"/>
    <d v="2025-01-07T22:43:00"/>
    <n v="36.216666666666669"/>
    <x v="0"/>
    <n v="1.9409722222189885"/>
    <x v="6"/>
    <n v="-0.35902777778101136"/>
    <n v="46.583333333255723"/>
    <n v="12"/>
    <n v="34.583333333255723"/>
    <n v="4.5108433735040991"/>
    <x v="0"/>
  </r>
  <r>
    <x v="4"/>
    <x v="0"/>
    <d v="2025-01-05T23:19:22"/>
    <s v="OMU06VORR"/>
    <x v="1"/>
    <s v="UBE 680K"/>
    <s v="BYEKWASO TWAHA"/>
    <s v="Kato Investment Ltd -Mityana"/>
    <n v="156"/>
    <s v="A19880"/>
    <x v="16"/>
    <x v="0"/>
    <x v="0"/>
    <x v="0"/>
    <x v="16"/>
    <x v="16"/>
    <n v="685"/>
    <n v="-5"/>
    <x v="0"/>
    <d v="2025-01-06T12:47:00"/>
    <d v="2025-01-06T19:35:00"/>
    <d v="2025-01-06T13:31:00"/>
    <n v="-356.41666666666669"/>
    <n v="43.06666666666667"/>
    <x v="1"/>
    <d v="2025-01-07T16:11:00"/>
    <d v="2025-01-07T17:51:00"/>
    <n v="97.916666666666671"/>
    <x v="0"/>
    <d v="2025-01-08T09:45:00"/>
    <d v="2025-01-08T11:58:00"/>
    <n v="130.21666666666667"/>
    <x v="4"/>
    <n v="1.8430555555532919"/>
    <x v="0"/>
    <n v="-0.15694444444670808"/>
    <n v="44.233333333279006"/>
    <n v="12"/>
    <n v="32.233333333279006"/>
    <n v="4.8397104446824075"/>
    <x v="0"/>
  </r>
  <r>
    <x v="4"/>
    <x v="0"/>
    <d v="2025-01-06T00:00:00"/>
    <s v="OM02L7T0"/>
    <x v="0"/>
    <s v="UBB 115P"/>
    <s v="Kakembo Masuud"/>
    <s v="Boniface Harera"/>
    <n v="156"/>
    <s v="F15684"/>
    <x v="10"/>
    <x v="0"/>
    <x v="0"/>
    <x v="0"/>
    <x v="10"/>
    <x v="10"/>
    <n v="492"/>
    <n v="22"/>
    <x v="0"/>
    <d v="2025-01-06T07:58:00"/>
    <d v="2025-01-06T07:30:00"/>
    <d v="2025-01-06T08:38:00"/>
    <n v="66.583333333333329"/>
    <n v="39.166666666666664"/>
    <x v="1"/>
    <d v="2025-01-07T10:38:00"/>
    <d v="2025-01-07T15:53:00"/>
    <n v="308.43333333333334"/>
    <x v="0"/>
    <d v="2025-01-08T14:41:00"/>
    <d v="2025-01-08T15:25:00"/>
    <n v="43.06666666666667"/>
    <x v="0"/>
    <n v="2.2520833333328483"/>
    <x v="1"/>
    <n v="-0.24791666666715173"/>
    <n v="54.049999999988358"/>
    <n v="24"/>
    <n v="30.049999999988358"/>
    <n v="5.191347753745772"/>
    <x v="0"/>
  </r>
  <r>
    <x v="4"/>
    <x v="0"/>
    <d v="2025-01-06T00:00:00"/>
    <s v="OM02L7T9"/>
    <x v="0"/>
    <s v="UBB 115P"/>
    <s v="Kakembo Masuud"/>
    <s v="Kobusinge Steven-FPortal"/>
    <n v="156"/>
    <s v="Z82085"/>
    <x v="11"/>
    <x v="0"/>
    <x v="0"/>
    <x v="0"/>
    <x v="11"/>
    <x v="11"/>
    <n v="397"/>
    <n v="7"/>
    <x v="0"/>
    <d v="2025-01-06T07:58:00"/>
    <d v="2025-01-06T07:30:00"/>
    <d v="2025-01-06T09:02:00"/>
    <n v="90.066666666666663"/>
    <n v="62.65"/>
    <x v="6"/>
    <d v="2025-01-07T10:32:00"/>
    <d v="2025-01-07T16:05:00"/>
    <n v="326.05"/>
    <x v="0"/>
    <d v="2025-01-08T11:15:12"/>
    <d v="2025-01-08T12:18:12"/>
    <n v="61.68333333333333"/>
    <x v="0"/>
    <n v="2.0924999999988358"/>
    <x v="0"/>
    <n v="9.2499999998835847E-2"/>
    <n v="50.21999999997206"/>
    <n v="32"/>
    <n v="18.21999999997206"/>
    <n v="8.5620197585202646"/>
    <x v="0"/>
  </r>
  <r>
    <x v="4"/>
    <x v="1"/>
    <d v="2025-01-06T13:20:00"/>
    <s v="OMTGDUXRR"/>
    <x v="1"/>
    <s v="UBJ 988D"/>
    <s v="Tumusiime Robert"/>
    <s v="Rugoma Traders-Kanungu/Kihihi"/>
    <n v="153.60000000000002"/>
    <s v="F15682"/>
    <x v="23"/>
    <x v="1"/>
    <x v="0"/>
    <x v="1"/>
    <x v="23"/>
    <x v="14"/>
    <n v="342"/>
    <n v="2"/>
    <x v="0"/>
    <d v="2025-01-06T14:59:00"/>
    <d v="2025-01-07T01:59:00"/>
    <d v="2025-01-06T15:33:00"/>
    <n v="-612.9666666666667"/>
    <n v="33.283333333333331"/>
    <x v="1"/>
    <d v="2025-01-07T12:17:00"/>
    <d v="2025-01-07T18:02:00"/>
    <n v="337.8"/>
    <x v="0"/>
    <d v="2025-01-08T12:56:00"/>
    <d v="2025-01-08T15:45:00"/>
    <n v="165.46666666666667"/>
    <x v="4"/>
    <n v="1.890972222223354"/>
    <x v="3"/>
    <n v="0.39097222222335404"/>
    <n v="45.383333333360497"/>
    <n v="12"/>
    <n v="33.383333333360497"/>
    <n v="4.6010983524675497"/>
    <x v="0"/>
  </r>
  <r>
    <x v="4"/>
    <x v="1"/>
    <d v="2025-01-06T13:21:23"/>
    <s v="OM4O141RR"/>
    <x v="1"/>
    <s v="UBE 419T"/>
    <s v="Kilabila Ismail"/>
    <s v="Agaba Services"/>
    <n v="153.60000000000002"/>
    <s v="F15683"/>
    <x v="20"/>
    <x v="1"/>
    <x v="0"/>
    <x v="1"/>
    <x v="20"/>
    <x v="20"/>
    <n v="295"/>
    <n v="-7"/>
    <x v="0"/>
    <d v="2025-01-06T18:41:00"/>
    <d v="2025-01-07T04:15:00"/>
    <d v="2025-01-06T19:28:00"/>
    <n v="-516.0333333333333"/>
    <n v="46.016666666666666"/>
    <x v="1"/>
    <d v="2025-01-07T11:44:00"/>
    <d v="2025-01-07T13:02:00"/>
    <n v="76.36666666666666"/>
    <x v="0"/>
    <d v="2025-01-07T18:01:00"/>
    <d v="2025-01-07T18:53:00"/>
    <n v="50.916666666666664"/>
    <x v="0"/>
    <n v="0.93958333333284827"/>
    <x v="8"/>
    <n v="-6.0416666667151731E-2"/>
    <n v="22.549999999988358"/>
    <n v="0"/>
    <n v="22.549999999988358"/>
    <n v="6.8115299334846702"/>
    <x v="0"/>
  </r>
  <r>
    <x v="4"/>
    <x v="1"/>
    <d v="2025-01-06T14:10:46"/>
    <s v="OM76ZVYRR"/>
    <x v="0"/>
    <s v="UAV 051U"/>
    <s v="Angello Lumala"/>
    <s v="KATO INVESTMENTS LIMITED-MASAK"/>
    <n v="153.60000000000002"/>
    <s v="F15685"/>
    <x v="14"/>
    <x v="1"/>
    <x v="0"/>
    <x v="1"/>
    <x v="14"/>
    <x v="14"/>
    <n v="328"/>
    <n v="-12"/>
    <x v="0"/>
    <d v="2025-01-07T02:38:46"/>
    <d v="2025-01-07T02:10:46"/>
    <d v="2025-01-07T03:22:46"/>
    <n v="70.483333333333334"/>
    <n v="43.06666666666667"/>
    <x v="1"/>
    <d v="2025-01-07T06:35:46"/>
    <d v="2025-01-07T11:27:46"/>
    <n v="285.89999999999998"/>
    <x v="0"/>
    <d v="2025-01-08T01:51:46"/>
    <d v="2025-01-08T02:56:46"/>
    <n v="63.633333333333333"/>
    <x v="0"/>
    <n v="0.93680555555329192"/>
    <x v="8"/>
    <n v="-6.3194444446708076E-2"/>
    <n v="22.483333333279006"/>
    <n v="0"/>
    <n v="22.483333333279006"/>
    <n v="6.8317272053537952"/>
    <x v="0"/>
  </r>
  <r>
    <x v="4"/>
    <x v="1"/>
    <d v="2025-01-06T18:12:48"/>
    <s v="OMYKJ8LRR"/>
    <x v="1"/>
    <s v="UBE 422T"/>
    <s v="Jacob Oneka"/>
    <s v="KATO INVESTMENTS LTD-KATIKARA"/>
    <n v="153.60000000000002"/>
    <s v="A19895"/>
    <x v="5"/>
    <x v="1"/>
    <x v="0"/>
    <x v="1"/>
    <x v="5"/>
    <x v="5"/>
    <n v="796"/>
    <n v="-34"/>
    <x v="0"/>
    <d v="2025-01-06T17:31:00"/>
    <d v="2025-01-06T20:00:00"/>
    <d v="2025-01-06T18:26:00"/>
    <n v="-92.05"/>
    <n v="53.85"/>
    <x v="0"/>
    <d v="2025-01-07T18:26:00"/>
    <d v="2025-01-08T10:53:00"/>
    <n v="966.43333333333328"/>
    <x v="0"/>
    <d v="2025-01-09T09:51:00"/>
    <d v="2025-01-09T12:46:00"/>
    <n v="171.35"/>
    <x v="4"/>
    <n v="2.6423611111094942"/>
    <x v="0"/>
    <n v="0.64236111110949423"/>
    <n v="63.416666666627862"/>
    <n v="32"/>
    <n v="31.416666666627862"/>
    <n v="4.8891246684410525"/>
    <x v="1"/>
  </r>
  <r>
    <x v="4"/>
    <x v="1"/>
    <d v="2025-01-06T18:14:21"/>
    <s v="OMSZNXIRR"/>
    <x v="1"/>
    <s v="UBJ 375N"/>
    <s v="Stephen Musoke "/>
    <s v="KATO INVESTMENTS LTD- KALISIZO"/>
    <n v="153.60000000000002"/>
    <s v="F15686"/>
    <x v="4"/>
    <x v="1"/>
    <x v="0"/>
    <x v="1"/>
    <x v="4"/>
    <x v="4"/>
    <n v="343"/>
    <n v="-7"/>
    <x v="0"/>
    <d v="2025-01-07T17:38:00"/>
    <d v="2025-01-07T03:43:00"/>
    <d v="2025-01-07T18:22:00"/>
    <n v="860.68333333333328"/>
    <n v="43.06666666666667"/>
    <x v="1"/>
    <d v="2025-01-08T11:13:00"/>
    <d v="2025-01-08T15:18:00"/>
    <n v="239.88333333333333"/>
    <x v="0"/>
    <d v="2025-01-09T10:20:00"/>
    <d v="2025-01-09T12:48:00"/>
    <n v="144.91666666666666"/>
    <x v="5"/>
    <n v="1.6652777777781012"/>
    <x v="2"/>
    <n v="-3.4722222221898802E-2"/>
    <n v="39.966666666674428"/>
    <n v="12"/>
    <n v="27.966666666674428"/>
    <n v="5.4922526817624817"/>
    <x v="0"/>
  </r>
  <r>
    <x v="4"/>
    <x v="1"/>
    <d v="2025-01-06T18:15:08"/>
    <s v="OMRF7ELRR"/>
    <x v="0"/>
    <s v="UAR 731Q"/>
    <s v="Godwin Niwensiima"/>
    <s v="KATO INVESTMENTS LIMITED-MASAK"/>
    <n v="153.60000000000002"/>
    <s v="F15687"/>
    <x v="14"/>
    <x v="1"/>
    <x v="0"/>
    <x v="1"/>
    <x v="14"/>
    <x v="14"/>
    <n v="328"/>
    <n v="-12"/>
    <x v="0"/>
    <d v="2025-01-07T07:58:08"/>
    <d v="2025-01-07T07:30:08"/>
    <d v="2025-01-07T08:38:08"/>
    <n v="66.583333333333329"/>
    <n v="39.166666666666664"/>
    <x v="1"/>
    <d v="2025-01-07T11:51:08"/>
    <d v="2025-01-07T16:59:08"/>
    <n v="301.56666666666666"/>
    <x v="0"/>
    <d v="2025-01-08T07:23:08"/>
    <d v="2025-01-08T08:03:08"/>
    <n v="39.166666666666664"/>
    <x v="0"/>
    <n v="0.94791666666424135"/>
    <x v="8"/>
    <n v="-5.2083333335758653E-2"/>
    <n v="22.749999999941792"/>
    <n v="0"/>
    <n v="22.749999999941792"/>
    <n v="6.7516483516656276"/>
    <x v="0"/>
  </r>
  <r>
    <x v="4"/>
    <x v="1"/>
    <d v="2025-01-06T18:17:21"/>
    <s v="OMLA1GERR"/>
    <x v="0"/>
    <s v="UAT 351G"/>
    <s v="Hamudi Sesanga"/>
    <s v="KATO INVESTMENTS LIMITED-MASAK"/>
    <n v="153.60000000000002"/>
    <s v="F15688"/>
    <x v="14"/>
    <x v="1"/>
    <x v="0"/>
    <x v="1"/>
    <x v="14"/>
    <x v="14"/>
    <n v="415"/>
    <n v="75"/>
    <x v="0"/>
    <d v="2025-01-07T08:11:21"/>
    <d v="2025-01-07T07:30:21"/>
    <d v="2025-01-07T08:38:21"/>
    <n v="66.583333333333329"/>
    <n v="26.433333333333334"/>
    <x v="1"/>
    <d v="2025-01-07T11:51:21"/>
    <d v="2025-01-07T17:03:21"/>
    <n v="305.5"/>
    <x v="0"/>
    <d v="2025-01-08T07:27:21"/>
    <d v="2025-01-08T08:19:21"/>
    <n v="50.916666666666664"/>
    <x v="0"/>
    <n v="0.95069444444379769"/>
    <x v="8"/>
    <n v="-4.9305555556202307E-2"/>
    <n v="22.816666666651145"/>
    <n v="0"/>
    <n v="22.816666666651145"/>
    <n v="6.7319211103040697"/>
    <x v="0"/>
  </r>
  <r>
    <x v="4"/>
    <x v="0"/>
    <d v="2025-01-06T22:23:00"/>
    <s v="OMXCAB3RR"/>
    <x v="0"/>
    <s v="UBM 648D"/>
    <s v="Nakalya John"/>
    <s v="Kabaco U Ltd"/>
    <n v="156"/>
    <s v="Z82086"/>
    <x v="6"/>
    <x v="0"/>
    <x v="0"/>
    <x v="0"/>
    <x v="6"/>
    <x v="6"/>
    <n v="323"/>
    <n v="3"/>
    <x v="0"/>
    <d v="2025-01-07T10:51:00"/>
    <d v="2025-01-07T10:23:00"/>
    <d v="2025-01-07T11:46:00"/>
    <n v="81.266666666666666"/>
    <n v="53.85"/>
    <x v="3"/>
    <d v="2025-01-07T17:46:00"/>
    <d v="2025-01-08T14:10:00"/>
    <n v="1198.4833333333333"/>
    <x v="0"/>
    <d v="2025-01-08T19:30:00"/>
    <d v="2025-01-08T20:33:00"/>
    <n v="61.68333333333333"/>
    <x v="0"/>
    <n v="1.3222222222175333"/>
    <x v="3"/>
    <n v="-0.17777777778246673"/>
    <n v="31.733333333220799"/>
    <n v="16"/>
    <n v="15.733333333220799"/>
    <n v="9.915254237359056"/>
    <x v="0"/>
  </r>
  <r>
    <x v="4"/>
    <x v="1"/>
    <d v="2025-01-06T23:03:37"/>
    <s v="OMZ2EAARR"/>
    <x v="1"/>
    <s v="UBK 875R"/>
    <s v="Bisaso  Ronald"/>
    <s v="Rugoma Traders-Kanungu/Kihihi"/>
    <n v="153.60000000000002"/>
    <s v="F15689"/>
    <x v="23"/>
    <x v="1"/>
    <x v="0"/>
    <x v="1"/>
    <x v="23"/>
    <x v="14"/>
    <n v="348"/>
    <n v="8"/>
    <x v="0"/>
    <d v="2025-01-08T10:17:00"/>
    <d v="2025-01-07T08:00:00"/>
    <d v="2025-01-08T11:04:00"/>
    <n v="1590.15"/>
    <n v="46.016666666666666"/>
    <x v="8"/>
    <d v="2025-01-08T17:34:00"/>
    <d v="2025-01-09T14:40:00"/>
    <n v="1239.6166666666666"/>
    <x v="0"/>
    <d v="2025-01-10T10:07:00"/>
    <d v="2025-01-10T12:07:00"/>
    <n v="117.5"/>
    <x v="10"/>
    <n v="1.9604166666686069"/>
    <x v="3"/>
    <n v="0.46041666666860692"/>
    <n v="47.050000000046566"/>
    <n v="16"/>
    <n v="31.050000000046566"/>
    <n v="4.9468599033742242"/>
    <x v="0"/>
  </r>
  <r>
    <x v="4"/>
    <x v="0"/>
    <d v="2025-01-07T00:00:00"/>
    <s v="OM02L8B9"/>
    <x v="0"/>
    <s v="UBP 311H"/>
    <m/>
    <s v="Sawan Distributors Ltd-Kayabwe"/>
    <n v="156"/>
    <s v="A19916"/>
    <x v="9"/>
    <x v="0"/>
    <x v="0"/>
    <x v="0"/>
    <x v="9"/>
    <x v="9"/>
    <n v="402"/>
    <n v="2"/>
    <x v="0"/>
    <d v="2025-01-07T07:58:00"/>
    <d v="2025-01-07T07:30:00"/>
    <d v="2025-01-07T08:42:00"/>
    <n v="70.483333333333334"/>
    <n v="43.06666666666667"/>
    <x v="1"/>
    <d v="2025-01-08T11:42:00"/>
    <d v="2025-01-08T16:21:00"/>
    <n v="273.18333333333334"/>
    <x v="0"/>
    <d v="2025-01-09T13:57:00"/>
    <d v="2025-01-09T14:57:00"/>
    <n v="58.733333333333334"/>
    <x v="0"/>
    <n v="2.21875"/>
    <x v="0"/>
    <n v="0.21875"/>
    <n v="53.25"/>
    <n v="24"/>
    <n v="29.25"/>
    <n v="5.333333333333333"/>
    <x v="0"/>
  </r>
  <r>
    <x v="4"/>
    <x v="0"/>
    <d v="2025-01-07T00:00:00"/>
    <s v="OM02L801"/>
    <x v="0"/>
    <s v="UBK 866R"/>
    <m/>
    <s v="Kato Investment Ltd -Kagadi"/>
    <n v="156"/>
    <s v="A19901"/>
    <x v="12"/>
    <x v="0"/>
    <x v="0"/>
    <x v="0"/>
    <x v="12"/>
    <x v="12"/>
    <n v="612"/>
    <n v="0"/>
    <x v="0"/>
    <d v="2025-01-07T07:58:00"/>
    <d v="2025-01-07T07:30:00"/>
    <d v="2025-01-07T08:47:00"/>
    <n v="75.38333333333334"/>
    <n v="47.966666666666669"/>
    <x v="1"/>
    <d v="2025-01-08T10:17:00"/>
    <d v="2025-01-08T15:36:00"/>
    <n v="312.35000000000002"/>
    <x v="0"/>
    <d v="2025-01-09T09:47:31"/>
    <d v="2025-01-09T10:17:31"/>
    <n v="29.366666666666667"/>
    <x v="0"/>
    <n v="2.0420277777811862"/>
    <x v="6"/>
    <n v="-0.25797222221881366"/>
    <n v="49.008666666748468"/>
    <n v="24"/>
    <n v="25.008666666748468"/>
    <n v="6.2378375496290515"/>
    <x v="0"/>
  </r>
  <r>
    <x v="4"/>
    <x v="0"/>
    <d v="2025-01-07T00:00:00"/>
    <s v="OM02L87X"/>
    <x v="0"/>
    <s v="UBP 311H"/>
    <m/>
    <s v="Boniface Harera"/>
    <n v="156"/>
    <s v="F15690"/>
    <x v="10"/>
    <x v="0"/>
    <x v="0"/>
    <x v="0"/>
    <x v="10"/>
    <x v="10"/>
    <n v="465"/>
    <n v="-5"/>
    <x v="0"/>
    <d v="2025-01-07T07:58:00"/>
    <d v="2025-01-07T07:30:00"/>
    <d v="2025-01-07T08:46:00"/>
    <n v="74.400000000000006"/>
    <n v="46.983333333333334"/>
    <x v="1"/>
    <d v="2025-01-08T10:16:00"/>
    <d v="2025-01-08T15:04:00"/>
    <n v="281.98333333333335"/>
    <x v="0"/>
    <d v="2025-01-09T13:52:00"/>
    <d v="2025-01-09T14:49:00"/>
    <n v="55.8"/>
    <x v="0"/>
    <n v="2.2124999999941792"/>
    <x v="1"/>
    <n v="-0.28750000000582077"/>
    <n v="53.099999999860302"/>
    <n v="24"/>
    <n v="29.099999999860302"/>
    <n v="5.3608247422937767"/>
    <x v="0"/>
  </r>
  <r>
    <x v="4"/>
    <x v="0"/>
    <d v="2025-01-07T00:00:00"/>
    <s v="OM02L80B"/>
    <x v="0"/>
    <s v="UBK 866R"/>
    <m/>
    <s v="Kabaco U Ltd"/>
    <n v="156"/>
    <s v="Z82087"/>
    <x v="6"/>
    <x v="0"/>
    <x v="0"/>
    <x v="0"/>
    <x v="6"/>
    <x v="6"/>
    <n v="321"/>
    <n v="1"/>
    <x v="0"/>
    <d v="2025-01-07T07:58:00"/>
    <d v="2025-01-07T07:30:00"/>
    <d v="2025-01-07T08:38:00"/>
    <n v="66.583333333333329"/>
    <n v="39.166666666666664"/>
    <x v="1"/>
    <d v="2025-01-07T14:38:00"/>
    <d v="2025-01-07T19:34:00"/>
    <n v="289.83333333333331"/>
    <x v="0"/>
    <d v="2025-01-08T11:53:12"/>
    <d v="2025-01-08T12:50:12"/>
    <n v="55.8"/>
    <x v="0"/>
    <n v="1.1355555555564933"/>
    <x v="3"/>
    <n v="-0.36444444444350665"/>
    <n v="27.25333333335584"/>
    <n v="12"/>
    <n v="15.25333333335584"/>
    <n v="10.227272727257636"/>
    <x v="0"/>
  </r>
  <r>
    <x v="4"/>
    <x v="0"/>
    <d v="2025-01-07T00:00:00"/>
    <s v="OM02L8AK"/>
    <x v="0"/>
    <s v="UBP 311H"/>
    <s v="Ekwalikwa Yusuf"/>
    <s v="Ntale and Sons Ltd-Kakiri"/>
    <n v="155.10000000000002"/>
    <s v="A19913"/>
    <x v="22"/>
    <x v="0"/>
    <x v="0"/>
    <x v="0"/>
    <x v="22"/>
    <x v="21"/>
    <n v="602"/>
    <n v="-18"/>
    <x v="0"/>
    <d v="2025-01-07T07:58:00"/>
    <d v="2025-01-07T07:30:00"/>
    <d v="2025-01-07T08:58:00"/>
    <n v="86.15"/>
    <n v="58.733333333333334"/>
    <x v="5"/>
    <d v="2025-01-08T08:28:00"/>
    <d v="2025-01-08T12:05:00"/>
    <n v="212.46666666666667"/>
    <x v="0"/>
    <d v="2025-01-09T10:02:36"/>
    <d v="2025-01-09T10:38:36"/>
    <n v="35.25"/>
    <x v="0"/>
    <n v="2.0448611111060018"/>
    <x v="0"/>
    <n v="4.4861111106001772E-2"/>
    <n v="49.076666666544043"/>
    <n v="32"/>
    <n v="17.076666666544043"/>
    <n v="9.0825688074046713"/>
    <x v="0"/>
  </r>
  <r>
    <x v="4"/>
    <x v="0"/>
    <d v="2025-01-07T00:00:00"/>
    <s v="OM02L807"/>
    <x v="0"/>
    <s v="UBK 866R"/>
    <m/>
    <s v="Kato Investments Ltd- Kyegegwa"/>
    <n v="156"/>
    <s v="A19902"/>
    <x v="18"/>
    <x v="0"/>
    <x v="0"/>
    <x v="0"/>
    <x v="18"/>
    <x v="18"/>
    <n v="572"/>
    <n v="7"/>
    <x v="0"/>
    <d v="2025-01-07T07:58:00"/>
    <d v="2025-01-07T07:30:00"/>
    <d v="2025-01-07T09:02:00"/>
    <n v="90.066666666666663"/>
    <n v="62.65"/>
    <x v="6"/>
    <d v="2025-01-08T10:32:00"/>
    <d v="2025-01-08T15:32:00"/>
    <n v="293.75"/>
    <x v="0"/>
    <d v="2025-01-09T11:27:12"/>
    <d v="2025-01-09T12:29:12"/>
    <n v="60.7"/>
    <x v="0"/>
    <n v="2.1008333333375049"/>
    <x v="0"/>
    <n v="0.10083333333750488"/>
    <n v="50.420000000100117"/>
    <n v="32"/>
    <n v="18.420000000100117"/>
    <n v="8.4690553745468033"/>
    <x v="0"/>
  </r>
  <r>
    <x v="4"/>
    <x v="0"/>
    <d v="2025-01-07T12:42:38"/>
    <s v="OM7OPDRRR"/>
    <x v="1"/>
    <s v="UBK 882R"/>
    <s v="NASASIRA STEPHENE"/>
    <s v="Kato Investment Ltd -Mityana"/>
    <n v="187.20000000000002"/>
    <s v="A19903"/>
    <x v="16"/>
    <x v="0"/>
    <x v="0"/>
    <x v="0"/>
    <x v="16"/>
    <x v="16"/>
    <n v="773"/>
    <n v="83"/>
    <x v="1"/>
    <d v="2025-01-07T12:10:00"/>
    <d v="2025-01-07T13:35:00"/>
    <d v="2025-01-07T12:44:00"/>
    <n v="-49.95"/>
    <n v="33.283333333333331"/>
    <x v="1"/>
    <d v="2025-01-08T12:56:00"/>
    <d v="2025-01-08T15:03:00"/>
    <n v="124.35"/>
    <x v="0"/>
    <d v="2025-01-09T10:49:00"/>
    <d v="2025-01-09T11:12:00"/>
    <n v="22.516666666666666"/>
    <x v="0"/>
    <n v="1.9201388888905058"/>
    <x v="0"/>
    <n v="-7.9861111109494232E-2"/>
    <n v="46.083333333372138"/>
    <n v="12"/>
    <n v="34.083333333372138"/>
    <n v="5.492420537891058"/>
    <x v="0"/>
  </r>
  <r>
    <x v="4"/>
    <x v="1"/>
    <d v="2025-01-07T12:59:15"/>
    <s v="OMCGJHRRR"/>
    <x v="1"/>
    <s v="UBJ 415C"/>
    <s v="Abel Mark naffa"/>
    <s v="Kabaco U Ltd-Mbarara"/>
    <n v="153.60000000000002"/>
    <s v="Z82089"/>
    <x v="8"/>
    <x v="1"/>
    <x v="0"/>
    <x v="1"/>
    <x v="8"/>
    <x v="8"/>
    <n v="12"/>
    <n v="1"/>
    <x v="0"/>
    <d v="2025-01-07T19:14:00"/>
    <d v="2025-01-07T15:00:00"/>
    <d v="2025-01-07T19:58:00"/>
    <n v="291.78333333333336"/>
    <n v="43.06666666666667"/>
    <x v="1"/>
    <d v="2025-01-08T11:07:00"/>
    <d v="2025-01-08T12:22:00"/>
    <n v="73.433333333333337"/>
    <x v="0"/>
    <d v="2025-01-08T14:26:00"/>
    <d v="2025-01-08T16:44:00"/>
    <n v="135.11666666666667"/>
    <x v="4"/>
    <n v="0.76944444444961846"/>
    <x v="5"/>
    <n v="-3.0555555550381586E-2"/>
    <n v="18.466666666790843"/>
    <n v="0"/>
    <n v="18.466666666790843"/>
    <n v="8.3176895306299912"/>
    <x v="0"/>
  </r>
  <r>
    <x v="4"/>
    <x v="1"/>
    <d v="2025-01-07T18:53:39"/>
    <s v="OMFEHYMRR"/>
    <x v="1"/>
    <s v="UBJ 707D"/>
    <s v="Konge Husein"/>
    <s v="Kabaco U Ltd"/>
    <n v="153.60000000000002"/>
    <s v="Z82091"/>
    <x v="6"/>
    <x v="1"/>
    <x v="0"/>
    <x v="1"/>
    <x v="6"/>
    <x v="6"/>
    <n v="317"/>
    <n v="-3"/>
    <x v="0"/>
    <d v="2025-01-07T18:49:00"/>
    <d v="2025-01-08T02:22:00"/>
    <d v="2025-01-07T19:33:00"/>
    <n v="-400.48333333333335"/>
    <n v="43.06666666666667"/>
    <x v="1"/>
    <d v="2025-01-08T10:58:00"/>
    <d v="2025-01-09T11:16:00"/>
    <n v="1427.6166666666666"/>
    <x v="0"/>
    <d v="2025-01-10T07:51:00"/>
    <d v="2025-01-10T09:07:00"/>
    <n v="74.416666666666671"/>
    <x v="0"/>
    <n v="2.5124999999970896"/>
    <x v="3"/>
    <n v="1.0124999999970896"/>
    <n v="60.299999999930151"/>
    <n v="24"/>
    <n v="36.299999999930151"/>
    <n v="4.2314049586858289"/>
    <x v="7"/>
  </r>
  <r>
    <x v="4"/>
    <x v="1"/>
    <d v="2025-01-07T18:54:46"/>
    <s v="OMIFRI4RR"/>
    <x v="1"/>
    <s v="UAY 526V"/>
    <s v="Benon Ssempijja"/>
    <s v="Agaba Services"/>
    <n v="153.60000000000002"/>
    <s v="F15691"/>
    <x v="20"/>
    <x v="1"/>
    <x v="0"/>
    <x v="1"/>
    <x v="20"/>
    <x v="20"/>
    <n v="294"/>
    <n v="-8"/>
    <x v="0"/>
    <d v="2025-01-08T09:11:00"/>
    <d v="2025-01-08T04:15:00"/>
    <d v="2025-01-08T09:57:00"/>
    <n v="334.86666666666667"/>
    <n v="45.033333333333331"/>
    <x v="1"/>
    <d v="2025-01-08T15:29:00"/>
    <d v="2025-01-08T17:16:00"/>
    <n v="104.76666666666667"/>
    <x v="0"/>
    <d v="2025-01-09T08:58:00"/>
    <d v="2025-01-09T09:42:00"/>
    <n v="43.06666666666667"/>
    <x v="0"/>
    <n v="0.95902777778246673"/>
    <x v="8"/>
    <n v="-4.0972222217533272E-2"/>
    <n v="23.016666666779201"/>
    <n v="0"/>
    <n v="23.016666666779201"/>
    <n v="6.6734250542758451"/>
    <x v="0"/>
  </r>
  <r>
    <x v="4"/>
    <x v="1"/>
    <d v="2025-01-07T18:55:40"/>
    <s v="OM65I70RR"/>
    <x v="1"/>
    <s v="UBE 419T"/>
    <s v="Kilabila Ismail"/>
    <s v="Kabaco U Ltd-Mbarara"/>
    <n v="153.60000000000002"/>
    <s v="Z82092"/>
    <x v="8"/>
    <x v="1"/>
    <x v="0"/>
    <x v="1"/>
    <x v="8"/>
    <x v="8"/>
    <n v="14"/>
    <n v="3"/>
    <x v="0"/>
    <d v="2025-01-07T18:35:00"/>
    <d v="2025-01-08T07:42:00"/>
    <d v="2025-01-07T19:19:00"/>
    <n v="-727.5333333333333"/>
    <n v="43.06666666666667"/>
    <x v="1"/>
    <d v="2025-01-07T20:08:00"/>
    <d v="2025-01-08T13:09:00"/>
    <n v="999.7166666666667"/>
    <x v="0"/>
    <d v="2025-01-08T15:39:00"/>
    <d v="2025-01-08T17:53:00"/>
    <n v="131.19999999999999"/>
    <x v="4"/>
    <n v="0.84722222222626442"/>
    <x v="5"/>
    <n v="4.7222222226264376E-2"/>
    <n v="20.333333333430346"/>
    <n v="0"/>
    <n v="20.333333333430346"/>
    <n v="7.5540983606196974"/>
    <x v="0"/>
  </r>
  <r>
    <x v="4"/>
    <x v="0"/>
    <d v="2025-01-07T19:03:53"/>
    <s v="OMBC2B0RR"/>
    <x v="1"/>
    <s v="UBP 298H"/>
    <s v="SENTONG DAVID"/>
    <s v="Rugoma Traders-Rukungiri"/>
    <n v="156"/>
    <s v="Z82093"/>
    <x v="17"/>
    <x v="0"/>
    <x v="0"/>
    <x v="0"/>
    <x v="17"/>
    <x v="17"/>
    <n v="272"/>
    <n v="16"/>
    <x v="0"/>
    <d v="2025-01-08T09:44:00"/>
    <d v="2025-01-08T04:04:00"/>
    <d v="2025-01-08T10:28:00"/>
    <n v="376"/>
    <n v="43.06666666666667"/>
    <x v="1"/>
    <d v="2025-01-08T17:08:00"/>
    <d v="2025-01-09T12:19:00"/>
    <n v="1127.0166666666667"/>
    <x v="0"/>
    <d v="2025-01-09T16:46:00"/>
    <d v="2025-01-09T18:43:00"/>
    <n v="114.55"/>
    <x v="10"/>
    <n v="1.2624999999970896"/>
    <x v="8"/>
    <n v="0.26249999999708962"/>
    <n v="30.299999999930151"/>
    <n v="12"/>
    <n v="18.299999999930151"/>
    <n v="8.5245901639669643"/>
    <x v="0"/>
  </r>
  <r>
    <x v="4"/>
    <x v="1"/>
    <d v="2025-01-07T19:49:39"/>
    <s v="OM8ZA87RR"/>
    <x v="1"/>
    <s v="UBE 287X"/>
    <s v="Isaac Tumuhimbise"/>
    <s v="KATO INVESTMENTS LIMITED-MASAK"/>
    <n v="153.60000000000002"/>
    <s v="F15692"/>
    <x v="14"/>
    <x v="1"/>
    <x v="0"/>
    <x v="1"/>
    <x v="14"/>
    <x v="14"/>
    <n v="154"/>
    <n v="-186"/>
    <x v="2"/>
    <d v="2025-01-08T06:51:00"/>
    <d v="2025-01-08T04:14:00"/>
    <d v="2025-01-08T07:35:00"/>
    <n v="196.8"/>
    <n v="43.06666666666667"/>
    <x v="1"/>
    <d v="2025-01-08T10:35:00"/>
    <d v="2025-01-08T15:11:00"/>
    <n v="270.25"/>
    <x v="0"/>
    <d v="2025-01-09T08:37:00"/>
    <d v="2025-01-09T09:45:00"/>
    <n v="66.583333333333329"/>
    <x v="0"/>
    <n v="1.0430555555576575"/>
    <x v="8"/>
    <n v="4.3055555557657499E-2"/>
    <n v="25.03333333338378"/>
    <n v="12"/>
    <n v="13.03333333338378"/>
    <n v="11.785166240363594"/>
    <x v="0"/>
  </r>
  <r>
    <x v="4"/>
    <x v="0"/>
    <d v="2025-01-07T19:50:22"/>
    <s v="OMDMEGIRR"/>
    <x v="0"/>
    <s v="UBF 379L"/>
    <m/>
    <s v="Kobusinge Steven-FPortal"/>
    <n v="156"/>
    <s v="Z82094"/>
    <x v="11"/>
    <x v="0"/>
    <x v="0"/>
    <x v="0"/>
    <x v="11"/>
    <x v="11"/>
    <n v="397"/>
    <n v="7"/>
    <x v="0"/>
    <d v="2025-01-08T08:18:22"/>
    <d v="2025-01-08T07:50:22"/>
    <d v="2025-01-08T08:58:22"/>
    <n v="66.583333333333329"/>
    <n v="39.166666666666664"/>
    <x v="1"/>
    <d v="2025-01-09T10:28:22"/>
    <d v="2025-01-09T15:17:22"/>
    <n v="282.96666666666664"/>
    <x v="0"/>
    <d v="2025-01-10T12:13:29"/>
    <d v="2025-01-10T13:04:29"/>
    <n v="49.93333333333333"/>
    <x v="0"/>
    <n v="2.1354999999966822"/>
    <x v="0"/>
    <n v="0.13549999999668216"/>
    <n v="51.251999999920372"/>
    <n v="24"/>
    <n v="27.251999999920372"/>
    <n v="5.7243505064015787"/>
    <x v="0"/>
  </r>
  <r>
    <x v="4"/>
    <x v="0"/>
    <d v="2025-01-07T19:53:28"/>
    <s v="OMTPUGSRR"/>
    <x v="0"/>
    <s v="UBJ 417C"/>
    <m/>
    <s v="Kato Investment Ltd -Mityana"/>
    <n v="156"/>
    <s v="A19912"/>
    <x v="16"/>
    <x v="0"/>
    <x v="0"/>
    <x v="0"/>
    <x v="16"/>
    <x v="16"/>
    <m/>
    <n v="-690"/>
    <x v="0"/>
    <d v="2025-01-08T08:21:28"/>
    <d v="2025-01-08T07:53:28"/>
    <d v="2025-01-08T09:05:28"/>
    <n v="70.483333333333334"/>
    <n v="43.06666666666667"/>
    <x v="1"/>
    <d v="2025-01-09T11:05:28"/>
    <d v="2025-01-09T16:05:28"/>
    <n v="293.75"/>
    <x v="0"/>
    <d v="2025-01-10T11:21:47"/>
    <d v="2025-01-10T12:22:47"/>
    <n v="59.716666666666669"/>
    <x v="0"/>
    <n v="2.0946666666714009"/>
    <x v="0"/>
    <n v="9.466666667140089E-2"/>
    <n v="50.272000000113621"/>
    <n v="24"/>
    <n v="26.272000000113621"/>
    <n v="5.9378806333482537"/>
    <x v="0"/>
  </r>
  <r>
    <x v="4"/>
    <x v="0"/>
    <d v="2025-01-07T19:57:51"/>
    <s v="OM2GG6XRR"/>
    <x v="0"/>
    <s v="UBM 644D"/>
    <m/>
    <s v="Kabaco U Ltd"/>
    <n v="156"/>
    <s v="Z82095"/>
    <x v="6"/>
    <x v="0"/>
    <x v="0"/>
    <x v="0"/>
    <x v="6"/>
    <x v="6"/>
    <n v="323"/>
    <n v="3"/>
    <x v="0"/>
    <d v="2025-01-07T20:05:51"/>
    <d v="2025-01-08T07:57:51"/>
    <d v="2025-01-07T20:46:51"/>
    <n v="-657.0333333333333"/>
    <n v="40.133333333333333"/>
    <x v="1"/>
    <d v="2025-01-08T14:46:51"/>
    <d v="2025-01-08T20:13:51"/>
    <n v="320.18333333333334"/>
    <x v="0"/>
    <d v="2025-01-09T12:33:03"/>
    <d v="2025-01-09T13:11:03"/>
    <n v="37.200000000000003"/>
    <x v="0"/>
    <n v="1.6570833333244082"/>
    <x v="3"/>
    <n v="0.15708333332440816"/>
    <n v="39.769999999785796"/>
    <n v="12"/>
    <n v="27.769999999785796"/>
    <n v="5.6175729204610478"/>
    <x v="0"/>
  </r>
  <r>
    <x v="4"/>
    <x v="0"/>
    <d v="2025-01-07T21:59:12"/>
    <s v="OM87MA9RR"/>
    <x v="0"/>
    <s v="UBP 301H"/>
    <m/>
    <s v="Kato Investment Ltd -Kagadi"/>
    <n v="156"/>
    <s v="A19918"/>
    <x v="12"/>
    <x v="0"/>
    <x v="0"/>
    <x v="0"/>
    <x v="12"/>
    <x v="12"/>
    <n v="607"/>
    <n v="-5"/>
    <x v="0"/>
    <d v="2025-01-08T10:27:12"/>
    <d v="2025-01-08T09:59:12"/>
    <d v="2025-01-08T11:14:12"/>
    <n v="73.433333333333337"/>
    <n v="46.016666666666666"/>
    <x v="1"/>
    <d v="2025-01-09T12:44:12"/>
    <d v="2025-01-09T17:44:12"/>
    <n v="293.75"/>
    <x v="0"/>
    <d v="2025-01-10T11:55:43"/>
    <d v="2025-01-10T12:52:43"/>
    <n v="55.8"/>
    <x v="0"/>
    <n v="2.0288333333373885"/>
    <x v="6"/>
    <n v="-0.27116666666261136"/>
    <n v="48.692000000097323"/>
    <n v="24"/>
    <n v="24.692000000097323"/>
    <n v="6.3178357362459554"/>
    <x v="0"/>
  </r>
  <r>
    <x v="4"/>
    <x v="0"/>
    <d v="2025-01-08T00:00:00"/>
    <s v="OM02L8JN"/>
    <x v="0"/>
    <s v="UBP 311H"/>
    <m/>
    <s v="Ntale and Sons Ltd-Kakiri"/>
    <n v="155.10000000000002"/>
    <s v="A19922"/>
    <x v="22"/>
    <x v="0"/>
    <x v="0"/>
    <x v="0"/>
    <x v="22"/>
    <x v="21"/>
    <n v="602"/>
    <n v="-18"/>
    <x v="0"/>
    <d v="2025-01-08T08:11:00"/>
    <d v="2025-01-08T07:30:00"/>
    <d v="2025-01-08T08:38:00"/>
    <n v="66.583333333333329"/>
    <n v="26.433333333333334"/>
    <x v="1"/>
    <d v="2025-01-08T21:08:00"/>
    <d v="2025-01-09T15:22:24"/>
    <n v="1071.5999999999999"/>
    <x v="0"/>
    <d v="2025-01-10T11:10:24"/>
    <d v="2025-01-10T12:05:24"/>
    <n v="53.85"/>
    <x v="0"/>
    <n v="2.1058333333348855"/>
    <x v="0"/>
    <n v="0.10583333333488554"/>
    <n v="50.540000000037253"/>
    <n v="24"/>
    <n v="26.540000000037253"/>
    <n v="5.8440090429458298"/>
    <x v="0"/>
  </r>
  <r>
    <x v="4"/>
    <x v="0"/>
    <d v="2025-01-08T00:00:00"/>
    <s v="OM02L8M9"/>
    <x v="0"/>
    <s v="UBE 678K"/>
    <m/>
    <s v="Kobusinge Steven-FPortal"/>
    <n v="156"/>
    <s v="Z82096"/>
    <x v="11"/>
    <x v="0"/>
    <x v="0"/>
    <x v="0"/>
    <x v="11"/>
    <x v="11"/>
    <n v="397"/>
    <n v="7"/>
    <x v="0"/>
    <d v="2025-01-08T07:58:00"/>
    <d v="2025-01-08T07:30:00"/>
    <d v="2025-01-08T08:42:00"/>
    <n v="70.483333333333334"/>
    <n v="43.06666666666667"/>
    <x v="1"/>
    <d v="2025-01-09T10:12:00"/>
    <d v="2025-01-09T14:31:00"/>
    <n v="253.6"/>
    <x v="0"/>
    <d v="2025-01-10T09:34:34"/>
    <d v="2025-01-10T10:34:34"/>
    <n v="58.733333333333334"/>
    <x v="0"/>
    <n v="2.0365000000019791"/>
    <x v="0"/>
    <n v="3.650000000197906E-2"/>
    <n v="48.876000000047497"/>
    <n v="24"/>
    <n v="24.876000000047497"/>
    <n v="6.2711046791969025"/>
    <x v="0"/>
  </r>
  <r>
    <x v="4"/>
    <x v="0"/>
    <d v="2025-01-08T00:00:00"/>
    <s v="OM02L8PX"/>
    <x v="0"/>
    <s v="UBP 311H"/>
    <s v="Ekwalikwa Yusuf"/>
    <s v="Kabaco U Ltd"/>
    <n v="156"/>
    <s v="Z82099"/>
    <x v="6"/>
    <x v="0"/>
    <x v="0"/>
    <x v="0"/>
    <x v="6"/>
    <x v="6"/>
    <n v="323"/>
    <n v="3"/>
    <x v="0"/>
    <d v="2025-01-08T07:42:00"/>
    <d v="2025-01-08T07:30:00"/>
    <d v="2025-01-08T08:38:00"/>
    <n v="66.583333333333329"/>
    <n v="54.833333333333336"/>
    <x v="4"/>
    <d v="2025-01-08T14:38:00"/>
    <d v="2025-01-08T20:07:00"/>
    <n v="322.13333333333333"/>
    <x v="0"/>
    <d v="2025-01-09T12:26:12"/>
    <d v="2025-01-09T13:11:12"/>
    <n v="44.05"/>
    <x v="0"/>
    <n v="1.1584722222251003"/>
    <x v="3"/>
    <n v="-0.34152777777489973"/>
    <n v="27.803333333402406"/>
    <n v="16"/>
    <n v="11.803333333402406"/>
    <n v="13.216605478600997"/>
    <x v="0"/>
  </r>
  <r>
    <x v="4"/>
    <x v="0"/>
    <d v="2025-01-08T00:00:00"/>
    <s v="OM02L8Q3"/>
    <x v="0"/>
    <s v="UBP 311H"/>
    <s v="Ekwalikwa Yusuf"/>
    <s v="Kobusinge Steven-Kamwenge"/>
    <n v="156"/>
    <s v="Z82101"/>
    <x v="13"/>
    <x v="0"/>
    <x v="0"/>
    <x v="0"/>
    <x v="13"/>
    <x v="13"/>
    <n v="234"/>
    <n v="4"/>
    <x v="0"/>
    <d v="2025-01-08T07:58:00"/>
    <d v="2025-01-08T07:30:00"/>
    <d v="2025-01-08T08:58:00"/>
    <n v="86.15"/>
    <n v="58.733333333333334"/>
    <x v="9"/>
    <d v="2025-01-09T09:58:00"/>
    <d v="2025-01-09T19:25:00"/>
    <n v="555.18333333333328"/>
    <x v="0"/>
    <d v="2025-01-10T12:27:24"/>
    <d v="2025-01-10T13:43:24"/>
    <n v="74.400000000000006"/>
    <x v="0"/>
    <n v="2.1454166666662786"/>
    <x v="7"/>
    <n v="0.84541666666627857"/>
    <n v="51.489999999990687"/>
    <n v="32"/>
    <n v="19.489999999990687"/>
    <n v="8.0041046690648816"/>
    <x v="0"/>
  </r>
  <r>
    <x v="4"/>
    <x v="0"/>
    <d v="2025-01-08T00:00:00"/>
    <s v="OM02L8Q4"/>
    <x v="0"/>
    <s v="UBP 311H"/>
    <m/>
    <s v="Kobusinge Acaali- Kyenjojo"/>
    <n v="156"/>
    <s v="Z82102"/>
    <x v="3"/>
    <x v="0"/>
    <x v="0"/>
    <x v="0"/>
    <x v="3"/>
    <x v="3"/>
    <n v="496"/>
    <n v="16"/>
    <x v="0"/>
    <d v="2025-01-08T07:58:00"/>
    <d v="2025-01-08T07:30:00"/>
    <d v="2025-01-08T08:38:00"/>
    <n v="66.583333333333329"/>
    <n v="39.166666666666664"/>
    <x v="1"/>
    <d v="2025-01-09T10:23:00"/>
    <d v="2025-01-09T17:12:00"/>
    <n v="400.46666666666664"/>
    <x v="0"/>
    <d v="2025-01-10T19:38:44"/>
    <d v="2025-01-10T20:43:44"/>
    <n v="63.633333333333333"/>
    <x v="0"/>
    <n v="2.4588444444452762"/>
    <x v="1"/>
    <n v="-4.1155555554723833E-2"/>
    <n v="59.012266666686628"/>
    <n v="24"/>
    <n v="35.012266666686628"/>
    <n v="4.4555812819862481"/>
    <x v="0"/>
  </r>
  <r>
    <x v="4"/>
    <x v="0"/>
    <d v="2025-01-08T12:07:41"/>
    <s v="OMAXS8ORR"/>
    <x v="0"/>
    <s v="UBJ 419C"/>
    <m/>
    <s v="Boniface Harera"/>
    <n v="156"/>
    <s v="F15694"/>
    <x v="10"/>
    <x v="0"/>
    <x v="0"/>
    <x v="0"/>
    <x v="10"/>
    <x v="10"/>
    <n v="465"/>
    <n v="-5"/>
    <x v="0"/>
    <d v="2025-01-09T00:35:41"/>
    <d v="2025-01-09T00:07:41"/>
    <d v="2025-01-09T01:39:41"/>
    <n v="90.066666666666663"/>
    <n v="62.65"/>
    <x v="6"/>
    <d v="2025-01-10T01:39:41"/>
    <d v="2025-01-10T07:24:41"/>
    <n v="337.8"/>
    <x v="0"/>
    <d v="2025-01-11T07:17:29"/>
    <d v="2025-01-11T08:05:29"/>
    <n v="46.983333333333334"/>
    <x v="0"/>
    <n v="2.234583333338378"/>
    <x v="1"/>
    <n v="-0.265416666661622"/>
    <n v="53.630000000121072"/>
    <n v="32"/>
    <n v="21.630000000121072"/>
    <n v="7.2122052704173276"/>
    <x v="0"/>
  </r>
  <r>
    <x v="4"/>
    <x v="0"/>
    <d v="2025-01-08T12:58:25"/>
    <s v="OM6FUXCRR"/>
    <x v="1"/>
    <s v="UBJ 705D"/>
    <s v="KASULE JOHNBOSC"/>
    <s v="Kato Investments Ltd- Kyegegwa"/>
    <n v="156"/>
    <s v="A19923"/>
    <x v="18"/>
    <x v="0"/>
    <x v="0"/>
    <x v="0"/>
    <x v="18"/>
    <x v="18"/>
    <n v="603"/>
    <n v="38"/>
    <x v="0"/>
    <d v="2025-01-08T13:34:00"/>
    <d v="2025-01-08T20:24:00"/>
    <d v="2025-01-08T14:18:00"/>
    <n v="-358.38333333333333"/>
    <n v="43.06666666666667"/>
    <x v="1"/>
    <d v="2025-01-09T08:54:00"/>
    <d v="2025-01-09T11:53:00"/>
    <n v="175.26666666666668"/>
    <x v="0"/>
    <d v="2025-01-09T20:28:00"/>
    <d v="2025-01-09T21:28:00"/>
    <n v="58.733333333333334"/>
    <x v="0"/>
    <n v="1.2569444444452529"/>
    <x v="0"/>
    <n v="-0.74305555555474712"/>
    <n v="30.166666666686069"/>
    <n v="12"/>
    <n v="18.166666666686069"/>
    <n v="8.587155963293581"/>
    <x v="0"/>
  </r>
  <r>
    <x v="4"/>
    <x v="1"/>
    <d v="2025-01-08T13:15:27"/>
    <s v="OMOMP47RR"/>
    <x v="0"/>
    <s v="UAV 051U"/>
    <s v="Angello Lumala"/>
    <s v="Rugoma Traders-Kanungu/Kihihi"/>
    <n v="153.60000000000002"/>
    <s v="F15695"/>
    <x v="23"/>
    <x v="1"/>
    <x v="0"/>
    <x v="1"/>
    <x v="23"/>
    <x v="14"/>
    <n v="348"/>
    <n v="8"/>
    <x v="0"/>
    <d v="2025-01-09T13:43:27"/>
    <d v="2025-01-09T01:15:27"/>
    <d v="2025-01-09T14:32:27"/>
    <n v="780.38333333333333"/>
    <n v="47.966666666666669"/>
    <x v="1"/>
    <d v="2025-01-09T21:07:27"/>
    <d v="2025-01-10T13:41:03"/>
    <n v="972.9"/>
    <x v="0"/>
    <d v="2025-01-11T07:55:27"/>
    <d v="2025-01-11T08:43:27"/>
    <n v="46.983333333333334"/>
    <x v="0"/>
    <n v="1.7243055555591127"/>
    <x v="3"/>
    <n v="0.22430555555911269"/>
    <n v="41.383333333418705"/>
    <n v="12"/>
    <n v="29.383333333418705"/>
    <n v="5.2274532047494189"/>
    <x v="0"/>
  </r>
  <r>
    <x v="4"/>
    <x v="1"/>
    <d v="2025-01-08T16:01:20"/>
    <s v="OMN3QBKRR"/>
    <x v="1"/>
    <s v="UAV 203T"/>
    <s v="Mugisha  George"/>
    <s v="KATO INVESTMENTS LIMITED-MASAK"/>
    <n v="153.60000000000002"/>
    <s v="F15696"/>
    <x v="14"/>
    <x v="1"/>
    <x v="0"/>
    <x v="1"/>
    <x v="14"/>
    <x v="14"/>
    <n v="151"/>
    <n v="-189"/>
    <x v="2"/>
    <d v="2025-01-08T17:07:00"/>
    <d v="2025-01-09T04:14:00"/>
    <d v="2025-01-08T17:41:00"/>
    <n v="-619.81666666666672"/>
    <n v="33.283333333333331"/>
    <x v="1"/>
    <d v="2025-01-08T20:25:00"/>
    <d v="2025-01-09T13:01:00"/>
    <n v="975.23333333333335"/>
    <x v="0"/>
    <d v="2025-01-09T16:09:00"/>
    <d v="2025-01-09T17:36:00"/>
    <n v="85.183333333333337"/>
    <x v="0"/>
    <n v="0.93611111111385981"/>
    <x v="8"/>
    <n v="-6.3888888886140194E-2"/>
    <n v="22.466666666732635"/>
    <n v="0"/>
    <n v="22.466666666732635"/>
    <n v="6.8367952522054454"/>
    <x v="0"/>
  </r>
  <r>
    <x v="4"/>
    <x v="1"/>
    <d v="2025-01-08T18:51:08"/>
    <s v="OM7J2X1RR"/>
    <x v="1"/>
    <s v="UBK 881R"/>
    <s v="James  Kironde"/>
    <s v="Ntale and Sons"/>
    <n v="153.60000000000002"/>
    <s v="A19929"/>
    <x v="19"/>
    <x v="1"/>
    <x v="0"/>
    <x v="1"/>
    <x v="19"/>
    <x v="19"/>
    <n v="826"/>
    <n v="16"/>
    <x v="0"/>
    <d v="2025-01-09T06:31:00"/>
    <d v="2025-01-08T20:00:00"/>
    <d v="2025-01-09T07:15:00"/>
    <n v="660.93333333333328"/>
    <n v="43.06666666666667"/>
    <x v="1"/>
    <d v="2025-01-09T18:37:00"/>
    <d v="2025-01-10T15:07:00"/>
    <n v="1204.3666666666666"/>
    <x v="0"/>
    <d v="2025-01-11T17:05:00"/>
    <d v="2025-01-11T17:44:00"/>
    <n v="38.18333333333333"/>
    <x v="0"/>
    <n v="2.4097222222189885"/>
    <x v="4"/>
    <n v="-0.59027777778101154"/>
    <n v="57.833333333255723"/>
    <n v="24"/>
    <n v="33.833333333255723"/>
    <n v="4.5399014778429274"/>
    <x v="0"/>
  </r>
  <r>
    <x v="4"/>
    <x v="1"/>
    <d v="2025-01-08T18:52:08"/>
    <s v="OM6MJPIRR"/>
    <x v="0"/>
    <s v="UAT 351G"/>
    <s v="Hamudi Sesanga"/>
    <s v="Kabaco U Ltd-Mbarara"/>
    <n v="152.02500000000001"/>
    <s v="Z82097"/>
    <x v="8"/>
    <x v="1"/>
    <x v="0"/>
    <x v="1"/>
    <x v="8"/>
    <x v="8"/>
    <n v="12"/>
    <n v="1"/>
    <x v="0"/>
    <d v="2025-01-09T07:58:08"/>
    <d v="2025-01-09T07:30:08"/>
    <d v="2025-01-09T08:38:08"/>
    <n v="66.583333333333329"/>
    <n v="39.166666666666664"/>
    <x v="1"/>
    <d v="2025-01-09T09:20:08"/>
    <d v="2025-01-09T11:38:08"/>
    <n v="135.11666666666667"/>
    <x v="0"/>
    <d v="2025-01-09T12:10:08"/>
    <d v="2025-01-09T13:20:08"/>
    <n v="68.533333333333331"/>
    <x v="0"/>
    <n v="0.14722222222189885"/>
    <x v="5"/>
    <n v="-0.6527777777781012"/>
    <n v="3.5333333333255723"/>
    <n v="0"/>
    <n v="3.5333333333255723"/>
    <n v="43.025943396320926"/>
    <x v="0"/>
  </r>
  <r>
    <x v="4"/>
    <x v="0"/>
    <d v="2025-01-08T18:55:50"/>
    <s v="OMGCPOPRR"/>
    <x v="1"/>
    <s v="UBK 858R"/>
    <s v="ALIPA EREKU"/>
    <s v="Rugoma Traders-Rukungiri"/>
    <n v="156"/>
    <s v="Z82098"/>
    <x v="17"/>
    <x v="0"/>
    <x v="0"/>
    <x v="0"/>
    <x v="17"/>
    <x v="17"/>
    <n v="254"/>
    <n v="-2"/>
    <x v="0"/>
    <d v="2025-01-08T20:13:00"/>
    <d v="2025-01-09T04:04:00"/>
    <d v="2025-01-08T20:57:00"/>
    <n v="-418.11666666666667"/>
    <n v="43.06666666666667"/>
    <x v="1"/>
    <d v="2025-01-09T08:37:00"/>
    <d v="2025-01-09T17:57:00"/>
    <n v="548.33333333333337"/>
    <x v="0"/>
    <d v="2025-01-10T09:01:00"/>
    <d v="2025-01-10T09:53:00"/>
    <n v="50.916666666666664"/>
    <x v="0"/>
    <n v="1.5027777777795563"/>
    <x v="8"/>
    <n v="0.50277777777955635"/>
    <n v="36.066666666709352"/>
    <n v="12"/>
    <n v="24.066666666709352"/>
    <n v="6.4819944598222987"/>
    <x v="0"/>
  </r>
  <r>
    <x v="4"/>
    <x v="1"/>
    <d v="2025-01-08T18:56:47"/>
    <s v="OM50BJLRR"/>
    <x v="1"/>
    <s v="UBJ 415C"/>
    <s v="Abel Mark naffa"/>
    <s v="Ntale and Sons"/>
    <n v="153.60000000000002"/>
    <s v="A19930"/>
    <x v="19"/>
    <x v="1"/>
    <x v="0"/>
    <x v="1"/>
    <x v="19"/>
    <x v="19"/>
    <n v="804"/>
    <n v="-6"/>
    <x v="0"/>
    <d v="2025-01-08T19:08:00"/>
    <d v="2025-01-08T20:00:00"/>
    <d v="2025-01-08T19:52:00"/>
    <n v="-7.85"/>
    <n v="43.06666666666667"/>
    <x v="1"/>
    <d v="2025-01-09T13:21:00"/>
    <d v="2025-01-10T13:30:00"/>
    <n v="1418.8"/>
    <x v="0"/>
    <d v="2025-01-12T12:35:00"/>
    <d v="2025-01-12T14:45:00"/>
    <n v="127.28333333333333"/>
    <x v="11"/>
    <n v="3.6965277777781012"/>
    <x v="4"/>
    <n v="0.69652777777810115"/>
    <n v="88.716666666674428"/>
    <n v="36"/>
    <n v="52.716666666674428"/>
    <n v="2.9136895352509153"/>
    <x v="13"/>
  </r>
  <r>
    <x v="4"/>
    <x v="1"/>
    <d v="2025-01-08T18:57:56"/>
    <s v="OM1NWRKRR"/>
    <x v="1"/>
    <s v="UBE 419T"/>
    <s v="Kilabila Ismail"/>
    <s v="Kato Investments Ltd-Bulenga"/>
    <n v="153.60000000000002"/>
    <s v="A19931"/>
    <x v="2"/>
    <x v="1"/>
    <x v="0"/>
    <x v="1"/>
    <x v="2"/>
    <x v="2"/>
    <n v="591"/>
    <n v="31"/>
    <x v="3"/>
    <d v="2025-01-08T18:57:00"/>
    <d v="2025-01-08T20:13:00"/>
    <d v="2025-01-08T19:31:00"/>
    <n v="-41.133333333333333"/>
    <n v="33.283333333333331"/>
    <x v="1"/>
    <d v="2025-01-09T14:15:00"/>
    <d v="2025-01-09T18:58:00"/>
    <n v="277.10000000000002"/>
    <x v="0"/>
    <d v="2025-01-10T17:24:00"/>
    <d v="2025-01-10T19:32:00"/>
    <n v="125.31666666666666"/>
    <x v="11"/>
    <n v="1.9118055555518367"/>
    <x v="0"/>
    <n v="-8.8194444448163267E-2"/>
    <n v="45.883333333244082"/>
    <n v="12"/>
    <n v="33.883333333244082"/>
    <n v="4.5332021643011693"/>
    <x v="0"/>
  </r>
  <r>
    <x v="4"/>
    <x v="1"/>
    <d v="2025-01-08T19:19:40"/>
    <s v="OM7S3B6RR"/>
    <x v="1"/>
    <s v="UBA 523T"/>
    <s v="Kabene John"/>
    <s v="KATO INVESTMENTS LIMITED-MASAK"/>
    <n v="153.60000000000002"/>
    <s v="F15697"/>
    <x v="14"/>
    <x v="1"/>
    <x v="0"/>
    <x v="1"/>
    <x v="14"/>
    <x v="14"/>
    <n v="300"/>
    <n v="-40"/>
    <x v="0"/>
    <d v="2025-01-09T07:57:00"/>
    <d v="2025-01-09T04:14:00"/>
    <d v="2025-01-09T08:41:00"/>
    <n v="261.43333333333334"/>
    <n v="43.06666666666667"/>
    <x v="1"/>
    <d v="2025-01-09T10:57:00"/>
    <d v="2025-01-09T15:53:00"/>
    <n v="289.83333333333331"/>
    <x v="0"/>
    <d v="2025-01-10T12:03:00"/>
    <d v="2025-01-10T14:38:00"/>
    <n v="151.76666666666668"/>
    <x v="6"/>
    <n v="1.140277777776646"/>
    <x v="8"/>
    <n v="0.14027777777664596"/>
    <n v="27.366666666639503"/>
    <n v="12"/>
    <n v="15.366666666639503"/>
    <n v="9.995661605223745"/>
    <x v="0"/>
  </r>
  <r>
    <x v="4"/>
    <x v="0"/>
    <d v="2025-01-08T19:20:44"/>
    <s v="OM49LLCRR"/>
    <x v="1"/>
    <s v="UBE 680K"/>
    <s v="BYEKWASO TWAHA"/>
    <s v="Kato Investments Ltd- Kyegegwa"/>
    <n v="156"/>
    <s v="A19933"/>
    <x v="18"/>
    <x v="0"/>
    <x v="0"/>
    <x v="0"/>
    <x v="18"/>
    <x v="18"/>
    <n v="564"/>
    <n v="-1"/>
    <x v="0"/>
    <d v="2025-01-08T19:35:00"/>
    <d v="2025-01-08T20:24:00"/>
    <d v="2025-01-08T20:30:00"/>
    <n v="5.8666666666666663"/>
    <n v="53.85"/>
    <x v="0"/>
    <d v="2025-01-09T10:04:00"/>
    <d v="2025-01-09T16:14:00"/>
    <n v="362.28333333333336"/>
    <x v="0"/>
    <d v="2025-01-10T06:49:00"/>
    <d v="2025-01-10T07:22:00"/>
    <n v="32.299999999999997"/>
    <x v="0"/>
    <n v="1.429861111115315"/>
    <x v="0"/>
    <n v="-0.570138888884685"/>
    <n v="34.31666666676756"/>
    <n v="16"/>
    <n v="18.31666666676756"/>
    <n v="8.516833484939438"/>
    <x v="0"/>
  </r>
  <r>
    <x v="4"/>
    <x v="0"/>
    <d v="2025-01-08T19:23:57"/>
    <s v="OMAQNGLRR"/>
    <x v="0"/>
    <s v="UBJ 420C"/>
    <s v="ZIWA ABASI"/>
    <s v="Kato Investment Ltd -Mityana"/>
    <n v="156"/>
    <s v="A19934"/>
    <x v="16"/>
    <x v="0"/>
    <x v="0"/>
    <x v="0"/>
    <x v="16"/>
    <x v="16"/>
    <m/>
    <n v="-690"/>
    <x v="0"/>
    <d v="2025-01-09T07:51:57"/>
    <d v="2025-01-09T07:23:57"/>
    <d v="2025-01-09T08:31:57"/>
    <n v="66.583333333333329"/>
    <n v="39.166666666666664"/>
    <x v="1"/>
    <d v="2025-01-10T10:31:57"/>
    <d v="2025-01-10T15:21:57"/>
    <n v="283.95"/>
    <x v="0"/>
    <d v="2025-01-11T12:47:52"/>
    <d v="2025-01-11T13:52:52"/>
    <n v="63.633333333333333"/>
    <x v="0"/>
    <n v="2.1777222222226555"/>
    <x v="0"/>
    <n v="0.17772222222265555"/>
    <n v="52.265333333343733"/>
    <n v="24"/>
    <n v="28.265333333343733"/>
    <n v="5.5191282607649867"/>
    <x v="0"/>
  </r>
  <r>
    <x v="4"/>
    <x v="1"/>
    <d v="2025-01-08T20:12:26"/>
    <s v="OMOO6XRRR"/>
    <x v="1"/>
    <s v="UAY 526V"/>
    <s v="Benon Ssempijja"/>
    <s v="Ntale and Sons"/>
    <n v="153.60000000000002"/>
    <s v="A19935"/>
    <x v="19"/>
    <x v="1"/>
    <x v="0"/>
    <x v="1"/>
    <x v="19"/>
    <x v="19"/>
    <n v="841"/>
    <n v="31"/>
    <x v="0"/>
    <d v="2025-01-09T18:54:00"/>
    <d v="2025-01-08T21:00:00"/>
    <d v="2025-01-09T19:38:00"/>
    <n v="1329.7"/>
    <n v="43.06666666666667"/>
    <x v="1"/>
    <d v="2025-01-10T18:55:00"/>
    <d v="2025-01-11T19:14:00"/>
    <n v="1428.6"/>
    <x v="0"/>
    <d v="2025-01-12T19:38:00"/>
    <d v="2025-01-12T20:35:00"/>
    <n v="55.8"/>
    <x v="0"/>
    <n v="3"/>
    <x v="4"/>
    <n v="0"/>
    <n v="72"/>
    <n v="36"/>
    <n v="36"/>
    <n v="4.2666666666666675"/>
    <x v="0"/>
  </r>
  <r>
    <x v="4"/>
    <x v="1"/>
    <d v="2025-01-08T20:14:12"/>
    <s v="OM48Z9DRR"/>
    <x v="1"/>
    <s v="UBJ 988D"/>
    <s v="Tumusiime Robert"/>
    <s v="Kabaco U Ltd"/>
    <n v="153.60000000000002"/>
    <s v="Z82104"/>
    <x v="6"/>
    <x v="1"/>
    <x v="0"/>
    <x v="1"/>
    <x v="6"/>
    <x v="6"/>
    <n v="318"/>
    <n v="-2"/>
    <x v="0"/>
    <d v="2025-01-09T12:29:00"/>
    <d v="2025-01-09T02:22:00"/>
    <d v="2025-01-09T13:03:00"/>
    <n v="627.63333333333333"/>
    <n v="33.283333333333331"/>
    <x v="1"/>
    <d v="2025-01-09T19:21:00"/>
    <d v="2025-01-10T14:59:00"/>
    <n v="1153.45"/>
    <x v="0"/>
    <d v="2025-01-11T08:51:00"/>
    <d v="2025-01-11T09:56:00"/>
    <n v="63.633333333333333"/>
    <x v="0"/>
    <n v="1.8250000000043656"/>
    <x v="3"/>
    <n v="0.32500000000436557"/>
    <n v="43.800000000104774"/>
    <n v="12"/>
    <n v="31.800000000104774"/>
    <n v="4.8301886792293693"/>
    <x v="0"/>
  </r>
  <r>
    <x v="4"/>
    <x v="1"/>
    <d v="2025-01-08T20:15:21"/>
    <s v="OMMKRU2RR"/>
    <x v="0"/>
    <s v="UAR 731Q"/>
    <s v="Godwin Niwensiima"/>
    <s v="Agaba Services"/>
    <n v="153.60000000000002"/>
    <s v="F15698"/>
    <x v="20"/>
    <x v="1"/>
    <x v="0"/>
    <x v="1"/>
    <x v="20"/>
    <x v="20"/>
    <n v="294"/>
    <n v="-8"/>
    <x v="0"/>
    <d v="2025-01-09T08:43:21"/>
    <d v="2025-01-09T08:15:21"/>
    <d v="2025-01-09T09:27:21"/>
    <n v="70.483333333333334"/>
    <n v="43.06666666666667"/>
    <x v="1"/>
    <d v="2025-01-09T15:27:21"/>
    <d v="2025-01-09T17:25:21"/>
    <n v="115.53333333333333"/>
    <x v="0"/>
    <d v="2025-01-10T08:18:09"/>
    <d v="2025-01-10T09:09:09"/>
    <n v="49.93333333333333"/>
    <x v="0"/>
    <n v="0.95194444444496185"/>
    <x v="8"/>
    <n v="-4.8055555555038154E-2"/>
    <n v="22.846666666679084"/>
    <n v="0"/>
    <n v="22.846666666679084"/>
    <n v="6.7230814123103242"/>
    <x v="0"/>
  </r>
  <r>
    <x v="4"/>
    <x v="0"/>
    <s v="1/9/2025 0:00"/>
    <s v="OM02L96Q"/>
    <x v="0"/>
    <s v="UBE 690K"/>
    <s v="MUKOSE MUZAMIRU"/>
    <s v="KATO INVESTMENTS LTD-KATIKARA"/>
    <n v="156"/>
    <s v="A19956"/>
    <x v="5"/>
    <x v="0"/>
    <x v="0"/>
    <x v="0"/>
    <x v="5"/>
    <x v="5"/>
    <n v="842"/>
    <n v="12"/>
    <x v="0"/>
    <d v="2025-01-09T07:05:00"/>
    <d v="2025-01-09T07:30:00"/>
    <d v="2025-01-09T08:08:00"/>
    <n v="37.200000000000003"/>
    <n v="61.68333333333333"/>
    <x v="1"/>
    <d v="2025-01-10T09:23:00"/>
    <d v="2025-01-11T16:06:12"/>
    <n v="1804.7833333333333"/>
    <x v="0"/>
    <d v="2025-01-12T20:54:12"/>
    <d v="2025-01-12T21:59:12"/>
    <n v="63.633333333333333"/>
    <x v="0"/>
    <n v="3.5320833333316841"/>
    <x v="0"/>
    <n v="1.5320833333316841"/>
    <n v="84.769999999960419"/>
    <n v="36"/>
    <n v="48.769999999960419"/>
    <n v="3.1986877178619357"/>
    <x v="5"/>
  </r>
  <r>
    <x v="4"/>
    <x v="0"/>
    <s v="1/9/2025 0:00"/>
    <s v="OM02L96E"/>
    <x v="0"/>
    <s v="UBE 690K"/>
    <s v="MUKOSE MUZAMIRU"/>
    <s v="Kobusinge Acaali- Kyenjojo"/>
    <n v="156"/>
    <s v="Z82112"/>
    <x v="3"/>
    <x v="0"/>
    <x v="0"/>
    <x v="0"/>
    <x v="3"/>
    <x v="3"/>
    <n v="469"/>
    <n v="-11"/>
    <x v="0"/>
    <d v="2025-01-09T07:15:00"/>
    <d v="2025-01-09T07:30:00"/>
    <d v="2025-01-09T08:01:00"/>
    <n v="30.35"/>
    <n v="45.033333333333331"/>
    <x v="1"/>
    <d v="2025-01-10T10:26:00"/>
    <d v="2025-01-10T15:48:00"/>
    <n v="315.28333333333336"/>
    <x v="0"/>
    <d v="2025-01-11T20:21:36"/>
    <d v="2025-01-11T21:41:36"/>
    <n v="78.316666666666663"/>
    <x v="0"/>
    <n v="2.5143055555599858"/>
    <x v="1"/>
    <n v="1.4305555559985805E-2"/>
    <n v="60.343333333439659"/>
    <n v="24"/>
    <n v="36.343333333439659"/>
    <n v="4.2923965880824619"/>
    <x v="0"/>
  </r>
  <r>
    <x v="4"/>
    <x v="0"/>
    <s v="1/9/2025 0:00"/>
    <s v="OM02L96W"/>
    <x v="0"/>
    <s v="UBP 311H"/>
    <s v="Ekwalikwa Yusuf"/>
    <s v="Kato Investments Ltd- Kakumiro"/>
    <n v="156"/>
    <s v="A19960"/>
    <x v="24"/>
    <x v="0"/>
    <x v="0"/>
    <x v="0"/>
    <x v="24"/>
    <x v="22"/>
    <n v="764"/>
    <n v="-1"/>
    <x v="0"/>
    <d v="2025-01-09T07:02:00"/>
    <d v="2025-01-09T07:30:00"/>
    <d v="2025-01-09T07:47:00"/>
    <n v="16.633333333333333"/>
    <n v="44.05"/>
    <x v="5"/>
    <d v="2025-01-09T16:47:00"/>
    <d v="2025-01-09T20:09:00"/>
    <n v="197.78333333333333"/>
    <x v="0"/>
    <d v="2025-01-10T13:40:12"/>
    <d v="2025-01-10T14:43:12"/>
    <n v="61.68333333333333"/>
    <x v="0"/>
    <n v="1.2452777777798474"/>
    <x v="3"/>
    <n v="-0.25472222222015262"/>
    <n v="29.886666666716337"/>
    <n v="16"/>
    <n v="13.886666666716337"/>
    <n v="11.233797407545032"/>
    <x v="0"/>
  </r>
  <r>
    <x v="4"/>
    <x v="0"/>
    <s v="1/9/2025 0:00"/>
    <s v="OM02L90Y"/>
    <x v="0"/>
    <s v="UBK 866R"/>
    <m/>
    <s v="Kato Investments Ltd-Bulenga"/>
    <n v="156"/>
    <s v="A19945"/>
    <x v="2"/>
    <x v="0"/>
    <x v="0"/>
    <x v="0"/>
    <x v="2"/>
    <x v="2"/>
    <n v="556"/>
    <n v="-4"/>
    <x v="0"/>
    <d v="2025-01-09T08:11:00"/>
    <d v="2025-01-09T07:30:00"/>
    <d v="2025-01-09T08:38:00"/>
    <n v="66.583333333333329"/>
    <n v="26.433333333333334"/>
    <x v="1"/>
    <d v="2025-01-10T08:38:00"/>
    <d v="2025-01-10T15:18:00"/>
    <n v="391.66666666666669"/>
    <x v="0"/>
    <d v="2025-01-11T14:09:12"/>
    <d v="2025-01-11T15:25:12"/>
    <n v="74.400000000000006"/>
    <x v="0"/>
    <n v="2.2300000000032014"/>
    <x v="0"/>
    <n v="0.23000000000320142"/>
    <n v="53.520000000076834"/>
    <n v="24"/>
    <n v="29.520000000076834"/>
    <n v="5.2845528455147006"/>
    <x v="0"/>
  </r>
  <r>
    <x v="4"/>
    <x v="0"/>
    <s v="1/9/2025 0:00"/>
    <s v="OM02L900"/>
    <x v="0"/>
    <s v="UBK 866R"/>
    <m/>
    <s v="Sawan Distributors Ltd-Kayabwe"/>
    <n v="156"/>
    <s v="A19943"/>
    <x v="9"/>
    <x v="0"/>
    <x v="0"/>
    <x v="0"/>
    <x v="9"/>
    <x v="9"/>
    <n v="384"/>
    <n v="-16"/>
    <x v="0"/>
    <d v="2025-01-09T07:58:00"/>
    <d v="2025-01-09T07:30:00"/>
    <d v="2025-01-09T08:45:00"/>
    <n v="73.433333333333337"/>
    <n v="46.016666666666666"/>
    <x v="8"/>
    <d v="2025-01-10T10:45:00"/>
    <d v="2025-01-10T15:14:00"/>
    <n v="263.38333333333333"/>
    <x v="0"/>
    <d v="2025-01-11T10:26:00"/>
    <d v="2025-01-11T11:29:00"/>
    <n v="61.68333333333333"/>
    <x v="0"/>
    <n v="2.070138888891961"/>
    <x v="0"/>
    <n v="7.013888889196096E-2"/>
    <n v="49.683333333407063"/>
    <n v="32"/>
    <n v="17.683333333407063"/>
    <n v="8.8218661639594469"/>
    <x v="0"/>
  </r>
  <r>
    <x v="4"/>
    <x v="0"/>
    <s v="1/9/2025 0:00"/>
    <s v="OM02L96U"/>
    <x v="0"/>
    <s v="UBP 311H"/>
    <m/>
    <s v="Kato Investments Ltd- Kyegegwa"/>
    <n v="156"/>
    <s v="A19959"/>
    <x v="18"/>
    <x v="0"/>
    <x v="0"/>
    <x v="0"/>
    <x v="18"/>
    <x v="18"/>
    <n v="572"/>
    <n v="7"/>
    <x v="0"/>
    <d v="2025-01-09T06:58:00"/>
    <d v="2025-01-09T07:30:00"/>
    <d v="2025-01-09T07:45:00"/>
    <n v="14.683333333333334"/>
    <n v="46.016666666666666"/>
    <x v="1"/>
    <d v="2025-01-10T10:05:00"/>
    <d v="2025-01-10T15:35:00"/>
    <n v="323.11666666666667"/>
    <x v="0"/>
    <d v="2025-01-11T09:10:31"/>
    <d v="2025-01-11T10:15:31"/>
    <n v="63.633333333333333"/>
    <x v="0"/>
    <n v="2.0593888888834044"/>
    <x v="0"/>
    <n v="5.9388888883404434E-2"/>
    <n v="49.425333333201706"/>
    <n v="24"/>
    <n v="25.425333333201706"/>
    <n v="6.1356127746922073"/>
    <x v="0"/>
  </r>
  <r>
    <x v="4"/>
    <x v="1"/>
    <s v="1/9/2025 21:00"/>
    <s v="OM91JXWRR"/>
    <x v="0"/>
    <s v="UBE 422T"/>
    <s v="Jacob Oneka"/>
    <s v="Ntale and Sons"/>
    <n v="153.6"/>
    <s v="A19953"/>
    <x v="19"/>
    <x v="1"/>
    <x v="0"/>
    <x v="1"/>
    <x v="19"/>
    <x v="19"/>
    <n v="803"/>
    <n v="-7"/>
    <x v="0"/>
    <d v="2025-01-10T07:58:00"/>
    <d v="2025-01-10T07:30:00"/>
    <d v="2025-01-10T08:41:00"/>
    <n v="69.516666666666666"/>
    <n v="42.1"/>
    <x v="1"/>
    <d v="2025-01-11T10:13:00"/>
    <d v="2025-01-12T16:43:00"/>
    <n v="1791.8666666666666"/>
    <x v="0"/>
    <d v="2025-01-13T17:00:17"/>
    <d v="2025-01-13T18:16:17"/>
    <n v="74.400000000000006"/>
    <x v="0"/>
    <n v="3.3467222222243436"/>
    <x v="4"/>
    <n v="0.34672222222434357"/>
    <n v="80.321333333384246"/>
    <n v="36"/>
    <n v="44.321333333384246"/>
    <n v="3.465599711196043"/>
    <x v="0"/>
  </r>
  <r>
    <x v="4"/>
    <x v="1"/>
    <s v="1/9/2025 22:38"/>
    <s v="OMC77MMRR"/>
    <x v="1"/>
    <s v="UBE 287X"/>
    <s v="Isaac Tumuhimbise"/>
    <s v="KATO INVESTMENTS LTD- KALISIZO"/>
    <n v="153.6"/>
    <s v="F15701"/>
    <x v="4"/>
    <x v="1"/>
    <x v="0"/>
    <x v="1"/>
    <x v="4"/>
    <x v="4"/>
    <n v="350"/>
    <n v="0"/>
    <x v="0"/>
    <d v="2025-01-10T08:18:00"/>
    <d v="2025-01-10T07:30:00"/>
    <d v="2025-01-10T09:01:00"/>
    <n v="89.1"/>
    <n v="42.1"/>
    <x v="1"/>
    <d v="2025-01-11T10:51:00"/>
    <d v="2025-01-11T14:19:00"/>
    <n v="203.66666666666666"/>
    <x v="0"/>
    <d v="2025-01-12T08:48:00"/>
    <d v="2025-01-12T12:14:00"/>
    <n v="201.7"/>
    <x v="4"/>
    <n v="1.9909722222218988"/>
    <x v="2"/>
    <n v="0.29097222222189889"/>
    <n v="47.783333333325572"/>
    <n v="12"/>
    <n v="35.783333333325572"/>
    <n v="4.292501164416394"/>
    <x v="0"/>
  </r>
  <r>
    <x v="4"/>
    <x v="0"/>
    <s v="1/10/2025 0:00"/>
    <s v="OM02L9L2"/>
    <x v="0"/>
    <s v="UBP 311H"/>
    <m/>
    <s v="Kabaco U Ltd"/>
    <n v="156"/>
    <s v="Z82130"/>
    <x v="6"/>
    <x v="0"/>
    <x v="0"/>
    <x v="0"/>
    <x v="6"/>
    <x v="6"/>
    <n v="323"/>
    <n v="3"/>
    <x v="0"/>
    <d v="2025-01-10T07:22:00"/>
    <d v="2025-01-10T07:30:00"/>
    <d v="2025-01-10T08:03:00"/>
    <n v="32.299999999999997"/>
    <n v="40.133333333333333"/>
    <x v="1"/>
    <d v="2025-01-10T14:03:00"/>
    <d v="2025-01-10T18:50:00"/>
    <n v="281.01666666666665"/>
    <x v="0"/>
    <d v="2025-01-11T11:09:12"/>
    <d v="2025-01-11T12:17:12"/>
    <n v="66.583333333333329"/>
    <x v="0"/>
    <n v="1.1293055555579485"/>
    <x v="3"/>
    <n v="-0.37069444444205146"/>
    <n v="27.103333333390765"/>
    <n v="12"/>
    <n v="15.103333333390765"/>
    <n v="10.328845729380278"/>
    <x v="0"/>
  </r>
  <r>
    <x v="4"/>
    <x v="1"/>
    <s v="1/10/2025 22:20"/>
    <s v="OMFFWYQRR"/>
    <x v="0"/>
    <s v="UBK 875R"/>
    <s v="Bisaso  Ronald"/>
    <s v="Kato Investments Ltd-Bulenga"/>
    <n v="153.6"/>
    <s v="A19983"/>
    <x v="2"/>
    <x v="1"/>
    <x v="0"/>
    <x v="1"/>
    <x v="2"/>
    <x v="2"/>
    <n v="702"/>
    <n v="142"/>
    <x v="0"/>
    <d v="2025-01-11T07:58:00"/>
    <d v="2025-01-11T07:30:00"/>
    <d v="2025-01-11T08:41:00"/>
    <n v="69.516666666666666"/>
    <n v="42.1"/>
    <x v="1"/>
    <d v="2025-01-12T11:55:00"/>
    <d v="2025-01-12T18:06:00"/>
    <n v="363.26666666666665"/>
    <x v="0"/>
    <d v="2025-01-13T11:55:00"/>
    <d v="2025-01-13T12:58:00"/>
    <n v="61.68333333333333"/>
    <x v="0"/>
    <n v="2.1347222222248092"/>
    <x v="0"/>
    <n v="0.13472222222480923"/>
    <n v="51.233333333395422"/>
    <n v="24"/>
    <n v="27.233333333395422"/>
    <n v="5.6401468788121107"/>
    <x v="0"/>
  </r>
  <r>
    <x v="4"/>
    <x v="0"/>
    <s v="1/10/2025 22:24"/>
    <s v="OMHK4MCRR"/>
    <x v="0"/>
    <s v="UBK 858R"/>
    <s v="ALIPA EREKU"/>
    <s v="Kato Investment Ltd -Kagadi"/>
    <n v="156"/>
    <s v="A19985"/>
    <x v="12"/>
    <x v="0"/>
    <x v="0"/>
    <x v="0"/>
    <x v="12"/>
    <x v="12"/>
    <n v="625"/>
    <n v="13"/>
    <x v="0"/>
    <d v="2025-01-11T07:58:00"/>
    <d v="2025-01-11T07:30:00"/>
    <d v="2025-01-11T08:41:00"/>
    <n v="69.516666666666666"/>
    <n v="42.1"/>
    <x v="1"/>
    <d v="2025-01-12T09:13:00"/>
    <d v="2025-01-12T14:17:00"/>
    <n v="297.64999999999998"/>
    <x v="0"/>
    <d v="2025-01-13T08:28:31"/>
    <d v="2025-01-13T09:30:31"/>
    <n v="60.7"/>
    <x v="0"/>
    <n v="1.9913333333315677"/>
    <x v="6"/>
    <n v="-0.30866666666843212"/>
    <n v="47.791999999957625"/>
    <n v="12"/>
    <n v="35.791999999957625"/>
    <n v="4.358515869473198"/>
    <x v="0"/>
  </r>
  <r>
    <x v="4"/>
    <x v="1"/>
    <s v="1/10/2025 22:27"/>
    <s v="OM07GNXRR"/>
    <x v="0"/>
    <s v="UAT 351G"/>
    <s v="Hamudi Sesanga"/>
    <s v="KATO INVESTMENTS LIMITED-MASAK"/>
    <n v="153.6"/>
    <s v="F15703"/>
    <x v="14"/>
    <x v="1"/>
    <x v="0"/>
    <x v="1"/>
    <x v="14"/>
    <x v="14"/>
    <n v="415"/>
    <n v="75"/>
    <x v="0"/>
    <d v="2025-01-11T08:11:00"/>
    <d v="2025-01-11T07:30:00"/>
    <d v="2025-01-11T08:54:00"/>
    <n v="82.25"/>
    <n v="42.1"/>
    <x v="1"/>
    <d v="2025-01-11T12:07:00"/>
    <d v="2025-01-11T16:30:00"/>
    <n v="257.51666666666665"/>
    <x v="0"/>
    <d v="2025-01-11T19:10:00"/>
    <d v="2025-01-11T20:12:00"/>
    <n v="60.7"/>
    <x v="0"/>
    <n v="0.42777777777519077"/>
    <x v="8"/>
    <n v="-0.57222222222480923"/>
    <n v="10.266666666604578"/>
    <n v="0"/>
    <n v="10.266666666604578"/>
    <n v="14.961038961129438"/>
    <x v="0"/>
  </r>
  <r>
    <x v="4"/>
    <x v="0"/>
    <s v="1/11/2025 0:00"/>
    <s v="OM02L9W8"/>
    <x v="0"/>
    <s v="UBE 673K"/>
    <s v="Bulega Sperito"/>
    <s v="Kabaco U Ltd"/>
    <n v="156"/>
    <s v="Z82141"/>
    <x v="6"/>
    <x v="0"/>
    <x v="0"/>
    <x v="0"/>
    <x v="6"/>
    <x v="6"/>
    <n v="323"/>
    <n v="3"/>
    <x v="0"/>
    <d v="2025-01-11T06:43:00"/>
    <d v="2025-01-11T07:30:00"/>
    <d v="2025-01-11T07:34:00"/>
    <n v="3.9166666666666665"/>
    <n v="49.93333333333333"/>
    <x v="9"/>
    <d v="2025-01-11T13:34:00"/>
    <d v="2025-01-11T19:03:00"/>
    <n v="322.13333333333333"/>
    <x v="0"/>
    <d v="2025-01-12T11:22:12"/>
    <d v="2025-01-12T12:42:12"/>
    <n v="78.316666666666663"/>
    <x v="0"/>
    <n v="1.1584722222251003"/>
    <x v="3"/>
    <n v="-0.34152777777489973"/>
    <n v="27.803333333402406"/>
    <n v="16"/>
    <n v="11.803333333402406"/>
    <n v="13.216605478600997"/>
    <x v="0"/>
  </r>
  <r>
    <x v="4"/>
    <x v="0"/>
    <s v="1/11/2025 0:00"/>
    <s v="OM02L9WM"/>
    <x v="0"/>
    <s v="UBK 866R"/>
    <m/>
    <s v="Kabaco U Ltd"/>
    <n v="156"/>
    <s v="Z82142"/>
    <x v="6"/>
    <x v="0"/>
    <x v="0"/>
    <x v="0"/>
    <x v="6"/>
    <x v="6"/>
    <n v="323"/>
    <n v="3"/>
    <x v="0"/>
    <d v="2025-01-11T07:21:00"/>
    <d v="2025-01-11T07:30:00"/>
    <d v="2025-01-11T08:04:00"/>
    <n v="33.283333333333331"/>
    <n v="42.1"/>
    <x v="1"/>
    <d v="2025-01-11T14:04:00"/>
    <d v="2025-01-11T19:00:00"/>
    <n v="289.83333333333331"/>
    <x v="0"/>
    <d v="2025-01-12T11:19:12"/>
    <d v="2025-01-12T12:24:12"/>
    <n v="63.633333333333333"/>
    <x v="0"/>
    <n v="1.1355555555564933"/>
    <x v="3"/>
    <n v="-0.36444444444350665"/>
    <n v="27.25333333335584"/>
    <n v="12"/>
    <n v="15.25333333335584"/>
    <n v="10.227272727257636"/>
    <x v="0"/>
  </r>
  <r>
    <x v="4"/>
    <x v="0"/>
    <s v="1/11/2025 0:00"/>
    <s v="OM02L9X8"/>
    <x v="0"/>
    <s v="UBK 866R"/>
    <m/>
    <s v="Kato Investment Ltd -Mityana"/>
    <n v="156"/>
    <s v="A20005"/>
    <x v="16"/>
    <x v="0"/>
    <x v="0"/>
    <x v="0"/>
    <x v="16"/>
    <x v="16"/>
    <m/>
    <n v="-690"/>
    <x v="0"/>
    <d v="2025-01-11T07:02:00"/>
    <d v="2025-01-11T07:30:00"/>
    <d v="2025-01-11T07:52:00"/>
    <n v="21.533333333333335"/>
    <n v="48.95"/>
    <x v="3"/>
    <d v="2025-01-12T09:52:00"/>
    <d v="2025-01-12T14:54:00"/>
    <n v="295.7"/>
    <x v="0"/>
    <d v="2025-01-13T10:10:19"/>
    <d v="2025-01-13T11:26:19"/>
    <n v="74.400000000000006"/>
    <x v="0"/>
    <n v="2.0960555555575411"/>
    <x v="0"/>
    <n v="9.6055555557541084E-2"/>
    <n v="50.305333333380986"/>
    <n v="32"/>
    <n v="18.305333333380986"/>
    <n v="8.5221064898896799"/>
    <x v="0"/>
  </r>
  <r>
    <x v="4"/>
    <x v="0"/>
    <s v="1/11/2025 0:00"/>
    <s v="OM02L9X4"/>
    <x v="0"/>
    <s v="UBE 673K"/>
    <s v="Bulega Sperito"/>
    <s v="KATO INVESTMENTS LTD-KATIKARA"/>
    <n v="156"/>
    <s v="A20003"/>
    <x v="5"/>
    <x v="0"/>
    <x v="0"/>
    <x v="0"/>
    <x v="5"/>
    <x v="5"/>
    <n v="842"/>
    <n v="12"/>
    <x v="0"/>
    <d v="2025-01-11T07:04:00"/>
    <d v="2025-01-11T07:30:00"/>
    <d v="2025-01-11T07:48:00"/>
    <n v="17.616666666666667"/>
    <n v="43.06666666666667"/>
    <x v="6"/>
    <d v="2025-01-12T09:03:00"/>
    <d v="2025-01-12T13:49:00"/>
    <n v="280.03333333333336"/>
    <x v="0"/>
    <d v="2025-01-13T18:37:00"/>
    <d v="2025-01-13T19:42:00"/>
    <n v="63.633333333333333"/>
    <x v="0"/>
    <n v="2.4506944444437977"/>
    <x v="0"/>
    <n v="0.45069444444379769"/>
    <n v="58.816666666651145"/>
    <n v="32"/>
    <n v="26.816666666651145"/>
    <n v="5.8172778123091469"/>
    <x v="0"/>
  </r>
  <r>
    <x v="4"/>
    <x v="0"/>
    <s v="1/11/2025 0:00"/>
    <s v="OM02L9T0"/>
    <x v="0"/>
    <s v="UBK 866R"/>
    <m/>
    <s v="KATO INVESTMENTS LTD-KATIKARA"/>
    <n v="156"/>
    <s v="A19990"/>
    <x v="5"/>
    <x v="0"/>
    <x v="0"/>
    <x v="0"/>
    <x v="5"/>
    <x v="5"/>
    <n v="842"/>
    <n v="12"/>
    <x v="0"/>
    <d v="2025-01-11T07:14:00"/>
    <d v="2025-01-11T07:30:00"/>
    <d v="2025-01-11T08:01:00"/>
    <n v="30.35"/>
    <n v="46.016666666666666"/>
    <x v="1"/>
    <d v="2025-01-12T09:16:00"/>
    <d v="2025-01-13T15:30:24"/>
    <n v="1776.6"/>
    <x v="0"/>
    <d v="2025-01-14T20:18:24"/>
    <d v="2025-01-14T21:21:24"/>
    <n v="61.68333333333333"/>
    <x v="0"/>
    <n v="3.5120833333348855"/>
    <x v="0"/>
    <n v="1.5120833333348855"/>
    <n v="84.290000000037253"/>
    <n v="36"/>
    <n v="48.290000000037253"/>
    <n v="3.2304825015506244"/>
    <x v="9"/>
  </r>
  <r>
    <x v="4"/>
    <x v="1"/>
    <s v="1/11/2025 15:44"/>
    <s v="OM4DOVGRR"/>
    <x v="0"/>
    <s v="UBE 287X"/>
    <s v="Isaac Tumuhimbise"/>
    <s v="KATO INVESTMENTS LTD- KALISIZO"/>
    <n v="153.6"/>
    <s v="F15704"/>
    <x v="4"/>
    <x v="1"/>
    <x v="0"/>
    <x v="1"/>
    <x v="4"/>
    <x v="4"/>
    <n v="413"/>
    <n v="63"/>
    <x v="0"/>
    <d v="2025-01-11T16:28:00"/>
    <d v="2025-01-11T16:16:00"/>
    <d v="2025-01-11T17:09:00"/>
    <n v="51.883333333333333"/>
    <n v="40.133333333333333"/>
    <x v="7"/>
    <d v="2025-01-12T09:09:00"/>
    <d v="2025-01-12T13:59:00"/>
    <n v="283.95"/>
    <x v="0"/>
    <d v="2025-01-13T13:59:00"/>
    <d v="2025-01-13T15:04:00"/>
    <n v="63.633333333333333"/>
    <x v="0"/>
    <n v="1.8680555555547471"/>
    <x v="2"/>
    <n v="0.16805555555474716"/>
    <n v="44.833333333313931"/>
    <n v="16"/>
    <n v="28.833333333313931"/>
    <n v="5.3271676300613882"/>
    <x v="0"/>
  </r>
  <r>
    <x v="4"/>
    <x v="1"/>
    <s v="1/11/2025 19:39"/>
    <s v="OMDBS1TRR"/>
    <x v="0"/>
    <s v="UAY 265V"/>
    <s v="Luyaga Isaac"/>
    <s v="Kato Investments Ltd-Bulenga"/>
    <n v="153.6"/>
    <s v="A19992"/>
    <x v="2"/>
    <x v="1"/>
    <x v="0"/>
    <x v="1"/>
    <x v="2"/>
    <x v="2"/>
    <n v="16"/>
    <n v="-544"/>
    <x v="0"/>
    <d v="2025-01-12T07:58:00"/>
    <d v="2025-01-12T07:30:00"/>
    <d v="2025-01-12T08:50:00"/>
    <n v="78.316666666666663"/>
    <n v="50.916666666666664"/>
    <x v="1"/>
    <d v="2025-01-13T08:50:00"/>
    <d v="2025-01-13T14:05:00"/>
    <n v="308.43333333333334"/>
    <x v="0"/>
    <d v="2025-01-14T14:21:12"/>
    <d v="2025-01-14T15:26:12"/>
    <n v="63.633333333333333"/>
    <x v="0"/>
    <n v="2.2300000000032014"/>
    <x v="0"/>
    <n v="0.23000000000320142"/>
    <n v="53.520000000076834"/>
    <n v="24"/>
    <n v="29.520000000076834"/>
    <n v="5.2032520325067821"/>
    <x v="0"/>
  </r>
  <r>
    <x v="4"/>
    <x v="1"/>
    <s v="1/11/2025 20:11"/>
    <s v="OM25K0CRR"/>
    <x v="1"/>
    <s v="UBK 881R"/>
    <s v="James  Kironde"/>
    <s v="Kabaco U Ltd-Mbarara"/>
    <n v="153.6"/>
    <s v="Z82139"/>
    <x v="8"/>
    <x v="1"/>
    <x v="0"/>
    <x v="1"/>
    <x v="8"/>
    <x v="8"/>
    <n v="26"/>
    <n v="15"/>
    <x v="0"/>
    <d v="2025-01-12T07:06:00"/>
    <d v="2025-01-12T07:30:00"/>
    <d v="2025-01-12T07:51:00"/>
    <n v="20.55"/>
    <n v="44.05"/>
    <x v="6"/>
    <d v="2025-01-12T09:17:24"/>
    <d v="2025-01-12T15:46:12"/>
    <n v="380.68333333333334"/>
    <x v="0"/>
    <d v="2025-01-12T14:18:00"/>
    <d v="2025-01-12T15:20:00"/>
    <n v="60.7"/>
    <x v="0"/>
    <n v="0.26875000000291038"/>
    <x v="5"/>
    <n v="-0.53124999999708966"/>
    <n v="6.4500000000698492"/>
    <n v="0"/>
    <n v="6.4500000000698492"/>
    <n v="23.813953488114201"/>
    <x v="0"/>
  </r>
  <r>
    <x v="4"/>
    <x v="1"/>
    <s v="1/11/2025 23:40"/>
    <s v="OMJUD54RR"/>
    <x v="0"/>
    <s v="UBE 419T"/>
    <s v="Kilabila Ismail"/>
    <s v="KATO INVESTMENTS LIMITED-MASAK"/>
    <n v="153.6"/>
    <s v="F15709"/>
    <x v="14"/>
    <x v="1"/>
    <x v="0"/>
    <x v="1"/>
    <x v="14"/>
    <x v="14"/>
    <n v="299"/>
    <n v="-41"/>
    <x v="0"/>
    <d v="2025-01-12T08:11:00"/>
    <d v="2025-01-12T07:30:00"/>
    <d v="2025-01-12T08:52:00"/>
    <n v="80.283333333333331"/>
    <n v="40.133333333333333"/>
    <x v="1"/>
    <d v="2025-01-12T12:05:00"/>
    <d v="2025-01-12T17:14:00"/>
    <n v="302.55"/>
    <x v="0"/>
    <d v="2025-01-13T07:38:00"/>
    <d v="2025-01-13T08:48:00"/>
    <n v="68.533333333333331"/>
    <x v="0"/>
    <n v="0.94861111111094942"/>
    <x v="8"/>
    <n v="-5.1388888889050577E-2"/>
    <n v="22.766666666662786"/>
    <n v="0"/>
    <n v="22.766666666662786"/>
    <n v="6.7467057101036385"/>
    <x v="0"/>
  </r>
  <r>
    <x v="4"/>
    <x v="1"/>
    <s v="1/11/2025 23:41"/>
    <s v="OM0X9GERR"/>
    <x v="0"/>
    <s v="UAT 351G"/>
    <s v="Hamudi Sesanga"/>
    <s v="KATO INVESTMENTS LIMITED-MASAK"/>
    <n v="153.6"/>
    <s v="F15710"/>
    <x v="14"/>
    <x v="1"/>
    <x v="0"/>
    <x v="1"/>
    <x v="14"/>
    <x v="14"/>
    <n v="328"/>
    <n v="-12"/>
    <x v="0"/>
    <d v="2025-01-12T07:58:00"/>
    <d v="2025-01-12T07:30:00"/>
    <d v="2025-01-12T08:35:00"/>
    <n v="63.633333333333333"/>
    <n v="36.216666666666669"/>
    <x v="1"/>
    <d v="2025-01-12T11:48:00"/>
    <d v="2025-01-12T17:40:00"/>
    <n v="344.65"/>
    <x v="0"/>
    <d v="2025-01-13T08:04:00"/>
    <d v="2025-01-13T09:07:00"/>
    <n v="61.68333333333333"/>
    <x v="0"/>
    <n v="0.97847222221753327"/>
    <x v="8"/>
    <n v="-2.1527777782466728E-2"/>
    <n v="23.483333333220799"/>
    <n v="0"/>
    <n v="23.483333333220799"/>
    <n v="6.5408090844884059"/>
    <x v="0"/>
  </r>
  <r>
    <x v="4"/>
    <x v="0"/>
    <s v="1/12/2025 0:00"/>
    <s v="OM02L9YT"/>
    <x v="0"/>
    <s v="UBK 866R"/>
    <m/>
    <s v="Kobusinge Steven-Kamwenge"/>
    <n v="156"/>
    <s v="Z82148"/>
    <x v="13"/>
    <x v="0"/>
    <x v="0"/>
    <x v="0"/>
    <x v="13"/>
    <x v="23"/>
    <n v="234"/>
    <n v="-70"/>
    <x v="0"/>
    <d v="2025-01-12T07:58:00"/>
    <d v="2025-01-12T07:30:00"/>
    <d v="2025-01-12T08:53:00"/>
    <n v="81.266666666666666"/>
    <n v="53.85"/>
    <x v="2"/>
    <d v="2025-01-13T09:23:00"/>
    <d v="2025-01-13T17:10:00"/>
    <n v="457.26666666666665"/>
    <x v="0"/>
    <d v="2025-01-14T10:12:24"/>
    <d v="2025-01-14T11:20:24"/>
    <n v="66.583333333333329"/>
    <x v="0"/>
    <n v="2.055138888892543"/>
    <x v="7"/>
    <n v="0.75513888889254299"/>
    <n v="49.323333333421033"/>
    <n v="32"/>
    <n v="17.323333333421033"/>
    <n v="9.0051953049380558"/>
    <x v="0"/>
  </r>
  <r>
    <x v="4"/>
    <x v="0"/>
    <s v="1/13/2025 0:00"/>
    <s v="OM02LA1G"/>
    <x v="0"/>
    <s v="UBE 678K"/>
    <m/>
    <s v="Kato Investment Ltd -Mityana"/>
    <n v="157.5"/>
    <s v="A20019"/>
    <x v="16"/>
    <x v="0"/>
    <x v="0"/>
    <x v="0"/>
    <x v="16"/>
    <x v="16"/>
    <m/>
    <n v="-690"/>
    <x v="0"/>
    <d v="2025-01-13T07:58:00"/>
    <d v="2025-01-13T07:30:00"/>
    <d v="2025-01-13T08:37:00"/>
    <n v="65.599999999999994"/>
    <n v="38.18333333333333"/>
    <x v="6"/>
    <d v="2025-01-14T09:37:00"/>
    <d v="2025-01-14T14:57:00"/>
    <n v="313.31666666666666"/>
    <x v="0"/>
    <d v="2025-01-15T09:58:55"/>
    <d v="2025-01-15T11:14:55"/>
    <n v="74.400000000000006"/>
    <x v="0"/>
    <n v="2.0568888888810761"/>
    <x v="0"/>
    <n v="5.6888888881076127E-2"/>
    <n v="49.365333333145827"/>
    <n v="32"/>
    <n v="17.365333333145827"/>
    <n v="9.0697942261421591"/>
    <x v="0"/>
  </r>
  <r>
    <x v="4"/>
    <x v="1"/>
    <s v="1/13/2025 11:36"/>
    <s v="OMWT228RR"/>
    <x v="0"/>
    <s v="UAV 203T"/>
    <s v="Mugisha  George"/>
    <s v="Kabaco U Ltd-Mbarara"/>
    <n v="153.6"/>
    <s v="Z82152"/>
    <x v="8"/>
    <x v="1"/>
    <x v="0"/>
    <x v="1"/>
    <x v="8"/>
    <x v="8"/>
    <n v="13"/>
    <n v="2"/>
    <x v="0"/>
    <d v="2025-01-13T12:34:00"/>
    <d v="2025-01-13T12:06:00"/>
    <d v="2025-01-13T13:26:00"/>
    <n v="78.316666666666663"/>
    <n v="50.916666666666664"/>
    <x v="1"/>
    <d v="2025-01-13T14:02:00"/>
    <d v="2025-01-13T17:58:00"/>
    <n v="231.08333333333334"/>
    <x v="0"/>
    <d v="2025-01-13T18:27:00"/>
    <d v="2025-01-13T19:32:00"/>
    <n v="63.633333333333333"/>
    <x v="0"/>
    <n v="0.20902777778246673"/>
    <x v="5"/>
    <n v="-0.59097222221753332"/>
    <n v="5.0166666667792015"/>
    <n v="0"/>
    <n v="5.0166666667792015"/>
    <n v="30.617940198648721"/>
    <x v="0"/>
  </r>
  <r>
    <x v="4"/>
    <x v="1"/>
    <s v="1/13/2025 11:37"/>
    <s v="OMRIOMRRR"/>
    <x v="0"/>
    <s v="UAY 526V"/>
    <s v="Benon Ssempijja"/>
    <s v="Ntale and Sons"/>
    <n v="144"/>
    <s v="A20020"/>
    <x v="19"/>
    <x v="1"/>
    <x v="0"/>
    <x v="1"/>
    <x v="19"/>
    <x v="19"/>
    <n v="798"/>
    <n v="-12"/>
    <x v="0"/>
    <d v="2025-01-13T12:35:00"/>
    <d v="2025-01-13T12:07:00"/>
    <d v="2025-01-13T13:11:00"/>
    <n v="62.65"/>
    <n v="35.25"/>
    <x v="1"/>
    <d v="2025-01-14T19:11:00"/>
    <d v="2025-01-17T14:23:00"/>
    <n v="3948"/>
    <x v="0"/>
    <d v="2025-01-18T14:51:48"/>
    <d v="2025-01-18T15:53:48"/>
    <n v="60.7"/>
    <x v="0"/>
    <n v="5.069999999999709"/>
    <x v="4"/>
    <n v="2.069999999999709"/>
    <n v="121.67999999999302"/>
    <n v="60"/>
    <n v="61.679999999993015"/>
    <n v="2.3346303501948169"/>
    <x v="7"/>
  </r>
  <r>
    <x v="4"/>
    <x v="1"/>
    <s v="1/13/2025 11:40"/>
    <s v="OM7MQQSRR"/>
    <x v="0"/>
    <s v="UAV 051U"/>
    <s v="Angello Lumala"/>
    <s v="RUGOMA TRADERS CO. LTD NTUNGAM"/>
    <n v="153.6"/>
    <s v="F15714"/>
    <x v="15"/>
    <x v="1"/>
    <x v="0"/>
    <x v="1"/>
    <x v="15"/>
    <x v="15"/>
    <n v="129"/>
    <n v="-1"/>
    <x v="0"/>
    <d v="2025-01-13T22:18:00"/>
    <d v="2025-01-13T22:06:00"/>
    <d v="2025-01-13T22:57:00"/>
    <n v="49.93333333333333"/>
    <n v="38.18333333333333"/>
    <x v="4"/>
    <d v="2025-01-14T11:27:00"/>
    <d v="2025-01-14T16:07:00"/>
    <n v="274.16666666666669"/>
    <x v="0"/>
    <d v="2025-01-14T18:37:00"/>
    <d v="2025-01-14T19:57:00"/>
    <n v="78.316666666666663"/>
    <x v="0"/>
    <n v="0.81944444444525288"/>
    <x v="8"/>
    <n v="-0.18055555555474712"/>
    <n v="19.666666666686069"/>
    <n v="0"/>
    <n v="19.666666666686069"/>
    <n v="7.8101694915177182"/>
    <x v="0"/>
  </r>
  <r>
    <x v="4"/>
    <x v="1"/>
    <s v="1/14/2025 19:12"/>
    <s v="OM2878BRR"/>
    <x v="0"/>
    <s v="UBE 419T"/>
    <s v="Kilabila Ismail"/>
    <s v="Boniface Harera"/>
    <n v="153.6"/>
    <s v="F15715"/>
    <x v="10"/>
    <x v="1"/>
    <x v="0"/>
    <x v="1"/>
    <x v="10"/>
    <x v="10"/>
    <n v="819"/>
    <n v="349"/>
    <x v="0"/>
    <d v="2025-01-15T06:55:00"/>
    <d v="2025-01-15T07:30:00"/>
    <d v="2025-01-15T07:50:00"/>
    <n v="19.583333333333332"/>
    <n v="53.85"/>
    <x v="6"/>
    <d v="2025-01-16T09:50:00"/>
    <d v="2025-01-16T14:45:00"/>
    <n v="288.85000000000002"/>
    <x v="0"/>
    <d v="2025-01-17T13:33:00"/>
    <d v="2025-01-17T14:49:00"/>
    <n v="74.400000000000006"/>
    <x v="0"/>
    <n v="2.2381944444423425"/>
    <x v="1"/>
    <n v="-0.2618055555576575"/>
    <n v="53.71666666661622"/>
    <n v="32"/>
    <n v="21.71666666661622"/>
    <n v="7.0729086723111338"/>
    <x v="0"/>
  </r>
  <r>
    <x v="4"/>
    <x v="1"/>
    <s v="1/14/2025 19:33"/>
    <s v="OMMGTQTRR"/>
    <x v="0"/>
    <s v="UBE 287X"/>
    <s v="Isaac Tumuhimbise"/>
    <s v="Kabaco U Ltd"/>
    <n v="153.6"/>
    <s v="Z82160"/>
    <x v="6"/>
    <x v="1"/>
    <x v="0"/>
    <x v="1"/>
    <x v="6"/>
    <x v="6"/>
    <n v="317"/>
    <n v="-3"/>
    <x v="0"/>
    <d v="2025-01-15T06:57:00"/>
    <d v="2025-01-15T07:30:00"/>
    <d v="2025-01-15T07:36:00"/>
    <n v="5.8666666666666663"/>
    <n v="38.18333333333333"/>
    <x v="1"/>
    <d v="2025-01-15T13:36:00"/>
    <d v="2025-01-15T19:03:00"/>
    <n v="320.18333333333334"/>
    <x v="0"/>
    <d v="2025-01-16T11:22:12"/>
    <d v="2025-01-16T12:27:12"/>
    <n v="63.633333333333333"/>
    <x v="0"/>
    <n v="1.1570833333316841"/>
    <x v="3"/>
    <n v="-0.34291666666831588"/>
    <n v="27.769999999960419"/>
    <n v="12"/>
    <n v="15.769999999960419"/>
    <n v="9.7400126823326261"/>
    <x v="0"/>
  </r>
  <r>
    <x v="4"/>
    <x v="1"/>
    <s v="1/14/2025 19:36"/>
    <s v="OMU6OH3RR"/>
    <x v="0"/>
    <s v="UAT 351G"/>
    <s v="Hamudi Sesanga"/>
    <s v="Kabaco U Ltd-Mbarara"/>
    <n v="155.625"/>
    <s v="Z82159"/>
    <x v="8"/>
    <x v="1"/>
    <x v="0"/>
    <x v="1"/>
    <x v="8"/>
    <x v="8"/>
    <n v="13"/>
    <n v="2"/>
    <x v="0"/>
    <d v="2025-01-15T06:51:00"/>
    <d v="2025-01-15T07:30:00"/>
    <d v="2025-01-15T07:30:00"/>
    <n v="0"/>
    <n v="38.18333333333333"/>
    <x v="1"/>
    <d v="2025-01-15T08:12:00"/>
    <d v="2025-01-15T11:29:00"/>
    <n v="192.88333333333333"/>
    <x v="0"/>
    <d v="2025-01-15T11:58:00"/>
    <d v="2025-01-15T13:03:00"/>
    <n v="63.633333333333333"/>
    <x v="0"/>
    <n v="0.18611111111385981"/>
    <x v="5"/>
    <n v="-0.61388888888614024"/>
    <n v="4.4666666667326353"/>
    <n v="0"/>
    <n v="4.4666666667326353"/>
    <n v="34.841417909933185"/>
    <x v="0"/>
  </r>
  <r>
    <x v="4"/>
    <x v="1"/>
    <s v="1/15/2025 16:30"/>
    <s v="OMIPYWZRR"/>
    <x v="0"/>
    <s v="UAT 351G"/>
    <s v="Hamudi Sesanga"/>
    <s v="KATO INVESTMENTS LTD- KALISIZO"/>
    <n v="151.42500000000001"/>
    <s v="F15718"/>
    <x v="4"/>
    <x v="1"/>
    <x v="0"/>
    <x v="1"/>
    <x v="4"/>
    <x v="4"/>
    <n v="374"/>
    <n v="24"/>
    <x v="0"/>
    <d v="2025-01-15T17:28:00"/>
    <d v="2025-01-15T17:00:00"/>
    <d v="2025-01-15T18:02:00"/>
    <n v="60.7"/>
    <n v="33.283333333333331"/>
    <x v="1"/>
    <d v="2025-01-16T07:02:00"/>
    <d v="2025-01-16T12:02:00"/>
    <n v="293.75"/>
    <x v="0"/>
    <d v="2025-01-17T11:34:38"/>
    <d v="2025-01-17T12:39:38"/>
    <n v="63.633333333333333"/>
    <x v="0"/>
    <n v="1.7310000000070431"/>
    <x v="2"/>
    <n v="3.1000000007043171E-2"/>
    <n v="41.544000000169035"/>
    <n v="12"/>
    <n v="29.544000000169035"/>
    <n v="5.1254061738130803"/>
    <x v="0"/>
  </r>
  <r>
    <x v="4"/>
    <x v="0"/>
    <s v="1/15/2025 22:31"/>
    <s v="OMK9VQKRR"/>
    <x v="0"/>
    <s v="UBE 680K"/>
    <s v="BYEKWASO TWAHA"/>
    <s v="Ntale and Sons Ltd-Kakiri"/>
    <n v="156"/>
    <s v="A20070"/>
    <x v="22"/>
    <x v="0"/>
    <x v="0"/>
    <x v="0"/>
    <x v="22"/>
    <x v="21"/>
    <n v="553"/>
    <n v="-67"/>
    <x v="0"/>
    <d v="2025-01-16T07:08:00"/>
    <d v="2025-01-16T07:30:00"/>
    <d v="2025-01-16T07:55:00"/>
    <n v="24.466666666666665"/>
    <n v="46.016666666666666"/>
    <x v="1"/>
    <d v="2025-01-16T20:25:00"/>
    <d v="2025-01-17T14:39:24"/>
    <n v="1071.5999999999999"/>
    <x v="0"/>
    <d v="2025-01-18T10:27:24"/>
    <d v="2025-01-18T11:43:24"/>
    <n v="74.400000000000006"/>
    <x v="0"/>
    <n v="2.1058333333348855"/>
    <x v="0"/>
    <n v="0.10583333333488554"/>
    <n v="50.540000000037253"/>
    <n v="24"/>
    <n v="26.540000000037253"/>
    <n v="5.87792012056447"/>
    <x v="0"/>
  </r>
  <r>
    <x v="4"/>
    <x v="0"/>
    <s v="1/16/2025 0:00"/>
    <s v="OM02LB8W"/>
    <x v="0"/>
    <s v="UBK 866R"/>
    <m/>
    <s v="Kato Investment Ltd -Mubende"/>
    <n v="156"/>
    <s v="A20086"/>
    <x v="1"/>
    <x v="0"/>
    <x v="0"/>
    <x v="0"/>
    <x v="1"/>
    <x v="1"/>
    <n v="665"/>
    <n v="-15"/>
    <x v="0"/>
    <d v="2025-01-16T07:42:00"/>
    <d v="2025-01-16T07:30:00"/>
    <d v="2025-01-16T08:26:00"/>
    <n v="54.81666666666667"/>
    <n v="43.06666666666667"/>
    <x v="7"/>
    <d v="2025-01-17T10:43:00"/>
    <d v="2025-01-17T15:46:00"/>
    <n v="296.68333333333334"/>
    <x v="0"/>
    <d v="2025-01-18T16:03:17"/>
    <d v="2025-01-18T17:06:17"/>
    <n v="61.68333333333333"/>
    <x v="0"/>
    <n v="2.3175555555571918"/>
    <x v="1"/>
    <n v="-0.18244444444280816"/>
    <n v="55.621333333372604"/>
    <n v="32"/>
    <n v="23.621333333372604"/>
    <n v="6.6041995935767375"/>
    <x v="0"/>
  </r>
  <r>
    <x v="4"/>
    <x v="0"/>
    <s v="1/16/2025 0:00"/>
    <s v="OM02LBA5"/>
    <x v="0"/>
    <s v="UBB 115P"/>
    <s v="Kakembo Masuud"/>
    <s v="Kobusinge Acaali- Kyenjojo"/>
    <n v="156"/>
    <s v="Z82195"/>
    <x v="3"/>
    <x v="0"/>
    <x v="0"/>
    <x v="0"/>
    <x v="3"/>
    <x v="3"/>
    <n v="469"/>
    <n v="-11"/>
    <x v="0"/>
    <d v="2025-01-16T07:01:00"/>
    <d v="2025-01-16T07:30:00"/>
    <d v="2025-01-16T07:50:00"/>
    <n v="19.583333333333332"/>
    <n v="47.966666666666669"/>
    <x v="6"/>
    <d v="2025-01-17T09:50:00"/>
    <d v="2025-01-17T14:11:00"/>
    <n v="255.55"/>
    <x v="0"/>
    <d v="2025-01-18T16:47:58"/>
    <d v="2025-01-18T17:50:58"/>
    <n v="61.68333333333333"/>
    <x v="0"/>
    <n v="2.3735833333339542"/>
    <x v="1"/>
    <n v="-0.12641666666604578"/>
    <n v="56.966000000014901"/>
    <n v="32"/>
    <n v="24.966000000014901"/>
    <n v="6.2484979572180919"/>
    <x v="0"/>
  </r>
  <r>
    <x v="4"/>
    <x v="0"/>
    <s v="1/16/2025 0:00"/>
    <s v="OM02LB8X"/>
    <x v="0"/>
    <s v="UBK 866R"/>
    <m/>
    <s v="Bates Enterprises U Ltd"/>
    <n v="156"/>
    <s v="Z82190"/>
    <x v="7"/>
    <x v="0"/>
    <x v="0"/>
    <x v="0"/>
    <x v="7"/>
    <x v="7"/>
    <n v="580"/>
    <n v="-26"/>
    <x v="0"/>
    <d v="2025-01-16T06:57:00"/>
    <d v="2025-01-16T07:30:00"/>
    <d v="2025-01-16T07:40:00"/>
    <n v="9.7833333333333332"/>
    <n v="42.1"/>
    <x v="8"/>
    <d v="2025-01-18T07:40:00"/>
    <d v="2025-01-18T12:40:00"/>
    <n v="293.75"/>
    <x v="0"/>
    <d v="2025-01-19T15:04:00"/>
    <d v="2025-01-19T16:09:00"/>
    <n v="63.633333333333333"/>
    <x v="0"/>
    <n v="3.3083333333343035"/>
    <x v="4"/>
    <n v="0.30833333333430346"/>
    <n v="79.400000000023283"/>
    <n v="48"/>
    <n v="31.400000000023283"/>
    <n v="4.9681528662383547"/>
    <x v="0"/>
  </r>
  <r>
    <x v="4"/>
    <x v="0"/>
    <s v="1/16/2025 0:00"/>
    <s v="OM02LB8G"/>
    <x v="0"/>
    <s v="UBK 866R"/>
    <m/>
    <s v="Kabaco U Ltd"/>
    <n v="156"/>
    <s v="Z82186"/>
    <x v="6"/>
    <x v="0"/>
    <x v="0"/>
    <x v="0"/>
    <x v="6"/>
    <x v="6"/>
    <n v="321"/>
    <n v="1"/>
    <x v="0"/>
    <d v="2025-01-16T07:18:00"/>
    <d v="2025-01-16T07:30:00"/>
    <d v="2025-01-16T08:02:00"/>
    <n v="31.316666666666666"/>
    <n v="43.06666666666667"/>
    <x v="1"/>
    <d v="2025-01-16T14:02:00"/>
    <d v="2025-01-16T18:49:00"/>
    <n v="281.01666666666665"/>
    <x v="0"/>
    <d v="2025-01-17T11:08:12"/>
    <d v="2025-01-17T12:28:12"/>
    <n v="78.316666666666663"/>
    <x v="0"/>
    <n v="1.1293055555579485"/>
    <x v="3"/>
    <n v="-0.37069444444205146"/>
    <n v="27.103333333390765"/>
    <n v="12"/>
    <n v="15.103333333390765"/>
    <n v="10.328845729380278"/>
    <x v="0"/>
  </r>
  <r>
    <x v="4"/>
    <x v="1"/>
    <s v="1/16/2025 21:44"/>
    <s v="OMGCR2FRR"/>
    <x v="0"/>
    <s v="UAY 265V"/>
    <s v="Luyaga Isaac"/>
    <s v="RUGOMA TRADERS CO. LTD NTUNGAM"/>
    <n v="153.6"/>
    <s v="F15725"/>
    <x v="15"/>
    <x v="1"/>
    <x v="0"/>
    <x v="1"/>
    <x v="15"/>
    <x v="15"/>
    <n v="131"/>
    <n v="1"/>
    <x v="0"/>
    <d v="2025-01-17T07:58:00"/>
    <d v="2025-01-17T07:30:00"/>
    <d v="2025-01-17T08:42:00"/>
    <n v="70.483333333333334"/>
    <n v="43.06666666666667"/>
    <x v="1"/>
    <d v="2025-01-17T10:58:00"/>
    <d v="2025-01-17T16:58:00"/>
    <n v="352.5"/>
    <x v="0"/>
    <d v="2025-01-17T19:08:00"/>
    <d v="2025-01-17T20:10:00"/>
    <n v="60.7"/>
    <x v="0"/>
    <n v="0.43472222222771961"/>
    <x v="8"/>
    <n v="-0.56527777777228039"/>
    <n v="10.433333333465271"/>
    <n v="0"/>
    <n v="10.433333333465271"/>
    <n v="14.722044728248333"/>
    <x v="0"/>
  </r>
  <r>
    <x v="4"/>
    <x v="0"/>
    <s v="1/16/2025 23:10"/>
    <s v="OML8B0JRR"/>
    <x v="0"/>
    <s v="UBF 379L"/>
    <m/>
    <s v="Kabaco U Ltd"/>
    <n v="154.34399999999999"/>
    <s v="Z82197"/>
    <x v="6"/>
    <x v="0"/>
    <x v="0"/>
    <x v="0"/>
    <x v="6"/>
    <x v="6"/>
    <n v="321"/>
    <n v="1"/>
    <x v="0"/>
    <d v="2025-01-17T08:11:00"/>
    <d v="2025-01-17T07:30:00"/>
    <d v="2025-01-17T08:52:00"/>
    <n v="80.283333333333331"/>
    <n v="40.133333333333333"/>
    <x v="1"/>
    <d v="2025-01-17T14:52:00"/>
    <d v="2025-01-17T20:21:00"/>
    <n v="322.13333333333333"/>
    <x v="0"/>
    <d v="2025-01-18T12:40:12"/>
    <d v="2025-01-18T13:45:12"/>
    <n v="63.633333333333333"/>
    <x v="0"/>
    <n v="1.1584722222251003"/>
    <x v="3"/>
    <n v="-0.34152777777489973"/>
    <n v="27.803333333402406"/>
    <n v="12"/>
    <n v="15.803333333402406"/>
    <n v="9.7665471419104861"/>
    <x v="0"/>
  </r>
  <r>
    <x v="4"/>
    <x v="0"/>
    <s v="1/16/2025 23:19"/>
    <s v="OMFJAHBRR"/>
    <x v="0"/>
    <s v="UBJ 419C"/>
    <m/>
    <s v="KATO INVESTMENTS LTD-KATIKARA"/>
    <n v="156"/>
    <s v="A20095"/>
    <x v="5"/>
    <x v="0"/>
    <x v="0"/>
    <x v="0"/>
    <x v="5"/>
    <x v="5"/>
    <n v="796"/>
    <n v="-34"/>
    <x v="0"/>
    <d v="2025-01-16T07:58:00"/>
    <d v="2025-01-16T07:30:00"/>
    <d v="2025-01-16T08:44:00"/>
    <n v="72.45"/>
    <n v="45.033333333333331"/>
    <x v="1"/>
    <d v="2025-01-17T09:59:00"/>
    <d v="2025-01-17T14:58:00"/>
    <n v="292.76666666666665"/>
    <x v="0"/>
    <d v="2025-01-18T19:46:00"/>
    <d v="2025-01-18T20:48:00"/>
    <n v="60.7"/>
    <x v="0"/>
    <n v="2.4597222222218988"/>
    <x v="0"/>
    <n v="0.45972222222189885"/>
    <n v="59.033333333325572"/>
    <n v="24"/>
    <n v="35.033333333325572"/>
    <n v="4.4529019980980369"/>
    <x v="0"/>
  </r>
  <r>
    <x v="4"/>
    <x v="0"/>
    <s v="1/17/2025 0:00"/>
    <s v="OM02LBK3"/>
    <x v="0"/>
    <s v="UBB 115P"/>
    <s v="Kakembo Masuud"/>
    <s v="Bates Enterprises U Ltd"/>
    <n v="156"/>
    <s v="Z82198"/>
    <x v="7"/>
    <x v="0"/>
    <x v="0"/>
    <x v="0"/>
    <x v="7"/>
    <x v="7"/>
    <n v="580"/>
    <n v="-26"/>
    <x v="0"/>
    <d v="2025-01-17T07:58:00"/>
    <d v="2025-01-17T07:30:00"/>
    <d v="2025-01-17T08:42:00"/>
    <n v="70.483333333333334"/>
    <n v="43.06666666666667"/>
    <x v="1"/>
    <d v="2025-01-19T08:42:00"/>
    <d v="2025-01-19T13:52:00"/>
    <n v="303.53333333333336"/>
    <x v="0"/>
    <d v="2025-01-20T16:16:00"/>
    <d v="2025-01-20T17:32:00"/>
    <n v="74.400000000000006"/>
    <x v="0"/>
    <n v="3.3152777777795563"/>
    <x v="4"/>
    <n v="0.31527777777955635"/>
    <n v="79.566666666709352"/>
    <n v="36"/>
    <n v="43.566666666709352"/>
    <n v="3.5807192042811131"/>
    <x v="0"/>
  </r>
  <r>
    <x v="4"/>
    <x v="1"/>
    <s v="1/17/2025 13:29"/>
    <s v="OMC325YRR"/>
    <x v="0"/>
    <s v="UBE 287X"/>
    <s v="Isaac Tumuhimbise"/>
    <s v="Rugoma Traders-Kanungu/Kihihi"/>
    <n v="153.6"/>
    <s v="F15726"/>
    <x v="23"/>
    <x v="1"/>
    <x v="0"/>
    <x v="1"/>
    <x v="23"/>
    <x v="14"/>
    <n v="337"/>
    <n v="-3"/>
    <x v="0"/>
    <d v="2025-01-17T14:11:00"/>
    <d v="2025-01-17T13:59:00"/>
    <d v="2025-01-17T15:00:00"/>
    <n v="59.716666666666669"/>
    <n v="47.966666666666669"/>
    <x v="5"/>
    <d v="2025-01-18T07:35:00"/>
    <d v="2025-01-18T12:35:00"/>
    <n v="293.75"/>
    <x v="0"/>
    <d v="2025-01-18T19:10:00"/>
    <d v="2025-01-18T20:15:00"/>
    <n v="63.633333333333333"/>
    <x v="0"/>
    <n v="1.1736111111094942"/>
    <x v="3"/>
    <n v="-0.32638888889050577"/>
    <n v="28.166666666627862"/>
    <n v="16"/>
    <n v="12.166666666627862"/>
    <n v="12.624657534286841"/>
    <x v="0"/>
  </r>
  <r>
    <x v="4"/>
    <x v="1"/>
    <s v="1/17/2025 15:23"/>
    <s v="OMGBRN0RR"/>
    <x v="0"/>
    <s v="UAV 203T"/>
    <s v="Mugisha  George"/>
    <s v="KATO INVESTMENTS LIMITED-MASAK"/>
    <n v="153.6"/>
    <s v="F15727"/>
    <x v="14"/>
    <x v="1"/>
    <x v="0"/>
    <x v="1"/>
    <x v="14"/>
    <x v="14"/>
    <n v="152"/>
    <n v="-188"/>
    <x v="0"/>
    <d v="2025-01-17T16:21:00"/>
    <d v="2025-01-17T15:53:00"/>
    <d v="2025-01-17T17:06:00"/>
    <n v="71.466666666666669"/>
    <n v="44.05"/>
    <x v="1"/>
    <d v="2025-01-18T08:19:00"/>
    <d v="2025-01-18T12:42:00"/>
    <n v="257.51666666666665"/>
    <x v="0"/>
    <d v="2025-01-18T15:22:00"/>
    <d v="2025-01-18T16:27:00"/>
    <n v="63.633333333333333"/>
    <x v="0"/>
    <n v="0.92777777777519077"/>
    <x v="8"/>
    <n v="-7.2222222224809229E-2"/>
    <n v="22.266666666604578"/>
    <n v="0"/>
    <n v="22.266666666604578"/>
    <n v="6.8982035928336058"/>
    <x v="0"/>
  </r>
  <r>
    <x v="4"/>
    <x v="0"/>
    <s v="1/17/2025 22:56"/>
    <s v="OMZ664MRR"/>
    <x v="0"/>
    <s v="UBP 298H"/>
    <s v="SENTONG DAVID"/>
    <s v="Kato Investment Ltd -Kagadi"/>
    <n v="156"/>
    <s v="A20123"/>
    <x v="12"/>
    <x v="0"/>
    <x v="0"/>
    <x v="0"/>
    <x v="12"/>
    <x v="12"/>
    <n v="610"/>
    <n v="-2"/>
    <x v="0"/>
    <d v="2025-01-18T07:58:00"/>
    <d v="2025-01-18T07:30:00"/>
    <d v="2025-01-18T08:46:00"/>
    <n v="74.400000000000006"/>
    <n v="46.983333333333334"/>
    <x v="1"/>
    <d v="2025-01-19T10:46:00"/>
    <d v="2025-01-19T15:23:00"/>
    <n v="271.21666666666664"/>
    <x v="0"/>
    <d v="2025-01-20T09:34:31"/>
    <d v="2025-01-20T10:37:31"/>
    <n v="61.68333333333333"/>
    <x v="0"/>
    <n v="2.0336944444497931"/>
    <x v="6"/>
    <n v="-0.26630555555020674"/>
    <n v="48.808666666795034"/>
    <n v="24"/>
    <n v="24.808666666795034"/>
    <n v="6.2881251175339052"/>
    <x v="0"/>
  </r>
  <r>
    <x v="4"/>
    <x v="0"/>
    <s v="1/17/2025 22:58"/>
    <s v="OM4B5TARR"/>
    <x v="0"/>
    <s v="UBM 648D"/>
    <m/>
    <s v="Kato Investment Ltd -Mityana"/>
    <n v="156"/>
    <s v="A20124"/>
    <x v="16"/>
    <x v="0"/>
    <x v="0"/>
    <x v="0"/>
    <x v="16"/>
    <x v="16"/>
    <m/>
    <n v="-690"/>
    <x v="0"/>
    <d v="2025-01-17T08:11:00"/>
    <d v="2025-01-17T07:30:00"/>
    <d v="2025-01-17T08:55:00"/>
    <n v="83.216666666666669"/>
    <n v="43.06666666666667"/>
    <x v="1"/>
    <d v="2025-01-18T10:55:00"/>
    <d v="2025-01-18T16:44:00"/>
    <n v="341.71666666666664"/>
    <x v="0"/>
    <d v="2025-01-19T12:14:43"/>
    <d v="2025-01-19T13:22:43"/>
    <n v="66.583333333333329"/>
    <x v="0"/>
    <n v="2.1386944444457185"/>
    <x v="0"/>
    <n v="0.13869444444571855"/>
    <n v="51.328666666697245"/>
    <n v="24"/>
    <n v="27.328666666697245"/>
    <n v="5.7082916595452433"/>
    <x v="0"/>
  </r>
  <r>
    <x v="4"/>
    <x v="1"/>
    <s v="1/18/2025 19:26"/>
    <s v="OMN2SNYRR"/>
    <x v="0"/>
    <s v="UBJ 988D"/>
    <s v="Tumusiime Robert"/>
    <s v="RUGOMA TRADERS CO. LTD NTUNGAM"/>
    <n v="153.6"/>
    <s v="F15738"/>
    <x v="15"/>
    <x v="1"/>
    <x v="0"/>
    <x v="1"/>
    <x v="15"/>
    <x v="15"/>
    <n v="129"/>
    <n v="-1"/>
    <x v="0"/>
    <d v="2025-01-19T07:58:00"/>
    <d v="2025-01-19T07:30:00"/>
    <d v="2025-01-19T08:42:00"/>
    <n v="70.483333333333334"/>
    <n v="43.06666666666667"/>
    <x v="1"/>
    <d v="2025-01-19T10:58:00"/>
    <d v="2025-01-19T15:58:00"/>
    <n v="293.75"/>
    <x v="0"/>
    <d v="2025-01-19T19:28:00"/>
    <d v="2025-01-19T20:33:00"/>
    <n v="63.633333333333333"/>
    <x v="0"/>
    <n v="0.44861111111822538"/>
    <x v="8"/>
    <n v="-0.55138888888177462"/>
    <n v="10.766666666837409"/>
    <n v="0"/>
    <n v="10.766666666837409"/>
    <n v="14.266253869742799"/>
    <x v="0"/>
  </r>
  <r>
    <x v="4"/>
    <x v="0"/>
    <s v="1/19/2025 0:00"/>
    <s v="OM02LBWD"/>
    <x v="0"/>
    <s v="UBP 311H"/>
    <m/>
    <s v="KATO INVESTMENTS LTD-KATIKARA"/>
    <n v="156"/>
    <s v="A20149"/>
    <x v="5"/>
    <x v="0"/>
    <x v="0"/>
    <x v="0"/>
    <x v="5"/>
    <x v="5"/>
    <n v="796"/>
    <n v="-34"/>
    <x v="0"/>
    <d v="2025-01-19T06:58:00"/>
    <d v="2025-01-19T07:30:00"/>
    <d v="2025-01-19T07:42:00"/>
    <n v="11.733333333333333"/>
    <n v="43.06666666666667"/>
    <x v="1"/>
    <d v="2025-01-20T08:57:00"/>
    <d v="2025-01-20T12:23:00"/>
    <n v="201.7"/>
    <x v="0"/>
    <d v="2025-01-21T17:11:00"/>
    <d v="2025-01-21T18:31:00"/>
    <n v="78.316666666666663"/>
    <x v="0"/>
    <n v="2.3951388888890506"/>
    <x v="0"/>
    <n v="0.39513888888905058"/>
    <n v="57.483333333337214"/>
    <n v="24"/>
    <n v="33.483333333337214"/>
    <n v="4.6590343454449554"/>
    <x v="0"/>
  </r>
  <r>
    <x v="4"/>
    <x v="1"/>
    <s v="1/19/2025 13:35"/>
    <s v="OMFHMV5RR"/>
    <x v="0"/>
    <s v="UBE 287X"/>
    <s v="Isaac Tumuhimbise"/>
    <s v="Kabaco U Ltd-Mbarara"/>
    <n v="153.6"/>
    <s v="Z82223"/>
    <x v="8"/>
    <x v="1"/>
    <x v="0"/>
    <x v="1"/>
    <x v="8"/>
    <x v="8"/>
    <n v="19"/>
    <n v="8"/>
    <x v="0"/>
    <d v="2025-01-19T14:33:00"/>
    <d v="2025-01-19T14:05:00"/>
    <d v="2025-01-19T15:19:00"/>
    <n v="72.45"/>
    <n v="45.033333333333331"/>
    <x v="1"/>
    <d v="2025-01-19T15:46:00"/>
    <d v="2025-01-20T11:59:55"/>
    <n v="1188.6166666666666"/>
    <x v="0"/>
    <d v="2025-01-20T12:28:55"/>
    <d v="2025-01-20T13:38:55"/>
    <n v="68.533333333333331"/>
    <x v="0"/>
    <n v="0.88188888889271766"/>
    <x v="5"/>
    <n v="8.1888888892717615E-2"/>
    <n v="21.165333333425224"/>
    <n v="0"/>
    <n v="21.165333333425224"/>
    <n v="7.2571500566649769"/>
    <x v="0"/>
  </r>
  <r>
    <x v="4"/>
    <x v="1"/>
    <s v="1/19/2025 13:37"/>
    <s v="OMZW8IMRR"/>
    <x v="0"/>
    <s v="UBE 422T"/>
    <s v="Jacob Oneka"/>
    <s v="Rugoma Traders-Kanungu/Kihihi"/>
    <n v="153.6"/>
    <s v="F15740"/>
    <x v="23"/>
    <x v="1"/>
    <x v="0"/>
    <x v="1"/>
    <x v="23"/>
    <x v="14"/>
    <n v="343"/>
    <n v="3"/>
    <x v="0"/>
    <d v="2025-01-19T14:35:00"/>
    <d v="2025-01-19T14:07:00"/>
    <d v="2025-01-19T15:16:00"/>
    <n v="67.55"/>
    <n v="40.133333333333333"/>
    <x v="1"/>
    <d v="2025-01-20T08:15:00"/>
    <d v="2025-01-20T13:05:00"/>
    <n v="283.95"/>
    <x v="0"/>
    <d v="2025-01-20T19:40:00"/>
    <d v="2025-01-20T20:56:00"/>
    <n v="74.400000000000006"/>
    <x v="0"/>
    <n v="1.1833333333343035"/>
    <x v="3"/>
    <n v="-0.31666666666569654"/>
    <n v="28.400000000023283"/>
    <n v="12"/>
    <n v="16.400000000023283"/>
    <n v="9.3658536585232888"/>
    <x v="0"/>
  </r>
  <r>
    <x v="4"/>
    <x v="1"/>
    <s v="1/19/2025 13:38"/>
    <s v="OMSRSHURR"/>
    <x v="0"/>
    <s v="UBE 419T"/>
    <s v="Kilabila Ismail"/>
    <s v="KATO INVESTMENTS LIMITED-MASAK"/>
    <n v="156"/>
    <s v="F15741"/>
    <x v="14"/>
    <x v="1"/>
    <x v="0"/>
    <x v="1"/>
    <x v="14"/>
    <x v="14"/>
    <n v="300"/>
    <n v="-40"/>
    <x v="0"/>
    <d v="2025-01-19T14:36:00"/>
    <d v="2025-01-19T14:08:00"/>
    <d v="2025-01-19T15:22:00"/>
    <n v="72.45"/>
    <n v="45.033333333333331"/>
    <x v="1"/>
    <d v="2025-01-19T18:35:00"/>
    <d v="2025-01-20T13:18:12"/>
    <n v="1099.7833333333333"/>
    <x v="0"/>
    <d v="2025-01-20T15:58:12"/>
    <d v="2025-01-20T17:01:12"/>
    <n v="61.68333333333333"/>
    <x v="0"/>
    <n v="1.0251388888864312"/>
    <x v="8"/>
    <n v="2.5138888886431232E-2"/>
    <n v="24.60333333327435"/>
    <n v="12"/>
    <n v="12.60333333327435"/>
    <n v="12.377677863057134"/>
    <x v="0"/>
  </r>
  <r>
    <x v="4"/>
    <x v="1"/>
    <s v="1/19/2025 13:40"/>
    <s v="OM07KFYRR"/>
    <x v="0"/>
    <s v="UAT 351G"/>
    <s v="Hamudi Sesanga"/>
    <s v="RUGOMA TRADERS CO. LTD NTUNGAM"/>
    <n v="153.6"/>
    <s v="F15742"/>
    <x v="15"/>
    <x v="1"/>
    <x v="0"/>
    <x v="1"/>
    <x v="15"/>
    <x v="15"/>
    <n v="129"/>
    <n v="-1"/>
    <x v="0"/>
    <d v="2025-01-19T14:38:00"/>
    <d v="2025-01-19T14:10:00"/>
    <d v="2025-01-19T15:27:00"/>
    <n v="75.38333333333334"/>
    <n v="47.966666666666669"/>
    <x v="1"/>
    <d v="2025-01-19T17:27:00"/>
    <d v="2025-01-20T12:24:36"/>
    <n v="1113.9000000000001"/>
    <x v="0"/>
    <d v="2025-01-20T15:54:36"/>
    <d v="2025-01-20T16:59:36"/>
    <n v="63.633333333333333"/>
    <x v="0"/>
    <n v="1.0191666666723904"/>
    <x v="8"/>
    <n v="1.916666667239042E-2"/>
    <n v="24.46000000013737"/>
    <n v="12"/>
    <n v="12.46000000013737"/>
    <n v="12.327447832929902"/>
    <x v="0"/>
  </r>
  <r>
    <x v="4"/>
    <x v="1"/>
    <s v="1/19/2025 16:21"/>
    <s v="OM2JT1CRR"/>
    <x v="0"/>
    <s v="UBJ 415C"/>
    <s v="Abel Mark naffa"/>
    <s v="KATO INVESTMENTS LTD- KALISIZO"/>
    <n v="153.6"/>
    <s v="F15743"/>
    <x v="4"/>
    <x v="1"/>
    <x v="0"/>
    <x v="1"/>
    <x v="4"/>
    <x v="4"/>
    <n v="291"/>
    <n v="-59"/>
    <x v="0"/>
    <d v="2025-01-19T17:19:00"/>
    <d v="2025-01-19T16:51:00"/>
    <d v="2025-01-19T18:01:00"/>
    <n v="68.533333333333331"/>
    <n v="41.116666666666667"/>
    <x v="1"/>
    <d v="2025-01-21T08:01:00"/>
    <d v="2025-01-21T13:01:00"/>
    <n v="293.75"/>
    <x v="0"/>
    <d v="2025-01-22T08:43:14"/>
    <d v="2025-01-22T09:48:14"/>
    <n v="63.633333333333333"/>
    <x v="0"/>
    <n v="2.612666666667792"/>
    <x v="2"/>
    <n v="0.91266666666779206"/>
    <n v="62.704000000027008"/>
    <n v="24"/>
    <n v="38.704000000027008"/>
    <n v="3.9685820586991736"/>
    <x v="4"/>
  </r>
  <r>
    <x v="4"/>
    <x v="0"/>
    <s v="1/20/2025 0:00"/>
    <s v="OM02LCCT"/>
    <x v="0"/>
    <s v="UBE 684K"/>
    <m/>
    <s v="Kato Investments Ltd- Kyegegwa"/>
    <n v="156"/>
    <s v="A20176"/>
    <x v="18"/>
    <x v="0"/>
    <x v="0"/>
    <x v="0"/>
    <x v="18"/>
    <x v="18"/>
    <n v="572"/>
    <n v="7"/>
    <x v="0"/>
    <d v="2025-01-20T07:01:00"/>
    <d v="2025-01-20T07:30:00"/>
    <d v="2025-01-20T07:41:00"/>
    <n v="10.766666666666667"/>
    <n v="39.166666666666664"/>
    <x v="1"/>
    <d v="2025-01-21T09:11:00"/>
    <d v="2025-01-21T14:11:00"/>
    <n v="293.75"/>
    <x v="0"/>
    <d v="2025-01-22T08:00:55"/>
    <d v="2025-01-22T09:03:55"/>
    <n v="61.68333333333333"/>
    <x v="0"/>
    <n v="2.0138333333379705"/>
    <x v="0"/>
    <n v="1.3833333337970544E-2"/>
    <n v="48.332000000111293"/>
    <n v="24"/>
    <n v="24.332000000111293"/>
    <n v="6.4113102087492386"/>
    <x v="0"/>
  </r>
  <r>
    <x v="4"/>
    <x v="0"/>
    <s v="1/20/2025 0:00"/>
    <s v="OM02LCCD"/>
    <x v="0"/>
    <s v="UBF 379L"/>
    <m/>
    <s v="Kato Investment Ltd -Mityana"/>
    <n v="156"/>
    <s v="A20173"/>
    <x v="16"/>
    <x v="0"/>
    <x v="0"/>
    <x v="0"/>
    <x v="16"/>
    <x v="16"/>
    <m/>
    <n v="-690"/>
    <x v="0"/>
    <d v="2025-01-20T07:12:00"/>
    <d v="2025-01-20T07:30:00"/>
    <d v="2025-01-20T07:58:00"/>
    <n v="27.416666666666668"/>
    <n v="45.033333333333331"/>
    <x v="1"/>
    <d v="2025-01-21T09:58:00"/>
    <d v="2025-01-21T14:48:00"/>
    <n v="283.95"/>
    <x v="0"/>
    <d v="2025-01-22T09:49:55"/>
    <d v="2025-01-22T10:51:55"/>
    <n v="60.7"/>
    <x v="0"/>
    <n v="2.0777222222241107"/>
    <x v="0"/>
    <n v="7.7722222224110737E-2"/>
    <n v="49.865333333378658"/>
    <n v="24"/>
    <n v="25.865333333378658"/>
    <n v="6.0312387236349805"/>
    <x v="0"/>
  </r>
  <r>
    <x v="4"/>
    <x v="0"/>
    <s v="1/20/2025 20:54"/>
    <s v="OMA4Y0IRR"/>
    <x v="0"/>
    <s v="UBP 298H"/>
    <s v="SENTONG DAVID"/>
    <s v="Boniface Harera"/>
    <n v="156"/>
    <s v="F15748"/>
    <x v="10"/>
    <x v="0"/>
    <x v="0"/>
    <x v="0"/>
    <x v="10"/>
    <x v="10"/>
    <n v="474"/>
    <n v="4"/>
    <x v="0"/>
    <d v="2025-01-21T08:11:00"/>
    <d v="2025-01-21T07:30:00"/>
    <d v="2025-01-21T08:57:00"/>
    <n v="85.183333333333337"/>
    <n v="45.033333333333331"/>
    <x v="1"/>
    <d v="2025-01-22T10:27:00"/>
    <d v="2025-01-22T15:42:00"/>
    <n v="308.43333333333334"/>
    <x v="0"/>
    <d v="2025-01-23T14:30:00"/>
    <d v="2025-01-23T15:46:00"/>
    <n v="74.400000000000006"/>
    <x v="0"/>
    <n v="2.2312499999970896"/>
    <x v="1"/>
    <n v="-0.26875000000291038"/>
    <n v="53.549999999930151"/>
    <n v="24"/>
    <n v="29.549999999930151"/>
    <n v="5.279187817271362"/>
    <x v="0"/>
  </r>
  <r>
    <x v="4"/>
    <x v="0"/>
    <s v="1/20/2025 21:55"/>
    <s v="OM6MVL0RR"/>
    <x v="0"/>
    <s v="UBK 858R"/>
    <s v="ALIPA EREKU"/>
    <s v="KATO INVESTMENTS LTD-KATIKARA"/>
    <n v="154.34399999999999"/>
    <s v="A20172"/>
    <x v="5"/>
    <x v="0"/>
    <x v="0"/>
    <x v="0"/>
    <x v="5"/>
    <x v="5"/>
    <n v="835"/>
    <n v="5"/>
    <x v="0"/>
    <d v="2025-01-20T19:45:00"/>
    <d v="2025-01-21T07:30:00"/>
    <d v="2025-01-20T20:27:00"/>
    <n v="-649.20000000000005"/>
    <n v="41.116666666666667"/>
    <x v="1"/>
    <d v="2025-01-21T21:42:00"/>
    <d v="2025-01-22T02:48:00"/>
    <n v="299.61666666666667"/>
    <x v="0"/>
    <d v="2025-01-23T07:36:00"/>
    <d v="2025-01-23T08:56:00"/>
    <n v="78.316666666666663"/>
    <x v="0"/>
    <n v="2.4645833333343035"/>
    <x v="0"/>
    <n v="0.46458333333430346"/>
    <n v="59.150000000023283"/>
    <n v="24"/>
    <n v="35.150000000023283"/>
    <n v="4.3910099573228383"/>
    <x v="0"/>
  </r>
  <r>
    <x v="4"/>
    <x v="1"/>
    <s v="1/20/2025 22:37"/>
    <s v="OM4DE3NRR"/>
    <x v="0"/>
    <s v="UBJ 707D"/>
    <s v="Konge Husein"/>
    <s v="KATO INVESTMENTS LIMITED-MASAK"/>
    <n v="148.80000000000001"/>
    <s v="F15753"/>
    <x v="14"/>
    <x v="1"/>
    <x v="0"/>
    <x v="1"/>
    <x v="14"/>
    <x v="14"/>
    <n v="437"/>
    <n v="97"/>
    <x v="0"/>
    <d v="2025-01-21T07:04:00"/>
    <d v="2025-01-21T07:30:00"/>
    <d v="2025-01-21T07:46:00"/>
    <n v="15.65"/>
    <n v="41.116666666666667"/>
    <x v="1"/>
    <d v="2025-01-21T10:59:00"/>
    <d v="2025-01-21T16:07:00"/>
    <n v="301.56666666666666"/>
    <x v="0"/>
    <d v="2025-01-21T18:47:00"/>
    <d v="2025-01-21T20:03:00"/>
    <n v="74.400000000000006"/>
    <x v="0"/>
    <n v="0.45902777777519077"/>
    <x v="8"/>
    <n v="-0.54097222222480923"/>
    <n v="11.016666666604578"/>
    <n v="0"/>
    <n v="11.016666666604578"/>
    <n v="13.506807866944504"/>
    <x v="0"/>
  </r>
  <r>
    <x v="4"/>
    <x v="0"/>
    <s v="1/21/2025 0:00"/>
    <s v="OM02LCU3"/>
    <x v="0"/>
    <s v="UBB 115P"/>
    <s v="Kakembo Masuud"/>
    <s v="Kobusinge Steven-FPortal"/>
    <n v="156"/>
    <s v="Z82255"/>
    <x v="11"/>
    <x v="0"/>
    <x v="0"/>
    <x v="0"/>
    <x v="11"/>
    <x v="11"/>
    <n v="397"/>
    <n v="7"/>
    <x v="0"/>
    <d v="2025-01-21T07:17:00"/>
    <d v="2025-01-21T07:30:00"/>
    <d v="2025-01-21T08:03:00"/>
    <n v="32.299999999999997"/>
    <n v="45.033333333333331"/>
    <x v="1"/>
    <d v="2025-01-22T09:33:00"/>
    <d v="2025-01-23T12:25:48"/>
    <n v="1579.2"/>
    <x v="0"/>
    <d v="2025-01-23T11:18:07"/>
    <d v="2025-01-23T12:23:07"/>
    <n v="63.633333333333333"/>
    <x v="0"/>
    <n v="2.1354999999966822"/>
    <x v="0"/>
    <n v="0.13549999999668216"/>
    <n v="51.251999999920372"/>
    <n v="24"/>
    <n v="27.251999999920372"/>
    <n v="5.7243505064015787"/>
    <x v="0"/>
  </r>
  <r>
    <x v="4"/>
    <x v="0"/>
    <s v="1/21/2025 0:00"/>
    <s v="OM02LCVC"/>
    <x v="0"/>
    <s v="UBE 680K"/>
    <s v="BYEKWASO TWAHA"/>
    <s v="Kobusinge Steven-FPortal"/>
    <n v="156"/>
    <s v="Z82267"/>
    <x v="11"/>
    <x v="0"/>
    <x v="0"/>
    <x v="0"/>
    <x v="11"/>
    <x v="11"/>
    <n v="397"/>
    <n v="7"/>
    <x v="0"/>
    <d v="2025-01-21T07:05:00"/>
    <d v="2025-01-21T07:30:00"/>
    <d v="2025-01-21T07:50:00"/>
    <n v="19.583333333333332"/>
    <n v="44.05"/>
    <x v="1"/>
    <d v="2025-01-22T09:20:00"/>
    <d v="2025-01-23T15:48:48"/>
    <n v="1790.6833333333334"/>
    <x v="0"/>
    <d v="2025-01-23T07:59:22"/>
    <d v="2025-01-23T09:01:22"/>
    <n v="60.7"/>
    <x v="0"/>
    <n v="2.0065000000031432"/>
    <x v="0"/>
    <n v="6.5000000031432137E-3"/>
    <n v="48.156000000075437"/>
    <n v="24"/>
    <n v="24.156000000075437"/>
    <n v="6.4580228514453069"/>
    <x v="0"/>
  </r>
  <r>
    <x v="4"/>
    <x v="0"/>
    <s v="1/21/2025 0:00"/>
    <s v="OM02LCUL"/>
    <x v="0"/>
    <s v="UBP 311H"/>
    <m/>
    <s v="KATO INVESTMENTS LTD-KATIKARA"/>
    <n v="154.34399999999999"/>
    <s v="A20191"/>
    <x v="5"/>
    <x v="0"/>
    <x v="0"/>
    <x v="0"/>
    <x v="5"/>
    <x v="5"/>
    <n v="847"/>
    <n v="17"/>
    <x v="0"/>
    <d v="2025-01-21T07:05:00"/>
    <d v="2025-01-21T07:30:00"/>
    <d v="2025-01-21T07:51:00"/>
    <n v="20.55"/>
    <n v="45.033333333333331"/>
    <x v="1"/>
    <d v="2025-01-22T09:06:00"/>
    <d v="2025-01-22T12:27:00"/>
    <n v="196.8"/>
    <x v="0"/>
    <d v="2025-01-23T17:15:00"/>
    <d v="2025-01-23T18:20:00"/>
    <n v="63.633333333333333"/>
    <x v="0"/>
    <n v="2.3916666666627862"/>
    <x v="0"/>
    <n v="0.39166666666278616"/>
    <n v="57.399999999906868"/>
    <n v="24"/>
    <n v="33.399999999906868"/>
    <n v="4.6210778443242626"/>
    <x v="0"/>
  </r>
  <r>
    <x v="4"/>
    <x v="0"/>
    <s v="1/21/2025 0:00"/>
    <s v="OM02LCVL"/>
    <x v="0"/>
    <s v="UBP 311H"/>
    <m/>
    <s v="Ntale and Sons Ltd-Kakiri"/>
    <n v="156"/>
    <s v="A20194"/>
    <x v="22"/>
    <x v="0"/>
    <x v="0"/>
    <x v="0"/>
    <x v="22"/>
    <x v="21"/>
    <n v="612"/>
    <n v="-8"/>
    <x v="0"/>
    <d v="2025-01-21T06:48:00"/>
    <d v="2025-01-21T07:30:00"/>
    <d v="2025-01-21T07:30:00"/>
    <n v="0"/>
    <n v="41.116666666666667"/>
    <x v="1"/>
    <d v="2025-01-21T20:00:00"/>
    <d v="2025-01-22T14:14:24"/>
    <n v="1071.5999999999999"/>
    <x v="0"/>
    <d v="2025-01-23T12:12:00"/>
    <d v="2025-01-23T13:17:00"/>
    <n v="63.633333333333333"/>
    <x v="0"/>
    <n v="2.195833333338669"/>
    <x v="0"/>
    <n v="0.19583333333866904"/>
    <n v="52.700000000128057"/>
    <n v="24"/>
    <n v="28.700000000128057"/>
    <n v="5.4355400696621583"/>
    <x v="0"/>
  </r>
  <r>
    <x v="4"/>
    <x v="0"/>
    <s v="1/21/2025 0:00"/>
    <s v="OM02LCPL"/>
    <x v="0"/>
    <s v="UBB 115P"/>
    <s v="Kakembo Masuud"/>
    <s v="Kobusinge Acaali- Kyenjojo"/>
    <n v="156"/>
    <s v="Z82248"/>
    <x v="3"/>
    <x v="0"/>
    <x v="0"/>
    <x v="0"/>
    <x v="3"/>
    <x v="3"/>
    <n v="496"/>
    <n v="16"/>
    <x v="0"/>
    <d v="2025-01-21T06:54:00"/>
    <d v="2025-01-21T07:30:00"/>
    <d v="2025-01-21T08:01:00"/>
    <n v="30.35"/>
    <n v="65.599999999999994"/>
    <x v="6"/>
    <d v="2025-01-22T10:26:00"/>
    <d v="2025-01-22T15:48:00"/>
    <n v="315.28333333333336"/>
    <x v="0"/>
    <d v="2025-01-23T17:57:36"/>
    <d v="2025-01-23T19:00:36"/>
    <n v="61.68333333333333"/>
    <x v="0"/>
    <n v="2.414305555554165"/>
    <x v="1"/>
    <n v="-8.5694444445834961E-2"/>
    <n v="57.943333333299961"/>
    <n v="32"/>
    <n v="25.943333333299961"/>
    <n v="6.0131054863240658"/>
    <x v="0"/>
  </r>
  <r>
    <x v="4"/>
    <x v="0"/>
    <s v="1/21/2025 0:00"/>
    <s v="OM02LCT9"/>
    <x v="0"/>
    <s v="UBB 115P"/>
    <s v="Kakembo Masuud"/>
    <s v="Bates Enterprises Ltd-Ntoroko"/>
    <n v="156"/>
    <s v="Z82253"/>
    <x v="25"/>
    <x v="0"/>
    <x v="0"/>
    <x v="0"/>
    <x v="25"/>
    <x v="24"/>
    <n v="509"/>
    <n v="-3"/>
    <x v="0"/>
    <d v="2025-01-21T06:48:00"/>
    <d v="2025-01-21T07:30:00"/>
    <d v="2025-01-21T07:34:00"/>
    <n v="3.9166666666666665"/>
    <n v="45.033333333333331"/>
    <x v="1"/>
    <d v="2025-01-23T07:34:00"/>
    <d v="2025-01-23T12:34:00"/>
    <n v="293.73333333333335"/>
    <x v="0"/>
    <d v="2025-01-24T14:58:00"/>
    <d v="2025-01-24T16:06:00"/>
    <n v="66.583333333333329"/>
    <x v="0"/>
    <n v="3.3083333333270275"/>
    <x v="4"/>
    <n v="0.3083333333270275"/>
    <n v="79.39999999984866"/>
    <n v="36"/>
    <n v="43.39999999984866"/>
    <n v="3.5944700460954837"/>
    <x v="14"/>
  </r>
  <r>
    <x v="4"/>
    <x v="1"/>
    <s v="1/21/2025 20:40"/>
    <s v="OM04N14RR"/>
    <x v="0"/>
    <s v="UAY 526V"/>
    <s v="Benon Ssempijja"/>
    <s v="Kobusinge Steven-Kamwenge"/>
    <n v="153.6"/>
    <s v="Z82256"/>
    <x v="13"/>
    <x v="1"/>
    <x v="0"/>
    <x v="1"/>
    <x v="13"/>
    <x v="23"/>
    <n v="231"/>
    <n v="-73"/>
    <x v="0"/>
    <d v="2025-01-22T07:01:00"/>
    <d v="2025-01-22T07:30:00"/>
    <d v="2025-01-22T07:47:00"/>
    <n v="16.633333333333333"/>
    <n v="45.033333333333331"/>
    <x v="1"/>
    <d v="2025-01-23T09:17:00"/>
    <d v="2025-01-23T11:24:00"/>
    <n v="124.35"/>
    <x v="0"/>
    <d v="2025-01-23T16:54:00"/>
    <d v="2025-01-23T17:59:00"/>
    <n v="63.633333333333333"/>
    <x v="0"/>
    <n v="1.3798611111051287"/>
    <x v="7"/>
    <n v="7.9861111105128613E-2"/>
    <n v="33.116666666523088"/>
    <n v="12"/>
    <n v="21.116666666523088"/>
    <n v="7.273875296024201"/>
    <x v="0"/>
  </r>
  <r>
    <x v="4"/>
    <x v="0"/>
    <s v="1/21/2025 21:27"/>
    <s v="OMI04W5RR"/>
    <x v="0"/>
    <s v="UBJ 419C"/>
    <m/>
    <s v="Ntale and Sons Ltd-Kakiri"/>
    <n v="156"/>
    <s v="A20190"/>
    <x v="22"/>
    <x v="0"/>
    <x v="0"/>
    <x v="0"/>
    <x v="22"/>
    <x v="21"/>
    <n v="612"/>
    <n v="-8"/>
    <x v="0"/>
    <d v="2025-01-21T19:42:00"/>
    <d v="2025-01-22T07:30:00"/>
    <d v="2025-01-21T20:28:00"/>
    <n v="-648.2166666666667"/>
    <n v="45.033333333333331"/>
    <x v="1"/>
    <d v="2025-01-22T08:58:00"/>
    <d v="2025-01-22T12:35:00"/>
    <n v="212.46666666666667"/>
    <x v="0"/>
    <d v="2025-01-23T11:23:00"/>
    <d v="2025-01-23T12:39:00"/>
    <n v="74.400000000000006"/>
    <x v="0"/>
    <n v="1.6215277777737356"/>
    <x v="0"/>
    <n v="-0.37847222222626442"/>
    <n v="38.916666666569654"/>
    <n v="12"/>
    <n v="26.916666666569654"/>
    <n v="5.7956656346958111"/>
    <x v="0"/>
  </r>
  <r>
    <x v="4"/>
    <x v="1"/>
    <s v="1/22/2025 19:32"/>
    <s v="OMK2QQ0RR"/>
    <x v="0"/>
    <s v="UBJ 415C"/>
    <s v="Abel Mark naffa"/>
    <s v="Kato Investments Ltd-Bulenga"/>
    <n v="153.6"/>
    <s v="A20201"/>
    <x v="2"/>
    <x v="1"/>
    <x v="0"/>
    <x v="1"/>
    <x v="2"/>
    <x v="2"/>
    <n v="488"/>
    <n v="-72"/>
    <x v="0"/>
    <d v="2025-01-23T06:59:00"/>
    <d v="2025-01-23T07:30:00"/>
    <d v="2025-01-23T08:04:00"/>
    <n v="33.283333333333331"/>
    <n v="63.633333333333333"/>
    <x v="7"/>
    <d v="2025-01-24T08:04:00"/>
    <d v="2025-01-24T12:39:00"/>
    <n v="269.26666666666665"/>
    <x v="0"/>
    <d v="2025-01-25T08:04:00"/>
    <d v="2025-01-25T09:24:00"/>
    <n v="78.316666666666663"/>
    <x v="0"/>
    <n v="2"/>
    <x v="0"/>
    <n v="0"/>
    <n v="48"/>
    <n v="32"/>
    <n v="16"/>
    <n v="9.6"/>
    <x v="0"/>
  </r>
  <r>
    <x v="4"/>
    <x v="0"/>
    <s v="1/23/2025 20:35"/>
    <s v="OMI94BXRR"/>
    <x v="0"/>
    <s v="UBJ 417C"/>
    <m/>
    <s v="Ntale and Sons Ltd-Kakiri"/>
    <n v="156"/>
    <s v="A20219"/>
    <x v="22"/>
    <x v="0"/>
    <x v="0"/>
    <x v="0"/>
    <x v="22"/>
    <x v="21"/>
    <n v="612"/>
    <n v="-8"/>
    <x v="0"/>
    <d v="2025-01-23T22:02:00"/>
    <d v="2025-01-23T07:30:00"/>
    <d v="2025-01-23T22:45:00"/>
    <n v="895.93333333333328"/>
    <n v="42.1"/>
    <x v="1"/>
    <d v="2025-01-24T11:15:00"/>
    <d v="2025-01-25T11:02:02"/>
    <n v="1397.3"/>
    <x v="0"/>
    <d v="2025-01-26T09:50:02"/>
    <d v="2025-01-26T10:53:02"/>
    <n v="61.68333333333333"/>
    <x v="0"/>
    <n v="2.4618333333346527"/>
    <x v="0"/>
    <n v="0.46183333333465271"/>
    <n v="59.084000000031665"/>
    <n v="24"/>
    <n v="35.084000000031665"/>
    <n v="4.4464713259565389"/>
    <x v="0"/>
  </r>
  <r>
    <x v="4"/>
    <x v="0"/>
    <s v="1/23/2025 20:45"/>
    <s v="OM30TK9RR"/>
    <x v="0"/>
    <s v="UBR 540W"/>
    <m/>
    <s v="Ntale and Sons Ltd-Kakiri"/>
    <n v="156"/>
    <s v="A20220"/>
    <x v="22"/>
    <x v="0"/>
    <x v="0"/>
    <x v="0"/>
    <x v="22"/>
    <x v="21"/>
    <n v="612"/>
    <n v="-8"/>
    <x v="0"/>
    <d v="2025-01-23T19:45:00"/>
    <d v="2025-01-23T07:30:00"/>
    <d v="2025-01-23T20:30:00"/>
    <n v="763.73333333333335"/>
    <n v="44.05"/>
    <x v="1"/>
    <d v="2025-01-24T09:00:00"/>
    <d v="2025-01-25T11:24:00"/>
    <n v="1550.9833333333333"/>
    <x v="0"/>
    <d v="2025-01-26T10:12:00"/>
    <d v="2025-01-26T11:17:00"/>
    <n v="63.633333333333333"/>
    <x v="0"/>
    <n v="2.5708333333313931"/>
    <x v="0"/>
    <n v="0.57083333333139308"/>
    <n v="61.699999999953434"/>
    <n v="24"/>
    <n v="37.699999999953434"/>
    <n v="4.1379310344878695"/>
    <x v="0"/>
  </r>
  <r>
    <x v="4"/>
    <x v="0"/>
    <s v="1/23/2025 22:18"/>
    <s v="OMFZR75RR"/>
    <x v="0"/>
    <s v="UBR 903Y"/>
    <m/>
    <s v="KATO INVESTMENTS LTD-KATIKARA"/>
    <n v="156"/>
    <s v="A20230"/>
    <x v="5"/>
    <x v="0"/>
    <x v="0"/>
    <x v="0"/>
    <x v="5"/>
    <x v="5"/>
    <n v="847"/>
    <n v="17"/>
    <x v="0"/>
    <d v="2025-01-24T07:58:00"/>
    <d v="2025-01-23T07:30:00"/>
    <d v="2025-01-24T08:39:00"/>
    <n v="1477.55"/>
    <n v="40.133333333333333"/>
    <x v="1"/>
    <d v="2025-01-25T10:24:00"/>
    <d v="2025-01-25T15:10:00"/>
    <n v="280.03333333333336"/>
    <x v="0"/>
    <d v="2025-01-26T19:58:00"/>
    <d v="2025-01-26T21:01:00"/>
    <n v="61.68333333333333"/>
    <x v="0"/>
    <n v="2.4715277777722804"/>
    <x v="0"/>
    <n v="0.47152777777228039"/>
    <n v="59.316666666534729"/>
    <n v="24"/>
    <n v="35.316666666534729"/>
    <n v="4.4171779141269312"/>
    <x v="0"/>
  </r>
  <r>
    <x v="4"/>
    <x v="1"/>
    <s v="1/23/2025 23:15"/>
    <s v="OM81ATSRR"/>
    <x v="0"/>
    <s v="UBJ 375N"/>
    <s v="Stephen Musoke "/>
    <s v="KATO INVESTMENTS LIMITED-MASAK"/>
    <n v="153.6"/>
    <s v="F15768"/>
    <x v="14"/>
    <x v="1"/>
    <x v="0"/>
    <x v="1"/>
    <x v="14"/>
    <x v="14"/>
    <n v="291"/>
    <n v="-49"/>
    <x v="0"/>
    <d v="2025-01-24T07:58:00"/>
    <d v="2025-01-23T07:30:00"/>
    <d v="2025-01-24T08:39:00"/>
    <n v="1477.55"/>
    <n v="40.133333333333333"/>
    <x v="1"/>
    <d v="2025-01-24T11:52:00"/>
    <d v="2025-01-24T19:23:00"/>
    <n v="441.6"/>
    <x v="0"/>
    <d v="2025-01-25T09:47:00"/>
    <d v="2025-01-25T10:52:00"/>
    <n v="63.633333333333333"/>
    <x v="0"/>
    <n v="1.047222222223354"/>
    <x v="8"/>
    <n v="4.7222222223354038E-2"/>
    <n v="25.133333333360497"/>
    <n v="12"/>
    <n v="13.133333333360497"/>
    <n v="11.695431472057029"/>
    <x v="0"/>
  </r>
  <r>
    <x v="4"/>
    <x v="1"/>
    <s v="1/23/2025 23:18"/>
    <s v="OMY60JXRR"/>
    <x v="0"/>
    <s v="UBE 419T"/>
    <s v="Kilabila Ismail"/>
    <s v="Kato Investments Ltd-Bulenga"/>
    <n v="153.6"/>
    <s v="A20235"/>
    <x v="2"/>
    <x v="1"/>
    <x v="0"/>
    <x v="1"/>
    <x v="2"/>
    <x v="2"/>
    <n v="556"/>
    <n v="-4"/>
    <x v="0"/>
    <d v="2025-01-24T07:58:00"/>
    <d v="2025-01-23T07:30:00"/>
    <d v="2025-01-24T08:39:00"/>
    <n v="1477.55"/>
    <n v="40.133333333333333"/>
    <x v="1"/>
    <d v="2025-01-25T08:39:00"/>
    <d v="2025-01-25T13:27:00"/>
    <n v="281.98333333333335"/>
    <x v="0"/>
    <d v="2025-01-26T14:10:12"/>
    <d v="2025-01-26T15:20:12"/>
    <n v="68.533333333333331"/>
    <x v="0"/>
    <n v="2.2300000000032014"/>
    <x v="0"/>
    <n v="0.23000000000320142"/>
    <n v="53.520000000076834"/>
    <n v="24"/>
    <n v="29.520000000076834"/>
    <n v="5.2032520325067821"/>
    <x v="0"/>
  </r>
  <r>
    <x v="4"/>
    <x v="1"/>
    <s v="1/23/2025 23:54"/>
    <s v="OM8UP1NRR"/>
    <x v="0"/>
    <s v="UBE 422T"/>
    <s v="Jacob Oneka"/>
    <s v="Ntale and Sons"/>
    <n v="153.6"/>
    <s v="A20237"/>
    <x v="19"/>
    <x v="1"/>
    <x v="0"/>
    <x v="1"/>
    <x v="19"/>
    <x v="19"/>
    <n v="819"/>
    <n v="9"/>
    <x v="0"/>
    <d v="2025-01-24T08:11:00"/>
    <d v="2025-01-23T07:30:00"/>
    <d v="2025-01-24T08:52:00"/>
    <n v="1490.2833333333333"/>
    <n v="40.133333333333333"/>
    <x v="1"/>
    <d v="2025-01-25T14:52:00"/>
    <d v="2025-01-25T19:34:00"/>
    <n v="276.11666666666667"/>
    <x v="0"/>
    <d v="2025-01-27T07:34:00"/>
    <d v="2025-01-27T08:50:00"/>
    <n v="74.400000000000006"/>
    <x v="0"/>
    <n v="2.9458333333313931"/>
    <x v="4"/>
    <n v="-5.4166666668606922E-2"/>
    <n v="70.699999999953434"/>
    <n v="24"/>
    <n v="46.699999999953434"/>
    <n v="3.2890792291253352"/>
    <x v="0"/>
  </r>
  <r>
    <x v="4"/>
    <x v="0"/>
    <s v="1/24/2025 18:32"/>
    <s v="OMW08D3RR"/>
    <x v="0"/>
    <s v="UBK 862R"/>
    <m/>
    <s v="KATO INVESTMENTS LTD-KATIKARA"/>
    <n v="156"/>
    <s v="A20270"/>
    <x v="5"/>
    <x v="0"/>
    <x v="0"/>
    <x v="0"/>
    <x v="5"/>
    <x v="5"/>
    <n v="796"/>
    <n v="-34"/>
    <x v="0"/>
    <d v="2025-01-24T19:45:00"/>
    <d v="2025-01-25T07:30:00"/>
    <d v="2025-01-24T20:28:00"/>
    <n v="-648.2166666666667"/>
    <n v="42.1"/>
    <x v="1"/>
    <d v="2025-01-25T21:43:00"/>
    <d v="2025-01-26T02:42:00"/>
    <n v="292.76666666666665"/>
    <x v="0"/>
    <d v="2025-01-27T07:30:00"/>
    <d v="2025-01-27T08:35:00"/>
    <n v="63.633333333333333"/>
    <x v="0"/>
    <n v="2.4597222222218988"/>
    <x v="0"/>
    <n v="0.45972222222189885"/>
    <n v="59.033333333325572"/>
    <n v="24"/>
    <n v="35.033333333325572"/>
    <n v="4.4529019980980369"/>
    <x v="0"/>
  </r>
  <r>
    <x v="4"/>
    <x v="0"/>
    <s v="1/24/2025 18:52"/>
    <s v="OMX3L21RR"/>
    <x v="0"/>
    <s v="UBJ 420C"/>
    <s v="ZIWA ABASI"/>
    <s v="Kato Investment Ltd -Mubende"/>
    <n v="156"/>
    <s v="A20274"/>
    <x v="1"/>
    <x v="0"/>
    <x v="0"/>
    <x v="0"/>
    <x v="1"/>
    <x v="1"/>
    <n v="665"/>
    <n v="-15"/>
    <x v="0"/>
    <d v="2025-01-25T07:58:00"/>
    <d v="2025-01-25T07:30:00"/>
    <d v="2025-01-25T08:53:00"/>
    <n v="81.266666666666666"/>
    <n v="53.85"/>
    <x v="6"/>
    <d v="2025-01-26T11:10:00"/>
    <d v="2025-01-26T15:55:00"/>
    <n v="279.05"/>
    <x v="0"/>
    <d v="2025-01-27T18:47:48"/>
    <d v="2025-01-27T20:07:48"/>
    <n v="78.316666666666663"/>
    <x v="0"/>
    <n v="2.4130555555530009"/>
    <x v="1"/>
    <n v="-8.6944444446999114E-2"/>
    <n v="57.913333333272021"/>
    <n v="32"/>
    <n v="25.913333333272021"/>
    <n v="6.0200668896463512"/>
    <x v="0"/>
  </r>
  <r>
    <x v="4"/>
    <x v="0"/>
    <s v="1/25/2025 0:00"/>
    <s v="OM02LEAV"/>
    <x v="0"/>
    <s v="UBP 311H"/>
    <m/>
    <s v="Kato Investment Ltd -Kagadi"/>
    <n v="156"/>
    <s v="A20299"/>
    <x v="12"/>
    <x v="0"/>
    <x v="0"/>
    <x v="0"/>
    <x v="12"/>
    <x v="12"/>
    <n v="603"/>
    <n v="-9"/>
    <x v="0"/>
    <d v="2025-01-25T08:58:00"/>
    <d v="2025-01-25T07:30:00"/>
    <d v="2025-01-25T09:41:00"/>
    <n v="128.26666666666668"/>
    <n v="42.1"/>
    <x v="1"/>
    <d v="2025-01-26T11:41:00"/>
    <d v="2025-01-26T16:29:00"/>
    <n v="281.98333333333335"/>
    <x v="0"/>
    <d v="2025-01-27T10:40:31"/>
    <d v="2025-01-27T11:45:31"/>
    <n v="63.633333333333333"/>
    <x v="0"/>
    <n v="2.0413333333344781"/>
    <x v="6"/>
    <n v="-0.25866666666552174"/>
    <n v="48.992000000027474"/>
    <n v="24"/>
    <n v="24.992000000027474"/>
    <n v="6.2419974391736757"/>
    <x v="0"/>
  </r>
  <r>
    <x v="4"/>
    <x v="0"/>
    <s v="1/25/2025 0:00"/>
    <s v="OM02LEB2"/>
    <x v="0"/>
    <s v="UBE 678K"/>
    <m/>
    <s v="Kobusinge Steven-Kamwenge"/>
    <n v="156"/>
    <s v="Z82334"/>
    <x v="13"/>
    <x v="0"/>
    <x v="0"/>
    <x v="0"/>
    <x v="13"/>
    <x v="23"/>
    <n v="230"/>
    <n v="-74"/>
    <x v="0"/>
    <d v="2025-01-25T06:51:00"/>
    <d v="2025-01-25T07:30:00"/>
    <d v="2025-01-25T07:55:00"/>
    <n v="24.466666666666665"/>
    <n v="62.65"/>
    <x v="14"/>
    <d v="2025-01-26T08:47:00"/>
    <d v="2025-01-26T12:34:00"/>
    <n v="222.26666666666668"/>
    <x v="0"/>
    <d v="2025-01-26T18:04:00"/>
    <d v="2025-01-26T19:09:00"/>
    <n v="63.633333333333333"/>
    <x v="0"/>
    <n v="1.4229166666627862"/>
    <x v="7"/>
    <n v="0.12291666666278611"/>
    <n v="34.149999999906868"/>
    <n v="16"/>
    <n v="18.149999999906868"/>
    <n v="8.5950413223581528"/>
    <x v="0"/>
  </r>
  <r>
    <x v="4"/>
    <x v="0"/>
    <s v="1/25/2025 0:00"/>
    <s v="OM02LEB0"/>
    <x v="0"/>
    <s v="UBP 311H"/>
    <m/>
    <s v="Kobusinge Steven-Kamwenge"/>
    <n v="156"/>
    <s v="Z82333"/>
    <x v="13"/>
    <x v="0"/>
    <x v="0"/>
    <x v="0"/>
    <x v="13"/>
    <x v="23"/>
    <n v="230"/>
    <n v="-74"/>
    <x v="0"/>
    <d v="2025-01-25T06:05:00"/>
    <d v="2025-01-25T07:30:00"/>
    <d v="2025-01-25T06:52:00"/>
    <n v="-37.216666666666669"/>
    <n v="46.016666666666666"/>
    <x v="1"/>
    <d v="2025-01-26T07:22:00"/>
    <d v="2025-01-26T12:03:00"/>
    <n v="275.13333333333333"/>
    <x v="0"/>
    <d v="2025-01-27T08:41:24"/>
    <d v="2025-01-27T09:49:24"/>
    <n v="66.583333333333329"/>
    <x v="0"/>
    <n v="2.0759722222283017"/>
    <x v="7"/>
    <n v="0.77597222222830164"/>
    <n v="49.823333333479241"/>
    <n v="24"/>
    <n v="25.823333333479241"/>
    <n v="6.0410481476359328"/>
    <x v="0"/>
  </r>
  <r>
    <x v="4"/>
    <x v="0"/>
    <s v="1/25/2025 0:00"/>
    <s v="OM02LEAY"/>
    <x v="0"/>
    <s v="UBP 311H"/>
    <m/>
    <s v="Kobusinge Steven-FPortal"/>
    <n v="156"/>
    <s v="Z82332"/>
    <x v="11"/>
    <x v="0"/>
    <x v="0"/>
    <x v="0"/>
    <x v="11"/>
    <x v="11"/>
    <n v="387"/>
    <n v="-3"/>
    <x v="0"/>
    <d v="2025-01-25T07:58:00"/>
    <d v="2025-01-25T07:30:00"/>
    <d v="2025-01-25T08:38:00"/>
    <n v="66.583333333333329"/>
    <n v="39.166666666666664"/>
    <x v="1"/>
    <d v="2025-01-26T10:08:00"/>
    <d v="2025-01-26T17:01:00"/>
    <n v="404.38333333333333"/>
    <x v="0"/>
    <d v="2025-01-27T13:15:12"/>
    <d v="2025-01-27T14:18:12"/>
    <n v="61.68333333333333"/>
    <x v="0"/>
    <n v="2.1924999999973807"/>
    <x v="0"/>
    <n v="0.19249999999738066"/>
    <n v="52.619999999937136"/>
    <n v="24"/>
    <n v="28.619999999937136"/>
    <n v="5.4507337526325177"/>
    <x v="0"/>
  </r>
  <r>
    <x v="4"/>
    <x v="1"/>
    <s v="1/25/2025 13:54"/>
    <s v="OMYYR0JRR"/>
    <x v="0"/>
    <s v="UBJ 415C"/>
    <s v="Abel Mark naffa"/>
    <s v="Kato Investments Ltd-Bulenga"/>
    <n v="153.6"/>
    <s v="A20290"/>
    <x v="2"/>
    <x v="1"/>
    <x v="0"/>
    <x v="1"/>
    <x v="2"/>
    <x v="2"/>
    <n v="556"/>
    <n v="-4"/>
    <x v="0"/>
    <d v="2025-01-25T14:54:00"/>
    <d v="2025-01-25T14:26:00"/>
    <d v="2025-01-25T15:33:00"/>
    <n v="65.599999999999994"/>
    <n v="38.18333333333333"/>
    <x v="1"/>
    <d v="2025-01-26T15:33:00"/>
    <d v="2025-01-26T20:08:00"/>
    <n v="269.26666666666665"/>
    <x v="0"/>
    <d v="2025-01-27T16:45:00"/>
    <d v="2025-01-27T17:47:00"/>
    <n v="60.7"/>
    <x v="0"/>
    <n v="2.0500000000029104"/>
    <x v="0"/>
    <n v="5.0000000002910383E-2"/>
    <n v="49.200000000069849"/>
    <n v="24"/>
    <n v="25.200000000069849"/>
    <n v="6.0952380952212"/>
    <x v="0"/>
  </r>
  <r>
    <x v="4"/>
    <x v="0"/>
    <s v="1/25/2025 13:58"/>
    <s v="OM9EIJURR"/>
    <x v="0"/>
    <s v="UBM 644D"/>
    <m/>
    <s v="Kobusinge Acaali- Kyenjojo"/>
    <n v="156"/>
    <s v="Z82324"/>
    <x v="3"/>
    <x v="0"/>
    <x v="0"/>
    <x v="0"/>
    <x v="3"/>
    <x v="3"/>
    <n v="469"/>
    <n v="-11"/>
    <x v="0"/>
    <d v="2025-01-25T14:50:00"/>
    <d v="2025-01-25T14:22:00"/>
    <d v="2025-01-25T15:29:00"/>
    <n v="65.599999999999994"/>
    <n v="38.18333333333333"/>
    <x v="1"/>
    <d v="2025-01-26T17:54:00"/>
    <d v="2025-01-27T13:49:12"/>
    <n v="1170.3"/>
    <x v="0"/>
    <d v="2025-01-28T18:22:48"/>
    <d v="2025-01-28T19:25:48"/>
    <n v="61.68333333333333"/>
    <x v="0"/>
    <n v="3.1206944444493274"/>
    <x v="1"/>
    <n v="0.62069444444932742"/>
    <n v="74.896666666783858"/>
    <n v="36"/>
    <n v="38.896666666783858"/>
    <n v="4.0106264461272598"/>
    <x v="3"/>
  </r>
  <r>
    <x v="4"/>
    <x v="0"/>
    <s v="1/25/2025 14:00"/>
    <s v="OM1IHTVRR"/>
    <x v="0"/>
    <s v="UBR 540W"/>
    <s v="NTUMWA SOLOMON"/>
    <s v="KATO INVESTMENTS LTD-KATIKARA"/>
    <n v="156"/>
    <s v="A20291"/>
    <x v="5"/>
    <x v="0"/>
    <x v="0"/>
    <x v="0"/>
    <x v="5"/>
    <x v="5"/>
    <n v="835"/>
    <n v="5"/>
    <x v="0"/>
    <d v="2025-01-25T14:58:00"/>
    <d v="2025-01-25T14:30:00"/>
    <d v="2025-01-25T16:09:00"/>
    <n v="96.933333333333337"/>
    <n v="69.516666666666666"/>
    <x v="6"/>
    <d v="2025-01-26T17:24:00"/>
    <d v="2025-01-27T00:10:00"/>
    <n v="397.53333333333336"/>
    <x v="0"/>
    <d v="2025-01-28T04:58:00"/>
    <d v="2025-01-28T06:14:00"/>
    <n v="74.400000000000006"/>
    <x v="0"/>
    <n v="2.5340277777795563"/>
    <x v="0"/>
    <n v="0.53402777777955635"/>
    <n v="60.816666666709352"/>
    <n v="32"/>
    <n v="28.816666666709352"/>
    <n v="5.4135338345784474"/>
    <x v="5"/>
  </r>
  <r>
    <x v="4"/>
    <x v="0"/>
    <s v="1/25/2025 14:10"/>
    <s v="OM7D5ZMRR"/>
    <x v="0"/>
    <s v="UBF 379L"/>
    <m/>
    <s v="Boniface Harera"/>
    <n v="156"/>
    <s v="F15778"/>
    <x v="10"/>
    <x v="0"/>
    <x v="0"/>
    <x v="0"/>
    <x v="10"/>
    <x v="10"/>
    <n v="465"/>
    <n v="-5"/>
    <x v="0"/>
    <d v="2025-01-25T15:08:00"/>
    <d v="2025-01-25T14:40:00"/>
    <d v="2025-01-25T16:17:00"/>
    <n v="94.966666666666669"/>
    <n v="67.55"/>
    <x v="8"/>
    <d v="2025-01-26T16:17:00"/>
    <d v="2025-01-26T21:32:00"/>
    <n v="308.43333333333334"/>
    <x v="0"/>
    <d v="2025-01-27T16:36:48"/>
    <d v="2025-01-27T17:38:48"/>
    <n v="60.7"/>
    <x v="0"/>
    <n v="2.0137499999982538"/>
    <x v="1"/>
    <n v="-0.48625000000174623"/>
    <n v="48.32999999995809"/>
    <n v="32"/>
    <n v="16.32999999995809"/>
    <n v="9.5529699939008186"/>
    <x v="0"/>
  </r>
  <r>
    <x v="4"/>
    <x v="0"/>
    <s v="1/26/2025 0:00"/>
    <s v="OM02LEE4"/>
    <x v="0"/>
    <s v="UBK 866R"/>
    <m/>
    <s v="Kabaco U Ltd"/>
    <n v="156"/>
    <s v="Z82343"/>
    <x v="6"/>
    <x v="0"/>
    <x v="0"/>
    <x v="0"/>
    <x v="6"/>
    <x v="6"/>
    <n v="321"/>
    <n v="1"/>
    <x v="0"/>
    <d v="2025-01-26T07:58:00"/>
    <d v="2025-01-26T07:30:00"/>
    <d v="2025-01-26T08:37:00"/>
    <n v="65.599999999999994"/>
    <n v="38.18333333333333"/>
    <x v="1"/>
    <d v="2025-01-26T14:37:00"/>
    <d v="2025-01-26T19:24:00"/>
    <n v="281.01666666666665"/>
    <x v="0"/>
    <d v="2025-01-27T11:43:12"/>
    <d v="2025-01-27T12:59:12"/>
    <n v="74.400000000000006"/>
    <x v="0"/>
    <n v="1.1293055555579485"/>
    <x v="3"/>
    <n v="-0.37069444444205146"/>
    <n v="27.103333333390765"/>
    <n v="12"/>
    <n v="15.103333333390765"/>
    <n v="10.328845729380278"/>
    <x v="0"/>
  </r>
  <r>
    <x v="4"/>
    <x v="0"/>
    <s v="1/26/2025 12:20"/>
    <s v="OMQV2WDRR"/>
    <x v="0"/>
    <s v="UBR 535W"/>
    <m/>
    <s v="Kabaco U Ltd"/>
    <n v="156"/>
    <s v="Z82339"/>
    <x v="6"/>
    <x v="0"/>
    <x v="0"/>
    <x v="0"/>
    <x v="6"/>
    <x v="6"/>
    <n v="120"/>
    <n v="-200"/>
    <x v="0"/>
    <d v="2025-01-26T13:18:00"/>
    <d v="2025-01-26T12:50:00"/>
    <d v="2025-01-26T13:57:00"/>
    <n v="65.599999999999994"/>
    <n v="38.18333333333333"/>
    <x v="1"/>
    <d v="2025-01-26T19:57:00"/>
    <d v="2025-01-27T00:53:00"/>
    <n v="289.83333333333331"/>
    <x v="0"/>
    <d v="2025-01-27T17:12:12"/>
    <d v="2025-01-27T18:17:12"/>
    <n v="63.633333333333333"/>
    <x v="0"/>
    <n v="1.1355555555564933"/>
    <x v="3"/>
    <n v="-0.36444444444350665"/>
    <n v="27.25333333335584"/>
    <n v="12"/>
    <n v="15.25333333335584"/>
    <n v="10.227272727257636"/>
    <x v="0"/>
  </r>
  <r>
    <x v="4"/>
    <x v="0"/>
    <s v="1/27/2025 0:00"/>
    <s v="OM02LEQX"/>
    <x v="0"/>
    <s v="UBP 311H"/>
    <m/>
    <s v="Kobusinge Steven-Kamwenge"/>
    <n v="156"/>
    <s v="Z82356"/>
    <x v="13"/>
    <x v="0"/>
    <x v="0"/>
    <x v="0"/>
    <x v="13"/>
    <x v="23"/>
    <n v="230"/>
    <n v="-74"/>
    <x v="0"/>
    <d v="2025-01-27T06:58:00"/>
    <d v="2025-01-27T07:30:00"/>
    <d v="2025-01-27T07:41:00"/>
    <n v="10.766666666666667"/>
    <n v="42.1"/>
    <x v="1"/>
    <d v="2025-01-28T08:33:00"/>
    <d v="2025-01-28T13:59:00"/>
    <n v="319.2"/>
    <x v="0"/>
    <d v="2025-01-28T19:29:00"/>
    <d v="2025-01-28T20:45:00"/>
    <n v="74.400000000000006"/>
    <x v="0"/>
    <n v="1.4916666666686069"/>
    <x v="7"/>
    <n v="0.19166666666860688"/>
    <n v="35.800000000046566"/>
    <n v="12"/>
    <n v="23.800000000046566"/>
    <n v="6.5546218487266712"/>
    <x v="0"/>
  </r>
  <r>
    <x v="4"/>
    <x v="1"/>
    <s v="1/27/2025 14:53"/>
    <s v="OM1NA56RR"/>
    <x v="0"/>
    <s v="UAT 351G"/>
    <s v="Hamudi Sesanga"/>
    <s v="KATO INVESTMENTS LIMITED-MASAK"/>
    <n v="153.6"/>
    <s v="F15782"/>
    <x v="14"/>
    <x v="1"/>
    <x v="0"/>
    <x v="1"/>
    <x v="14"/>
    <x v="14"/>
    <n v="328"/>
    <n v="-12"/>
    <x v="0"/>
    <d v="2025-01-27T15:45:00"/>
    <d v="2025-01-27T15:17:00"/>
    <d v="2025-01-27T16:52:00"/>
    <n v="93.016666666666666"/>
    <n v="65.599999999999994"/>
    <x v="8"/>
    <d v="2025-01-28T08:05:00"/>
    <d v="2025-01-28T13:03:00"/>
    <n v="291.78333333333336"/>
    <x v="0"/>
    <d v="2025-01-28T15:43:00"/>
    <d v="2025-01-28T17:03:00"/>
    <n v="78.316666666666663"/>
    <x v="0"/>
    <n v="0.95208333332993789"/>
    <x v="8"/>
    <n v="-4.7916666670062114E-2"/>
    <n v="22.849999999918509"/>
    <n v="0"/>
    <n v="22.849999999918509"/>
    <n v="6.7221006564791148"/>
    <x v="0"/>
  </r>
  <r>
    <x v="4"/>
    <x v="0"/>
    <s v="1/27/2025 15:02"/>
    <s v="OM59X9SRR"/>
    <x v="0"/>
    <s v="UBR 537W"/>
    <s v="Ntende Nassar"/>
    <s v="Kobusinge Steven-FPortal"/>
    <n v="156"/>
    <s v="Z82357"/>
    <x v="11"/>
    <x v="0"/>
    <x v="0"/>
    <x v="0"/>
    <x v="11"/>
    <x v="11"/>
    <n v="385"/>
    <n v="-5"/>
    <x v="0"/>
    <d v="2025-01-27T15:44:00"/>
    <d v="2025-01-27T15:32:00"/>
    <d v="2025-01-27T16:49:00"/>
    <n v="75.38333333333334"/>
    <n v="63.633333333333333"/>
    <x v="2"/>
    <d v="2025-01-28T15:19:00"/>
    <d v="2025-01-28T19:38:00"/>
    <n v="253.6"/>
    <x v="0"/>
    <d v="2025-01-29T13:58:22"/>
    <d v="2025-01-29T15:03:22"/>
    <n v="63.633333333333333"/>
    <x v="0"/>
    <n v="1.8815000000031432"/>
    <x v="0"/>
    <n v="-0.11849999999685679"/>
    <n v="45.156000000075437"/>
    <n v="16"/>
    <n v="29.156000000075437"/>
    <n v="5.3505281931539432"/>
    <x v="0"/>
  </r>
  <r>
    <x v="4"/>
    <x v="0"/>
    <s v="1/27/2025 15:06"/>
    <s v="OM1UO8SRR"/>
    <x v="0"/>
    <s v="UBM 644D"/>
    <m/>
    <s v="Kobusinge Acaali- Kyenjojo"/>
    <n v="156"/>
    <s v="Z82358"/>
    <x v="3"/>
    <x v="0"/>
    <x v="0"/>
    <x v="0"/>
    <x v="3"/>
    <x v="3"/>
    <n v="469"/>
    <n v="-11"/>
    <x v="0"/>
    <d v="2025-01-27T16:04:00"/>
    <d v="2025-01-27T15:36:00"/>
    <d v="2025-01-27T16:53:00"/>
    <n v="75.38333333333334"/>
    <n v="47.966666666666669"/>
    <x v="1"/>
    <d v="2025-01-28T18:38:00"/>
    <d v="2025-01-29T12:09:12"/>
    <n v="1029.3"/>
    <x v="0"/>
    <d v="2025-01-30T16:42:48"/>
    <d v="2025-01-30T17:45:48"/>
    <n v="61.68333333333333"/>
    <x v="0"/>
    <n v="2.9929166666697711"/>
    <x v="1"/>
    <n v="0.49291666666977108"/>
    <n v="71.830000000074506"/>
    <n v="24"/>
    <n v="47.830000000074506"/>
    <n v="3.2615513276135686"/>
    <x v="0"/>
  </r>
  <r>
    <x v="4"/>
    <x v="0"/>
    <s v="1/27/2025 15:42"/>
    <s v="OM8EHZZRR"/>
    <x v="0"/>
    <s v="UBJ 420C"/>
    <s v="ZIWA ABASI"/>
    <s v="Kabaco U Ltd"/>
    <n v="156"/>
    <s v="Z82359"/>
    <x v="6"/>
    <x v="0"/>
    <x v="0"/>
    <x v="0"/>
    <x v="6"/>
    <x v="6"/>
    <n v="120"/>
    <n v="-200"/>
    <x v="0"/>
    <d v="2025-01-27T16:40:00"/>
    <d v="2025-01-27T16:12:00"/>
    <d v="2025-01-27T17:24:00"/>
    <n v="70.483333333333334"/>
    <n v="43.06666666666667"/>
    <x v="1"/>
    <d v="2025-01-28T09:24:00"/>
    <d v="2025-01-28T14:20:00"/>
    <n v="289.83333333333331"/>
    <x v="0"/>
    <d v="2025-01-28T19:40:00"/>
    <d v="2025-01-28T20:42:00"/>
    <n v="60.7"/>
    <x v="0"/>
    <n v="1.0944444444394321"/>
    <x v="3"/>
    <n v="-0.40555555556056788"/>
    <n v="26.266666666546371"/>
    <n v="12"/>
    <n v="14.266666666546371"/>
    <n v="10.934579439344537"/>
    <x v="0"/>
  </r>
  <r>
    <x v="4"/>
    <x v="0"/>
    <s v="1/27/2025 15:48"/>
    <s v="OMJV7ZARR"/>
    <x v="0"/>
    <s v="UBR 538W"/>
    <m/>
    <s v="Kabaco U Ltd"/>
    <n v="156"/>
    <s v="Z82360"/>
    <x v="6"/>
    <x v="0"/>
    <x v="0"/>
    <x v="0"/>
    <x v="6"/>
    <x v="6"/>
    <n v="99"/>
    <n v="-221"/>
    <x v="0"/>
    <d v="2025-01-27T16:46:00"/>
    <d v="2025-01-27T16:18:00"/>
    <d v="2025-01-27T17:30:00"/>
    <n v="70.483333333333334"/>
    <n v="43.06666666666667"/>
    <x v="1"/>
    <d v="2025-01-28T09:30:00"/>
    <d v="2025-01-28T12:36:00"/>
    <n v="182.11666666666667"/>
    <x v="0"/>
    <d v="2025-01-28T17:56:00"/>
    <d v="2025-01-28T19:06:00"/>
    <n v="68.533333333333331"/>
    <x v="0"/>
    <n v="1.0180555555489263"/>
    <x v="3"/>
    <n v="-0.48194444445107365"/>
    <n v="24.433333333174232"/>
    <n v="12"/>
    <n v="12.433333333174232"/>
    <n v="12.546916890240983"/>
    <x v="0"/>
  </r>
  <r>
    <x v="5"/>
    <x v="2"/>
    <d v="2025-02-03T00:00:00"/>
    <s v="OM1JESFRR"/>
    <x v="2"/>
    <s v="UAY 526V"/>
    <s v="Benon Ssempijja"/>
    <s v="KATO INVESTMENTS LIMITED-MASAK Tax No.: 1000098824"/>
    <m/>
    <m/>
    <x v="26"/>
    <x v="2"/>
    <x v="1"/>
    <x v="2"/>
    <x v="26"/>
    <x v="25"/>
    <m/>
    <n v="0"/>
    <x v="0"/>
    <m/>
    <m/>
    <d v="2025-02-03T17:57:00"/>
    <m/>
    <m/>
    <x v="1"/>
    <m/>
    <m/>
    <m/>
    <x v="0"/>
    <d v="2025-02-03T20:24:00"/>
    <m/>
    <m/>
    <x v="0"/>
    <m/>
    <x v="9"/>
    <n v="0"/>
    <m/>
    <n v="-2.4499999999534339"/>
    <n v="2.4499999999534339"/>
    <n v="0"/>
    <x v="0"/>
  </r>
  <r>
    <x v="5"/>
    <x v="2"/>
    <d v="2025-02-03T00:00:00"/>
    <s v="OMRGR92RR"/>
    <x v="2"/>
    <s v="UBE 287X"/>
    <s v="Isaac Tumuhimbise"/>
    <s v="Kabaco U Ltd-Mbarara Tax No.: 1000025425"/>
    <m/>
    <m/>
    <x v="26"/>
    <x v="2"/>
    <x v="1"/>
    <x v="2"/>
    <x v="26"/>
    <x v="25"/>
    <m/>
    <n v="0"/>
    <x v="0"/>
    <m/>
    <m/>
    <d v="2025-02-02T20:30:00"/>
    <m/>
    <m/>
    <x v="1"/>
    <m/>
    <m/>
    <m/>
    <x v="0"/>
    <d v="2025-02-03T13:03:00"/>
    <m/>
    <m/>
    <x v="0"/>
    <m/>
    <x v="9"/>
    <n v="0"/>
    <m/>
    <n v="-16.549999999988358"/>
    <n v="16.549999999988358"/>
    <n v="0"/>
    <x v="0"/>
  </r>
  <r>
    <x v="5"/>
    <x v="2"/>
    <d v="2025-02-03T00:00:00"/>
    <s v="OM71FEDRR"/>
    <x v="2"/>
    <s v="UAV 203T"/>
    <s v="Mugisha  George"/>
    <s v="Sawan Distributors Ltd-Nabingo Tax No.: 1000186379"/>
    <m/>
    <m/>
    <x v="26"/>
    <x v="2"/>
    <x v="1"/>
    <x v="2"/>
    <x v="26"/>
    <x v="25"/>
    <m/>
    <m/>
    <x v="0"/>
    <m/>
    <m/>
    <d v="2025-02-02T19:03:00"/>
    <m/>
    <m/>
    <x v="1"/>
    <m/>
    <m/>
    <m/>
    <x v="0"/>
    <d v="2025-02-05T12:14:00"/>
    <m/>
    <m/>
    <x v="0"/>
    <m/>
    <x v="9"/>
    <n v="0"/>
    <m/>
    <n v="-41.183333333465271"/>
    <n v="41.183333333465271"/>
    <n v="0"/>
    <x v="0"/>
  </r>
  <r>
    <x v="5"/>
    <x v="2"/>
    <d v="2025-02-03T00:00:00"/>
    <s v="OMRYT3NRR"/>
    <x v="2"/>
    <s v="UBJ 375N"/>
    <s v="Stephen Musoke "/>
    <s v="RUGOMA TRADERS CO. LTD NTUNGAM Tax No.: 1000249350"/>
    <m/>
    <m/>
    <x v="26"/>
    <x v="2"/>
    <x v="1"/>
    <x v="2"/>
    <x v="26"/>
    <x v="25"/>
    <m/>
    <m/>
    <x v="0"/>
    <m/>
    <m/>
    <d v="2025-02-02T19:54:00"/>
    <m/>
    <m/>
    <x v="1"/>
    <m/>
    <m/>
    <m/>
    <x v="0"/>
    <d v="2025-02-04T17:39:00"/>
    <m/>
    <m/>
    <x v="0"/>
    <m/>
    <x v="9"/>
    <n v="0"/>
    <m/>
    <n v="-33.75"/>
    <n v="33.75"/>
    <n v="0"/>
    <x v="0"/>
  </r>
  <r>
    <x v="5"/>
    <x v="2"/>
    <d v="2025-02-04T00:00:00"/>
    <s v="OMEA2E9RR"/>
    <x v="2"/>
    <s v="UBJ 415C"/>
    <s v="Abel Mark naffa"/>
    <s v="Sawan Distributors Ltd-Kayabwe Tax No.: 1000186379"/>
    <m/>
    <m/>
    <x v="26"/>
    <x v="2"/>
    <x v="1"/>
    <x v="2"/>
    <x v="26"/>
    <x v="25"/>
    <m/>
    <m/>
    <x v="0"/>
    <m/>
    <m/>
    <d v="2025-02-03T19:36:00"/>
    <m/>
    <m/>
    <x v="1"/>
    <m/>
    <m/>
    <m/>
    <x v="0"/>
    <d v="2025-02-05T12:44:00"/>
    <m/>
    <m/>
    <x v="0"/>
    <m/>
    <x v="9"/>
    <n v="0"/>
    <m/>
    <n v="-29.133333333302289"/>
    <n v="29.133333333302289"/>
    <n v="0"/>
    <x v="0"/>
  </r>
  <r>
    <x v="5"/>
    <x v="2"/>
    <d v="2025-02-04T00:00:00"/>
    <s v="OMGW63URR"/>
    <x v="2"/>
    <s v="UBE 287X"/>
    <s v="Isaac Tumuhimbise"/>
    <s v="Sawan Distributors Ltd-Nabingo Tax No.: 1000186379"/>
    <m/>
    <m/>
    <x v="26"/>
    <x v="2"/>
    <x v="1"/>
    <x v="2"/>
    <x v="26"/>
    <x v="25"/>
    <m/>
    <m/>
    <x v="0"/>
    <m/>
    <m/>
    <d v="2025-02-03T18:10:00"/>
    <m/>
    <m/>
    <x v="1"/>
    <m/>
    <m/>
    <m/>
    <x v="0"/>
    <d v="2025-02-05T14:24:00"/>
    <m/>
    <m/>
    <x v="0"/>
    <m/>
    <x v="9"/>
    <n v="0"/>
    <m/>
    <n v="-32.233333333279006"/>
    <n v="32.233333333279006"/>
    <n v="0"/>
    <x v="0"/>
  </r>
  <r>
    <x v="5"/>
    <x v="2"/>
    <d v="2025-02-05T00:00:00"/>
    <s v="OM08QBORR"/>
    <x v="2"/>
    <s v="UAY 526V"/>
    <s v="Benon Ssempijja"/>
    <s v="Kato Investment Ltd -Mityana Tax No.: 1000098824"/>
    <m/>
    <m/>
    <x v="26"/>
    <x v="2"/>
    <x v="1"/>
    <x v="2"/>
    <x v="26"/>
    <x v="25"/>
    <m/>
    <m/>
    <x v="0"/>
    <m/>
    <m/>
    <d v="2025-02-05T14:37:00"/>
    <m/>
    <m/>
    <x v="1"/>
    <m/>
    <m/>
    <m/>
    <x v="0"/>
    <d v="2025-02-05T21:47:00"/>
    <m/>
    <m/>
    <x v="0"/>
    <m/>
    <x v="9"/>
    <n v="0"/>
    <m/>
    <n v="-7.1666666666278616"/>
    <n v="7.1666666666278616"/>
    <n v="0"/>
    <x v="0"/>
  </r>
  <r>
    <x v="5"/>
    <x v="2"/>
    <d v="2025-02-05T00:00:00"/>
    <s v="OM3FY6QRR"/>
    <x v="2"/>
    <s v="UBK 875R"/>
    <s v="Bisaso  Ronald"/>
    <s v="Kato Investment Ltd -Mityana Tax No.: 1000098824"/>
    <m/>
    <m/>
    <x v="26"/>
    <x v="2"/>
    <x v="1"/>
    <x v="2"/>
    <x v="26"/>
    <x v="25"/>
    <m/>
    <m/>
    <x v="0"/>
    <m/>
    <m/>
    <d v="2025-02-05T13:42:00"/>
    <m/>
    <m/>
    <x v="1"/>
    <m/>
    <m/>
    <m/>
    <x v="0"/>
    <d v="2025-02-08T10:54:00"/>
    <m/>
    <m/>
    <x v="0"/>
    <m/>
    <x v="9"/>
    <n v="0"/>
    <m/>
    <n v="-45.200000000128057"/>
    <n v="45.200000000128057"/>
    <n v="0"/>
    <x v="0"/>
  </r>
  <r>
    <x v="5"/>
    <x v="2"/>
    <d v="2025-02-05T00:00:00"/>
    <s v="OMMK06ORR"/>
    <x v="2"/>
    <s v="UBA 523T"/>
    <s v="Kabene John"/>
    <s v="Ntale &amp; Sons Tax No.: 1001371381"/>
    <m/>
    <m/>
    <x v="26"/>
    <x v="2"/>
    <x v="1"/>
    <x v="2"/>
    <x v="26"/>
    <x v="25"/>
    <m/>
    <m/>
    <x v="0"/>
    <m/>
    <m/>
    <d v="2025-02-05T13:24:00"/>
    <m/>
    <m/>
    <x v="1"/>
    <m/>
    <m/>
    <m/>
    <x v="0"/>
    <d v="2025-02-08T14:54:00"/>
    <m/>
    <m/>
    <x v="0"/>
    <m/>
    <x v="9"/>
    <n v="0"/>
    <m/>
    <n v="-37.5"/>
    <n v="37.5"/>
    <n v="0"/>
    <x v="0"/>
  </r>
  <r>
    <x v="5"/>
    <x v="2"/>
    <d v="2025-02-05T00:00:00"/>
    <s v="OM2G8SKRR"/>
    <x v="2"/>
    <s v="UAY 265V"/>
    <s v="Luyaga Isaac"/>
    <s v="Kato Investments Ltd-Bulenga Tax No.: 1000098824"/>
    <m/>
    <m/>
    <x v="26"/>
    <x v="2"/>
    <x v="1"/>
    <x v="2"/>
    <x v="26"/>
    <x v="25"/>
    <m/>
    <m/>
    <x v="0"/>
    <m/>
    <m/>
    <d v="2025-02-05T13:00:00"/>
    <m/>
    <m/>
    <x v="1"/>
    <m/>
    <m/>
    <m/>
    <x v="0"/>
    <d v="2025-02-07T15:46:00"/>
    <m/>
    <m/>
    <x v="0"/>
    <m/>
    <x v="9"/>
    <n v="0"/>
    <m/>
    <n v="-26.766666666779201"/>
    <n v="26.766666666779201"/>
    <n v="0"/>
    <x v="0"/>
  </r>
  <r>
    <x v="5"/>
    <x v="2"/>
    <d v="2025-02-05T00:00:00"/>
    <s v="OMGYL7CRR"/>
    <x v="2"/>
    <s v="UBJ 988D"/>
    <s v="Tumusiime Robert"/>
    <s v="KATO INVESTMENTS LTD- KALISIZO Tax No.: 1000098824"/>
    <m/>
    <m/>
    <x v="26"/>
    <x v="2"/>
    <x v="1"/>
    <x v="2"/>
    <x v="26"/>
    <x v="25"/>
    <m/>
    <m/>
    <x v="0"/>
    <m/>
    <m/>
    <d v="2025-02-05T18:04:00"/>
    <m/>
    <m/>
    <x v="1"/>
    <m/>
    <m/>
    <m/>
    <x v="0"/>
    <d v="2025-02-07T14:38:00"/>
    <m/>
    <m/>
    <x v="0"/>
    <m/>
    <x v="9"/>
    <n v="0"/>
    <m/>
    <n v="-32.566666666651145"/>
    <n v="32.566666666651145"/>
    <n v="0"/>
    <x v="0"/>
  </r>
  <r>
    <x v="5"/>
    <x v="2"/>
    <d v="2025-02-06T00:00:00"/>
    <s v="OM2T10KRR"/>
    <x v="2"/>
    <s v="UBJ 415C"/>
    <s v="Abel Mark naffa"/>
    <s v="Kabaco U Ltd Tax No.: 1000025425"/>
    <m/>
    <m/>
    <x v="26"/>
    <x v="2"/>
    <x v="1"/>
    <x v="2"/>
    <x v="26"/>
    <x v="25"/>
    <m/>
    <m/>
    <x v="0"/>
    <m/>
    <m/>
    <d v="2025-02-07T19:26:00"/>
    <m/>
    <m/>
    <x v="1"/>
    <m/>
    <m/>
    <m/>
    <x v="0"/>
    <d v="2025-02-10T15:52:00"/>
    <m/>
    <m/>
    <x v="0"/>
    <m/>
    <x v="9"/>
    <n v="0"/>
    <m/>
    <n v="-44.433333333407063"/>
    <n v="44.433333333407063"/>
    <n v="0"/>
    <x v="0"/>
  </r>
  <r>
    <x v="5"/>
    <x v="2"/>
    <d v="2025-02-06T00:00:00"/>
    <s v="OMMMFQSRR"/>
    <x v="2"/>
    <s v="UBE 287X"/>
    <s v="Isaac Tumuhimbise"/>
    <s v="RUGOMA TRADERS CO. LTD NTUNGAM Tax No.: 1000249350"/>
    <m/>
    <m/>
    <x v="26"/>
    <x v="2"/>
    <x v="1"/>
    <x v="2"/>
    <x v="26"/>
    <x v="25"/>
    <m/>
    <m/>
    <x v="0"/>
    <m/>
    <m/>
    <d v="2025-02-06T20:08:00"/>
    <m/>
    <m/>
    <x v="1"/>
    <m/>
    <m/>
    <m/>
    <x v="0"/>
    <d v="2025-02-08T09:00:00"/>
    <m/>
    <m/>
    <x v="0"/>
    <m/>
    <x v="9"/>
    <n v="0"/>
    <m/>
    <n v="-24.866666666697711"/>
    <n v="24.866666666697711"/>
    <n v="0"/>
    <x v="0"/>
  </r>
  <r>
    <x v="5"/>
    <x v="2"/>
    <d v="2025-02-06T00:00:00"/>
    <s v="OMF1N6TRR"/>
    <x v="2"/>
    <s v="UBJ 707D"/>
    <s v="Konge Husein"/>
    <s v="KATO INVESTMENTS LIMITED-MASAK Tax No.: 1000098824"/>
    <m/>
    <m/>
    <x v="26"/>
    <x v="2"/>
    <x v="1"/>
    <x v="2"/>
    <x v="26"/>
    <x v="25"/>
    <m/>
    <m/>
    <x v="0"/>
    <m/>
    <m/>
    <d v="2025-02-06T10:55:00"/>
    <m/>
    <m/>
    <x v="1"/>
    <m/>
    <m/>
    <m/>
    <x v="0"/>
    <d v="2025-02-10T13:48:00"/>
    <m/>
    <m/>
    <x v="0"/>
    <m/>
    <x v="9"/>
    <n v="0"/>
    <m/>
    <n v="-50.883333333302289"/>
    <n v="50.883333333302289"/>
    <n v="0"/>
    <x v="0"/>
  </r>
  <r>
    <x v="5"/>
    <x v="2"/>
    <d v="2025-02-06T00:00:00"/>
    <s v="OMPH45PRR"/>
    <x v="2"/>
    <s v="UBJ 417C"/>
    <s v="MUKOSE MUZAMIRU"/>
    <s v="Boniface Harera Tax No.: 1000317747"/>
    <m/>
    <m/>
    <x v="26"/>
    <x v="2"/>
    <x v="1"/>
    <x v="2"/>
    <x v="26"/>
    <x v="25"/>
    <m/>
    <m/>
    <x v="0"/>
    <m/>
    <m/>
    <d v="2025-02-05T22:38:00"/>
    <m/>
    <m/>
    <x v="1"/>
    <m/>
    <m/>
    <m/>
    <x v="0"/>
    <d v="2025-02-07T13:36:00"/>
    <m/>
    <m/>
    <x v="0"/>
    <m/>
    <x v="9"/>
    <n v="0"/>
    <m/>
    <n v="-26.966666666558012"/>
    <n v="26.966666666558012"/>
    <n v="0"/>
    <x v="0"/>
  </r>
  <r>
    <x v="5"/>
    <x v="2"/>
    <d v="2025-02-06T00:00:00"/>
    <s v="OMOHRI9RR"/>
    <x v="2"/>
    <s v="UBJ 420C"/>
    <s v="ZIWA ABASI"/>
    <s v="Rugoma Traders-Rukungiri Tax No.: 1000249350"/>
    <m/>
    <m/>
    <x v="26"/>
    <x v="2"/>
    <x v="1"/>
    <x v="2"/>
    <x v="26"/>
    <x v="25"/>
    <m/>
    <m/>
    <x v="0"/>
    <m/>
    <m/>
    <d v="2025-02-05T19:55:00"/>
    <m/>
    <m/>
    <x v="1"/>
    <m/>
    <m/>
    <m/>
    <x v="0"/>
    <d v="2025-02-06T19:55:00"/>
    <m/>
    <m/>
    <x v="0"/>
    <m/>
    <x v="9"/>
    <n v="0"/>
    <m/>
    <n v="-12"/>
    <n v="12"/>
    <n v="0"/>
    <x v="0"/>
  </r>
  <r>
    <x v="5"/>
    <x v="2"/>
    <d v="2025-02-07T00:00:00"/>
    <s v="OMSF49ZRR"/>
    <x v="2"/>
    <s v="UBK 881R"/>
    <s v="James  Kironde"/>
    <s v="Kabaco U Ltd-Mbarara Tax No.: 1000025425"/>
    <m/>
    <m/>
    <x v="26"/>
    <x v="2"/>
    <x v="1"/>
    <x v="2"/>
    <x v="26"/>
    <x v="25"/>
    <m/>
    <m/>
    <x v="0"/>
    <m/>
    <m/>
    <d v="2025-02-07T11:15:00"/>
    <m/>
    <m/>
    <x v="1"/>
    <m/>
    <m/>
    <m/>
    <x v="0"/>
    <d v="2025-02-07T16:21:00"/>
    <m/>
    <m/>
    <x v="0"/>
    <m/>
    <x v="9"/>
    <n v="0"/>
    <m/>
    <n v="-5.1000000000349246"/>
    <n v="5.1000000000349246"/>
    <n v="0"/>
    <x v="0"/>
  </r>
  <r>
    <x v="5"/>
    <x v="2"/>
    <d v="2025-02-07T00:00:00"/>
    <s v="OMT67LPRR"/>
    <x v="2"/>
    <s v="UBP 298H"/>
    <s v="SENTONG DAVID"/>
    <s v="Kobusinge Acaali- Kyenjojo Tax No.: 1000977837"/>
    <m/>
    <m/>
    <x v="26"/>
    <x v="2"/>
    <x v="1"/>
    <x v="2"/>
    <x v="26"/>
    <x v="25"/>
    <m/>
    <m/>
    <x v="0"/>
    <m/>
    <m/>
    <d v="2025-02-07T10:09:00"/>
    <m/>
    <m/>
    <x v="1"/>
    <m/>
    <m/>
    <m/>
    <x v="0"/>
    <d v="2025-02-09T10:03:00"/>
    <m/>
    <m/>
    <x v="0"/>
    <m/>
    <x v="9"/>
    <n v="0"/>
    <m/>
    <n v="-35.89999999984866"/>
    <n v="35.89999999984866"/>
    <n v="0"/>
    <x v="0"/>
  </r>
  <r>
    <x v="5"/>
    <x v="2"/>
    <d v="2025-02-08T00:00:00"/>
    <s v="OMGBWDPRR"/>
    <x v="2"/>
    <s v="UAY 526V"/>
    <s v="Benon Ssempijja"/>
    <s v="Kabaco U Ltd-Mbarara Tax No.: 1000025425"/>
    <m/>
    <m/>
    <x v="26"/>
    <x v="2"/>
    <x v="1"/>
    <x v="2"/>
    <x v="26"/>
    <x v="25"/>
    <m/>
    <m/>
    <x v="0"/>
    <m/>
    <m/>
    <d v="2025-02-08T06:25:00"/>
    <m/>
    <m/>
    <x v="1"/>
    <m/>
    <m/>
    <m/>
    <x v="0"/>
    <d v="2025-02-08T15:39:00"/>
    <m/>
    <m/>
    <x v="0"/>
    <m/>
    <x v="9"/>
    <n v="0"/>
    <m/>
    <n v="-9.2333333333954215"/>
    <n v="9.2333333333954215"/>
    <n v="0"/>
    <x v="0"/>
  </r>
  <r>
    <x v="5"/>
    <x v="2"/>
    <d v="2025-02-08T00:00:00"/>
    <s v="OMPS7Y0RR"/>
    <x v="2"/>
    <s v="UBK 881R"/>
    <s v="James  Kironde"/>
    <s v="Kabaco U Ltd-Mbarara Tax No.: 1000025425"/>
    <m/>
    <m/>
    <x v="26"/>
    <x v="2"/>
    <x v="1"/>
    <x v="2"/>
    <x v="26"/>
    <x v="25"/>
    <m/>
    <m/>
    <x v="0"/>
    <m/>
    <m/>
    <d v="2025-02-08T13:44:00"/>
    <m/>
    <m/>
    <x v="1"/>
    <m/>
    <m/>
    <m/>
    <x v="0"/>
    <d v="2025-02-08T20:14:00"/>
    <m/>
    <m/>
    <x v="0"/>
    <m/>
    <x v="9"/>
    <n v="0"/>
    <m/>
    <n v="-6.4999999998835847"/>
    <n v="6.4999999998835847"/>
    <n v="0"/>
    <x v="0"/>
  </r>
  <r>
    <x v="5"/>
    <x v="2"/>
    <d v="2025-02-08T00:00:00"/>
    <s v="OM97USARR"/>
    <x v="2"/>
    <s v="UAY 265V"/>
    <s v="Luyaga Isaac"/>
    <s v="KATO INVESTMENTS LIMITED-MASAK Tax No.: 1000098824"/>
    <m/>
    <m/>
    <x v="26"/>
    <x v="2"/>
    <x v="1"/>
    <x v="2"/>
    <x v="26"/>
    <x v="25"/>
    <m/>
    <m/>
    <x v="0"/>
    <m/>
    <m/>
    <d v="2025-02-08T12:45:00"/>
    <m/>
    <m/>
    <x v="1"/>
    <m/>
    <m/>
    <m/>
    <x v="0"/>
    <d v="2025-02-09T16:27:00"/>
    <m/>
    <m/>
    <x v="0"/>
    <m/>
    <x v="9"/>
    <n v="0"/>
    <m/>
    <n v="-15.700000000011642"/>
    <n v="15.700000000011642"/>
    <n v="0"/>
    <x v="0"/>
  </r>
  <r>
    <x v="5"/>
    <x v="2"/>
    <d v="2025-02-08T00:00:00"/>
    <s v="OM6CYJIRR"/>
    <x v="2"/>
    <s v="UBJ 420C"/>
    <s v="ZIWA ABASI"/>
    <s v="Kobusinge Steven-FPortal Tax No.: 1000977837"/>
    <m/>
    <m/>
    <x v="26"/>
    <x v="2"/>
    <x v="1"/>
    <x v="2"/>
    <x v="26"/>
    <x v="25"/>
    <m/>
    <m/>
    <x v="0"/>
    <m/>
    <m/>
    <d v="2025-02-08T07:56:00"/>
    <m/>
    <m/>
    <x v="1"/>
    <m/>
    <m/>
    <m/>
    <x v="0"/>
    <d v="2025-02-10T09:38:00"/>
    <m/>
    <m/>
    <x v="0"/>
    <m/>
    <x v="9"/>
    <n v="0"/>
    <m/>
    <n v="-25.699999999953434"/>
    <n v="25.699999999953434"/>
    <n v="0"/>
    <x v="0"/>
  </r>
  <r>
    <x v="5"/>
    <x v="2"/>
    <d v="2025-02-09T00:00:00"/>
    <s v="OMZIMCMRR"/>
    <x v="2"/>
    <s v="UAY 526V"/>
    <s v="Benon Ssempijja"/>
    <s v="KATO INVESTMENTS LIMITED-MASAK Tax No.: 1000098824"/>
    <m/>
    <m/>
    <x v="26"/>
    <x v="2"/>
    <x v="1"/>
    <x v="2"/>
    <x v="26"/>
    <x v="25"/>
    <m/>
    <m/>
    <x v="0"/>
    <m/>
    <m/>
    <d v="2025-02-10T11:38:00"/>
    <m/>
    <m/>
    <x v="1"/>
    <m/>
    <m/>
    <m/>
    <x v="0"/>
    <d v="2025-02-12T06:43:00"/>
    <m/>
    <m/>
    <x v="0"/>
    <m/>
    <x v="9"/>
    <n v="0"/>
    <m/>
    <n v="-31.083333333372138"/>
    <n v="31.083333333372138"/>
    <n v="0"/>
    <x v="0"/>
  </r>
  <r>
    <x v="5"/>
    <x v="2"/>
    <d v="2025-02-09T00:00:00"/>
    <s v="OMWUMP8RR"/>
    <x v="2"/>
    <s v="UBK 875R"/>
    <s v="Bisaso  Ronald"/>
    <s v="Kato Investment Ltd -Mityana Tax No.: 1000098824"/>
    <m/>
    <m/>
    <x v="26"/>
    <x v="2"/>
    <x v="1"/>
    <x v="2"/>
    <x v="26"/>
    <x v="25"/>
    <m/>
    <m/>
    <x v="0"/>
    <m/>
    <m/>
    <d v="2025-02-09T08:03:00"/>
    <m/>
    <m/>
    <x v="1"/>
    <m/>
    <m/>
    <m/>
    <x v="0"/>
    <d v="2025-02-11T19:54:00"/>
    <m/>
    <m/>
    <x v="0"/>
    <m/>
    <x v="9"/>
    <n v="0"/>
    <m/>
    <n v="-35.850000000034925"/>
    <n v="35.850000000034925"/>
    <n v="0"/>
    <x v="0"/>
  </r>
  <r>
    <x v="5"/>
    <x v="2"/>
    <d v="2025-02-09T00:00:00"/>
    <s v="OM3EGIHRR"/>
    <x v="2"/>
    <s v="UBE 287X"/>
    <s v="Isaac Tumuhimbise"/>
    <s v="Sawan Distributors Ltd-Nabingo Tax No.: 1000186379"/>
    <m/>
    <m/>
    <x v="26"/>
    <x v="2"/>
    <x v="1"/>
    <x v="2"/>
    <x v="26"/>
    <x v="25"/>
    <m/>
    <m/>
    <x v="0"/>
    <m/>
    <m/>
    <d v="2025-02-09T10:49:00"/>
    <m/>
    <m/>
    <x v="1"/>
    <m/>
    <m/>
    <m/>
    <x v="0"/>
    <d v="2025-02-11T09:53:00"/>
    <m/>
    <m/>
    <x v="0"/>
    <m/>
    <x v="9"/>
    <n v="0"/>
    <m/>
    <n v="-35.06666666676756"/>
    <n v="35.06666666676756"/>
    <n v="0"/>
    <x v="0"/>
  </r>
  <r>
    <x v="5"/>
    <x v="2"/>
    <d v="2025-02-09T00:00:00"/>
    <s v="OMU699YRR"/>
    <x v="2"/>
    <s v="UBE 422T"/>
    <s v="Jacob Oneka"/>
    <s v="Kato Investment Ltd -Mubende Tax No.: 1000098824"/>
    <m/>
    <m/>
    <x v="26"/>
    <x v="2"/>
    <x v="1"/>
    <x v="2"/>
    <x v="26"/>
    <x v="25"/>
    <m/>
    <m/>
    <x v="0"/>
    <m/>
    <m/>
    <d v="2025-02-09T10:28:00"/>
    <m/>
    <m/>
    <x v="1"/>
    <m/>
    <m/>
    <m/>
    <x v="0"/>
    <d v="2025-02-11T15:58:00"/>
    <m/>
    <m/>
    <x v="0"/>
    <m/>
    <x v="9"/>
    <n v="0"/>
    <m/>
    <n v="-29.499999999941792"/>
    <n v="29.499999999941792"/>
    <n v="0"/>
    <x v="0"/>
  </r>
  <r>
    <x v="5"/>
    <x v="2"/>
    <d v="2025-02-09T00:00:00"/>
    <s v="OMAKGLLRR"/>
    <x v="2"/>
    <s v="UBK 881R"/>
    <s v="James  Kironde"/>
    <s v="Kabaco U Ltd Tax No.: 1000025425"/>
    <m/>
    <m/>
    <x v="26"/>
    <x v="2"/>
    <x v="1"/>
    <x v="2"/>
    <x v="26"/>
    <x v="25"/>
    <m/>
    <m/>
    <x v="0"/>
    <m/>
    <m/>
    <d v="2025-02-09T13:03:00"/>
    <m/>
    <m/>
    <x v="1"/>
    <m/>
    <m/>
    <m/>
    <x v="0"/>
    <d v="2025-02-10T14:54:00"/>
    <m/>
    <m/>
    <x v="0"/>
    <m/>
    <x v="9"/>
    <n v="0"/>
    <m/>
    <n v="-13.850000000093132"/>
    <n v="13.850000000093132"/>
    <n v="0"/>
    <x v="0"/>
  </r>
  <r>
    <x v="5"/>
    <x v="2"/>
    <d v="2025-02-11T00:00:00"/>
    <s v="OMJBBX8RR"/>
    <x v="2"/>
    <s v="UBJ 415C"/>
    <s v="Abel Mark naffa"/>
    <s v="KATO INVESTMENTS LIMITED-MASAK Tax No.: 1000098824"/>
    <m/>
    <m/>
    <x v="26"/>
    <x v="2"/>
    <x v="1"/>
    <x v="2"/>
    <x v="26"/>
    <x v="25"/>
    <m/>
    <m/>
    <x v="0"/>
    <m/>
    <m/>
    <d v="2025-02-13T20:17:00"/>
    <m/>
    <m/>
    <x v="1"/>
    <m/>
    <m/>
    <m/>
    <x v="0"/>
    <d v="2025-02-17T09:41:00"/>
    <m/>
    <m/>
    <x v="0"/>
    <m/>
    <x v="9"/>
    <n v="0"/>
    <m/>
    <n v="-49.400000000023283"/>
    <n v="49.400000000023283"/>
    <n v="0"/>
    <x v="0"/>
  </r>
  <r>
    <x v="5"/>
    <x v="2"/>
    <d v="2025-02-11T00:00:00"/>
    <s v="OMWCMJWRR"/>
    <x v="2"/>
    <s v="UAY 526V"/>
    <s v="Benon Ssempijja"/>
    <s v="RUGOMA TRADERS CO. LTD NTUNGAM Tax No.: 1000249350"/>
    <m/>
    <m/>
    <x v="26"/>
    <x v="2"/>
    <x v="1"/>
    <x v="2"/>
    <x v="26"/>
    <x v="25"/>
    <m/>
    <m/>
    <x v="0"/>
    <m/>
    <m/>
    <d v="2025-02-13T17:26:00"/>
    <m/>
    <m/>
    <x v="1"/>
    <m/>
    <m/>
    <m/>
    <x v="0"/>
    <d v="2025-02-14T22:23:00"/>
    <m/>
    <m/>
    <x v="0"/>
    <m/>
    <x v="9"/>
    <n v="0"/>
    <m/>
    <n v="-16.949999999895226"/>
    <n v="16.949999999895226"/>
    <n v="0"/>
    <x v="0"/>
  </r>
  <r>
    <x v="5"/>
    <x v="2"/>
    <d v="2025-02-11T00:00:00"/>
    <s v="OMATXRURR"/>
    <x v="2"/>
    <s v="UBK 875R"/>
    <s v="Bisaso  Ronald"/>
    <s v="Ntale &amp; Sons Tax No.: 1001371381"/>
    <m/>
    <m/>
    <x v="26"/>
    <x v="2"/>
    <x v="1"/>
    <x v="2"/>
    <x v="26"/>
    <x v="25"/>
    <m/>
    <m/>
    <x v="0"/>
    <m/>
    <m/>
    <d v="2025-02-13T15:07:00"/>
    <m/>
    <m/>
    <x v="1"/>
    <m/>
    <m/>
    <m/>
    <x v="0"/>
    <d v="2025-02-16T11:44:00"/>
    <m/>
    <m/>
    <x v="0"/>
    <m/>
    <x v="9"/>
    <n v="0"/>
    <m/>
    <n v="-44.616666666639503"/>
    <n v="44.616666666639503"/>
    <n v="0"/>
    <x v="0"/>
  </r>
  <r>
    <x v="5"/>
    <x v="2"/>
    <d v="2025-02-11T00:00:00"/>
    <s v="OM2FJTZRR"/>
    <x v="2"/>
    <s v="UBE 287X"/>
    <s v="Isaac Tumuhimbise"/>
    <s v="KATO INVESTMENTS LIMITED-MASAK Tax No.: 1000098824"/>
    <m/>
    <m/>
    <x v="26"/>
    <x v="2"/>
    <x v="1"/>
    <x v="2"/>
    <x v="26"/>
    <x v="25"/>
    <m/>
    <m/>
    <x v="0"/>
    <m/>
    <m/>
    <d v="2025-02-11T15:36:00"/>
    <m/>
    <m/>
    <x v="1"/>
    <m/>
    <m/>
    <m/>
    <x v="0"/>
    <d v="2025-02-13T13:47:00"/>
    <m/>
    <m/>
    <x v="0"/>
    <m/>
    <x v="9"/>
    <n v="0"/>
    <m/>
    <n v="-34.183333333348855"/>
    <n v="34.183333333348855"/>
    <n v="0"/>
    <x v="0"/>
  </r>
  <r>
    <x v="5"/>
    <x v="2"/>
    <d v="2025-02-11T00:00:00"/>
    <s v="OMN4OBMRR"/>
    <x v="2"/>
    <s v="UAY 265V"/>
    <s v="Luyaga Isaac"/>
    <s v="Ntale &amp; Sons Tax No.: 1001371381"/>
    <m/>
    <m/>
    <x v="26"/>
    <x v="2"/>
    <x v="1"/>
    <x v="2"/>
    <x v="26"/>
    <x v="25"/>
    <m/>
    <m/>
    <x v="0"/>
    <m/>
    <m/>
    <d v="2025-02-11T12:59:00"/>
    <m/>
    <m/>
    <x v="1"/>
    <m/>
    <m/>
    <m/>
    <x v="0"/>
    <d v="2025-02-16T20:14:00"/>
    <m/>
    <m/>
    <x v="0"/>
    <m/>
    <x v="9"/>
    <n v="0"/>
    <m/>
    <n v="-67.249999999883585"/>
    <n v="67.249999999883585"/>
    <n v="0"/>
    <x v="0"/>
  </r>
  <r>
    <x v="5"/>
    <x v="2"/>
    <d v="2025-02-11T00:00:00"/>
    <s v="OM5GBZ2RR"/>
    <x v="2"/>
    <s v="UBP 298H"/>
    <s v="SENTONG DAVID"/>
    <s v="Kobusinge Acaali- Kyenjojo Tax No.: 1000977837"/>
    <m/>
    <m/>
    <x v="26"/>
    <x v="2"/>
    <x v="1"/>
    <x v="2"/>
    <x v="26"/>
    <x v="25"/>
    <m/>
    <m/>
    <x v="0"/>
    <m/>
    <m/>
    <d v="2025-02-11T10:18:00"/>
    <m/>
    <m/>
    <x v="1"/>
    <m/>
    <m/>
    <m/>
    <x v="0"/>
    <d v="2025-02-12T19:21:00"/>
    <m/>
    <m/>
    <x v="0"/>
    <m/>
    <x v="9"/>
    <n v="0"/>
    <m/>
    <n v="-21.049999999988358"/>
    <n v="21.049999999988358"/>
    <n v="0"/>
    <x v="0"/>
  </r>
  <r>
    <x v="5"/>
    <x v="2"/>
    <d v="2025-02-11T00:00:00"/>
    <s v="OMOF3KLRR"/>
    <x v="2"/>
    <s v="UBJ 375N"/>
    <s v="Stephen Musoke "/>
    <s v="KATO INVESTMENTS LIMITED-MASAK Tax No.: 1000098824"/>
    <m/>
    <m/>
    <x v="26"/>
    <x v="2"/>
    <x v="1"/>
    <x v="2"/>
    <x v="26"/>
    <x v="25"/>
    <m/>
    <m/>
    <x v="0"/>
    <m/>
    <m/>
    <d v="2025-02-11T14:32:00"/>
    <m/>
    <m/>
    <x v="1"/>
    <m/>
    <m/>
    <m/>
    <x v="0"/>
    <d v="2025-02-12T11:04:00"/>
    <m/>
    <m/>
    <x v="0"/>
    <m/>
    <x v="9"/>
    <n v="0"/>
    <m/>
    <n v="-20.533333333209157"/>
    <n v="20.533333333209157"/>
    <n v="0"/>
    <x v="0"/>
  </r>
  <r>
    <x v="5"/>
    <x v="2"/>
    <d v="2025-02-11T00:00:00"/>
    <s v="OM5KX1ZRR"/>
    <x v="2"/>
    <s v="UBJ 420C"/>
    <s v="ZIWA ABASI"/>
    <s v="Kabaco U Ltd Tax No.: 1000025425"/>
    <m/>
    <m/>
    <x v="26"/>
    <x v="2"/>
    <x v="1"/>
    <x v="2"/>
    <x v="26"/>
    <x v="25"/>
    <m/>
    <m/>
    <x v="0"/>
    <m/>
    <m/>
    <d v="2025-02-10T22:10:00"/>
    <m/>
    <m/>
    <x v="1"/>
    <m/>
    <m/>
    <m/>
    <x v="0"/>
    <d v="2025-02-12T18:31:00"/>
    <m/>
    <m/>
    <x v="0"/>
    <m/>
    <x v="9"/>
    <n v="0"/>
    <m/>
    <n v="-32.349999999976717"/>
    <n v="32.349999999976717"/>
    <n v="0"/>
    <x v="0"/>
  </r>
  <r>
    <x v="5"/>
    <x v="2"/>
    <d v="2025-02-12T00:00:00"/>
    <s v="OMBYEG6RR"/>
    <x v="2"/>
    <s v="UBE 422T"/>
    <s v="Jacob Oneka"/>
    <s v="Rugoma Traders-Kanungu/Kihihi Tax No.: 1000249350"/>
    <m/>
    <m/>
    <x v="26"/>
    <x v="2"/>
    <x v="1"/>
    <x v="2"/>
    <x v="26"/>
    <x v="25"/>
    <m/>
    <m/>
    <x v="0"/>
    <m/>
    <m/>
    <d v="2025-02-13T14:10:00"/>
    <m/>
    <m/>
    <x v="1"/>
    <m/>
    <m/>
    <m/>
    <x v="0"/>
    <d v="2025-02-14T17:28:00"/>
    <m/>
    <m/>
    <x v="0"/>
    <m/>
    <x v="9"/>
    <n v="0"/>
    <m/>
    <n v="-15.299999999930151"/>
    <n v="15.299999999930151"/>
    <n v="0"/>
    <x v="0"/>
  </r>
  <r>
    <x v="5"/>
    <x v="2"/>
    <d v="2025-02-12T00:00:00"/>
    <s v="OMMT37ZRR"/>
    <x v="2"/>
    <s v="UBK 881R"/>
    <s v="James  Kironde"/>
    <s v="KATO INVESTMENTS LTD- KALISIZO Tax No.: 1000098824"/>
    <m/>
    <m/>
    <x v="26"/>
    <x v="2"/>
    <x v="1"/>
    <x v="2"/>
    <x v="26"/>
    <x v="25"/>
    <m/>
    <m/>
    <x v="0"/>
    <m/>
    <m/>
    <d v="2025-02-11T16:51:00"/>
    <m/>
    <m/>
    <x v="1"/>
    <m/>
    <m/>
    <m/>
    <x v="0"/>
    <d v="2025-02-12T18:32:00"/>
    <m/>
    <m/>
    <x v="0"/>
    <m/>
    <x v="9"/>
    <n v="0"/>
    <m/>
    <n v="-13.683333333407063"/>
    <n v="13.683333333407063"/>
    <n v="0"/>
    <x v="0"/>
  </r>
  <r>
    <x v="5"/>
    <x v="2"/>
    <d v="2025-02-13T00:00:00"/>
    <s v="OMM0QETRR"/>
    <x v="2"/>
    <s v="UBE 287X"/>
    <s v="Isaac Tumuhimbise"/>
    <s v="Rugoma Traders-Kanungu/Kihihi Tax No.: 1000249350"/>
    <m/>
    <m/>
    <x v="26"/>
    <x v="2"/>
    <x v="1"/>
    <x v="2"/>
    <x v="26"/>
    <x v="25"/>
    <m/>
    <m/>
    <x v="0"/>
    <m/>
    <m/>
    <d v="2025-02-13T19:47:00"/>
    <m/>
    <m/>
    <x v="1"/>
    <m/>
    <m/>
    <m/>
    <x v="0"/>
    <m/>
    <m/>
    <m/>
    <x v="0"/>
    <m/>
    <x v="9"/>
    <n v="0"/>
    <m/>
    <n v="548419.78333333344"/>
    <n v="-548419.78333333344"/>
    <n v="0"/>
    <x v="0"/>
  </r>
  <r>
    <x v="5"/>
    <x v="2"/>
    <d v="2025-02-13T00:00:00"/>
    <s v="OM7QN6ORR"/>
    <x v="2"/>
    <s v="UBK 881R"/>
    <s v="James  Kironde"/>
    <s v="Kabaco U Ltd-Mbarara Tax No.: 1000025425"/>
    <m/>
    <m/>
    <x v="26"/>
    <x v="2"/>
    <x v="1"/>
    <x v="2"/>
    <x v="26"/>
    <x v="25"/>
    <m/>
    <m/>
    <x v="0"/>
    <m/>
    <m/>
    <d v="2025-02-13T10:41:00"/>
    <m/>
    <m/>
    <x v="1"/>
    <m/>
    <m/>
    <m/>
    <x v="0"/>
    <m/>
    <m/>
    <m/>
    <x v="0"/>
    <m/>
    <x v="9"/>
    <n v="0"/>
    <m/>
    <n v="548410.68333333335"/>
    <n v="-548410.68333333335"/>
    <n v="0"/>
    <x v="0"/>
  </r>
  <r>
    <x v="5"/>
    <x v="2"/>
    <d v="2025-02-14T00:00:00"/>
    <s v="OMD8HUDRR"/>
    <x v="2"/>
    <s v="UBK 881R"/>
    <s v="James  Kironde"/>
    <s v="Ntale &amp; Sons Tax No.: 1001371381"/>
    <m/>
    <m/>
    <x v="26"/>
    <x v="2"/>
    <x v="1"/>
    <x v="2"/>
    <x v="26"/>
    <x v="25"/>
    <m/>
    <m/>
    <x v="0"/>
    <m/>
    <m/>
    <d v="2025-02-14T13:40:00"/>
    <m/>
    <m/>
    <x v="1"/>
    <m/>
    <m/>
    <m/>
    <x v="0"/>
    <m/>
    <m/>
    <m/>
    <x v="0"/>
    <m/>
    <x v="9"/>
    <n v="0"/>
    <m/>
    <n v="548425.66666666674"/>
    <n v="-548425.66666666674"/>
    <n v="0"/>
    <x v="0"/>
  </r>
  <r>
    <x v="5"/>
    <x v="2"/>
    <d v="2025-02-14T00:00:00"/>
    <s v="OM881JIRR"/>
    <x v="2"/>
    <s v="UBJ 417C"/>
    <s v="MUKOSE MUZAMIRU"/>
    <s v="Boniface Harera Tax No.: 1000317747"/>
    <m/>
    <m/>
    <x v="26"/>
    <x v="2"/>
    <x v="1"/>
    <x v="2"/>
    <x v="26"/>
    <x v="25"/>
    <m/>
    <m/>
    <x v="0"/>
    <m/>
    <m/>
    <d v="2025-02-13T22:58:00"/>
    <m/>
    <m/>
    <x v="1"/>
    <m/>
    <m/>
    <m/>
    <x v="0"/>
    <m/>
    <m/>
    <m/>
    <x v="0"/>
    <m/>
    <x v="9"/>
    <n v="0"/>
    <m/>
    <n v="548422.96666666656"/>
    <n v="-548422.96666666656"/>
    <n v="0"/>
    <x v="0"/>
  </r>
  <r>
    <x v="5"/>
    <x v="2"/>
    <d v="2025-02-14T00:00:00"/>
    <s v="OMTDJ66RR"/>
    <x v="2"/>
    <s v="UBP 298H"/>
    <s v="SENTONG DAVID"/>
    <s v="Rugoma Traders-Kanungu/Kihihi Tax No.: 1000249350"/>
    <m/>
    <m/>
    <x v="26"/>
    <x v="2"/>
    <x v="1"/>
    <x v="2"/>
    <x v="26"/>
    <x v="25"/>
    <m/>
    <m/>
    <x v="0"/>
    <m/>
    <m/>
    <d v="2025-02-13T22:22:00"/>
    <m/>
    <m/>
    <x v="1"/>
    <m/>
    <m/>
    <m/>
    <x v="0"/>
    <m/>
    <m/>
    <m/>
    <x v="0"/>
    <m/>
    <x v="9"/>
    <n v="0"/>
    <m/>
    <n v="548422.3666666667"/>
    <n v="-548422.3666666667"/>
    <n v="0"/>
    <x v="0"/>
  </r>
  <r>
    <x v="5"/>
    <x v="2"/>
    <d v="2025-02-15T00:00:00"/>
    <s v="OMD3RE6RR"/>
    <x v="2"/>
    <s v="UAY 526V"/>
    <s v="Benon Ssempijja"/>
    <s v="KATO INVESTMENTS LIMITED-MASAK Tax No.: 1000098824"/>
    <m/>
    <m/>
    <x v="26"/>
    <x v="2"/>
    <x v="1"/>
    <x v="2"/>
    <x v="26"/>
    <x v="25"/>
    <m/>
    <m/>
    <x v="0"/>
    <m/>
    <m/>
    <d v="2025-02-15T14:57:00"/>
    <m/>
    <m/>
    <x v="1"/>
    <m/>
    <m/>
    <m/>
    <x v="0"/>
    <m/>
    <m/>
    <m/>
    <x v="0"/>
    <m/>
    <x v="9"/>
    <n v="0"/>
    <m/>
    <n v="548438.94999999995"/>
    <n v="-548438.94999999995"/>
    <n v="0"/>
    <x v="0"/>
  </r>
  <r>
    <x v="5"/>
    <x v="2"/>
    <d v="2025-02-15T00:00:00"/>
    <s v="OM1QUZPRR"/>
    <x v="2"/>
    <s v="UBE 287X"/>
    <s v="Isaac Tumuhimbise"/>
    <s v="Kabaco U Ltd-Mbarara Tax No.: 1000025425"/>
    <m/>
    <m/>
    <x v="26"/>
    <x v="2"/>
    <x v="1"/>
    <x v="2"/>
    <x v="26"/>
    <x v="25"/>
    <m/>
    <m/>
    <x v="0"/>
    <m/>
    <m/>
    <d v="2025-02-15T16:52:00"/>
    <m/>
    <m/>
    <x v="1"/>
    <m/>
    <m/>
    <m/>
    <x v="0"/>
    <m/>
    <m/>
    <m/>
    <x v="0"/>
    <m/>
    <x v="9"/>
    <n v="0"/>
    <m/>
    <n v="548440.8666666667"/>
    <n v="-548440.8666666667"/>
    <n v="0"/>
    <x v="0"/>
  </r>
  <r>
    <x v="5"/>
    <x v="2"/>
    <d v="2025-02-15T00:00:00"/>
    <s v="OMK83DARR"/>
    <x v="2"/>
    <s v="UBE 422T"/>
    <s v="Jacob Oneka"/>
    <s v="KATO INVESTMENTS LIMITED-MASAK Tax No.: 1000098824"/>
    <m/>
    <m/>
    <x v="26"/>
    <x v="2"/>
    <x v="1"/>
    <x v="2"/>
    <x v="26"/>
    <x v="25"/>
    <m/>
    <m/>
    <x v="0"/>
    <m/>
    <m/>
    <d v="2025-02-15T16:34:00"/>
    <m/>
    <m/>
    <x v="1"/>
    <m/>
    <m/>
    <m/>
    <x v="0"/>
    <m/>
    <m/>
    <m/>
    <x v="0"/>
    <m/>
    <x v="9"/>
    <n v="0"/>
    <m/>
    <n v="548440.56666666665"/>
    <n v="-548440.56666666665"/>
    <n v="0"/>
    <x v="0"/>
  </r>
  <r>
    <x v="5"/>
    <x v="2"/>
    <d v="2025-02-15T00:00:00"/>
    <s v="OMG1H0FRR"/>
    <x v="2"/>
    <s v="UBE 422T"/>
    <s v="Jacob Oneka"/>
    <s v="KATO INVESTMENTS LTD- KALISIZO Tax No.: 1000098824"/>
    <m/>
    <m/>
    <x v="26"/>
    <x v="2"/>
    <x v="1"/>
    <x v="2"/>
    <x v="26"/>
    <x v="25"/>
    <m/>
    <m/>
    <x v="0"/>
    <m/>
    <m/>
    <d v="2025-02-15T10:44:00"/>
    <m/>
    <m/>
    <x v="1"/>
    <m/>
    <m/>
    <m/>
    <x v="0"/>
    <m/>
    <m/>
    <m/>
    <x v="0"/>
    <m/>
    <x v="9"/>
    <n v="0"/>
    <m/>
    <n v="548434.7333333334"/>
    <n v="-548434.7333333334"/>
    <n v="0"/>
    <x v="0"/>
  </r>
  <r>
    <x v="5"/>
    <x v="2"/>
    <d v="2025-02-15T00:00:00"/>
    <s v="OMRKN18RR"/>
    <x v="2"/>
    <s v="UBA 523T"/>
    <s v="Kabene John"/>
    <s v="Kabaco U Ltd Tax No.: 1000025425"/>
    <m/>
    <m/>
    <x v="26"/>
    <x v="2"/>
    <x v="1"/>
    <x v="2"/>
    <x v="26"/>
    <x v="25"/>
    <m/>
    <m/>
    <x v="0"/>
    <m/>
    <m/>
    <d v="2025-02-15T17:33:00"/>
    <m/>
    <m/>
    <x v="1"/>
    <m/>
    <m/>
    <m/>
    <x v="0"/>
    <m/>
    <m/>
    <m/>
    <x v="0"/>
    <m/>
    <x v="9"/>
    <n v="0"/>
    <m/>
    <n v="548441.54999999981"/>
    <n v="-548441.54999999981"/>
    <n v="0"/>
    <x v="0"/>
  </r>
  <r>
    <x v="5"/>
    <x v="2"/>
    <d v="2025-02-15T00:00:00"/>
    <s v="OM117K8RR"/>
    <x v="2"/>
    <s v="UBJ 375N"/>
    <s v="Stephen Musoke "/>
    <s v="KATO INVESTMENTS LIMITED-MASAK Tax No.: 1000098824"/>
    <m/>
    <m/>
    <x v="26"/>
    <x v="2"/>
    <x v="1"/>
    <x v="2"/>
    <x v="26"/>
    <x v="25"/>
    <m/>
    <m/>
    <x v="0"/>
    <m/>
    <m/>
    <d v="2025-02-14T14:54:00"/>
    <m/>
    <m/>
    <x v="1"/>
    <m/>
    <m/>
    <m/>
    <x v="0"/>
    <m/>
    <m/>
    <m/>
    <x v="0"/>
    <m/>
    <x v="9"/>
    <n v="0"/>
    <m/>
    <n v="548426.89999999991"/>
    <n v="-548426.89999999991"/>
    <n v="0"/>
    <x v="0"/>
  </r>
  <r>
    <x v="5"/>
    <x v="2"/>
    <d v="2025-02-16T00:00:00"/>
    <s v="OMLX6IURR"/>
    <x v="2"/>
    <s v="UBA 523T"/>
    <s v="Kabene John"/>
    <s v="RUGOMA TRADERS CO. LTD NTUNGAM Tax No.: 1000249350"/>
    <m/>
    <m/>
    <x v="26"/>
    <x v="2"/>
    <x v="1"/>
    <x v="2"/>
    <x v="26"/>
    <x v="25"/>
    <m/>
    <m/>
    <x v="0"/>
    <m/>
    <m/>
    <d v="2025-02-17T11:57:00"/>
    <m/>
    <m/>
    <x v="1"/>
    <m/>
    <m/>
    <m/>
    <x v="0"/>
    <m/>
    <m/>
    <m/>
    <x v="0"/>
    <m/>
    <x v="9"/>
    <n v="0"/>
    <m/>
    <n v="548459.94999999995"/>
    <n v="-548459.94999999995"/>
    <n v="0"/>
    <x v="0"/>
  </r>
  <r>
    <x v="5"/>
    <x v="2"/>
    <d v="2025-02-16T00:00:00"/>
    <s v="OMLX6IURR"/>
    <x v="2"/>
    <s v="UBA 523T"/>
    <s v="Kabene John"/>
    <s v="Rugoma Traders-Kanungu/Kihihi Tax No.: 1000249350"/>
    <m/>
    <m/>
    <x v="26"/>
    <x v="2"/>
    <x v="1"/>
    <x v="2"/>
    <x v="26"/>
    <x v="25"/>
    <m/>
    <m/>
    <x v="0"/>
    <m/>
    <m/>
    <d v="2025-02-16T10:38:00"/>
    <m/>
    <m/>
    <x v="1"/>
    <m/>
    <m/>
    <m/>
    <x v="0"/>
    <m/>
    <m/>
    <m/>
    <x v="0"/>
    <m/>
    <x v="9"/>
    <n v="0"/>
    <m/>
    <n v="548446.6333333333"/>
    <n v="-548446.6333333333"/>
    <n v="0"/>
    <x v="0"/>
  </r>
  <r>
    <x v="5"/>
    <x v="2"/>
    <d v="2025-02-16T00:00:00"/>
    <s v="OMSILIWRR"/>
    <x v="2"/>
    <s v="UBE 419T"/>
    <s v="Kilabila Ismail"/>
    <s v="KATO INVESTMENTS LIMITED-MASAK Tax No.: 1000098824"/>
    <m/>
    <m/>
    <x v="26"/>
    <x v="2"/>
    <x v="1"/>
    <x v="2"/>
    <x v="26"/>
    <x v="25"/>
    <m/>
    <m/>
    <x v="0"/>
    <m/>
    <m/>
    <d v="2025-02-15T21:51:00"/>
    <m/>
    <m/>
    <x v="1"/>
    <m/>
    <m/>
    <m/>
    <x v="0"/>
    <m/>
    <m/>
    <m/>
    <x v="0"/>
    <m/>
    <x v="9"/>
    <n v="0"/>
    <m/>
    <n v="548445.85000000009"/>
    <n v="-548445.85000000009"/>
    <n v="0"/>
    <x v="0"/>
  </r>
  <r>
    <x v="5"/>
    <x v="2"/>
    <d v="2025-02-16T00:00:00"/>
    <s v="OMHUBMXRR"/>
    <x v="2"/>
    <s v="UBP 298H"/>
    <s v="SENTONG DAVID"/>
    <s v="Rugoma Traders-Kanungu/Kihihi Tax No.: 1000249350"/>
    <m/>
    <m/>
    <x v="26"/>
    <x v="2"/>
    <x v="1"/>
    <x v="2"/>
    <x v="26"/>
    <x v="25"/>
    <m/>
    <m/>
    <x v="0"/>
    <m/>
    <m/>
    <d v="2025-02-16T12:03:00"/>
    <m/>
    <m/>
    <x v="1"/>
    <m/>
    <m/>
    <m/>
    <x v="0"/>
    <m/>
    <m/>
    <m/>
    <x v="0"/>
    <m/>
    <x v="9"/>
    <n v="0"/>
    <m/>
    <n v="548448.05000000005"/>
    <n v="-548448.05000000005"/>
    <n v="0"/>
    <x v="0"/>
  </r>
  <r>
    <x v="5"/>
    <x v="2"/>
    <d v="2025-02-17T00:00:00"/>
    <s v="OMCBKQ0RR"/>
    <x v="2"/>
    <s v="UAY 526V"/>
    <s v="Benon Ssempijja"/>
    <s v="Ntale &amp; Sons Tax No.: 1001371381"/>
    <m/>
    <m/>
    <x v="26"/>
    <x v="2"/>
    <x v="1"/>
    <x v="2"/>
    <x v="26"/>
    <x v="25"/>
    <m/>
    <m/>
    <x v="0"/>
    <m/>
    <m/>
    <d v="2025-02-19T11:32:00"/>
    <m/>
    <m/>
    <x v="1"/>
    <m/>
    <m/>
    <m/>
    <x v="0"/>
    <m/>
    <m/>
    <m/>
    <x v="0"/>
    <m/>
    <x v="9"/>
    <n v="0"/>
    <m/>
    <n v="548483.53333333344"/>
    <n v="-548483.53333333344"/>
    <n v="0"/>
    <x v="0"/>
  </r>
  <r>
    <x v="5"/>
    <x v="2"/>
    <d v="2025-02-17T00:00:00"/>
    <s v="OMBA7HPRR"/>
    <x v="2"/>
    <s v="UBK 875R"/>
    <s v="Bisaso  Ronald"/>
    <s v="Kabaco U Ltd-Mbarara Tax No.: 1000025425"/>
    <m/>
    <m/>
    <x v="26"/>
    <x v="2"/>
    <x v="1"/>
    <x v="2"/>
    <x v="26"/>
    <x v="25"/>
    <m/>
    <m/>
    <x v="0"/>
    <m/>
    <m/>
    <d v="2025-02-16T22:13:00"/>
    <m/>
    <m/>
    <x v="1"/>
    <m/>
    <m/>
    <m/>
    <x v="0"/>
    <m/>
    <m/>
    <m/>
    <x v="0"/>
    <m/>
    <x v="9"/>
    <n v="0"/>
    <m/>
    <n v="548458.21666666656"/>
    <n v="-548458.21666666656"/>
    <n v="0"/>
    <x v="0"/>
  </r>
  <r>
    <x v="5"/>
    <x v="2"/>
    <d v="2025-02-17T00:00:00"/>
    <s v="OMLLIGXRR"/>
    <x v="2"/>
    <s v="UBE 287X"/>
    <s v="Isaac Tumuhimbise"/>
    <s v="Ntale &amp; Sons Tax No.: 1001371381"/>
    <m/>
    <m/>
    <x v="26"/>
    <x v="2"/>
    <x v="1"/>
    <x v="2"/>
    <x v="26"/>
    <x v="25"/>
    <m/>
    <m/>
    <x v="0"/>
    <m/>
    <m/>
    <d v="2025-02-16T21:13:00"/>
    <m/>
    <m/>
    <x v="1"/>
    <m/>
    <m/>
    <m/>
    <x v="0"/>
    <m/>
    <m/>
    <m/>
    <x v="0"/>
    <m/>
    <x v="9"/>
    <n v="0"/>
    <m/>
    <n v="548457.21666666679"/>
    <n v="-548457.21666666679"/>
    <n v="0"/>
    <x v="0"/>
  </r>
  <r>
    <x v="5"/>
    <x v="2"/>
    <d v="2025-02-17T00:00:00"/>
    <s v="OMUK22WRR"/>
    <x v="2"/>
    <s v="UAY 265V"/>
    <s v="Luyaga Isaac"/>
    <s v="KATO INVESTMENTS LIMITED-MASAK Tax No.: 1000098824"/>
    <m/>
    <m/>
    <x v="26"/>
    <x v="2"/>
    <x v="1"/>
    <x v="2"/>
    <x v="26"/>
    <x v="25"/>
    <m/>
    <m/>
    <x v="0"/>
    <m/>
    <m/>
    <d v="2025-02-17T11:06:00"/>
    <m/>
    <m/>
    <x v="1"/>
    <m/>
    <m/>
    <m/>
    <x v="0"/>
    <m/>
    <m/>
    <m/>
    <x v="0"/>
    <m/>
    <x v="9"/>
    <n v="0"/>
    <m/>
    <n v="548459.10000000009"/>
    <n v="-548459.10000000009"/>
    <n v="0"/>
    <x v="0"/>
  </r>
  <r>
    <x v="5"/>
    <x v="2"/>
    <d v="2025-02-17T00:00:00"/>
    <s v="OMFVAXKRR"/>
    <x v="2"/>
    <s v="UBJ 375N"/>
    <s v="Stephen Musoke "/>
    <s v="KATO INVESTMENTS LIMITED-MASAK Tax No.: 1000098824"/>
    <m/>
    <m/>
    <x v="26"/>
    <x v="2"/>
    <x v="1"/>
    <x v="2"/>
    <x v="26"/>
    <x v="25"/>
    <m/>
    <m/>
    <x v="0"/>
    <m/>
    <m/>
    <d v="2025-02-17T09:01:00"/>
    <m/>
    <m/>
    <x v="1"/>
    <m/>
    <m/>
    <m/>
    <x v="0"/>
    <m/>
    <m/>
    <m/>
    <x v="0"/>
    <m/>
    <x v="9"/>
    <n v="0"/>
    <m/>
    <n v="548457.0166666666"/>
    <n v="-548457.0166666666"/>
    <n v="0"/>
    <x v="0"/>
  </r>
  <r>
    <x v="5"/>
    <x v="2"/>
    <d v="2025-02-18T00:00:00"/>
    <s v="OM9TWHKRR"/>
    <x v="2"/>
    <s v="UAY 526V"/>
    <s v="Benon Ssempijja"/>
    <s v="Kato Investment Ltd -Mubende Tax No.: 1000098824"/>
    <m/>
    <m/>
    <x v="26"/>
    <x v="2"/>
    <x v="1"/>
    <x v="2"/>
    <x v="26"/>
    <x v="25"/>
    <m/>
    <m/>
    <x v="0"/>
    <m/>
    <m/>
    <d v="2025-02-19T09:14:00"/>
    <m/>
    <m/>
    <x v="1"/>
    <m/>
    <m/>
    <m/>
    <x v="0"/>
    <m/>
    <m/>
    <m/>
    <x v="0"/>
    <m/>
    <x v="9"/>
    <n v="0"/>
    <m/>
    <n v="548481.2333333334"/>
    <n v="-548481.2333333334"/>
    <n v="0"/>
    <x v="0"/>
  </r>
  <r>
    <x v="5"/>
    <x v="2"/>
    <d v="2025-02-18T00:00:00"/>
    <s v="OM5OK06RR"/>
    <x v="2"/>
    <s v="UBE 422T"/>
    <s v="Jacob Oneka"/>
    <s v="RUGOMA TRADERS CO. LTD NTUNGAM Tax No.: 1000249350"/>
    <m/>
    <m/>
    <x v="26"/>
    <x v="2"/>
    <x v="1"/>
    <x v="2"/>
    <x v="26"/>
    <x v="25"/>
    <m/>
    <m/>
    <x v="0"/>
    <m/>
    <m/>
    <d v="2025-02-18T10:29:00"/>
    <m/>
    <m/>
    <x v="1"/>
    <m/>
    <m/>
    <m/>
    <x v="0"/>
    <m/>
    <m/>
    <m/>
    <x v="0"/>
    <m/>
    <x v="9"/>
    <n v="0"/>
    <m/>
    <n v="548470.4833333334"/>
    <n v="-548470.4833333334"/>
    <n v="0"/>
    <x v="0"/>
  </r>
  <r>
    <x v="5"/>
    <x v="2"/>
    <d v="2025-02-18T00:00:00"/>
    <s v="OMBHUVNRR"/>
    <x v="2"/>
    <s v="UBA 523T"/>
    <s v="Kabene John"/>
    <s v="Kabaco U Ltd-Mbarara Tax No.: 1000025425"/>
    <m/>
    <m/>
    <x v="26"/>
    <x v="2"/>
    <x v="1"/>
    <x v="2"/>
    <x v="26"/>
    <x v="25"/>
    <m/>
    <m/>
    <x v="0"/>
    <m/>
    <m/>
    <d v="2025-02-18T08:28:00"/>
    <m/>
    <m/>
    <x v="1"/>
    <m/>
    <m/>
    <m/>
    <x v="0"/>
    <m/>
    <m/>
    <m/>
    <x v="0"/>
    <m/>
    <x v="9"/>
    <n v="0"/>
    <m/>
    <n v="548468.46666666679"/>
    <n v="-548468.46666666679"/>
    <n v="0"/>
    <x v="0"/>
  </r>
  <r>
    <x v="5"/>
    <x v="2"/>
    <d v="2025-02-18T00:00:00"/>
    <s v="OMV95IBRR"/>
    <x v="2"/>
    <s v="UBE 419T"/>
    <s v="Kilabila Ismail"/>
    <s v="KATO INVESTMENTS LTD- KALISIZO Tax No.: 1000098824"/>
    <m/>
    <m/>
    <x v="26"/>
    <x v="2"/>
    <x v="1"/>
    <x v="2"/>
    <x v="26"/>
    <x v="25"/>
    <m/>
    <m/>
    <x v="0"/>
    <m/>
    <m/>
    <d v="2025-02-18T18:55:00"/>
    <m/>
    <m/>
    <x v="1"/>
    <m/>
    <m/>
    <m/>
    <x v="0"/>
    <m/>
    <m/>
    <m/>
    <x v="0"/>
    <m/>
    <x v="9"/>
    <n v="0"/>
    <m/>
    <n v="548478.91666666674"/>
    <n v="-548478.91666666674"/>
    <n v="0"/>
    <x v="0"/>
  </r>
  <r>
    <x v="5"/>
    <x v="2"/>
    <d v="2025-02-18T00:00:00"/>
    <s v="OMAIDXSRR"/>
    <x v="2"/>
    <s v="UAY 265V"/>
    <s v="Luyaga Isaac"/>
    <s v="Ntale &amp; Sons Tax No.: 1001371381"/>
    <m/>
    <m/>
    <x v="26"/>
    <x v="2"/>
    <x v="1"/>
    <x v="2"/>
    <x v="26"/>
    <x v="25"/>
    <m/>
    <m/>
    <x v="0"/>
    <m/>
    <m/>
    <d v="2025-02-17T18:19:00"/>
    <m/>
    <m/>
    <x v="1"/>
    <m/>
    <m/>
    <m/>
    <x v="0"/>
    <m/>
    <m/>
    <m/>
    <x v="0"/>
    <m/>
    <x v="9"/>
    <n v="0"/>
    <m/>
    <n v="548466.31666666665"/>
    <n v="-548466.31666666665"/>
    <n v="0"/>
    <x v="0"/>
  </r>
  <r>
    <x v="5"/>
    <x v="2"/>
    <d v="2025-02-18T00:00:00"/>
    <s v="OMFNWCZRR"/>
    <x v="2"/>
    <s v="UBP 298H"/>
    <s v="SENTONG DAVID"/>
    <s v="Sawan Distributors Ltd-Nabingo Tax No.: 1000186379"/>
    <m/>
    <m/>
    <x v="26"/>
    <x v="2"/>
    <x v="1"/>
    <x v="2"/>
    <x v="26"/>
    <x v="25"/>
    <m/>
    <m/>
    <x v="0"/>
    <m/>
    <m/>
    <d v="2025-02-17T16:57:00"/>
    <m/>
    <m/>
    <x v="1"/>
    <m/>
    <m/>
    <m/>
    <x v="0"/>
    <m/>
    <m/>
    <m/>
    <x v="0"/>
    <m/>
    <x v="9"/>
    <n v="0"/>
    <m/>
    <n v="548464.95000000019"/>
    <n v="-548464.95000000019"/>
    <n v="0"/>
    <x v="0"/>
  </r>
  <r>
    <x v="5"/>
    <x v="2"/>
    <d v="2025-02-19T00:00:00"/>
    <s v="OMPBEA7RR"/>
    <x v="2"/>
    <s v="UBE 287X"/>
    <s v="Isaac Tumuhimbise"/>
    <s v="Sawan Distributors Ltd-Kayabwe Tax No.: 1000186379"/>
    <m/>
    <m/>
    <x v="26"/>
    <x v="2"/>
    <x v="1"/>
    <x v="2"/>
    <x v="26"/>
    <x v="25"/>
    <m/>
    <m/>
    <x v="0"/>
    <m/>
    <m/>
    <d v="2025-02-18T22:27:00"/>
    <m/>
    <m/>
    <x v="1"/>
    <m/>
    <m/>
    <m/>
    <x v="0"/>
    <m/>
    <m/>
    <m/>
    <x v="0"/>
    <m/>
    <x v="9"/>
    <n v="0"/>
    <m/>
    <n v="548482.44999999995"/>
    <n v="-548482.44999999995"/>
    <n v="0"/>
    <x v="0"/>
  </r>
  <r>
    <x v="5"/>
    <x v="2"/>
    <d v="2025-02-20T00:00:00"/>
    <s v="OM6HORERR"/>
    <x v="2"/>
    <s v="UAR 731Q"/>
    <s v="GODWIN  NIWENSIIMA"/>
    <s v="Kabaco U Ltd-Mbarara Tax No.: 1000025425"/>
    <m/>
    <m/>
    <x v="26"/>
    <x v="2"/>
    <x v="1"/>
    <x v="2"/>
    <x v="26"/>
    <x v="25"/>
    <m/>
    <m/>
    <x v="0"/>
    <m/>
    <m/>
    <d v="2025-02-20T09:43:00"/>
    <m/>
    <m/>
    <x v="1"/>
    <m/>
    <m/>
    <m/>
    <x v="0"/>
    <m/>
    <m/>
    <m/>
    <x v="0"/>
    <m/>
    <x v="9"/>
    <n v="0"/>
    <m/>
    <n v="548493.71666666679"/>
    <n v="-548493.71666666679"/>
    <n v="0"/>
    <x v="0"/>
  </r>
  <r>
    <x v="5"/>
    <x v="2"/>
    <d v="2025-02-20T00:00:00"/>
    <s v="OMNQSVFRR"/>
    <x v="2"/>
    <s v="UBE 287X"/>
    <s v="Isaac Tumuhimbise"/>
    <s v="Ntale &amp; Sons Tax No.: 1001371381"/>
    <m/>
    <m/>
    <x v="26"/>
    <x v="2"/>
    <x v="1"/>
    <x v="2"/>
    <x v="26"/>
    <x v="25"/>
    <m/>
    <m/>
    <x v="0"/>
    <m/>
    <m/>
    <d v="2025-02-20T09:43:00"/>
    <m/>
    <m/>
    <x v="1"/>
    <m/>
    <m/>
    <m/>
    <x v="0"/>
    <m/>
    <m/>
    <m/>
    <x v="0"/>
    <m/>
    <x v="9"/>
    <n v="0"/>
    <m/>
    <n v="548493.71666666679"/>
    <n v="-548493.71666666679"/>
    <n v="0"/>
    <x v="0"/>
  </r>
  <r>
    <x v="5"/>
    <x v="2"/>
    <d v="2025-02-20T00:00:00"/>
    <s v="OMSQWKVRR"/>
    <x v="2"/>
    <s v="UBK 881R"/>
    <s v="James  Kironde"/>
    <s v="KATO INVESTMENTS LTD- KALISIZO Tax No.: 1000098824"/>
    <m/>
    <m/>
    <x v="26"/>
    <x v="2"/>
    <x v="1"/>
    <x v="2"/>
    <x v="26"/>
    <x v="25"/>
    <m/>
    <m/>
    <x v="0"/>
    <m/>
    <m/>
    <d v="2025-02-20T10:52:00"/>
    <m/>
    <m/>
    <x v="1"/>
    <m/>
    <m/>
    <m/>
    <x v="0"/>
    <m/>
    <m/>
    <m/>
    <x v="0"/>
    <m/>
    <x v="9"/>
    <n v="0"/>
    <m/>
    <n v="548494.8666666667"/>
    <n v="-548494.8666666667"/>
    <n v="0"/>
    <x v="0"/>
  </r>
  <r>
    <x v="5"/>
    <x v="2"/>
    <d v="2025-02-20T00:00:00"/>
    <s v="OMHTPFRRR"/>
    <x v="2"/>
    <s v="UBJ 417C"/>
    <s v="MUKOSE MUZAMIRU"/>
    <s v="Rugoma Traders-Kanungu/Kihihi Tax No.: 1000249350"/>
    <m/>
    <m/>
    <x v="26"/>
    <x v="2"/>
    <x v="1"/>
    <x v="2"/>
    <x v="26"/>
    <x v="25"/>
    <m/>
    <m/>
    <x v="0"/>
    <m/>
    <m/>
    <d v="2025-02-19T22:31:00"/>
    <m/>
    <m/>
    <x v="1"/>
    <m/>
    <m/>
    <m/>
    <x v="0"/>
    <m/>
    <m/>
    <m/>
    <x v="0"/>
    <m/>
    <x v="9"/>
    <n v="0"/>
    <m/>
    <n v="548494.5166666666"/>
    <n v="-548494.5166666666"/>
    <n v="0"/>
    <x v="0"/>
  </r>
  <r>
    <x v="5"/>
    <x v="2"/>
    <d v="2025-02-21T00:00:00"/>
    <s v="OME9UVIRR"/>
    <x v="2"/>
    <s v="UBJ 415C"/>
    <s v="Abel Mark naffa"/>
    <s v="Kabaco U Ltd Tax No.: 1000025425"/>
    <m/>
    <m/>
    <x v="26"/>
    <x v="2"/>
    <x v="1"/>
    <x v="2"/>
    <x v="26"/>
    <x v="25"/>
    <m/>
    <m/>
    <x v="0"/>
    <m/>
    <m/>
    <d v="2025-02-21T20:57:00"/>
    <m/>
    <m/>
    <x v="1"/>
    <m/>
    <m/>
    <m/>
    <x v="0"/>
    <m/>
    <m/>
    <m/>
    <x v="0"/>
    <m/>
    <x v="9"/>
    <n v="0"/>
    <m/>
    <n v="548516.94999999995"/>
    <n v="-548516.94999999995"/>
    <n v="0"/>
    <x v="0"/>
  </r>
  <r>
    <x v="5"/>
    <x v="2"/>
    <d v="2025-02-21T00:00:00"/>
    <s v="OM02W5MRR"/>
    <x v="2"/>
    <s v="UAY 526V"/>
    <s v="Benon Ssempijja"/>
    <s v="Kabaco U Ltd-Mbarara Tax No.: 1000025425"/>
    <m/>
    <m/>
    <x v="26"/>
    <x v="2"/>
    <x v="1"/>
    <x v="2"/>
    <x v="26"/>
    <x v="25"/>
    <m/>
    <m/>
    <x v="0"/>
    <m/>
    <m/>
    <d v="2025-02-21T13:41:00"/>
    <m/>
    <m/>
    <x v="1"/>
    <m/>
    <m/>
    <m/>
    <x v="0"/>
    <m/>
    <m/>
    <m/>
    <x v="0"/>
    <m/>
    <x v="9"/>
    <n v="0"/>
    <m/>
    <n v="548509.68333333335"/>
    <n v="-548509.68333333335"/>
    <n v="0"/>
    <x v="0"/>
  </r>
  <r>
    <x v="5"/>
    <x v="2"/>
    <d v="2025-02-21T00:00:00"/>
    <s v="OM6ZFN7RR"/>
    <x v="2"/>
    <s v="UBK 875R"/>
    <s v="Bisaso  Ronald"/>
    <s v="Kabaco U Ltd Tax No.: 1000025425"/>
    <m/>
    <m/>
    <x v="26"/>
    <x v="2"/>
    <x v="1"/>
    <x v="2"/>
    <x v="26"/>
    <x v="25"/>
    <m/>
    <m/>
    <x v="0"/>
    <m/>
    <m/>
    <d v="2025-02-21T11:55:00"/>
    <m/>
    <m/>
    <x v="1"/>
    <m/>
    <m/>
    <m/>
    <x v="0"/>
    <m/>
    <m/>
    <m/>
    <x v="0"/>
    <m/>
    <x v="9"/>
    <n v="0"/>
    <m/>
    <n v="548507.91666666674"/>
    <n v="-548507.91666666674"/>
    <n v="0"/>
    <x v="0"/>
  </r>
  <r>
    <x v="5"/>
    <x v="2"/>
    <d v="2025-02-21T00:00:00"/>
    <s v="OMEOYKVRR"/>
    <x v="2"/>
    <s v="UAR 731Q"/>
    <s v="GODWIN  NIWENSIIMA"/>
    <s v="Ntale &amp; Sons Tax No.: 1001371381"/>
    <m/>
    <m/>
    <x v="26"/>
    <x v="2"/>
    <x v="1"/>
    <x v="2"/>
    <x v="26"/>
    <x v="25"/>
    <m/>
    <m/>
    <x v="0"/>
    <m/>
    <m/>
    <d v="2025-02-21T13:54:00"/>
    <m/>
    <m/>
    <x v="1"/>
    <m/>
    <m/>
    <m/>
    <x v="0"/>
    <m/>
    <m/>
    <m/>
    <x v="0"/>
    <m/>
    <x v="9"/>
    <n v="0"/>
    <m/>
    <n v="548509.90000000014"/>
    <n v="-548509.90000000014"/>
    <n v="0"/>
    <x v="0"/>
  </r>
  <r>
    <x v="5"/>
    <x v="2"/>
    <d v="2025-02-21T00:00:00"/>
    <s v="OMHDVM2RR"/>
    <x v="2"/>
    <s v="UBE 287X"/>
    <s v="Isaac Tumuhimbise"/>
    <s v="Kobusinge Steven-Kamwenge Tax No.: 1000977837"/>
    <m/>
    <m/>
    <x v="26"/>
    <x v="2"/>
    <x v="1"/>
    <x v="2"/>
    <x v="26"/>
    <x v="25"/>
    <m/>
    <m/>
    <x v="0"/>
    <m/>
    <m/>
    <d v="2025-02-21T11:37:00"/>
    <m/>
    <m/>
    <x v="1"/>
    <m/>
    <m/>
    <m/>
    <x v="0"/>
    <m/>
    <m/>
    <m/>
    <x v="0"/>
    <m/>
    <x v="9"/>
    <n v="0"/>
    <m/>
    <n v="548507.6166666667"/>
    <n v="-548507.6166666667"/>
    <n v="0"/>
    <x v="0"/>
  </r>
  <r>
    <x v="5"/>
    <x v="2"/>
    <d v="2025-02-21T00:00:00"/>
    <s v="OMIWDB2RR"/>
    <x v="2"/>
    <s v="UBE 422T"/>
    <s v="Jacob Oneka"/>
    <s v="Kabaco U Ltd Tax No.: 1000025425"/>
    <m/>
    <m/>
    <x v="26"/>
    <x v="2"/>
    <x v="1"/>
    <x v="2"/>
    <x v="26"/>
    <x v="25"/>
    <m/>
    <m/>
    <x v="0"/>
    <m/>
    <m/>
    <d v="2025-02-21T10:03:00"/>
    <m/>
    <m/>
    <x v="1"/>
    <m/>
    <m/>
    <m/>
    <x v="0"/>
    <m/>
    <m/>
    <m/>
    <x v="0"/>
    <m/>
    <x v="9"/>
    <n v="0"/>
    <m/>
    <n v="548506.04999999981"/>
    <n v="-548506.04999999981"/>
    <n v="0"/>
    <x v="0"/>
  </r>
  <r>
    <x v="5"/>
    <x v="2"/>
    <d v="2025-02-21T00:00:00"/>
    <s v="OM55YD2RR"/>
    <x v="2"/>
    <s v="UBA 523T"/>
    <s v="Kabene John"/>
    <s v="KATO INVESTMENTS LIMITED-MASAK Tax No.: 1000098824"/>
    <m/>
    <m/>
    <x v="26"/>
    <x v="2"/>
    <x v="1"/>
    <x v="2"/>
    <x v="26"/>
    <x v="25"/>
    <m/>
    <m/>
    <x v="0"/>
    <m/>
    <m/>
    <d v="2025-02-20T12:54:00"/>
    <m/>
    <m/>
    <x v="1"/>
    <m/>
    <m/>
    <m/>
    <x v="0"/>
    <m/>
    <m/>
    <m/>
    <x v="0"/>
    <m/>
    <x v="9"/>
    <n v="0"/>
    <m/>
    <n v="548496.89999999991"/>
    <n v="-548496.89999999991"/>
    <n v="0"/>
    <x v="0"/>
  </r>
  <r>
    <x v="5"/>
    <x v="2"/>
    <d v="2025-02-21T00:00:00"/>
    <s v="OM8QX4HRR"/>
    <x v="2"/>
    <s v="UBE 419T"/>
    <s v="Kilabila Ismail"/>
    <s v="Ssempa Investments Limited Tax No.: 1000028007"/>
    <m/>
    <m/>
    <x v="26"/>
    <x v="2"/>
    <x v="1"/>
    <x v="2"/>
    <x v="26"/>
    <x v="25"/>
    <m/>
    <m/>
    <x v="0"/>
    <m/>
    <m/>
    <d v="2025-02-20T22:22:00"/>
    <m/>
    <m/>
    <x v="1"/>
    <m/>
    <m/>
    <m/>
    <x v="0"/>
    <m/>
    <m/>
    <m/>
    <x v="0"/>
    <m/>
    <x v="9"/>
    <n v="0"/>
    <m/>
    <n v="548506.3666666667"/>
    <n v="-548506.3666666667"/>
    <n v="0"/>
    <x v="0"/>
  </r>
  <r>
    <x v="5"/>
    <x v="2"/>
    <d v="2025-02-21T00:00:00"/>
    <s v="OMC7YK7RR"/>
    <x v="2"/>
    <s v="UAY 265V"/>
    <s v="Luyaga Isaac"/>
    <s v="KATO INVESTMENTS LTD- KALISIZO Tax No.: 1000098824"/>
    <m/>
    <m/>
    <x v="26"/>
    <x v="2"/>
    <x v="1"/>
    <x v="2"/>
    <x v="26"/>
    <x v="25"/>
    <m/>
    <m/>
    <x v="0"/>
    <m/>
    <m/>
    <d v="2025-02-20T19:58:00"/>
    <m/>
    <m/>
    <x v="1"/>
    <m/>
    <m/>
    <m/>
    <x v="0"/>
    <m/>
    <m/>
    <m/>
    <x v="0"/>
    <m/>
    <x v="9"/>
    <n v="0"/>
    <m/>
    <n v="548503.96666666656"/>
    <n v="-548503.96666666656"/>
    <n v="0"/>
    <x v="0"/>
  </r>
  <r>
    <x v="5"/>
    <x v="2"/>
    <d v="2025-02-21T00:00:00"/>
    <s v="OMRIVTMRR"/>
    <x v="2"/>
    <s v="UBP 298H"/>
    <s v="SENTONG DAVID"/>
    <s v="Sawan Distributors Tax No.: 1000186379"/>
    <m/>
    <m/>
    <x v="26"/>
    <x v="2"/>
    <x v="1"/>
    <x v="2"/>
    <x v="26"/>
    <x v="25"/>
    <m/>
    <m/>
    <x v="0"/>
    <m/>
    <m/>
    <d v="2025-02-20T21:08:00"/>
    <m/>
    <m/>
    <x v="1"/>
    <m/>
    <m/>
    <m/>
    <x v="0"/>
    <m/>
    <m/>
    <m/>
    <x v="0"/>
    <m/>
    <x v="9"/>
    <n v="0"/>
    <m/>
    <n v="548505.1333333333"/>
    <n v="-548505.1333333333"/>
    <n v="0"/>
    <x v="0"/>
  </r>
  <r>
    <x v="5"/>
    <x v="2"/>
    <d v="2025-02-22T00:00:00"/>
    <s v="OMUPC2WRR"/>
    <x v="2"/>
    <s v="UAY 526V"/>
    <s v="Benon Ssempijja"/>
    <s v="SAGAR TRADING CO. LTD- MUKONO Tax No.: 1001889092"/>
    <m/>
    <m/>
    <x v="26"/>
    <x v="2"/>
    <x v="1"/>
    <x v="2"/>
    <x v="26"/>
    <x v="25"/>
    <m/>
    <m/>
    <x v="0"/>
    <m/>
    <m/>
    <d v="2025-02-21T19:36:00"/>
    <m/>
    <m/>
    <x v="1"/>
    <m/>
    <m/>
    <m/>
    <x v="0"/>
    <m/>
    <m/>
    <m/>
    <x v="0"/>
    <m/>
    <x v="9"/>
    <n v="0"/>
    <m/>
    <n v="548515.60000000009"/>
    <n v="-548515.60000000009"/>
    <n v="0"/>
    <x v="0"/>
  </r>
  <r>
    <x v="5"/>
    <x v="2"/>
    <d v="2025-02-22T00:00:00"/>
    <s v="OMEBZ2HRR"/>
    <x v="2"/>
    <s v="UBA 523T"/>
    <s v="Kabene John"/>
    <s v="Jusime Enterprises Tax No.: 1000042571"/>
    <m/>
    <m/>
    <x v="26"/>
    <x v="2"/>
    <x v="1"/>
    <x v="2"/>
    <x v="26"/>
    <x v="25"/>
    <m/>
    <m/>
    <x v="0"/>
    <m/>
    <m/>
    <d v="2025-02-21T19:36:00"/>
    <m/>
    <m/>
    <x v="1"/>
    <m/>
    <m/>
    <m/>
    <x v="0"/>
    <m/>
    <m/>
    <m/>
    <x v="0"/>
    <m/>
    <x v="9"/>
    <n v="0"/>
    <m/>
    <n v="548515.60000000009"/>
    <n v="-548515.60000000009"/>
    <n v="0"/>
    <x v="0"/>
  </r>
  <r>
    <x v="5"/>
    <x v="2"/>
    <d v="2025-02-23T00:00:00"/>
    <s v="OM0QHSLRR"/>
    <x v="2"/>
    <s v="UAY 526V"/>
    <s v="Benon Ssempijja"/>
    <s v="Kobusinge Steven-Kamwenge Tax No.: 1000977837"/>
    <m/>
    <m/>
    <x v="26"/>
    <x v="2"/>
    <x v="1"/>
    <x v="2"/>
    <x v="26"/>
    <x v="25"/>
    <m/>
    <m/>
    <x v="0"/>
    <m/>
    <m/>
    <d v="2025-02-25T12:12:00"/>
    <m/>
    <m/>
    <x v="1"/>
    <m/>
    <m/>
    <m/>
    <x v="0"/>
    <m/>
    <m/>
    <m/>
    <x v="0"/>
    <m/>
    <x v="9"/>
    <n v="0"/>
    <m/>
    <n v="548556.19999999995"/>
    <n v="-548556.19999999995"/>
    <n v="0"/>
    <x v="0"/>
  </r>
  <r>
    <x v="5"/>
    <x v="2"/>
    <d v="2025-02-23T00:00:00"/>
    <s v="OM2FUCTRR"/>
    <x v="2"/>
    <s v="UBE 287X"/>
    <s v="Isaac Tumuhimbise"/>
    <s v="Kachain Logistics Ltd Tax No.: 1005388662"/>
    <m/>
    <m/>
    <x v="26"/>
    <x v="2"/>
    <x v="1"/>
    <x v="2"/>
    <x v="26"/>
    <x v="25"/>
    <m/>
    <m/>
    <x v="0"/>
    <m/>
    <m/>
    <d v="2025-02-22T19:02:00"/>
    <m/>
    <m/>
    <x v="1"/>
    <m/>
    <m/>
    <m/>
    <x v="0"/>
    <m/>
    <m/>
    <m/>
    <x v="0"/>
    <m/>
    <x v="9"/>
    <n v="0"/>
    <m/>
    <n v="548527.03333333344"/>
    <n v="-548527.03333333344"/>
    <n v="0"/>
    <x v="0"/>
  </r>
  <r>
    <x v="5"/>
    <x v="2"/>
    <d v="2025-02-23T00:00:00"/>
    <s v="OME6941RR"/>
    <x v="2"/>
    <s v="UBE 422T"/>
    <s v="Jacob Oneka"/>
    <s v="KATO INVESTMENTS LIMITED-MASAK Tax No.: 1000098824"/>
    <m/>
    <m/>
    <x v="26"/>
    <x v="2"/>
    <x v="1"/>
    <x v="2"/>
    <x v="26"/>
    <x v="25"/>
    <m/>
    <m/>
    <x v="0"/>
    <m/>
    <m/>
    <d v="2025-02-23T09:00:00"/>
    <m/>
    <m/>
    <x v="1"/>
    <m/>
    <m/>
    <m/>
    <x v="0"/>
    <m/>
    <m/>
    <m/>
    <x v="0"/>
    <m/>
    <x v="9"/>
    <n v="0"/>
    <m/>
    <n v="548529"/>
    <n v="-548529"/>
    <n v="0"/>
    <x v="0"/>
  </r>
  <r>
    <x v="5"/>
    <x v="2"/>
    <d v="2025-02-23T00:00:00"/>
    <s v="OMF0NLXRR"/>
    <x v="2"/>
    <s v="UBE 419T"/>
    <s v="Kilabila Ismail"/>
    <s v="Kabaco U Ltd Tax No.: 1000025425"/>
    <m/>
    <m/>
    <x v="26"/>
    <x v="2"/>
    <x v="1"/>
    <x v="2"/>
    <x v="26"/>
    <x v="25"/>
    <m/>
    <m/>
    <x v="0"/>
    <m/>
    <m/>
    <d v="2025-02-22T18:07:00"/>
    <m/>
    <m/>
    <x v="1"/>
    <m/>
    <m/>
    <m/>
    <x v="0"/>
    <m/>
    <m/>
    <m/>
    <x v="0"/>
    <m/>
    <x v="9"/>
    <n v="0"/>
    <m/>
    <n v="548526.1166666667"/>
    <n v="-548526.1166666667"/>
    <n v="0"/>
    <x v="0"/>
  </r>
  <r>
    <x v="5"/>
    <x v="2"/>
    <d v="2025-02-23T00:00:00"/>
    <s v="OM0BXO6RR"/>
    <x v="2"/>
    <s v="UAY 265V"/>
    <s v="Luyaga Isaac"/>
    <s v="KATO INVESTMENTS LIMITED-MASAK Tax No.: 1000098824"/>
    <m/>
    <m/>
    <x v="26"/>
    <x v="2"/>
    <x v="1"/>
    <x v="2"/>
    <x v="26"/>
    <x v="25"/>
    <m/>
    <m/>
    <x v="0"/>
    <m/>
    <m/>
    <d v="2025-02-22T17:39:00"/>
    <m/>
    <m/>
    <x v="1"/>
    <m/>
    <m/>
    <m/>
    <x v="0"/>
    <m/>
    <m/>
    <m/>
    <x v="0"/>
    <m/>
    <x v="9"/>
    <n v="0"/>
    <m/>
    <n v="548525.65000000014"/>
    <n v="-548525.65000000014"/>
    <n v="0"/>
    <x v="0"/>
  </r>
  <r>
    <x v="5"/>
    <x v="2"/>
    <d v="2025-02-23T00:00:00"/>
    <s v="OMR1XSFRR"/>
    <x v="2"/>
    <s v="UBJ 417C"/>
    <s v="MUKOSE MUZAMIRU"/>
    <s v="Kabaco U Ltd-Mbarara Tax No.: 1000025425"/>
    <m/>
    <m/>
    <x v="26"/>
    <x v="2"/>
    <x v="1"/>
    <x v="2"/>
    <x v="26"/>
    <x v="25"/>
    <m/>
    <m/>
    <x v="0"/>
    <m/>
    <m/>
    <d v="2025-02-22T19:45:00"/>
    <m/>
    <m/>
    <x v="1"/>
    <m/>
    <m/>
    <m/>
    <x v="0"/>
    <m/>
    <m/>
    <m/>
    <x v="0"/>
    <m/>
    <x v="9"/>
    <n v="0"/>
    <m/>
    <n v="548527.75"/>
    <n v="-548527.75"/>
    <n v="0"/>
    <x v="0"/>
  </r>
  <r>
    <x v="5"/>
    <x v="2"/>
    <d v="2025-02-24T00:00:00"/>
    <s v="OMBYM1LRR"/>
    <x v="2"/>
    <s v="UBJ 415C"/>
    <s v="Abel Mark naffa"/>
    <s v="Kobusinge Acaali- Kyenjojo Tax No.: 1000977837"/>
    <m/>
    <m/>
    <x v="26"/>
    <x v="2"/>
    <x v="1"/>
    <x v="2"/>
    <x v="26"/>
    <x v="25"/>
    <m/>
    <m/>
    <x v="0"/>
    <m/>
    <m/>
    <d v="2025-02-26T08:04:00"/>
    <m/>
    <m/>
    <x v="1"/>
    <m/>
    <m/>
    <m/>
    <x v="0"/>
    <m/>
    <m/>
    <m/>
    <x v="0"/>
    <m/>
    <x v="9"/>
    <n v="0"/>
    <m/>
    <n v="548564.06666666665"/>
    <n v="-548564.06666666665"/>
    <n v="0"/>
    <x v="0"/>
  </r>
  <r>
    <x v="5"/>
    <x v="2"/>
    <d v="2025-02-24T00:00:00"/>
    <s v="OM75QECRR"/>
    <x v="2"/>
    <s v="UAR 731Q"/>
    <s v="GODWIN  NIWENSIIMA"/>
    <s v="Boniface Harera Tax No.: 1000317747"/>
    <m/>
    <m/>
    <x v="26"/>
    <x v="2"/>
    <x v="1"/>
    <x v="2"/>
    <x v="26"/>
    <x v="25"/>
    <m/>
    <m/>
    <x v="0"/>
    <m/>
    <m/>
    <d v="2025-02-24T07:44:00"/>
    <m/>
    <m/>
    <x v="1"/>
    <m/>
    <m/>
    <m/>
    <x v="0"/>
    <m/>
    <m/>
    <m/>
    <x v="0"/>
    <m/>
    <x v="9"/>
    <n v="0"/>
    <m/>
    <n v="548539.7333333334"/>
    <n v="-548539.7333333334"/>
    <n v="0"/>
    <x v="0"/>
  </r>
  <r>
    <x v="5"/>
    <x v="2"/>
    <d v="2025-02-24T00:00:00"/>
    <s v="OM8PJX9RR"/>
    <x v="2"/>
    <s v="UAR 731Q"/>
    <s v="GODWIN  NIWENSIIMA"/>
    <s v="Kabaco U Ltd Tax No.: 1000025425"/>
    <m/>
    <m/>
    <x v="26"/>
    <x v="2"/>
    <x v="1"/>
    <x v="2"/>
    <x v="26"/>
    <x v="25"/>
    <m/>
    <m/>
    <x v="0"/>
    <m/>
    <m/>
    <d v="2025-02-23T14:30:00"/>
    <m/>
    <m/>
    <x v="1"/>
    <m/>
    <m/>
    <m/>
    <x v="0"/>
    <m/>
    <m/>
    <m/>
    <x v="0"/>
    <m/>
    <x v="9"/>
    <n v="0"/>
    <m/>
    <n v="548534.5"/>
    <n v="-548534.5"/>
    <n v="0"/>
    <x v="0"/>
  </r>
  <r>
    <x v="5"/>
    <x v="2"/>
    <d v="2025-02-24T00:00:00"/>
    <s v="OM9KEAKRR"/>
    <x v="2"/>
    <s v="UBK 881R"/>
    <s v="James  Kironde"/>
    <s v="Kato Investments Ltd-Bulenga Tax No.: 1000098824"/>
    <m/>
    <m/>
    <x v="26"/>
    <x v="2"/>
    <x v="1"/>
    <x v="2"/>
    <x v="26"/>
    <x v="25"/>
    <m/>
    <m/>
    <x v="0"/>
    <m/>
    <m/>
    <d v="2025-02-23T17:00:00"/>
    <m/>
    <m/>
    <x v="1"/>
    <m/>
    <m/>
    <m/>
    <x v="0"/>
    <m/>
    <m/>
    <m/>
    <x v="0"/>
    <m/>
    <x v="9"/>
    <n v="0"/>
    <m/>
    <n v="548537"/>
    <n v="-548537"/>
    <n v="0"/>
    <x v="0"/>
  </r>
  <r>
    <x v="5"/>
    <x v="2"/>
    <d v="2025-02-24T00:00:00"/>
    <s v="OM8QHT4RR"/>
    <x v="2"/>
    <s v="UBA 523T"/>
    <s v="Kabene John"/>
    <s v="KATO INVESTMENTS LIMITED-MASAK Tax No.: 1000098824"/>
    <m/>
    <m/>
    <x v="26"/>
    <x v="2"/>
    <x v="1"/>
    <x v="2"/>
    <x v="26"/>
    <x v="25"/>
    <m/>
    <m/>
    <x v="0"/>
    <m/>
    <m/>
    <d v="2025-02-23T18:18:00"/>
    <m/>
    <m/>
    <x v="1"/>
    <m/>
    <m/>
    <m/>
    <x v="0"/>
    <m/>
    <m/>
    <m/>
    <x v="0"/>
    <m/>
    <x v="9"/>
    <n v="0"/>
    <m/>
    <n v="548538.29999999981"/>
    <n v="-548538.29999999981"/>
    <n v="0"/>
    <x v="0"/>
  </r>
  <r>
    <x v="5"/>
    <x v="2"/>
    <d v="2025-02-24T00:00:00"/>
    <s v="OMOB9FFRR"/>
    <x v="2"/>
    <s v="UBJ 417C"/>
    <s v="MUKOSE MUZAMIRU"/>
    <s v="Kabaco U Ltd Tax No.: 1000025425"/>
    <m/>
    <m/>
    <x v="26"/>
    <x v="2"/>
    <x v="1"/>
    <x v="2"/>
    <x v="26"/>
    <x v="25"/>
    <m/>
    <m/>
    <x v="0"/>
    <m/>
    <m/>
    <d v="2025-02-24T16:49:00"/>
    <m/>
    <m/>
    <x v="1"/>
    <m/>
    <m/>
    <m/>
    <x v="0"/>
    <m/>
    <m/>
    <m/>
    <x v="0"/>
    <m/>
    <x v="9"/>
    <n v="0"/>
    <m/>
    <n v="548548.81666666665"/>
    <n v="-548548.81666666665"/>
    <n v="0"/>
    <x v="0"/>
  </r>
  <r>
    <x v="5"/>
    <x v="2"/>
    <d v="2025-02-24T00:00:00"/>
    <s v="OMSXD6GRR"/>
    <x v="2"/>
    <s v="UBP 298H"/>
    <s v="SENTONG DAVID"/>
    <s v="Kabaco U Ltd-Mbarara Tax No.: 1000025425"/>
    <m/>
    <m/>
    <x v="26"/>
    <x v="2"/>
    <x v="1"/>
    <x v="2"/>
    <x v="26"/>
    <x v="25"/>
    <m/>
    <m/>
    <x v="0"/>
    <m/>
    <m/>
    <d v="2025-02-23T13:26:00"/>
    <m/>
    <m/>
    <x v="1"/>
    <m/>
    <m/>
    <m/>
    <x v="0"/>
    <m/>
    <m/>
    <m/>
    <x v="0"/>
    <m/>
    <x v="9"/>
    <n v="0"/>
    <m/>
    <n v="548533.43333333335"/>
    <n v="-548533.43333333335"/>
    <n v="0"/>
    <x v="0"/>
  </r>
  <r>
    <x v="5"/>
    <x v="2"/>
    <d v="2025-02-25T00:00:00"/>
    <s v="OMKIGUORR"/>
    <x v="2"/>
    <s v="UBE 287X"/>
    <s v="Isaac Tumuhimbise"/>
    <s v="Rugoma Traders-Kanungu/Kihihi Tax No.: 1000249350"/>
    <m/>
    <m/>
    <x v="26"/>
    <x v="2"/>
    <x v="1"/>
    <x v="2"/>
    <x v="26"/>
    <x v="25"/>
    <m/>
    <m/>
    <x v="0"/>
    <m/>
    <m/>
    <d v="2025-02-27T13:46:00"/>
    <m/>
    <m/>
    <x v="1"/>
    <m/>
    <m/>
    <m/>
    <x v="0"/>
    <m/>
    <m/>
    <m/>
    <x v="0"/>
    <m/>
    <x v="9"/>
    <n v="0"/>
    <m/>
    <n v="548581.7666666666"/>
    <n v="-548581.7666666666"/>
    <n v="0"/>
    <x v="0"/>
  </r>
  <r>
    <x v="5"/>
    <x v="2"/>
    <d v="2025-02-25T00:00:00"/>
    <s v="OM0ZQ3MRR"/>
    <x v="2"/>
    <s v="UAV 203T"/>
    <s v="Mugisha  George"/>
    <s v="KATO INVESTMENTS LIMITED-MASAK Tax No.: 1000098824"/>
    <m/>
    <m/>
    <x v="26"/>
    <x v="2"/>
    <x v="1"/>
    <x v="2"/>
    <x v="26"/>
    <x v="25"/>
    <m/>
    <m/>
    <x v="0"/>
    <m/>
    <m/>
    <d v="2025-02-25T14:20:00"/>
    <m/>
    <m/>
    <x v="1"/>
    <m/>
    <m/>
    <m/>
    <x v="0"/>
    <m/>
    <m/>
    <m/>
    <x v="0"/>
    <m/>
    <x v="9"/>
    <n v="0"/>
    <m/>
    <n v="548558.33333333326"/>
    <n v="-548558.33333333326"/>
    <n v="0"/>
    <x v="0"/>
  </r>
  <r>
    <x v="5"/>
    <x v="2"/>
    <d v="2025-02-25T00:00:00"/>
    <s v="OMLV1DQRR"/>
    <x v="2"/>
    <s v="UBJ 375N"/>
    <s v="Stephen Musoke "/>
    <s v="KATO INVESTMENTS LTD- KALISIZO Tax No.: 1000098824"/>
    <m/>
    <m/>
    <x v="26"/>
    <x v="2"/>
    <x v="1"/>
    <x v="2"/>
    <x v="26"/>
    <x v="25"/>
    <m/>
    <m/>
    <x v="0"/>
    <m/>
    <m/>
    <d v="2025-02-24T19:35:00"/>
    <m/>
    <m/>
    <x v="1"/>
    <m/>
    <m/>
    <m/>
    <x v="0"/>
    <m/>
    <m/>
    <m/>
    <x v="0"/>
    <m/>
    <x v="9"/>
    <n v="0"/>
    <m/>
    <n v="548551.58333333326"/>
    <n v="-548551.58333333326"/>
    <n v="0"/>
    <x v="0"/>
  </r>
  <r>
    <x v="5"/>
    <x v="2"/>
    <d v="2025-02-26T00:00:00"/>
    <s v="OMB6EOSRR"/>
    <x v="2"/>
    <s v="UBJ 415C"/>
    <s v="Abel Mark naffa"/>
    <s v="Ntale &amp; Sons Tax No.: 1001371381"/>
    <m/>
    <m/>
    <x v="26"/>
    <x v="2"/>
    <x v="1"/>
    <x v="2"/>
    <x v="26"/>
    <x v="25"/>
    <m/>
    <m/>
    <x v="0"/>
    <m/>
    <m/>
    <d v="2025-02-27T13:46:00"/>
    <m/>
    <m/>
    <x v="1"/>
    <m/>
    <m/>
    <m/>
    <x v="0"/>
    <m/>
    <m/>
    <m/>
    <x v="0"/>
    <m/>
    <x v="9"/>
    <n v="0"/>
    <m/>
    <n v="548581.7666666666"/>
    <n v="-548581.7666666666"/>
    <n v="0"/>
    <x v="0"/>
  </r>
  <r>
    <x v="5"/>
    <x v="2"/>
    <d v="2025-02-26T00:00:00"/>
    <s v="OM5H4T5RR"/>
    <x v="2"/>
    <s v="UAY 526V"/>
    <s v="Benon Ssempijja"/>
    <s v="Ntale &amp; Sons Tax No.: 1001371381"/>
    <m/>
    <m/>
    <x v="26"/>
    <x v="2"/>
    <x v="1"/>
    <x v="2"/>
    <x v="26"/>
    <x v="25"/>
    <m/>
    <m/>
    <x v="0"/>
    <m/>
    <m/>
    <d v="2025-02-26T19:09:00"/>
    <m/>
    <m/>
    <x v="1"/>
    <m/>
    <m/>
    <m/>
    <x v="0"/>
    <m/>
    <m/>
    <m/>
    <x v="0"/>
    <m/>
    <x v="9"/>
    <n v="0"/>
    <m/>
    <n v="548575.15000000014"/>
    <n v="-548575.15000000014"/>
    <n v="0"/>
    <x v="0"/>
  </r>
  <r>
    <x v="5"/>
    <x v="2"/>
    <d v="2025-02-26T00:00:00"/>
    <s v="OMZY0AVRR"/>
    <x v="2"/>
    <s v="UAR 731Q"/>
    <s v="GODWIN  NIWENSIIMA"/>
    <s v="Jusime Enterprises Tax No.: 1000042571"/>
    <m/>
    <m/>
    <x v="26"/>
    <x v="2"/>
    <x v="1"/>
    <x v="2"/>
    <x v="26"/>
    <x v="25"/>
    <m/>
    <m/>
    <x v="0"/>
    <m/>
    <m/>
    <d v="2025-02-26T09:06:00"/>
    <m/>
    <m/>
    <x v="1"/>
    <m/>
    <m/>
    <m/>
    <x v="0"/>
    <m/>
    <m/>
    <m/>
    <x v="0"/>
    <m/>
    <x v="9"/>
    <n v="0"/>
    <m/>
    <n v="548565.10000000009"/>
    <n v="-548565.10000000009"/>
    <n v="0"/>
    <x v="0"/>
  </r>
  <r>
    <x v="5"/>
    <x v="2"/>
    <d v="2025-02-26T00:00:00"/>
    <s v="OMK91NURR"/>
    <x v="2"/>
    <s v="UBK 881R"/>
    <s v="James  Kironde"/>
    <s v="Sawan Distributors Ltd-Nabingo Tax No.: 1000186379"/>
    <m/>
    <m/>
    <x v="26"/>
    <x v="2"/>
    <x v="1"/>
    <x v="2"/>
    <x v="26"/>
    <x v="25"/>
    <m/>
    <m/>
    <x v="0"/>
    <m/>
    <m/>
    <d v="2025-02-26T14:27:00"/>
    <m/>
    <m/>
    <x v="1"/>
    <m/>
    <m/>
    <m/>
    <x v="0"/>
    <m/>
    <m/>
    <m/>
    <x v="0"/>
    <m/>
    <x v="9"/>
    <n v="0"/>
    <m/>
    <n v="548570.44999999995"/>
    <n v="-548570.44999999995"/>
    <n v="0"/>
    <x v="0"/>
  </r>
  <r>
    <x v="5"/>
    <x v="2"/>
    <d v="2025-02-26T00:00:00"/>
    <s v="OM7VIDTRR"/>
    <x v="2"/>
    <s v="UBA 523T"/>
    <s v="Kabene John"/>
    <s v="KATO INVESTMENTS LIMITED-MASAK Tax No.: 1000098824"/>
    <m/>
    <m/>
    <x v="26"/>
    <x v="2"/>
    <x v="1"/>
    <x v="2"/>
    <x v="26"/>
    <x v="25"/>
    <m/>
    <m/>
    <x v="0"/>
    <m/>
    <m/>
    <d v="2025-02-26T09:20:00"/>
    <m/>
    <m/>
    <x v="1"/>
    <m/>
    <m/>
    <m/>
    <x v="0"/>
    <m/>
    <m/>
    <m/>
    <x v="0"/>
    <m/>
    <x v="9"/>
    <n v="0"/>
    <m/>
    <n v="548565.33333333349"/>
    <n v="-548565.33333333349"/>
    <n v="0"/>
    <x v="0"/>
  </r>
  <r>
    <x v="5"/>
    <x v="2"/>
    <d v="2025-02-26T00:00:00"/>
    <s v="OMWT7WERR"/>
    <x v="2"/>
    <s v="UBE 419T"/>
    <s v="Kilabila Ismail"/>
    <s v="RUGOMA TRADERS CO. LTD NTUNGAM Tax No.: 1000249350"/>
    <m/>
    <m/>
    <x v="26"/>
    <x v="2"/>
    <x v="1"/>
    <x v="2"/>
    <x v="26"/>
    <x v="25"/>
    <m/>
    <m/>
    <x v="0"/>
    <m/>
    <m/>
    <d v="2025-02-26T09:27:00"/>
    <m/>
    <m/>
    <x v="1"/>
    <m/>
    <m/>
    <m/>
    <x v="0"/>
    <m/>
    <m/>
    <m/>
    <x v="0"/>
    <m/>
    <x v="9"/>
    <n v="0"/>
    <m/>
    <n v="548565.45000000019"/>
    <n v="-548565.45000000019"/>
    <n v="0"/>
    <x v="0"/>
  </r>
  <r>
    <x v="5"/>
    <x v="2"/>
    <d v="2025-02-26T00:00:00"/>
    <s v="OM0ZQ3MRR"/>
    <x v="2"/>
    <s v="UAV 203T"/>
    <s v="Mugisha  George"/>
    <s v="KATO INVESTMENTS LIMITED-MASAK Tax No.: 1000098824"/>
    <m/>
    <m/>
    <x v="26"/>
    <x v="2"/>
    <x v="1"/>
    <x v="2"/>
    <x v="26"/>
    <x v="25"/>
    <m/>
    <m/>
    <x v="0"/>
    <m/>
    <m/>
    <d v="2025-02-25T14:34:00"/>
    <m/>
    <m/>
    <x v="1"/>
    <m/>
    <m/>
    <m/>
    <x v="0"/>
    <m/>
    <m/>
    <m/>
    <x v="0"/>
    <m/>
    <x v="9"/>
    <n v="0"/>
    <m/>
    <n v="548558.56666666665"/>
    <n v="-548558.56666666665"/>
    <n v="0"/>
    <x v="0"/>
  </r>
  <r>
    <x v="5"/>
    <x v="2"/>
    <d v="2025-02-27T00:00:00"/>
    <s v="OMNP0AERR"/>
    <x v="2"/>
    <s v="UAY 526V"/>
    <s v="Benon Ssempijja"/>
    <s v="Kabaco U Ltd-Mbarara Tax No.: 1000025425"/>
    <m/>
    <m/>
    <x v="26"/>
    <x v="2"/>
    <x v="1"/>
    <x v="2"/>
    <x v="26"/>
    <x v="25"/>
    <m/>
    <m/>
    <x v="0"/>
    <m/>
    <m/>
    <d v="2025-02-27T08:02:00"/>
    <m/>
    <m/>
    <x v="1"/>
    <m/>
    <m/>
    <m/>
    <x v="0"/>
    <m/>
    <m/>
    <m/>
    <x v="0"/>
    <m/>
    <x v="9"/>
    <n v="0"/>
    <m/>
    <n v="548576.03333333321"/>
    <n v="-548576.03333333321"/>
    <n v="0"/>
    <x v="0"/>
  </r>
  <r>
    <x v="5"/>
    <x v="2"/>
    <d v="2025-02-27T00:00:00"/>
    <s v="OMPYKSHRR"/>
    <x v="2"/>
    <s v="UBE 422T"/>
    <s v="Jacob Oneka"/>
    <m/>
    <m/>
    <m/>
    <x v="26"/>
    <x v="2"/>
    <x v="1"/>
    <x v="2"/>
    <x v="26"/>
    <x v="25"/>
    <m/>
    <m/>
    <x v="0"/>
    <m/>
    <m/>
    <d v="2025-02-27T08:07:00"/>
    <m/>
    <m/>
    <x v="1"/>
    <m/>
    <m/>
    <m/>
    <x v="0"/>
    <m/>
    <m/>
    <m/>
    <x v="0"/>
    <m/>
    <x v="9"/>
    <n v="0"/>
    <m/>
    <n v="548576.1166666667"/>
    <n v="-548576.1166666667"/>
    <n v="0"/>
    <x v="0"/>
  </r>
  <r>
    <x v="5"/>
    <x v="2"/>
    <d v="2025-02-27T00:00:00"/>
    <s v="OM9RS70RR"/>
    <x v="2"/>
    <s v="UBP 298H"/>
    <s v="SENTONG DAVID"/>
    <m/>
    <m/>
    <m/>
    <x v="26"/>
    <x v="2"/>
    <x v="1"/>
    <x v="2"/>
    <x v="26"/>
    <x v="25"/>
    <m/>
    <m/>
    <x v="0"/>
    <m/>
    <m/>
    <d v="2025-02-28T10:02:00"/>
    <m/>
    <m/>
    <x v="1"/>
    <m/>
    <m/>
    <m/>
    <x v="0"/>
    <m/>
    <m/>
    <m/>
    <x v="0"/>
    <m/>
    <x v="9"/>
    <n v="0"/>
    <m/>
    <n v="548590.03333333344"/>
    <n v="-548590.03333333344"/>
    <n v="0"/>
    <x v="0"/>
  </r>
  <r>
    <x v="5"/>
    <x v="2"/>
    <d v="2025-02-27T00:00:00"/>
    <s v="OMUB5G2RR"/>
    <x v="2"/>
    <s v="UBJ 375N"/>
    <s v="Stephen Musoke "/>
    <m/>
    <m/>
    <m/>
    <x v="26"/>
    <x v="2"/>
    <x v="1"/>
    <x v="2"/>
    <x v="26"/>
    <x v="25"/>
    <m/>
    <m/>
    <x v="0"/>
    <m/>
    <m/>
    <d v="2025-02-26T15:02:00"/>
    <m/>
    <m/>
    <x v="1"/>
    <m/>
    <m/>
    <m/>
    <x v="0"/>
    <m/>
    <m/>
    <m/>
    <x v="0"/>
    <m/>
    <x v="9"/>
    <n v="0"/>
    <m/>
    <n v="548571.03333333321"/>
    <n v="-548571.03333333321"/>
    <n v="0"/>
    <x v="0"/>
  </r>
  <r>
    <x v="5"/>
    <x v="2"/>
    <d v="2025-02-28T00:00:00"/>
    <s v="OM17TH5RR"/>
    <x v="2"/>
    <s v="UBE 287X"/>
    <s v="Isaac Tumuhimbise"/>
    <m/>
    <m/>
    <m/>
    <x v="26"/>
    <x v="2"/>
    <x v="1"/>
    <x v="2"/>
    <x v="26"/>
    <x v="25"/>
    <m/>
    <m/>
    <x v="0"/>
    <m/>
    <m/>
    <d v="2025-02-28T10:02:00"/>
    <m/>
    <m/>
    <x v="1"/>
    <m/>
    <m/>
    <m/>
    <x v="0"/>
    <m/>
    <m/>
    <m/>
    <x v="0"/>
    <m/>
    <x v="9"/>
    <n v="0"/>
    <m/>
    <n v="548590.03333333344"/>
    <n v="-548590.03333333344"/>
    <n v="0"/>
    <x v="0"/>
  </r>
  <r>
    <x v="5"/>
    <x v="2"/>
    <d v="2025-02-28T00:00:00"/>
    <s v="OMATP0LRR"/>
    <x v="2"/>
    <s v="UBA 523T"/>
    <s v="Kabene John"/>
    <m/>
    <m/>
    <m/>
    <x v="26"/>
    <x v="2"/>
    <x v="1"/>
    <x v="2"/>
    <x v="26"/>
    <x v="25"/>
    <m/>
    <m/>
    <x v="0"/>
    <m/>
    <m/>
    <d v="2025-02-28T09:22:00"/>
    <m/>
    <m/>
    <x v="1"/>
    <m/>
    <m/>
    <m/>
    <x v="0"/>
    <m/>
    <m/>
    <m/>
    <x v="0"/>
    <m/>
    <x v="9"/>
    <n v="0"/>
    <m/>
    <n v="548589.3666666667"/>
    <n v="-548589.3666666667"/>
    <n v="0"/>
    <x v="0"/>
  </r>
  <r>
    <x v="5"/>
    <x v="2"/>
    <d v="2025-02-28T00:00:00"/>
    <s v="OMUB5G2RR"/>
    <x v="2"/>
    <s v="UBJ 375N"/>
    <s v="Stephen Musoke "/>
    <m/>
    <m/>
    <m/>
    <x v="26"/>
    <x v="2"/>
    <x v="1"/>
    <x v="2"/>
    <x v="26"/>
    <x v="25"/>
    <m/>
    <m/>
    <x v="0"/>
    <m/>
    <m/>
    <d v="2025-02-28T06:58:00"/>
    <m/>
    <m/>
    <x v="1"/>
    <m/>
    <m/>
    <m/>
    <x v="0"/>
    <m/>
    <m/>
    <m/>
    <x v="0"/>
    <m/>
    <x v="9"/>
    <n v="0"/>
    <m/>
    <n v="548586.96666666679"/>
    <n v="-548586.96666666679"/>
    <n v="0"/>
    <x v="0"/>
  </r>
  <r>
    <x v="5"/>
    <x v="2"/>
    <d v="2025-02-28T00:00:00"/>
    <s v="OMGVHG4RR"/>
    <x v="2"/>
    <s v="UBJ 988D"/>
    <s v="Tumusiime Robert"/>
    <m/>
    <m/>
    <m/>
    <x v="26"/>
    <x v="2"/>
    <x v="1"/>
    <x v="2"/>
    <x v="26"/>
    <x v="25"/>
    <m/>
    <m/>
    <x v="0"/>
    <m/>
    <m/>
    <d v="2025-02-27T21:59:00"/>
    <m/>
    <m/>
    <x v="1"/>
    <m/>
    <m/>
    <m/>
    <x v="0"/>
    <m/>
    <m/>
    <m/>
    <x v="0"/>
    <m/>
    <x v="9"/>
    <n v="0"/>
    <m/>
    <n v="548589.9833333334"/>
    <n v="-548589.9833333334"/>
    <n v="0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327">
  <r>
    <d v="2025-01-01T00:00:00"/>
    <x v="0"/>
    <m/>
    <s v="OM02L6Y5"/>
    <s v="Manual"/>
    <s v="MUKOSE MUZAMIRU"/>
    <s v="UBE 690K"/>
    <s v="Kato Investment Ltd -Kagadi"/>
    <n v="151.68"/>
    <s v="A19778"/>
    <s v="OM"/>
    <n v="670"/>
    <n v="612"/>
    <n v="-5"/>
    <m/>
    <d v="2025-01-01T07:58:00"/>
    <d v="2025-01-01T07:30:00"/>
    <d v="2025-01-01T08:38:00"/>
    <n v="67.685185186807459"/>
    <n v="39.814814819449872"/>
    <m/>
    <d v="2025-01-02T10:08:00"/>
    <d v="2025-01-02T13:47:00"/>
    <n v="214.43750000136788"/>
    <s v="space consquents"/>
    <d v="2025-01-03T10:22:31"/>
    <d v="2025-01-03T11:21:31"/>
    <n v="57.770833336981013"/>
    <m/>
    <n v="2.0725833333344781"/>
    <n v="2"/>
    <n v="-7.2583333334478084E-2"/>
    <n v="49.742000000027474"/>
    <n v="24"/>
    <n v="25.742000000027474"/>
    <n v="5.892316059351959"/>
    <m/>
    <m/>
    <m/>
    <m/>
    <m/>
  </r>
  <r>
    <d v="2025-01-01T20:17:33"/>
    <x v="0"/>
    <m/>
    <s v="OM7APO5RR"/>
    <s v="DJ"/>
    <s v="Stephen Musoke "/>
    <s v="UBJ 375N"/>
    <s v="Kabaco U Ltd-Mbarara"/>
    <n v="140.1"/>
    <s v="Z82022"/>
    <s v="OM"/>
    <n v="20"/>
    <n v="14"/>
    <n v="3"/>
    <m/>
    <d v="2025-01-02T14:55:00"/>
    <d v="2025-01-02T07:42:00"/>
    <d v="2025-01-02T15:38:00"/>
    <n v="473.79629629722331"/>
    <n v="42.80092592986572"/>
    <m/>
    <d v="2025-01-02T16:07:00"/>
    <d v="2025-01-02T19:21:00"/>
    <n v="189.95833333698101"/>
    <s v="Reached late and offloaded the next day"/>
    <d v="2025-01-02T20:10:00"/>
    <d v="2025-01-02T21:06:00"/>
    <n v="54.833333337664953"/>
    <m/>
    <n v="0.18888888889341615"/>
    <n v="1"/>
    <n v="0.81111111110658385"/>
    <n v="4.5333333334419876"/>
    <n v="0"/>
    <n v="4.5333333334419876"/>
    <n v="30.904411763965168"/>
    <m/>
    <m/>
    <m/>
    <m/>
    <m/>
  </r>
  <r>
    <d v="2025-01-01T20:18:31"/>
    <x v="0"/>
    <m/>
    <s v="OMCOX6YRR"/>
    <s v="DJ"/>
    <s v="Isaac Tumuhimbise"/>
    <s v="UBE 287X"/>
    <s v="Kabaco U Ltd-Mbarara"/>
    <n v="153.60000000000002"/>
    <s v="Z82023"/>
    <s v="OM"/>
    <n v="20"/>
    <n v="13"/>
    <n v="-7"/>
    <m/>
    <d v="2025-01-02T10:47:00"/>
    <d v="2025-01-02T07:42:00"/>
    <d v="2025-01-02T11:24:00"/>
    <n v="220.97222222291748"/>
    <n v="36.828703698605146"/>
    <m/>
    <d v="2025-01-02T12:02:00"/>
    <d v="2025-01-02T16:40:00"/>
    <n v="272.20833333834889"/>
    <s v="truck faulty"/>
    <d v="2025-01-02T17:17:00"/>
    <d v="2025-01-02T18:16:00"/>
    <n v="57.770833336981013"/>
    <m/>
    <n v="0.24513888888759539"/>
    <n v="1"/>
    <n v="0.75486111111240461"/>
    <n v="5.8833333333022892"/>
    <n v="0"/>
    <n v="5.8833333333022892"/>
    <n v="26.107648725350227"/>
    <m/>
    <m/>
    <m/>
    <m/>
    <m/>
  </r>
  <r>
    <d v="2025-01-01T20:19:18"/>
    <x v="0"/>
    <m/>
    <s v="OMZLGL1RR"/>
    <s v="DJ"/>
    <s v="James  Kironde"/>
    <s v="UBK 881R"/>
    <s v="KATO INVESTMENTS LIMITED-MASAK"/>
    <n v="153.60000000000002"/>
    <s v="F15655"/>
    <s v="OM"/>
    <n v="340"/>
    <n v="342"/>
    <n v="2"/>
    <m/>
    <d v="2025-01-02T06:59:00"/>
    <d v="2025-01-02T04:14:00"/>
    <d v="2025-01-02T07:37:00"/>
    <n v="202.06018518680744"/>
    <n v="37.82407407222005"/>
    <m/>
    <d v="2025-01-02T09:24:00"/>
    <d v="2025-01-02T13:35:00"/>
    <n v="245.77083332398615"/>
    <s v="slept at the RD and offloaded the next day"/>
    <d v="2025-01-03T09:22:00"/>
    <d v="2025-01-03T10:21:00"/>
    <n v="57.770833336981013"/>
    <m/>
    <n v="1.0729166666642413"/>
    <n v="1"/>
    <n v="-7.2916666664241347E-2"/>
    <n v="25.749999999941792"/>
    <n v="12"/>
    <n v="13.749999999941792"/>
    <n v="11.170909090956382"/>
    <m/>
    <m/>
    <m/>
    <m/>
    <m/>
  </r>
  <r>
    <d v="2025-01-01T20:20:55"/>
    <x v="0"/>
    <m/>
    <s v="OM33KZQRR"/>
    <s v="DJ"/>
    <s v="Jacob Oneka"/>
    <s v="UBE 422T"/>
    <s v="Kato Investments Ltd-Bulenga"/>
    <n v="153.60000000000002"/>
    <s v="A19779"/>
    <s v="OM"/>
    <n v="560"/>
    <n v="559"/>
    <n v="-1"/>
    <m/>
    <d v="2025-01-02T11:42:00"/>
    <d v="2025-01-01T21:30:00"/>
    <d v="2025-01-02T12:47:00"/>
    <n v="912.75462962221354"/>
    <n v="64.699074076391597"/>
    <s v="DJ failures "/>
    <d v="2025-01-03T10:45:00"/>
    <d v="2025-01-03T15:35:00"/>
    <n v="283.95833333561313"/>
    <s v="Waited for empties from trade"/>
    <d v="2025-01-04T11:40:00"/>
    <d v="2025-01-04T12:34:00"/>
    <n v="52.87499999794818"/>
    <m/>
    <n v="1.953472222223354"/>
    <n v="2"/>
    <n v="4.6527777776645962E-2"/>
    <n v="46.883333333360497"/>
    <n v="12"/>
    <n v="34.883333333360497"/>
    <n v="4.4032489249846272"/>
    <m/>
    <m/>
    <m/>
    <m/>
    <m/>
  </r>
  <r>
    <d v="2025-01-01T20:22:39"/>
    <x v="0"/>
    <m/>
    <s v="OMCP7C6RR"/>
    <s v="Manual"/>
    <s v="Kilabila Ismail"/>
    <s v="UBE 419T"/>
    <s v="RUGOMA TRADERS CO. LTD NTUNGAM"/>
    <n v="153.60000000000002"/>
    <s v="F15657"/>
    <s v="OM"/>
    <n v="130"/>
    <n v="129"/>
    <n v="-1"/>
    <m/>
    <d v="2025-01-02T08:13:39"/>
    <d v="2025-01-02T08:22:39"/>
    <d v="2025-01-02T09:30:39"/>
    <n v="67.685185186807459"/>
    <n v="76.643518518055018"/>
    <s v="Jam at the weigh bridge"/>
    <d v="2025-01-02T12:00:39"/>
    <d v="2025-01-02T17:00:39"/>
    <n v="293.7500000034197"/>
    <s v="Waited for empties from trade"/>
    <d v="2025-01-02T19:10:39"/>
    <d v="2025-01-02T20:06:39"/>
    <n v="54.833333337664953"/>
    <m/>
    <n v="0.40277777778101154"/>
    <n v="1"/>
    <n v="0.59722222221898846"/>
    <n v="9.6666666667442769"/>
    <n v="0"/>
    <n v="9.6666666667442769"/>
    <n v="15.889655172286224"/>
    <m/>
    <m/>
    <m/>
    <m/>
    <m/>
  </r>
  <r>
    <d v="2025-01-01T20:28:12"/>
    <x v="0"/>
    <m/>
    <s v="OMO39VURR"/>
    <s v="DJ"/>
    <s v="ALIPA EREKU"/>
    <s v="UBK 858R"/>
    <s v="KATO INVESTMENTS LTD-KATIKARA"/>
    <n v="133.44"/>
    <s v="A19781"/>
    <s v="OM"/>
    <n v="790"/>
    <n v="792"/>
    <n v="2"/>
    <m/>
    <d v="2025-01-01T20:16:00"/>
    <d v="2025-01-02T15:48:00"/>
    <d v="2025-01-01T20:56:00"/>
    <n v="-1126.7592592611134"/>
    <n v="39.814814819449872"/>
    <m/>
    <d v="2025-01-03T07:58:00"/>
    <d v="2025-01-03T12:16:00"/>
    <n v="252.62500000273576"/>
    <s v="found another truck at the RD and offloaded the next day"/>
    <d v="2025-01-04T11:27:00"/>
    <d v="2025-01-04T12:26:00"/>
    <n v="57.770833336981013"/>
    <m/>
    <n v="2.6048611111109494"/>
    <n v="3"/>
    <n v="0.39513888888905058"/>
    <n v="62.516666666662786"/>
    <n v="24"/>
    <n v="38.516666666662786"/>
    <n v="3.464474253570232"/>
    <m/>
    <m/>
    <m/>
    <m/>
    <m/>
  </r>
  <r>
    <d v="2025-01-02T17:45:21"/>
    <x v="0"/>
    <m/>
    <s v="OMY25R8RR"/>
    <s v="DJ"/>
    <s v="Benon Ssempijja"/>
    <s v="UAY 526V"/>
    <s v="Ntale and Sons"/>
    <n v="153.60000000000002"/>
    <s v="A19789"/>
    <s v="OM"/>
    <n v="810"/>
    <n v="812"/>
    <n v="2"/>
    <m/>
    <d v="2025-01-03T07:42:00"/>
    <d v="2025-01-02T19:30:00"/>
    <d v="2025-01-03T08:21:00"/>
    <n v="767.43055555416504"/>
    <n v="38.819444445834961"/>
    <m/>
    <d v="2025-01-03T20:47:00"/>
    <d v="2025-01-04T13:59:00"/>
    <n v="1010.5000000006839"/>
    <s v="Waited for empties from trade"/>
    <d v="2025-01-05T15:11:00"/>
    <d v="2025-01-05T16:00:00"/>
    <n v="47.979166669174447"/>
    <m/>
    <n v="2.2847222222262644"/>
    <n v="3"/>
    <n v="0.71527777777373558"/>
    <n v="54.833333333430346"/>
    <n v="24"/>
    <n v="30.833333333430346"/>
    <n v="4.9816216216059486"/>
    <m/>
    <m/>
    <m/>
    <m/>
    <m/>
  </r>
  <r>
    <d v="2025-01-02T17:46:19"/>
    <x v="0"/>
    <m/>
    <s v="OM84GFKRR"/>
    <s v="DJ"/>
    <s v="Kilabila Ismail"/>
    <s v="UBE 419T"/>
    <s v="KATO INVESTMENTS LIMITED-MASAK"/>
    <n v="153.60000000000002"/>
    <s v="F15658"/>
    <s v="OM"/>
    <n v="340"/>
    <n v="340"/>
    <n v="0"/>
    <m/>
    <d v="2025-01-02T18:01:00"/>
    <d v="2025-01-03T04:14:00"/>
    <d v="2025-01-02T18:44:00"/>
    <n v="-567.3611111145874"/>
    <n v="42.80092592986572"/>
    <m/>
    <d v="2025-01-03T12:09:00"/>
    <d v="2025-01-03T15:09:00"/>
    <n v="176.25"/>
    <m/>
    <d v="2025-01-04T10:40:00"/>
    <d v="2025-01-04T11:36:00"/>
    <n v="54.833333337664953"/>
    <m/>
    <n v="1.663888888891961"/>
    <n v="2"/>
    <n v="0.33611111110803904"/>
    <n v="39.933333333407063"/>
    <n v="12"/>
    <n v="27.933333333407063"/>
    <n v="5.4988066825630524"/>
    <m/>
    <m/>
    <m/>
    <m/>
    <m/>
  </r>
  <r>
    <d v="2025-01-02T23:12:54"/>
    <x v="0"/>
    <m/>
    <s v="OMN00PNRR"/>
    <s v="DJ"/>
    <s v="James  Kironde"/>
    <s v="UBK 881R"/>
    <s v="Sawan Distributors Ltd-Nabingo"/>
    <n v="153.6"/>
    <s v="A19800"/>
    <s v="OM"/>
    <n v="560"/>
    <n v="562"/>
    <n v="2"/>
    <m/>
    <d v="2025-01-03T13:30:00"/>
    <d v="2025-01-03T08:00:00"/>
    <d v="2025-01-03T14:29:00"/>
    <n v="387.19907407430583"/>
    <n v="58.726851855559893"/>
    <s v="DJ failures "/>
    <d v="2025-01-03T21:09:00"/>
    <d v="2025-01-04T12:35:00"/>
    <n v="906.70833333424525"/>
    <s v="space consquents"/>
    <d v="2025-01-06T14:11:00"/>
    <d v="2025-01-06T15:10:00"/>
    <n v="57.770833336981013"/>
    <m/>
    <n v="2.9874999999956344"/>
    <n v="2"/>
    <n v="-0.98749999999563443"/>
    <n v="71.699999999895226"/>
    <n v="24"/>
    <n v="47.699999999895226"/>
    <n v="3.2201257861705948"/>
    <m/>
    <m/>
    <m/>
    <m/>
    <m/>
  </r>
  <r>
    <d v="2025-01-02T23:13:56"/>
    <x v="0"/>
    <m/>
    <s v="OM8F9LXRR"/>
    <s v="DJ"/>
    <s v="Bisaso  Ronald"/>
    <s v="UBK 875R"/>
    <s v="Kabaco U Ltd-Mbarara"/>
    <n v="149.4"/>
    <s v="Z82038"/>
    <s v="OM"/>
    <n v="20"/>
    <n v="22"/>
    <n v="2"/>
    <m/>
    <d v="2025-01-03T13:59:00"/>
    <d v="2025-01-03T08:00:00"/>
    <d v="2025-01-03T14:37:00"/>
    <n v="395.1620370319385"/>
    <n v="37.82407407222005"/>
    <m/>
    <d v="2025-01-03T15:47:00"/>
    <d v="2025-01-03T18:46:00"/>
    <n v="175.27083334040071"/>
    <m/>
    <d v="2025-01-03T19:16:00"/>
    <d v="2025-01-03T20:08:00"/>
    <n v="50.916666668490507"/>
    <m/>
    <n v="0.19374999999854481"/>
    <n v="2"/>
    <n v="1.8062500000014552"/>
    <n v="4.6499999999650754"/>
    <n v="0"/>
    <n v="4.6499999999650754"/>
    <n v="32.129032258305827"/>
    <m/>
    <m/>
    <m/>
    <m/>
    <m/>
  </r>
  <r>
    <d v="2025-01-02T23:14:52"/>
    <x v="0"/>
    <m/>
    <s v="OMHX7MPRR"/>
    <s v="DJ"/>
    <s v="Stephen Musoke "/>
    <s v="UBJ 375N"/>
    <s v="Kobusinge Steven-Kamwenge"/>
    <n v="153.60000000000002"/>
    <s v="Z82039"/>
    <s v="OM"/>
    <n v="230"/>
    <n v="230"/>
    <n v="0"/>
    <m/>
    <d v="2025-01-03T09:11:00"/>
    <d v="2025-01-03T09:00:00"/>
    <d v="2025-01-03T09:55:00"/>
    <n v="54.745370371529134"/>
    <n v="43.796296293051761"/>
    <m/>
    <d v="2025-01-03T13:10:00"/>
    <d v="2025-01-03T17:08:00"/>
    <n v="233.04166666712263"/>
    <s v="Waited for empties from trade"/>
    <d v="2025-01-04T09:33:00"/>
    <d v="2025-01-04T10:32:00"/>
    <n v="57.770833336981013"/>
    <m/>
    <n v="0.98472222222335404"/>
    <n v="2"/>
    <n v="1.015277777776646"/>
    <n v="23.633333333360497"/>
    <n v="0"/>
    <n v="23.633333333360497"/>
    <n v="6.4992947813747595"/>
    <m/>
    <m/>
    <m/>
    <m/>
    <m/>
  </r>
  <r>
    <d v="2025-01-02T23:15:44"/>
    <x v="0"/>
    <m/>
    <s v="OMVZ7HGRR"/>
    <s v="DJ"/>
    <s v="Isaac Tumuhimbise"/>
    <s v="UBE 287X"/>
    <s v="Agaba Services"/>
    <n v="153.60000000000002"/>
    <s v="F15659"/>
    <s v="OM"/>
    <n v="302"/>
    <n v="293"/>
    <n v="-9"/>
    <m/>
    <d v="2025-01-03T06:17:00"/>
    <d v="2025-01-03T08:30:00"/>
    <d v="2025-01-03T07:14:00"/>
    <n v="-75.6481481444401"/>
    <n v="56.736111108330078"/>
    <s v="Meeting Delays"/>
    <d v="2025-01-03T12:37:00"/>
    <d v="2025-01-03T14:34:00"/>
    <n v="114.56250000410364"/>
    <m/>
    <d v="2025-01-04T08:36:00"/>
    <d v="2025-01-04T09:28:00"/>
    <n v="50.916666668490507"/>
    <m/>
    <n v="1.0569444444408873"/>
    <n v="2"/>
    <n v="0.94305555555911269"/>
    <n v="25.366666666581295"/>
    <n v="12"/>
    <n v="13.366666666581295"/>
    <n v="11.491271820522273"/>
    <m/>
    <m/>
    <m/>
    <m/>
    <m/>
  </r>
  <r>
    <d v="2025-01-02T23:16:43"/>
    <x v="0"/>
    <m/>
    <s v="OM976EURR"/>
    <s v="DJ"/>
    <s v="Mugisha  George"/>
    <s v="UAV 203T"/>
    <s v="Kobusinge Acaali- Kyenjojo"/>
    <n v="153.60000000000002"/>
    <s v="Z82040"/>
    <s v="OM"/>
    <n v="480"/>
    <n v="469"/>
    <n v="-11"/>
    <m/>
    <d v="2025-01-03T08:53:00"/>
    <d v="2025-01-04T03:17:00"/>
    <d v="2025-01-03T10:09:00"/>
    <n v="-1023.2407407388868"/>
    <n v="75.6481481444401"/>
    <s v="Damaged stock replacement"/>
    <d v="2025-01-04T08:26:00"/>
    <d v="2025-01-04T13:38:00"/>
    <n v="305.50000000068394"/>
    <s v="Waited for empties from trade"/>
    <d v="2025-01-05T10:02:00"/>
    <d v="2025-01-05T10:59:00"/>
    <n v="55.81249999726424"/>
    <m/>
    <n v="1.9951388888875954"/>
    <n v="2"/>
    <n v="4.8611111124046147E-3"/>
    <n v="47.883333333302289"/>
    <n v="12"/>
    <n v="35.883333333302289"/>
    <n v="4.2805387830970618"/>
    <m/>
    <m/>
    <m/>
    <m/>
    <m/>
  </r>
  <r>
    <d v="2025-01-03T00:00:00"/>
    <x v="0"/>
    <m/>
    <s v="OM02L7BP"/>
    <s v="Manual"/>
    <m/>
    <s v="UBE 678K"/>
    <s v="Ntale and Sons Ltd-Kakiri"/>
    <n v="156"/>
    <s v="A19821"/>
    <s v="OM"/>
    <n v="620"/>
    <n v="612"/>
    <n v="-8"/>
    <m/>
    <d v="2025-01-03T08:05:00"/>
    <d v="2025-01-03T07:30:00"/>
    <d v="2025-01-03T08:45:00"/>
    <n v="74.652777770825196"/>
    <n v="39.814814819449872"/>
    <m/>
    <d v="2025-01-03T21:15:00"/>
    <d v="2025-01-04T03:22:00"/>
    <n v="359.35416666849051"/>
    <s v="Waited for empties from trade"/>
    <d v="2025-01-05T14:17:24"/>
    <d v="2025-01-05T15:14:24"/>
    <n v="55.81249999726424"/>
    <m/>
    <n v="2.2308333333348855"/>
    <n v="3"/>
    <n v="0.76916666666511446"/>
    <n v="53.540000000037253"/>
    <n v="24"/>
    <n v="29.540000000037253"/>
    <n v="5.2809749492147349"/>
    <m/>
    <m/>
    <m/>
    <m/>
    <m/>
  </r>
  <r>
    <d v="2025-01-03T00:00:00"/>
    <x v="0"/>
    <m/>
    <s v="OM02L7BK"/>
    <s v="Manual"/>
    <m/>
    <s v="UBE 678K"/>
    <s v="Kato Investments Ltd- Kakumiro"/>
    <n v="156"/>
    <s v="A19818"/>
    <s v="OM"/>
    <n v="765"/>
    <n v="767"/>
    <n v="2"/>
    <m/>
    <d v="2025-01-03T08:12:00"/>
    <d v="2025-01-03T07:30:00"/>
    <d v="2025-01-03T08:53:00"/>
    <n v="82.615740738886714"/>
    <n v="40.810185182635905"/>
    <m/>
    <d v="2025-01-03T17:53:00"/>
    <d v="2025-01-03T20:26:00"/>
    <n v="149.81249999589636"/>
    <m/>
    <d v="2025-01-04T21:07:38"/>
    <d v="2025-01-04T22:06:38"/>
    <n v="57.770833336981013"/>
    <m/>
    <n v="1.5101666666669189"/>
    <n v="3"/>
    <n v="1.4898333333330811"/>
    <n v="36.244000000006054"/>
    <n v="12"/>
    <n v="24.244000000006054"/>
    <n v="6.434581752184501"/>
    <m/>
    <m/>
    <m/>
    <m/>
    <m/>
  </r>
  <r>
    <d v="2025-01-03T00:00:00"/>
    <x v="0"/>
    <m/>
    <s v="OM02L7BR"/>
    <s v="Manual"/>
    <s v="MUKOSE MUZAMIRU"/>
    <s v="UBE 690K"/>
    <s v="Kabaco U Ltd"/>
    <n v="156"/>
    <s v="Z82048"/>
    <s v="OM"/>
    <n v="320"/>
    <n v="319"/>
    <n v="-1"/>
    <m/>
    <d v="2025-01-03T07:59:00"/>
    <d v="2025-01-03T07:30:00"/>
    <d v="2025-01-03T08:42:00"/>
    <n v="71.666666660409348"/>
    <n v="42.80092592986572"/>
    <m/>
    <d v="2025-01-03T14:42:00"/>
    <d v="2025-01-03T17:23:00"/>
    <n v="157.64583333424525"/>
    <m/>
    <d v="2025-01-04T11:48:12"/>
    <d v="2025-01-04T12:47:12"/>
    <n v="57.770833336981013"/>
    <m/>
    <n v="1.1293055555579485"/>
    <n v="2"/>
    <n v="0.87069444444205146"/>
    <n v="27.103333333390765"/>
    <n v="12"/>
    <n v="15.103333333390765"/>
    <n v="10.328845729380278"/>
    <m/>
    <m/>
    <m/>
    <m/>
    <m/>
  </r>
  <r>
    <d v="2025-01-03T00:00:00"/>
    <x v="0"/>
    <m/>
    <s v="OM02L777"/>
    <s v="Manual"/>
    <m/>
    <s v="UBP 311H"/>
    <s v="Kato Investments Ltd- Kyegegwa"/>
    <n v="156"/>
    <s v="A19812"/>
    <s v="OM"/>
    <n v="600"/>
    <n v="591"/>
    <n v="-9"/>
    <m/>
    <d v="2025-01-03T07:29:00"/>
    <d v="2025-01-03T07:30:00"/>
    <d v="2025-01-03T08:46:00"/>
    <n v="75.6481481444401"/>
    <n v="76.643518518055018"/>
    <s v="Pre-Trip inspection defect closure"/>
    <d v="2025-01-04T11:06:00"/>
    <d v="2025-01-04T14:01:00"/>
    <n v="171.35416667122627"/>
    <m/>
    <d v="2025-01-04T21:16:00"/>
    <d v="2025-01-04T22:12:00"/>
    <n v="54.833333337664953"/>
    <m/>
    <n v="1.5208333333284827"/>
    <n v="2"/>
    <n v="0.47916666667151731"/>
    <n v="36.499999999883585"/>
    <n v="12"/>
    <n v="24.499999999883585"/>
    <n v="6.367346938805766"/>
    <m/>
    <m/>
    <m/>
    <m/>
    <m/>
  </r>
  <r>
    <d v="2025-01-03T00:00:00"/>
    <x v="0"/>
    <m/>
    <s v="OM02L77A"/>
    <s v="Manual"/>
    <m/>
    <s v="UBP 311H"/>
    <s v="Kobusinge Steven-FPortal"/>
    <n v="156"/>
    <s v="Z82042"/>
    <s v="OM"/>
    <n v="390"/>
    <n v="386"/>
    <n v="-4"/>
    <m/>
    <d v="2025-01-03T08:04:00"/>
    <d v="2025-01-03T07:30:00"/>
    <d v="2025-01-03T08:47:00"/>
    <n v="76.643518518055018"/>
    <n v="42.80092592986572"/>
    <m/>
    <d v="2025-01-04T10:17:00"/>
    <d v="2025-01-04T12:50:00"/>
    <n v="149.81249999589636"/>
    <m/>
    <d v="2025-01-05T08:56:22"/>
    <d v="2025-01-05T09:55:22"/>
    <n v="57.770833336981013"/>
    <m/>
    <n v="2.0065000000031432"/>
    <n v="2"/>
    <n v="-6.5000000031432137E-3"/>
    <n v="48.156000000075437"/>
    <n v="24"/>
    <n v="24.156000000075437"/>
    <n v="6.4580228514453069"/>
    <m/>
    <m/>
    <m/>
    <m/>
    <m/>
  </r>
  <r>
    <d v="2025-01-03T00:00:00"/>
    <x v="0"/>
    <m/>
    <s v="OM02L7BL"/>
    <s v="Manual"/>
    <s v="Ekwalikwa Yusuf"/>
    <s v="UBP 311H"/>
    <s v="Kobusinge Steven-Kamwenge"/>
    <n v="156"/>
    <s v="Z82047"/>
    <s v="OM"/>
    <n v="230"/>
    <n v="232"/>
    <n v="2"/>
    <m/>
    <d v="2025-01-03T08:23:00"/>
    <d v="2025-01-03T07:30:00"/>
    <d v="2025-01-03T09:02:00"/>
    <n v="91.574074070134273"/>
    <n v="38.819444445834961"/>
    <m/>
    <d v="2025-01-04T09:32:00"/>
    <d v="2025-01-04T12:01:00"/>
    <n v="145.89583333698101"/>
    <m/>
    <d v="2025-01-04T19:43:00"/>
    <d v="2025-01-04T20:35:00"/>
    <n v="50.916666668490507"/>
    <m/>
    <n v="1.445138888891961"/>
    <n v="2"/>
    <n v="0.55486111110803904"/>
    <n v="34.683333333407063"/>
    <n v="12"/>
    <n v="22.683333333407063"/>
    <n v="6.877296105782202"/>
    <m/>
    <m/>
    <m/>
    <m/>
    <m/>
  </r>
  <r>
    <d v="2025-01-03T00:00:00"/>
    <x v="0"/>
    <m/>
    <s v="OM02L7BM"/>
    <s v="Manual"/>
    <s v="Ekwalikwa Yusuf"/>
    <s v="UBP 311H"/>
    <s v="Kato Investment Ltd -Mubende"/>
    <n v="154.34400000000002"/>
    <s v="A19820"/>
    <s v="OM"/>
    <n v="680"/>
    <n v="682"/>
    <n v="2"/>
    <m/>
    <d v="2025-01-03T08:15:00"/>
    <d v="2025-01-03T07:30:00"/>
    <d v="2025-01-03T08:58:00"/>
    <n v="87.592592586103521"/>
    <n v="42.80092592986572"/>
    <m/>
    <d v="2025-01-04T11:15:00"/>
    <d v="2025-01-04T14:10:00"/>
    <n v="171.35416667122627"/>
    <m/>
    <d v="2025-01-05T18:52:48"/>
    <d v="2025-01-05T19:39:48"/>
    <n v="46.020833329457673"/>
    <m/>
    <n v="2.4130555555530009"/>
    <n v="2"/>
    <n v="-0.41305555555300089"/>
    <n v="57.913333333272021"/>
    <n v="24"/>
    <n v="33.913333333272021"/>
    <n v="4.5511303322276113"/>
    <m/>
    <m/>
    <m/>
    <m/>
    <m/>
  </r>
  <r>
    <d v="2025-01-03T00:00:00"/>
    <x v="0"/>
    <m/>
    <s v="OM02L77B"/>
    <s v="Manual"/>
    <m/>
    <s v="UBP 311H"/>
    <s v="KATO INVESTMENTS LTD-KATIKARA"/>
    <n v="156"/>
    <s v="A19813"/>
    <s v="OM"/>
    <n v="790"/>
    <n v="792"/>
    <n v="2"/>
    <m/>
    <d v="2025-01-03T07:58:00"/>
    <d v="2025-01-03T07:30:00"/>
    <d v="2025-01-03T08:38:00"/>
    <n v="67.685185186807459"/>
    <n v="39.814814819449872"/>
    <m/>
    <d v="2025-01-04T09:53:00"/>
    <d v="2025-01-04T15:29:00"/>
    <n v="328.99999999521242"/>
    <s v="found another truck to be offloaded"/>
    <d v="2025-01-05T19:40:00"/>
    <d v="2025-01-05T20:39:00"/>
    <n v="57.770833336981013"/>
    <m/>
    <n v="2.4597222222218988"/>
    <n v="3"/>
    <n v="0.54027777777810115"/>
    <n v="59.033333333325572"/>
    <n v="24"/>
    <n v="35.033333333325572"/>
    <n v="4.4529019980980369"/>
    <m/>
    <m/>
    <m/>
    <m/>
    <m/>
  </r>
  <r>
    <d v="2025-01-03T00:00:00"/>
    <x v="0"/>
    <m/>
    <s v="OM02L7BH"/>
    <s v="Manual"/>
    <m/>
    <s v="UBP 311H"/>
    <s v="Kobusinge Steven-FPortal"/>
    <n v="156"/>
    <s v="Z82046"/>
    <s v="OM"/>
    <n v="390"/>
    <n v="386"/>
    <n v="-4"/>
    <m/>
    <d v="2025-01-03T07:35:00"/>
    <d v="2025-01-03T07:30:00"/>
    <d v="2025-01-03T08:38:00"/>
    <n v="67.685185186807459"/>
    <n v="62.708333329161782"/>
    <s v="Meeting Delays"/>
    <d v="2025-01-04T10:08:00"/>
    <d v="2025-01-04T12:41:00"/>
    <n v="149.81249999589636"/>
    <m/>
    <d v="2025-01-05T09:30:34"/>
    <d v="2025-01-05T10:27:34"/>
    <n v="55.81249999726424"/>
    <m/>
    <n v="2.0365000000019791"/>
    <n v="2"/>
    <n v="-3.650000000197906E-2"/>
    <n v="48.876000000047497"/>
    <n v="24"/>
    <n v="24.876000000047497"/>
    <n v="6.2711046791969025"/>
    <m/>
    <m/>
    <m/>
    <m/>
    <m/>
  </r>
  <r>
    <d v="2025-01-03T12:01:02"/>
    <x v="0"/>
    <m/>
    <s v="OMJVKLYRR"/>
    <s v="DJ"/>
    <s v="Abel Mark naffa"/>
    <s v="UBJ 415C"/>
    <s v="KATO INVESTMENTS LIMITED-MASAK"/>
    <n v="153.60000000000002"/>
    <s v="F15660"/>
    <s v="OM"/>
    <n v="340"/>
    <n v="255"/>
    <n v="-85"/>
    <m/>
    <d v="2025-01-03T16:19:00"/>
    <d v="2025-01-04T04:14:00"/>
    <d v="2025-01-03T16:54:00"/>
    <n v="-676.85185184721684"/>
    <n v="34.837962961804202"/>
    <m/>
    <d v="2025-01-04T12:00:00"/>
    <d v="2025-01-04T14:29:00"/>
    <n v="145.89583333698101"/>
    <m/>
    <d v="2025-01-06T13:03:00"/>
    <d v="2025-01-06T14:02:00"/>
    <n v="57.770833336981013"/>
    <m/>
    <n v="2.8395833333270275"/>
    <n v="2"/>
    <n v="-0.8395833333270275"/>
    <n v="68.14999999984866"/>
    <n v="24"/>
    <n v="44.14999999984866"/>
    <n v="3.4790486976336701"/>
    <m/>
    <m/>
    <m/>
    <m/>
    <m/>
  </r>
  <r>
    <d v="2025-01-03T12:03:43"/>
    <x v="0"/>
    <m/>
    <s v="OMFII1DRR"/>
    <s v="Manual"/>
    <s v="Angello Lumala"/>
    <s v="UAV 051U"/>
    <s v="KATO INVESTMENTS LTD- KALISIZO"/>
    <n v="153.60000000000002"/>
    <s v="F15661"/>
    <s v="OM"/>
    <n v="350"/>
    <n v="351"/>
    <n v="1"/>
    <m/>
    <d v="2025-01-04T00:32:43"/>
    <d v="2025-01-04T00:03:43"/>
    <d v="2025-01-04T01:15:43"/>
    <n v="71.666666660409348"/>
    <n v="42.80092592986572"/>
    <m/>
    <d v="2025-01-04T08:15:43"/>
    <d v="2025-01-04T10:48:43"/>
    <n v="149.81249999589636"/>
    <m/>
    <d v="2025-01-04T18:15:43"/>
    <d v="2025-01-04T19:14:43"/>
    <n v="57.770833336981013"/>
    <m/>
    <n v="0.70833333333575865"/>
    <n v="2"/>
    <n v="1.2916666666642413"/>
    <n v="17.000000000058208"/>
    <n v="0"/>
    <n v="17.000000000058208"/>
    <n v="9.0352941176161234"/>
    <m/>
    <m/>
    <m/>
    <m/>
    <m/>
  </r>
  <r>
    <d v="2025-01-03T12:07:32"/>
    <x v="0"/>
    <m/>
    <s v="OMY3M6PRR"/>
    <s v="DJ"/>
    <s v="Tumusiime Robert"/>
    <s v="UBJ 988D"/>
    <s v="RUGOMA TRADERS CO. LTD NTUNGAM"/>
    <n v="153.60000000000002"/>
    <s v="F15662"/>
    <s v="OM"/>
    <n v="130"/>
    <n v="129"/>
    <n v="-1"/>
    <m/>
    <d v="2025-01-03T17:25:00"/>
    <d v="2025-01-04T06:15:00"/>
    <d v="2025-01-03T18:04:00"/>
    <n v="-727.61574073471513"/>
    <n v="38.819444445834961"/>
    <m/>
    <d v="2025-01-04T07:58:00"/>
    <d v="2025-01-04T10:39:00"/>
    <n v="157.64583333424525"/>
    <m/>
    <d v="2025-01-04T17:08:00"/>
    <d v="2025-01-04T18:07:00"/>
    <n v="57.770833336981013"/>
    <m/>
    <n v="0.96111111110803904"/>
    <n v="1"/>
    <n v="3.888888889196096E-2"/>
    <n v="23.066666666592937"/>
    <n v="0"/>
    <n v="23.066666666592937"/>
    <n v="6.6589595375935398"/>
    <m/>
    <m/>
    <m/>
    <m/>
    <m/>
  </r>
  <r>
    <d v="2025-01-03T12:08:24"/>
    <x v="0"/>
    <m/>
    <s v="OM0MCP3RR"/>
    <s v="DJ"/>
    <s v="SULAIMAN MUBIRU"/>
    <s v="UBK 862R"/>
    <s v="Boniface Harera"/>
    <n v="156"/>
    <s v="F15663"/>
    <s v="OM"/>
    <n v="470"/>
    <n v="469"/>
    <n v="-1"/>
    <m/>
    <d v="2025-01-03T14:35:00"/>
    <d v="2025-01-04T01:30:00"/>
    <d v="2025-01-03T15:28:00"/>
    <n v="-599.21296296597575"/>
    <n v="52.75462963472819"/>
    <s v="Jam at the weigh bridge"/>
    <d v="2025-01-04T10:21:00"/>
    <d v="2025-01-04T13:16:00"/>
    <n v="171.35416667122627"/>
    <m/>
    <d v="2025-01-04T10:15:00"/>
    <d v="2025-01-04T11:09:00"/>
    <n v="52.87499999794818"/>
    <m/>
    <n v="0.78263888889341615"/>
    <n v="2"/>
    <n v="1.2173611111065838"/>
    <n v="18.783333333441988"/>
    <n v="0"/>
    <n v="18.783333333441988"/>
    <n v="8.3052351374852318"/>
    <m/>
    <m/>
    <m/>
    <m/>
    <m/>
  </r>
  <r>
    <d v="2025-01-03T20:31:37"/>
    <x v="0"/>
    <m/>
    <s v="OMHN31TRR"/>
    <s v="DJ"/>
    <s v="Konge Husein"/>
    <s v="UBJ 707D"/>
    <s v="Kabaco U Ltd-Mbarara"/>
    <n v="151.80000000000001"/>
    <s v="Z82049"/>
    <s v="OM"/>
    <n v="20"/>
    <n v="14"/>
    <n v="-6"/>
    <m/>
    <d v="2025-01-04T07:29:00"/>
    <d v="2025-01-04T07:42:00"/>
    <d v="2025-01-04T08:22:00"/>
    <n v="39.814814819449872"/>
    <n v="52.75462963472819"/>
    <s v="Jam at the weigh bridge"/>
    <d v="2025-01-04T09:13:00"/>
    <d v="2025-01-04T14:33:00"/>
    <n v="313.33333332877373"/>
    <s v="Waited for empties from trade"/>
    <d v="2025-01-04T14:12:00"/>
    <d v="2025-01-04T14:59:00"/>
    <n v="46.020833329457673"/>
    <m/>
    <n v="0.24305555555474712"/>
    <n v="2"/>
    <n v="1.7569444444452529"/>
    <n v="5.8333333333139308"/>
    <n v="0"/>
    <n v="5.8333333333139308"/>
    <n v="26.0228571429437"/>
    <m/>
    <m/>
    <m/>
    <m/>
    <m/>
  </r>
  <r>
    <d v="2025-01-03T20:38:28"/>
    <x v="0"/>
    <m/>
    <s v="OM4WLDZRR"/>
    <s v="Manual"/>
    <s v="Kabene John"/>
    <s v="UBA 523T"/>
    <s v="RUGOMA TRADERS CO. LTD NTUNGAM"/>
    <n v="153.60000000000002"/>
    <s v="F15664"/>
    <s v="OM"/>
    <n v="130"/>
    <n v="129"/>
    <n v="-1"/>
    <m/>
    <d v="2025-01-04T09:03:28"/>
    <d v="2025-01-04T08:38:28"/>
    <d v="2025-01-04T09:46:28"/>
    <n v="67.685185186807459"/>
    <n v="42.80092592986572"/>
    <m/>
    <d v="2025-01-04T12:02:28"/>
    <d v="2025-01-04T14:49:28"/>
    <n v="163.52083333287737"/>
    <m/>
    <d v="2025-01-04T18:38:28"/>
    <d v="2025-01-04T19:37:28"/>
    <n v="57.770833336981013"/>
    <m/>
    <n v="0.36944444444816327"/>
    <n v="1"/>
    <n v="0.63055555555183673"/>
    <n v="8.8666666667559184"/>
    <n v="0"/>
    <n v="8.8666666667559184"/>
    <n v="17.323308270502316"/>
    <m/>
    <m/>
    <m/>
    <m/>
    <m/>
  </r>
  <r>
    <d v="2025-01-03T20:42:06"/>
    <x v="0"/>
    <m/>
    <s v="OMF1PUWRR"/>
    <s v="DJ"/>
    <s v="Bisaso  Ronald"/>
    <s v="UBK 875R"/>
    <s v="Ntale and Sons"/>
    <n v="151.94400000000002"/>
    <s v="A19824"/>
    <s v="OM"/>
    <n v="810"/>
    <n v="809"/>
    <n v="-1"/>
    <m/>
    <d v="2025-01-04T08:14:00"/>
    <d v="2025-01-03T21:30:00"/>
    <d v="2025-01-04T08:53:00"/>
    <n v="679.83796295763261"/>
    <n v="38.819444445834961"/>
    <m/>
    <d v="2025-01-06T14:32:00"/>
    <d v="2025-01-06T17:05:00"/>
    <n v="149.81249999589636"/>
    <m/>
    <d v="2025-01-07T20:41:00"/>
    <d v="2025-01-07T21:40:00"/>
    <n v="57.770833336981013"/>
    <m/>
    <n v="3.4916666666686069"/>
    <n v="3"/>
    <n v="-0.49166666666860692"/>
    <n v="83.800000000046566"/>
    <n v="36"/>
    <n v="47.800000000046566"/>
    <n v="3.1787447698713804"/>
    <m/>
    <m/>
    <m/>
    <m/>
    <m/>
  </r>
  <r>
    <d v="2025-01-03T20:43:12"/>
    <x v="0"/>
    <m/>
    <s v="OM7HSU6RR"/>
    <s v="DJ"/>
    <s v="Isaac Tumuhimbise"/>
    <s v="UBE 287X"/>
    <s v="KATO INVESTMENTS LIMITED-MASAK"/>
    <n v="153.60000000000002"/>
    <s v="F15665"/>
    <s v="OM"/>
    <n v="340"/>
    <n v="296"/>
    <n v="-44"/>
    <m/>
    <d v="2025-01-04T11:16:00"/>
    <d v="2025-01-04T04:14:00"/>
    <d v="2025-01-04T11:56:00"/>
    <n v="459.86111110833008"/>
    <n v="39.814814819449872"/>
    <m/>
    <d v="2025-01-05T09:05:00"/>
    <d v="2025-01-05T12:00:00"/>
    <n v="171.35416667122627"/>
    <m/>
    <d v="2025-01-05T15:58:00"/>
    <d v="2025-01-05T16:55:00"/>
    <n v="55.81249999726424"/>
    <m/>
    <n v="1.1680555555576575"/>
    <n v="2"/>
    <n v="0.8319444444423425"/>
    <n v="28.03333333338378"/>
    <n v="12"/>
    <n v="16.03333333338378"/>
    <n v="9.5800415800114394"/>
    <m/>
    <m/>
    <m/>
    <m/>
    <m/>
  </r>
  <r>
    <d v="2025-01-03T20:43:57"/>
    <x v="0"/>
    <m/>
    <s v="OMS5GYURR"/>
    <s v="DJ"/>
    <s v="NAMINYA SIRAJE"/>
    <s v="UBP 301H"/>
    <s v="Boniface Harera"/>
    <n v="156"/>
    <s v="F15666"/>
    <s v="OM"/>
    <n v="470"/>
    <n v="469"/>
    <n v="-1"/>
    <m/>
    <d v="2025-01-03T19:27:00"/>
    <d v="2025-01-04T01:30:00"/>
    <d v="2025-01-03T20:07:00"/>
    <n v="-321.5046296242993"/>
    <n v="39.814814819449872"/>
    <m/>
    <d v="2025-01-06T13:44:00"/>
    <d v="2025-01-06T16:31:00"/>
    <n v="163.52083333287737"/>
    <m/>
    <d v="2025-01-07T15:40:00"/>
    <d v="2025-01-07T16:29:00"/>
    <n v="47.979166669174447"/>
    <m/>
    <n v="3.8145833333328483"/>
    <n v="2"/>
    <n v="-1.8145833333328483"/>
    <n v="91.549999999988358"/>
    <n v="36"/>
    <n v="55.549999999988358"/>
    <n v="2.8082808280833969"/>
    <m/>
    <m/>
    <m/>
    <m/>
    <m/>
  </r>
  <r>
    <d v="2025-01-03T20:44:46"/>
    <x v="0"/>
    <m/>
    <s v="OMF7GZSRR"/>
    <s v="DJ"/>
    <s v="BYEKWASO TWAHA"/>
    <s v="UBE 680K"/>
    <s v="Kato Investments Ltd-Bulenga"/>
    <n v="156"/>
    <s v="A19825"/>
    <s v="OM"/>
    <n v="560"/>
    <n v="507"/>
    <n v="-53"/>
    <m/>
    <d v="2025-01-03T19:49:00"/>
    <d v="2025-01-03T21:30:00"/>
    <d v="2025-01-03T20:29:00"/>
    <n v="-60.717592602789715"/>
    <n v="39.814814819449872"/>
    <m/>
    <d v="2025-01-04T16:33:00"/>
    <d v="2025-01-04T19:28:00"/>
    <n v="171.35416667122627"/>
    <m/>
    <d v="2025-01-05T10:04:00"/>
    <d v="2025-01-05T11:00:00"/>
    <n v="54.833333337664953"/>
    <m/>
    <n v="1.5659722222262644"/>
    <n v="3"/>
    <n v="1.4340277777737356"/>
    <n v="37.583333333430346"/>
    <n v="12"/>
    <n v="25.583333333430346"/>
    <n v="6.0977198696837176"/>
    <m/>
    <m/>
    <m/>
    <m/>
    <m/>
  </r>
  <r>
    <d v="2025-01-03T23:38:19"/>
    <x v="0"/>
    <m/>
    <s v="OMUDTTERR"/>
    <s v="DJ"/>
    <s v="Kilabila Ismail"/>
    <s v="UBE 419T"/>
    <s v="Rugoma Traders-Kanungu/Kihihi"/>
    <n v="153.60000000000002"/>
    <s v="F15667"/>
    <s v="OM"/>
    <n v="414"/>
    <n v="413"/>
    <n v="-1"/>
    <m/>
    <d v="2025-01-04T18:26:00"/>
    <d v="2025-01-04T08:30:00"/>
    <d v="2025-01-04T19:09:00"/>
    <n v="636.04166667500976"/>
    <n v="42.80092592986572"/>
    <m/>
    <d v="2025-01-05T10:51:00"/>
    <d v="2025-01-05T16:08:00"/>
    <n v="310.39583332945767"/>
    <s v="Waited for empties from trade"/>
    <d v="2025-01-06T11:17:00"/>
    <d v="2025-01-06T12:11:00"/>
    <n v="52.87499999794818"/>
    <m/>
    <n v="1.6722222222160781"/>
    <n v="2"/>
    <n v="0.32777777778392192"/>
    <n v="40.133333333185874"/>
    <n v="12"/>
    <n v="28.133333333185874"/>
    <n v="5.4597156398390441"/>
    <m/>
    <m/>
    <m/>
    <m/>
    <m/>
  </r>
  <r>
    <d v="2025-01-03T23:39:11"/>
    <x v="0"/>
    <m/>
    <s v="OM8Y8XJRR"/>
    <s v="DJ"/>
    <s v="Stephen Musoke "/>
    <s v="UBJ 375N"/>
    <s v="Agaba Services"/>
    <n v="153.60000000000002"/>
    <s v="F15668"/>
    <s v="OM"/>
    <n v="302"/>
    <n v="290"/>
    <n v="-12"/>
    <m/>
    <d v="2025-01-04T13:20:00"/>
    <d v="2025-01-04T08:30:00"/>
    <d v="2025-01-04T14:00:00"/>
    <n v="328.4722222291748"/>
    <n v="39.814814819449872"/>
    <m/>
    <d v="2025-01-04T18:38:00"/>
    <d v="2025-01-04T21:11:00"/>
    <n v="149.81249999589636"/>
    <m/>
    <d v="2025-01-05T14:44:00"/>
    <d v="2025-01-05T15:41:00"/>
    <n v="55.81249999726424"/>
    <m/>
    <n v="1.0305555555532919"/>
    <n v="2"/>
    <n v="0.96944444444670808"/>
    <n v="24.733333333279006"/>
    <n v="12"/>
    <n v="12.733333333279006"/>
    <n v="12.062827225182359"/>
    <m/>
    <m/>
    <m/>
    <m/>
    <m/>
  </r>
  <r>
    <d v="2025-01-03T23:39:53"/>
    <x v="0"/>
    <m/>
    <s v="OM4CG3KRR"/>
    <s v="Manual"/>
    <s v="Luyaga Isaac"/>
    <s v="UAY 265V"/>
    <s v="KATO INVESTMENTS LTD- KALISIZO"/>
    <n v="152.00200000000001"/>
    <s v="F15669"/>
    <s v="OM"/>
    <n v="350"/>
    <n v="351"/>
    <n v="1"/>
    <m/>
    <d v="2025-01-04T11:20:00"/>
    <d v="2025-01-04T08:30:00"/>
    <d v="2025-01-04T11:59:00"/>
    <n v="208.03240740763917"/>
    <n v="38.819444445834961"/>
    <m/>
    <d v="2025-01-04T19:21:00"/>
    <d v="2025-01-04T21:54:00"/>
    <n v="149.81249999589636"/>
    <m/>
    <d v="2025-01-05T18:10:00"/>
    <d v="2025-01-05T18:57:00"/>
    <n v="46.020833329457673"/>
    <m/>
    <n v="1.257638888891961"/>
    <n v="2"/>
    <n v="0.74236111110803904"/>
    <n v="30.183333333407063"/>
    <n v="12"/>
    <n v="18.183333333407063"/>
    <n v="8.359413382184254"/>
    <m/>
    <m/>
    <m/>
    <m/>
    <m/>
  </r>
  <r>
    <d v="2025-01-04T00:00:00"/>
    <x v="0"/>
    <m/>
    <s v="OM02L7HP"/>
    <s v="Manual"/>
    <s v="MUKOSE MUZAMIRU"/>
    <s v="UBE 690K"/>
    <s v="Rugoma Traders-Rukungiri"/>
    <n v="156"/>
    <s v="Z82057"/>
    <s v="OM"/>
    <n v="256"/>
    <n v="255"/>
    <n v="-1"/>
    <m/>
    <d v="2025-01-04T07:58:00"/>
    <d v="2025-01-04T07:30:00"/>
    <d v="2025-01-04T08:38:00"/>
    <n v="67.685185186807459"/>
    <n v="39.814814819449872"/>
    <m/>
    <d v="2025-01-04T15:38:00"/>
    <d v="2025-01-04T18:11:00"/>
    <n v="149.81249999589636"/>
    <m/>
    <d v="2025-01-04T21:02:00"/>
    <d v="2025-01-04T21:54:00"/>
    <n v="50.916666668490507"/>
    <m/>
    <n v="0.51666666666278616"/>
    <n v="2"/>
    <n v="1.4833333333372138"/>
    <n v="12.399999999906868"/>
    <n v="0"/>
    <n v="12.399999999906868"/>
    <n v="12.580645161384812"/>
    <m/>
    <m/>
    <m/>
    <m/>
    <m/>
  </r>
  <r>
    <d v="2025-01-04T00:00:00"/>
    <x v="0"/>
    <m/>
    <s v="OM02L7EK"/>
    <s v="Manual"/>
    <s v="MUKOSE MUZAMIRU"/>
    <s v="UBE 690K"/>
    <s v="Kato Investment Ltd -Kagadi"/>
    <n v="156"/>
    <s v="A19840"/>
    <s v="OM"/>
    <n v="670"/>
    <n v="612"/>
    <n v="-58"/>
    <m/>
    <d v="2025-01-04T07:20:00"/>
    <d v="2025-01-04T07:30:00"/>
    <d v="2025-01-04T08:04:00"/>
    <n v="33.842592588189291"/>
    <n v="43.796296293051761"/>
    <m/>
    <d v="2025-01-05T11:34:00"/>
    <d v="2025-01-05T14:29:00"/>
    <n v="171.35416667122627"/>
    <m/>
    <d v="2025-01-06T14:59:31"/>
    <d v="2025-01-06T15:58:31"/>
    <n v="57.770833336981013"/>
    <m/>
    <n v="2.2885555555549217"/>
    <n v="2"/>
    <n v="-0.28855555555492174"/>
    <n v="54.925333333318122"/>
    <n v="24"/>
    <n v="30.925333333318122"/>
    <n v="5.0444080365636612"/>
    <m/>
    <m/>
    <m/>
    <m/>
    <m/>
  </r>
  <r>
    <d v="2025-01-04T00:00:00"/>
    <x v="0"/>
    <m/>
    <s v="OM02L7EN"/>
    <s v="Manual"/>
    <m/>
    <s v="UBE 678K"/>
    <s v="Ntale and Sons Ltd-Kakiri"/>
    <n v="156"/>
    <s v="A19842"/>
    <s v="OM"/>
    <n v="620"/>
    <n v="602"/>
    <n v="-18"/>
    <m/>
    <d v="2025-01-04T07:54:00"/>
    <d v="2025-01-04T07:30:00"/>
    <d v="2025-01-04T08:38:00"/>
    <n v="67.685185186807459"/>
    <n v="43.796296293051761"/>
    <m/>
    <d v="2025-01-04T21:08:00"/>
    <d v="2025-01-04T23:41:00"/>
    <n v="149.81249999589636"/>
    <m/>
    <d v="2025-01-06T11:10:24"/>
    <d v="2025-01-06T11:59:24"/>
    <n v="47.979166669174447"/>
    <m/>
    <n v="2.1058333333348855"/>
    <n v="3"/>
    <n v="0.89416666666511446"/>
    <n v="50.540000000037253"/>
    <n v="24"/>
    <n v="26.540000000037253"/>
    <n v="5.87792012056447"/>
    <m/>
    <m/>
    <m/>
    <m/>
    <m/>
  </r>
  <r>
    <d v="2025-01-04T00:00:00"/>
    <x v="0"/>
    <m/>
    <s v="OM02L7HG"/>
    <s v="Manual"/>
    <s v="MUKOSE MUZAMIRU"/>
    <s v="UBE 690K"/>
    <s v="Kobusinge Steven-FPortal"/>
    <n v="156"/>
    <s v="Z82054"/>
    <s v="OM"/>
    <n v="390"/>
    <n v="392"/>
    <n v="2"/>
    <m/>
    <d v="2025-01-04T07:58:00"/>
    <d v="2025-01-04T07:30:00"/>
    <d v="2025-01-04T08:38:00"/>
    <n v="67.685185186807459"/>
    <n v="39.814814819449872"/>
    <m/>
    <d v="2025-01-05T10:08:00"/>
    <d v="2025-01-05T12:55:00"/>
    <n v="163.52083333287737"/>
    <m/>
    <d v="2025-01-06T10:51:12"/>
    <d v="2025-01-06T11:44:12"/>
    <n v="51.895833338348893"/>
    <m/>
    <n v="2.0924999999988358"/>
    <n v="2"/>
    <n v="-9.2499999998835847E-2"/>
    <n v="50.21999999997206"/>
    <n v="24"/>
    <n v="26.21999999997206"/>
    <n v="5.9496567505784226"/>
    <m/>
    <m/>
    <m/>
    <m/>
    <m/>
  </r>
  <r>
    <d v="2025-01-04T00:00:00"/>
    <x v="0"/>
    <m/>
    <s v="OM02L7HR"/>
    <s v="Manual"/>
    <s v="MUKOSE MUZAMIRU"/>
    <s v="UBE 690K"/>
    <s v="Kato Investment Ltd -Kagadi"/>
    <n v="156"/>
    <s v="A19849"/>
    <s v="OM"/>
    <n v="670"/>
    <n v="603"/>
    <n v="-67"/>
    <m/>
    <d v="2025-01-04T12:53:00"/>
    <d v="2025-01-04T12:00:00"/>
    <d v="2025-01-04T13:32:00"/>
    <n v="91.574074070134273"/>
    <n v="38.819444445834961"/>
    <m/>
    <d v="2025-01-05T15:32:00"/>
    <d v="2025-01-05T18:27:00"/>
    <n v="171.35416667122627"/>
    <m/>
    <d v="2025-01-06T16:55:31"/>
    <d v="2025-01-06T17:51:31"/>
    <n v="54.833333337664953"/>
    <m/>
    <n v="2.1413333333330229"/>
    <n v="2"/>
    <n v="-0.14133333333302289"/>
    <n v="51.391999999992549"/>
    <n v="24"/>
    <n v="27.391999999992549"/>
    <n v="5.6950934579454744"/>
    <m/>
    <m/>
    <m/>
    <m/>
    <m/>
  </r>
  <r>
    <d v="2025-01-04T00:00:00"/>
    <x v="0"/>
    <m/>
    <s v="OM02L7HJ"/>
    <s v="Manual"/>
    <m/>
    <s v="UBE 678K"/>
    <s v="Kabaco U Ltd"/>
    <n v="156"/>
    <s v="Z82055"/>
    <s v="OM"/>
    <n v="320"/>
    <n v="321"/>
    <n v="1"/>
    <m/>
    <d v="2025-01-04T07:58:00"/>
    <d v="2025-01-04T07:30:00"/>
    <d v="2025-01-04T08:38:00"/>
    <n v="67.685185186807459"/>
    <n v="39.814814819449872"/>
    <m/>
    <d v="2025-01-04T14:38:00"/>
    <d v="2025-01-04T17:07:00"/>
    <n v="145.89583333698101"/>
    <m/>
    <d v="2025-01-05T10:03:12"/>
    <d v="2025-01-05T10:52:12"/>
    <n v="47.979166669174447"/>
    <m/>
    <n v="1.0591666666659876"/>
    <n v="2"/>
    <n v="0.94083333333401242"/>
    <n v="25.419999999983702"/>
    <n v="12"/>
    <n v="13.419999999983702"/>
    <n v="11.624441132651972"/>
    <m/>
    <m/>
    <m/>
    <m/>
    <m/>
  </r>
  <r>
    <d v="2025-01-04T00:00:00"/>
    <x v="0"/>
    <m/>
    <s v="OM02L7HQ"/>
    <s v="Manual"/>
    <m/>
    <s v="UBE 678K"/>
    <s v="Kobusinge Steven-Kamwenge"/>
    <n v="156"/>
    <s v="Z82058"/>
    <s v="OM"/>
    <n v="230"/>
    <n v="229"/>
    <n v="-1"/>
    <m/>
    <d v="2025-01-04T07:58:00"/>
    <d v="2025-01-04T07:30:00"/>
    <d v="2025-01-04T08:38:00"/>
    <n v="67.685185186807459"/>
    <n v="39.814814819449872"/>
    <m/>
    <d v="2025-01-05T09:08:00"/>
    <d v="2025-01-05T11:41:00"/>
    <n v="149.81249999589636"/>
    <m/>
    <d v="2025-01-05T18:54:00"/>
    <d v="2025-01-05T19:43:00"/>
    <n v="47.979166669174447"/>
    <m/>
    <n v="1.4277777777751908"/>
    <n v="2"/>
    <n v="0.57222222222480923"/>
    <n v="34.266666666604578"/>
    <n v="12"/>
    <n v="22.266666666604578"/>
    <n v="7.0059880239716312"/>
    <m/>
    <m/>
    <m/>
    <m/>
    <m/>
  </r>
  <r>
    <d v="2025-01-04T11:34:15"/>
    <x v="0"/>
    <m/>
    <s v="OMWYCZRRR"/>
    <s v="DJ"/>
    <s v="Konge Husein"/>
    <s v="UBJ 707D"/>
    <s v="KATO INVESTMENTS LTD- KALISIZO"/>
    <n v="153.60000000000002"/>
    <s v="F15670"/>
    <s v="OM"/>
    <n v="350"/>
    <n v="351"/>
    <n v="1"/>
    <m/>
    <d v="2025-01-04T15:11:00"/>
    <d v="2025-01-05T08:00:00"/>
    <d v="2025-01-04T15:51:00"/>
    <n v="-964.51388889375573"/>
    <n v="39.814814819449872"/>
    <m/>
    <d v="2025-01-05T09:25:00"/>
    <d v="2025-01-05T12:12:00"/>
    <n v="163.52083333287737"/>
    <m/>
    <d v="2025-01-06T12:25:00"/>
    <d v="2025-01-06T13:24:00"/>
    <n v="57.770833336981013"/>
    <m/>
    <n v="1.8569444444437977"/>
    <n v="2"/>
    <n v="0.14305555555620231"/>
    <n v="44.566666666651145"/>
    <n v="12"/>
    <n v="32.566666666651145"/>
    <n v="4.7164790174024533"/>
    <m/>
    <m/>
    <m/>
    <m/>
    <m/>
  </r>
  <r>
    <d v="2025-01-04T11:41:53"/>
    <x v="0"/>
    <m/>
    <s v="OM2E5A6RR"/>
    <s v="DJ"/>
    <s v="Jacob Oneka"/>
    <s v="UBE 422T"/>
    <s v="KATO INVESTMENTS LIMITED-MASAK"/>
    <n v="153.60000000000002"/>
    <s v="F15671"/>
    <s v="OM"/>
    <n v="340"/>
    <n v="299"/>
    <n v="-41"/>
    <m/>
    <d v="2025-01-04T14:00:00"/>
    <d v="2025-01-05T04:14:00"/>
    <d v="2025-01-04T15:03:00"/>
    <n v="-787.33796296388994"/>
    <n v="62.708333329161782"/>
    <s v="Pre-Trip inspection defect closure"/>
    <d v="2025-01-04T18:43:00"/>
    <d v="2025-01-04T21:16:00"/>
    <n v="149.81249999589636"/>
    <m/>
    <d v="2025-01-05T17:50:00"/>
    <d v="2025-01-05T18:44:00"/>
    <n v="52.87499999794818"/>
    <m/>
    <n v="1.1159722222218988"/>
    <n v="2"/>
    <n v="0.88402777777810115"/>
    <n v="26.783333333325572"/>
    <n v="12"/>
    <n v="14.783333333325572"/>
    <n v="10.390078917705569"/>
    <m/>
    <m/>
    <m/>
    <m/>
    <m/>
  </r>
  <r>
    <d v="2025-01-04T19:37:50"/>
    <x v="0"/>
    <m/>
    <s v="OMO3M45RR"/>
    <s v="DJ"/>
    <s v="NASASIRA STEPHENE"/>
    <s v="UBK 882R"/>
    <s v="Kato Investment Ltd -Mityana"/>
    <n v="187.20000000000002"/>
    <s v="A19850"/>
    <s v="OM"/>
    <n v="690"/>
    <n v="692"/>
    <n v="2"/>
    <m/>
    <d v="2025-01-05T10:03:00"/>
    <d v="2025-01-04T21:00:00"/>
    <d v="2025-01-05T11:00:00"/>
    <n v="836.1111111145874"/>
    <n v="56.736111108330078"/>
    <s v="DJ failures "/>
    <d v="2025-01-06T10:17:00"/>
    <d v="2025-01-06T12:50:00"/>
    <n v="149.81249999589636"/>
    <m/>
    <d v="2025-01-07T06:25:00"/>
    <d v="2025-01-07T07:21:00"/>
    <n v="54.833333337664953"/>
    <m/>
    <n v="1.8090277777737356"/>
    <n v="2"/>
    <n v="0.19097222222626442"/>
    <n v="43.416666666569654"/>
    <n v="12"/>
    <n v="31.416666666569654"/>
    <n v="5.9586206896735732"/>
    <m/>
    <m/>
    <m/>
    <m/>
    <m/>
  </r>
  <r>
    <d v="2025-01-04T19:38:31"/>
    <x v="0"/>
    <m/>
    <s v="OMCD8ZSRR"/>
    <s v="Manual"/>
    <m/>
    <s v="UBJ 417C"/>
    <s v="Boniface Harera"/>
    <n v="156"/>
    <s v="F15672"/>
    <s v="OM"/>
    <n v="470"/>
    <n v="465"/>
    <n v="-5"/>
    <m/>
    <d v="2025-01-05T08:28:31"/>
    <d v="2025-01-05T07:38:31"/>
    <d v="2025-01-05T09:10:31"/>
    <n v="91.574074070134273"/>
    <n v="41.805555556250816"/>
    <m/>
    <d v="2025-01-06T10:40:31"/>
    <d v="2025-01-06T13:18:31"/>
    <n v="154.70833333492919"/>
    <m/>
    <d v="2025-01-07T14:43:31"/>
    <d v="2025-01-07T15:40:31"/>
    <n v="55.81249999726424"/>
    <m/>
    <n v="2.2312499999970896"/>
    <n v="2"/>
    <n v="-0.23124999999708962"/>
    <n v="53.549999999930151"/>
    <n v="24"/>
    <n v="29.549999999930151"/>
    <n v="5.279187817271362"/>
    <m/>
    <m/>
    <m/>
    <m/>
    <m/>
  </r>
  <r>
    <d v="2025-01-04T19:40:31"/>
    <x v="0"/>
    <m/>
    <s v="OMA2QVIRR"/>
    <s v="DJ"/>
    <s v="Tumusiime Robert"/>
    <s v="UBJ 988D"/>
    <s v="Agaba Services"/>
    <n v="153.60000000000002"/>
    <s v="F15673"/>
    <s v="OM"/>
    <n v="302"/>
    <n v="291"/>
    <n v="-11"/>
    <m/>
    <d v="2025-01-05T07:39:00"/>
    <d v="2025-01-05T04:15:00"/>
    <d v="2025-01-05T08:22:00"/>
    <n v="245.85648147985921"/>
    <n v="42.80092592986572"/>
    <m/>
    <d v="2025-01-05T14:11:00"/>
    <d v="2025-01-05T16:52:00"/>
    <n v="157.64583333424525"/>
    <m/>
    <d v="2025-01-06T10:45:00"/>
    <d v="2025-01-06T11:37:00"/>
    <n v="50.916666668490507"/>
    <m/>
    <n v="1.0993055555518367"/>
    <n v="2"/>
    <n v="0.90069444444816327"/>
    <n v="26.383333333244082"/>
    <n v="12"/>
    <n v="14.383333333244082"/>
    <n v="10.679026651282953"/>
    <m/>
    <m/>
    <m/>
    <m/>
    <m/>
  </r>
  <r>
    <d v="2025-01-04T19:54:57"/>
    <x v="0"/>
    <m/>
    <s v="OMG49BWRR"/>
    <s v="Manual"/>
    <s v="Hamudi Sesanga"/>
    <s v="UAT 351G"/>
    <s v="RUGOMA TRADERS CO. LTD NTUNGAM"/>
    <n v="153.60000000000002"/>
    <s v="F15674"/>
    <s v="OM"/>
    <n v="130"/>
    <n v="129"/>
    <n v="-1"/>
    <m/>
    <d v="2025-01-05T08:26:57"/>
    <d v="2025-01-05T07:54:57"/>
    <d v="2025-01-05T09:06:57"/>
    <n v="71.666666660409348"/>
    <n v="39.814814819449872"/>
    <m/>
    <d v="2025-01-05T11:36:57"/>
    <d v="2025-01-05T15:33:57"/>
    <n v="232.06249999726424"/>
    <s v="found another truck at the RD"/>
    <d v="2025-01-05T21:06:57"/>
    <d v="2025-01-05T21:59:57"/>
    <n v="51.895833338348893"/>
    <m/>
    <n v="0.5"/>
    <n v="1"/>
    <n v="0.5"/>
    <n v="12"/>
    <n v="0"/>
    <n v="12"/>
    <n v="12.800000000000002"/>
    <m/>
    <m/>
    <m/>
    <m/>
    <m/>
  </r>
  <r>
    <d v="2025-01-04T20:23:20"/>
    <x v="0"/>
    <m/>
    <s v="OM96U3ORR"/>
    <s v="DJ"/>
    <s v="Kabene John"/>
    <s v="UBA 523T"/>
    <s v="Ntale and Sons"/>
    <n v="153.60000000000002"/>
    <s v="A19851"/>
    <s v="OM"/>
    <n v="810"/>
    <n v="812"/>
    <n v="2"/>
    <m/>
    <d v="2025-01-06T10:33:00"/>
    <d v="2025-01-04T21:30:00"/>
    <d v="2025-01-06T11:13:00"/>
    <n v="2252.5231481486117"/>
    <n v="39.814814819449872"/>
    <m/>
    <d v="2025-01-07T10:10:00"/>
    <d v="2025-01-07T12:43:00"/>
    <n v="149.81249999589636"/>
    <m/>
    <d v="2025-01-08T14:54:00"/>
    <d v="2025-01-08T15:48:00"/>
    <n v="52.87499999794818"/>
    <m/>
    <n v="2.1534722222204437"/>
    <n v="3"/>
    <n v="0.84652777777955635"/>
    <n v="51.683333333290648"/>
    <n v="24"/>
    <n v="27.683333333290648"/>
    <n v="5.5484647802614155"/>
    <m/>
    <m/>
    <m/>
    <m/>
    <m/>
  </r>
  <r>
    <d v="2025-01-04T23:12:04"/>
    <x v="0"/>
    <m/>
    <s v="OM4RC6WRR"/>
    <s v="DJ"/>
    <s v="Mugisha  George"/>
    <s v="UAV 203T"/>
    <s v="Kato Investments Ltd-Bulenga"/>
    <n v="153.60000000000002"/>
    <s v="A19856"/>
    <s v="OM"/>
    <n v="560"/>
    <n v="559"/>
    <n v="-1"/>
    <m/>
    <d v="2025-01-05T15:55:00"/>
    <d v="2025-01-05T20:13:00"/>
    <d v="2025-01-05T16:38:00"/>
    <n v="-214.00462962847087"/>
    <n v="42.80092592986572"/>
    <m/>
    <d v="2025-01-06T11:58:00"/>
    <d v="2025-01-06T14:39:00"/>
    <n v="157.64583333424525"/>
    <m/>
    <d v="2025-01-08T12:02:00"/>
    <d v="2025-01-08T12:59:00"/>
    <n v="55.81249999726424"/>
    <m/>
    <n v="2.8083333333270275"/>
    <n v="3"/>
    <n v="0.1916666666729725"/>
    <n v="67.39999999984866"/>
    <n v="24"/>
    <n v="43.39999999984866"/>
    <n v="3.5391705069247843"/>
    <m/>
    <m/>
    <m/>
    <m/>
    <m/>
  </r>
  <r>
    <d v="2025-01-04T23:14:37"/>
    <x v="0"/>
    <m/>
    <s v="OM9SFUBRR"/>
    <s v="Manual"/>
    <s v="Kabene John"/>
    <s v="UBA 523T"/>
    <s v="Kabaco U Ltd-Mbarara"/>
    <n v="153.60000000000002"/>
    <s v="Z82060"/>
    <s v="OM"/>
    <n v="20"/>
    <n v="12"/>
    <n v="-8"/>
    <m/>
    <d v="2025-01-05T11:49:37"/>
    <d v="2025-01-05T11:14:37"/>
    <d v="2025-01-05T12:29:37"/>
    <n v="74.652777770825196"/>
    <n v="39.814814819449872"/>
    <m/>
    <d v="2025-01-05T13:00:37"/>
    <d v="2025-01-05T15:41:37"/>
    <n v="157.64583333424525"/>
    <m/>
    <d v="2025-01-05T17:28:37"/>
    <d v="2025-01-05T18:27:37"/>
    <n v="57.770833336981013"/>
    <m/>
    <n v="0.20763888888905058"/>
    <n v="2"/>
    <n v="1.7923611111109494"/>
    <n v="4.9833333333372138"/>
    <n v="0"/>
    <n v="4.9833333333372138"/>
    <n v="30.82274247489239"/>
    <m/>
    <m/>
    <m/>
    <m/>
    <m/>
  </r>
  <r>
    <d v="2025-01-04T23:29:34"/>
    <x v="0"/>
    <m/>
    <s v="OMC6AUJRR"/>
    <s v="Manual"/>
    <s v="Angello Lumala"/>
    <s v="UAV 051U"/>
    <s v="KATO INVESTMENTS LTD- KALISIZO"/>
    <n v="153.60000000000002"/>
    <s v="F15675"/>
    <s v="OM"/>
    <n v="350"/>
    <n v="351"/>
    <n v="1"/>
    <m/>
    <d v="2025-01-05T12:08:34"/>
    <d v="2025-01-05T11:29:34"/>
    <d v="2025-01-05T12:57:34"/>
    <n v="87.592592586103521"/>
    <n v="48.77314815069743"/>
    <s v="Driver delays"/>
    <d v="2025-01-05T19:57:34"/>
    <d v="2025-01-05T22:52:34"/>
    <n v="171.35416667122627"/>
    <m/>
    <d v="2025-01-06T19:09:05"/>
    <d v="2025-01-06T20:06:05"/>
    <n v="55.81249999726424"/>
    <m/>
    <n v="1.2580000000016298"/>
    <n v="2"/>
    <n v="0.74199999999837019"/>
    <n v="30.192000000039116"/>
    <n v="12"/>
    <n v="18.192000000039116"/>
    <n v="8.4432717677918738"/>
    <m/>
    <m/>
    <m/>
    <m/>
    <m/>
  </r>
  <r>
    <d v="2025-01-05T00:00:00"/>
    <x v="0"/>
    <m/>
    <s v="OM02L7NZ"/>
    <s v="Manual"/>
    <s v="MUKOSE MUZAMIRU"/>
    <s v="UBE 690K"/>
    <s v="Rugoma Traders-Rukungiri"/>
    <n v="156"/>
    <s v="Z82079"/>
    <s v="OM"/>
    <n v="256"/>
    <n v="255"/>
    <n v="-1"/>
    <m/>
    <d v="2025-01-05T08:19:00"/>
    <d v="2025-01-05T07:30:00"/>
    <d v="2025-01-05T09:02:00"/>
    <n v="91.574074070134273"/>
    <n v="42.80092592986572"/>
    <m/>
    <d v="2025-01-05T16:12:00"/>
    <d v="2025-01-05T18:45:00"/>
    <n v="149.81249999589636"/>
    <m/>
    <d v="2025-01-05T21:36:00"/>
    <d v="2025-01-05T22:32:00"/>
    <n v="54.833333337664953"/>
    <m/>
    <n v="0.52361111110803904"/>
    <n v="2"/>
    <n v="1.476388888891961"/>
    <n v="12.566666666592937"/>
    <n v="0"/>
    <n v="12.566666666592937"/>
    <n v="12.413793103521108"/>
    <m/>
    <m/>
    <m/>
    <m/>
    <m/>
  </r>
  <r>
    <d v="2025-01-05T00:00:00"/>
    <x v="0"/>
    <m/>
    <s v="OM02L7P3"/>
    <s v="Manual"/>
    <m/>
    <s v="UBE 687K"/>
    <s v="Kobusinge Steven-Kamwenge"/>
    <n v="156"/>
    <s v="Z82080"/>
    <s v="OM"/>
    <n v="230"/>
    <n v="234"/>
    <n v="4"/>
    <m/>
    <d v="2025-01-05T07:59:00"/>
    <d v="2025-01-05T07:30:00"/>
    <d v="2025-01-05T08:42:00"/>
    <n v="71.666666660409348"/>
    <n v="42.80092592986572"/>
    <m/>
    <d v="2025-01-06T09:12:00"/>
    <d v="2025-01-06T11:41:00"/>
    <n v="145.89583333698101"/>
    <m/>
    <d v="2025-01-06T16:49:00"/>
    <d v="2025-01-06T17:47:00"/>
    <n v="56.791666667122627"/>
    <m/>
    <n v="1.3381944444408873"/>
    <n v="2"/>
    <n v="0.66180555555911269"/>
    <n v="32.116666666581295"/>
    <n v="12"/>
    <n v="20.116666666581295"/>
    <n v="7.7547638774148488"/>
    <m/>
    <m/>
    <m/>
    <m/>
    <m/>
  </r>
  <r>
    <d v="2025-01-05T00:00:00"/>
    <x v="0"/>
    <m/>
    <s v="OM02L7NY"/>
    <s v="Manual"/>
    <m/>
    <s v="UBP 311H"/>
    <s v="Kobusinge Steven-FPortal"/>
    <n v="156"/>
    <s v="Z82078"/>
    <s v="OM"/>
    <n v="390"/>
    <n v="388"/>
    <n v="-2"/>
    <m/>
    <d v="2025-01-05T07:43:00"/>
    <d v="2025-01-05T07:30:00"/>
    <d v="2025-01-05T08:46:00"/>
    <n v="75.6481481444401"/>
    <n v="62.708333329161782"/>
    <s v="DJ failures "/>
    <d v="2025-01-06T10:16:00"/>
    <d v="2025-01-06T14:23:00"/>
    <n v="241.85416666507081"/>
    <s v="truck faulty"/>
    <d v="2025-01-07T08:55:22"/>
    <d v="2025-01-07T09:52:22"/>
    <n v="55.81249999726424"/>
    <m/>
    <n v="2.0065000000031432"/>
    <n v="2"/>
    <n v="-6.5000000031432137E-3"/>
    <n v="48.156000000075437"/>
    <n v="24"/>
    <n v="24.156000000075437"/>
    <n v="6.4580228514453069"/>
    <m/>
    <m/>
    <m/>
    <m/>
    <m/>
  </r>
  <r>
    <d v="2025-01-05T00:00:00"/>
    <x v="0"/>
    <m/>
    <s v="OM02L7PK"/>
    <s v="Manual"/>
    <s v="MUKOSE MUZAMIRU"/>
    <s v="UBE 690K"/>
    <s v="Kobusinge Acaali- Kyenjojo"/>
    <n v="156"/>
    <s v="Z82081"/>
    <m/>
    <n v="480"/>
    <n v="479"/>
    <n v="-1"/>
    <m/>
    <d v="2025-01-05T07:58:00"/>
    <d v="2025-01-05T07:30:00"/>
    <d v="2025-01-05T08:38:00"/>
    <n v="67.685185186807459"/>
    <n v="39.814814819449872"/>
    <m/>
    <d v="2025-01-06T10:38:00"/>
    <d v="2025-01-06T13:11:00"/>
    <n v="149.81249999589636"/>
    <m/>
    <d v="2025-01-07T16:24:44"/>
    <d v="2025-01-07T17:21:44"/>
    <n v="55.81249999726424"/>
    <m/>
    <n v="2.3241222222277429"/>
    <n v="2"/>
    <n v="-0.3241222222277429"/>
    <n v="55.778933333465829"/>
    <n v="24"/>
    <n v="31.778933333465829"/>
    <n v="4.9089124031648721"/>
    <m/>
    <m/>
    <m/>
    <m/>
    <m/>
  </r>
  <r>
    <d v="2025-01-05T00:00:00"/>
    <x v="0"/>
    <m/>
    <s v="OM02L7LG"/>
    <s v="Manual"/>
    <m/>
    <s v="UBP 311H"/>
    <s v="Kabaco U Ltd"/>
    <n v="156"/>
    <s v="Z82067"/>
    <m/>
    <n v="320"/>
    <n v="323"/>
    <n v="3"/>
    <m/>
    <d v="2025-01-05T12:28:00"/>
    <d v="2025-01-05T12:00:00"/>
    <d v="2025-01-05T13:12:00"/>
    <n v="71.666666660409348"/>
    <n v="43.796296293051761"/>
    <m/>
    <d v="2025-01-05T19:12:00"/>
    <d v="2025-01-05T21:41:00"/>
    <n v="145.89583333698101"/>
    <m/>
    <d v="2025-01-07T07:19:12"/>
    <d v="2025-01-07T08:16:12"/>
    <n v="55.81249999726424"/>
    <m/>
    <n v="1.7549999999973807"/>
    <n v="2"/>
    <n v="0.24500000000261934"/>
    <n v="42.119999999937136"/>
    <n v="12"/>
    <n v="30.119999999937136"/>
    <n v="5.1792828685367063"/>
    <m/>
    <m/>
    <m/>
    <m/>
    <m/>
  </r>
  <r>
    <d v="2025-01-05T00:00:00"/>
    <x v="0"/>
    <m/>
    <s v="OM02L7NX"/>
    <s v="Manual"/>
    <s v="Ekwalikwa Yusuf"/>
    <s v="UBP 311H"/>
    <s v="Kobusinge Steven-FPortal"/>
    <n v="156"/>
    <s v="Z82077"/>
    <m/>
    <n v="390"/>
    <n v="392"/>
    <n v="2"/>
    <m/>
    <d v="2025-01-05T07:39:00"/>
    <d v="2025-01-05T07:30:00"/>
    <d v="2025-01-05T08:38:00"/>
    <n v="67.685185186807459"/>
    <n v="58.726851855559893"/>
    <s v="Jam at the weigh bridge"/>
    <d v="2025-01-06T10:08:00"/>
    <d v="2025-01-06T12:41:00"/>
    <n v="149.81249999589636"/>
    <m/>
    <d v="2025-01-07T13:15:12"/>
    <d v="2025-01-07T14:14:12"/>
    <n v="57.770833336981013"/>
    <m/>
    <n v="2.1924999999973807"/>
    <n v="2"/>
    <n v="-0.19249999999738066"/>
    <n v="52.619999999937136"/>
    <n v="24"/>
    <n v="28.619999999937136"/>
    <n v="5.4507337526325177"/>
    <m/>
    <m/>
    <m/>
    <m/>
    <m/>
  </r>
  <r>
    <d v="2025-01-05T00:00:00"/>
    <x v="0"/>
    <m/>
    <s v="OM02L7LH"/>
    <s v="Manual"/>
    <s v="Ekwalikwa Yusuf"/>
    <s v="UBP 311H"/>
    <s v="Kobusinge Steven-FPortal"/>
    <n v="156"/>
    <s v="Z82068"/>
    <m/>
    <n v="390"/>
    <n v="392"/>
    <n v="2"/>
    <m/>
    <d v="2025-01-05T08:14:00"/>
    <d v="2025-01-05T07:30:00"/>
    <d v="2025-01-05T08:53:00"/>
    <n v="82.615740738886714"/>
    <n v="38.819444445834961"/>
    <m/>
    <d v="2025-01-06T10:23:00"/>
    <d v="2025-01-06T13:18:00"/>
    <n v="171.35416667122627"/>
    <m/>
    <d v="2025-01-07T11:06:12"/>
    <d v="2025-01-07T12:03:12"/>
    <n v="55.81249999726424"/>
    <m/>
    <n v="2.0924999999988358"/>
    <n v="2"/>
    <n v="-9.2499999998835847E-2"/>
    <n v="50.21999999997206"/>
    <n v="24"/>
    <n v="26.21999999997206"/>
    <n v="5.9496567505784226"/>
    <m/>
    <m/>
    <m/>
    <m/>
    <m/>
  </r>
  <r>
    <d v="2025-01-05T00:00:00"/>
    <x v="0"/>
    <m/>
    <s v="OM02L7NV"/>
    <s v="Manual"/>
    <m/>
    <s v="UBP 311H"/>
    <s v="Kato Investments Ltd- Kakumiro"/>
    <n v="156"/>
    <s v="A19875"/>
    <m/>
    <n v="765"/>
    <n v="764"/>
    <n v="-1"/>
    <m/>
    <d v="2025-01-05T07:58:00"/>
    <d v="2025-01-05T07:30:00"/>
    <d v="2025-01-05T08:38:00"/>
    <n v="67.685185186807459"/>
    <n v="39.814814819449872"/>
    <m/>
    <d v="2025-01-05T17:38:00"/>
    <d v="2025-01-05T20:07:00"/>
    <n v="145.89583333698101"/>
    <m/>
    <d v="2025-01-07T06:41:22"/>
    <d v="2025-01-07T07:38:22"/>
    <n v="55.81249999726424"/>
    <m/>
    <n v="1.919000000001688"/>
    <n v="3"/>
    <n v="1.080999999998312"/>
    <n v="46.056000000040513"/>
    <n v="12"/>
    <n v="34.056000000040513"/>
    <n v="4.5806906271968062"/>
    <m/>
    <m/>
    <m/>
    <m/>
    <m/>
  </r>
  <r>
    <d v="2025-01-05T00:00:00"/>
    <x v="0"/>
    <m/>
    <s v="OM02L7P1"/>
    <s v="Manual"/>
    <s v="MUKOSE MUZAMIRU"/>
    <s v="UBE 690K"/>
    <s v="KATO INVESTMENTS LTD-KATIKARA"/>
    <n v="156"/>
    <s v="A19877"/>
    <m/>
    <n v="790"/>
    <n v="788"/>
    <n v="-2"/>
    <m/>
    <d v="2025-01-05T08:08:00"/>
    <d v="2025-01-05T07:30:00"/>
    <d v="2025-01-05T08:47:00"/>
    <n v="76.643518518055018"/>
    <n v="38.819444445834961"/>
    <m/>
    <d v="2025-01-06T10:32:00"/>
    <d v="2025-01-06T16:39:00"/>
    <n v="359.35416666849051"/>
    <s v="slept at the RD and offloaded the next day"/>
    <d v="2025-01-07T18:41:00"/>
    <d v="2025-01-07T19:39:00"/>
    <n v="56.791666667122627"/>
    <m/>
    <n v="2.4124999999912689"/>
    <n v="3"/>
    <n v="0.58750000000873115"/>
    <n v="57.899999999790452"/>
    <n v="24"/>
    <n v="33.899999999790452"/>
    <n v="4.6017699115328696"/>
    <m/>
    <m/>
    <m/>
    <m/>
    <m/>
  </r>
  <r>
    <d v="2025-01-05T00:00:00"/>
    <x v="0"/>
    <m/>
    <s v="OM02L7LJ"/>
    <s v="Manual"/>
    <m/>
    <s v="UBP 311H"/>
    <s v="KATO INVESTMENTS LTD-KATIKARA"/>
    <n v="156"/>
    <s v="A19867"/>
    <m/>
    <n v="790"/>
    <n v="788"/>
    <n v="-2"/>
    <m/>
    <d v="2025-01-05T07:58:00"/>
    <d v="2025-01-05T07:30:00"/>
    <d v="2025-01-05T08:38:00"/>
    <n v="67.685185186807459"/>
    <n v="39.814814819449872"/>
    <m/>
    <d v="2025-01-06T09:53:00"/>
    <d v="2025-01-06T12:48:00"/>
    <n v="171.35416667122627"/>
    <m/>
    <d v="2025-01-07T19:40:00"/>
    <d v="2025-01-07T20:37:00"/>
    <n v="55.81249999726424"/>
    <m/>
    <n v="2.4597222222218988"/>
    <n v="3"/>
    <n v="0.54027777777810115"/>
    <n v="59.033333333325572"/>
    <n v="24"/>
    <n v="35.033333333325572"/>
    <n v="4.4529019980980369"/>
    <m/>
    <m/>
    <m/>
    <m/>
    <m/>
  </r>
  <r>
    <d v="2025-01-05T13:12:27"/>
    <x v="0"/>
    <m/>
    <s v="OMWSZKWRR"/>
    <s v="DJ"/>
    <s v="Benon Ssempijja"/>
    <s v="UAY 526V"/>
    <s v="Rugoma Traders-Kanungu/Kihihi"/>
    <n v="153.60000000000002"/>
    <s v="F15677"/>
    <s v="OM"/>
    <n v="414"/>
    <n v="413"/>
    <n v="-1"/>
    <m/>
    <d v="2025-01-05T16:58:00"/>
    <d v="2025-01-06T01:59:00"/>
    <d v="2025-01-05T18:14:00"/>
    <n v="-462.84722221874591"/>
    <n v="75.6481481444401"/>
    <s v="DJ failures "/>
    <d v="2025-01-06T12:20:00"/>
    <d v="2025-01-06T14:49:00"/>
    <n v="145.89583333698101"/>
    <m/>
    <d v="2025-01-07T12:36:00"/>
    <d v="2025-01-07T13:53:00"/>
    <n v="75.395833332877373"/>
    <s v="fuel delays"/>
    <n v="1.765277777776646"/>
    <n v="2"/>
    <n v="0.23472222222335404"/>
    <n v="42.366666666639503"/>
    <n v="12"/>
    <n v="30.366666666639503"/>
    <n v="5.0581778265687403"/>
    <m/>
    <m/>
    <m/>
    <m/>
    <m/>
  </r>
  <r>
    <d v="2025-01-05T13:13:52"/>
    <x v="0"/>
    <m/>
    <s v="OMIUJ2ERR"/>
    <s v="Manual"/>
    <s v="Godwin Niwensiima"/>
    <s v="UAR 731Q"/>
    <s v="Kabaco U Ltd-Mbarara"/>
    <n v="153.60000000000002"/>
    <s v="Z82066"/>
    <m/>
    <n v="20"/>
    <n v="12"/>
    <n v="-8"/>
    <m/>
    <d v="2025-01-06T13:41:52"/>
    <d v="2025-01-06T01:13:52"/>
    <d v="2025-01-06T14:21:52"/>
    <n v="784.35185185347416"/>
    <n v="39.814814819449872"/>
    <m/>
    <d v="2025-01-06T14:57:52"/>
    <d v="2025-01-06T18:14:52"/>
    <n v="192.89583333629707"/>
    <s v="Waited for empties from trade"/>
    <d v="2025-01-06T19:06:52"/>
    <d v="2025-01-06T20:02:52"/>
    <n v="54.833333337664953"/>
    <m/>
    <n v="0.19791666666424135"/>
    <n v="2"/>
    <n v="1.8020833333357587"/>
    <n v="4.7499999999417923"/>
    <n v="0"/>
    <n v="4.7499999999417923"/>
    <n v="32.336842105659429"/>
    <m/>
    <m/>
    <m/>
    <m/>
    <m/>
  </r>
  <r>
    <d v="2025-01-05T14:34:19"/>
    <x v="0"/>
    <m/>
    <s v="OMNWADWRR"/>
    <s v="Manual"/>
    <m/>
    <s v="UBJ 419C"/>
    <s v="Ntale and Sons Ltd-Kakiri"/>
    <n v="156"/>
    <s v="A19868"/>
    <s v="OM"/>
    <n v="620"/>
    <n v="602"/>
    <n v="-18"/>
    <m/>
    <d v="2025-01-06T02:52:19"/>
    <d v="2025-01-06T02:34:19"/>
    <d v="2025-01-06T03:49:19"/>
    <n v="74.652777770825196"/>
    <n v="56.736111108330078"/>
    <s v="DJ failures "/>
    <d v="2025-01-06T16:19:19"/>
    <d v="2025-01-06T18:48:19"/>
    <n v="145.89583333698101"/>
    <m/>
    <d v="2025-01-08T09:21:43"/>
    <d v="2025-01-08T10:18:43"/>
    <n v="55.81249999726424"/>
    <m/>
    <n v="2.2308333333348855"/>
    <n v="3"/>
    <n v="0.76916666666511446"/>
    <n v="53.540000000037253"/>
    <n v="24"/>
    <n v="29.540000000037253"/>
    <n v="5.2809749492147349"/>
    <m/>
    <m/>
    <m/>
    <m/>
    <m/>
  </r>
  <r>
    <d v="2025-01-05T14:37:21"/>
    <x v="0"/>
    <m/>
    <s v="OMZFBPWRR"/>
    <s v="DJ"/>
    <s v="James  Kironde"/>
    <s v="UBK 881R"/>
    <s v="KATO INVESTMENTS LIMITED-MASAK"/>
    <n v="153.60000000000002"/>
    <s v="F15679"/>
    <m/>
    <n v="340"/>
    <n v="339"/>
    <n v="-1"/>
    <m/>
    <d v="2025-01-07T06:32:00"/>
    <d v="2025-01-06T04:14:00"/>
    <d v="2025-01-07T07:21:00"/>
    <n v="1619.4675925944466"/>
    <n v="48.77314815069743"/>
    <s v="Jam at the weigh bridge"/>
    <d v="2025-01-07T12:21:00"/>
    <d v="2025-01-07T15:16:00"/>
    <n v="171.35416667122627"/>
    <m/>
    <d v="2025-01-08T12:27:00"/>
    <d v="2025-01-08T13:16:00"/>
    <n v="47.979166669174447"/>
    <m/>
    <n v="1.2125000000014552"/>
    <n v="2"/>
    <n v="0.78749999999854481"/>
    <n v="29.100000000034925"/>
    <n v="12"/>
    <n v="17.100000000034925"/>
    <n v="8.9824561403325323"/>
    <m/>
    <m/>
    <m/>
    <m/>
    <m/>
  </r>
  <r>
    <d v="2025-01-05T14:38:19"/>
    <x v="0"/>
    <m/>
    <s v="OMXTBKSRR"/>
    <s v="DJ"/>
    <s v="Isaac Tumuhimbise"/>
    <s v="UBE 287X"/>
    <s v="KATO INVESTMENTS LIMITED-MASAK"/>
    <n v="153.60000000000002"/>
    <s v="F15680"/>
    <m/>
    <n v="340"/>
    <n v="339"/>
    <n v="-1"/>
    <m/>
    <d v="2025-01-05T18:47:00"/>
    <d v="2025-01-06T04:14:00"/>
    <d v="2025-01-05T19:28:00"/>
    <n v="-523.56481481110677"/>
    <n v="40.810185182635905"/>
    <m/>
    <d v="2025-01-06T10:23:00"/>
    <d v="2025-01-06T13:14:00"/>
    <n v="167.43750000205182"/>
    <m/>
    <d v="2025-01-07T13:49:00"/>
    <d v="2025-01-07T14:45:00"/>
    <n v="54.833333337664953"/>
    <m/>
    <n v="1.7645833333299379"/>
    <n v="2"/>
    <n v="0.23541666667006211"/>
    <n v="42.349999999918509"/>
    <n v="12"/>
    <n v="30.349999999918509"/>
    <n v="5.0609555189592239"/>
    <m/>
    <m/>
    <m/>
    <m/>
    <m/>
  </r>
  <r>
    <d v="2025-01-05T15:54:21"/>
    <x v="0"/>
    <m/>
    <s v="OMK5QNURR"/>
    <s v="Manual"/>
    <s v="Godwin Niwensiima"/>
    <s v="UAR 731Q"/>
    <s v="Kabaco U Ltd-Mbarara"/>
    <n v="153.60000000000002"/>
    <s v="Z82069"/>
    <m/>
    <n v="20"/>
    <n v="12"/>
    <n v="-8"/>
    <m/>
    <d v="2025-01-06T10:42:21"/>
    <d v="2025-01-06T03:54:21"/>
    <d v="2025-01-06T11:22:21"/>
    <n v="445.92592592986574"/>
    <n v="39.814814819449872"/>
    <m/>
    <d v="2025-01-06T11:47:21"/>
    <d v="2025-01-06T17:54:21"/>
    <n v="359.35416666849051"/>
    <s v="found another truck at the RD"/>
    <d v="2025-01-06T15:36:21"/>
    <d v="2025-01-06T16:34:21"/>
    <n v="56.791666667122627"/>
    <m/>
    <n v="0.17638888888905058"/>
    <n v="2"/>
    <n v="1.8236111111109494"/>
    <n v="4.2333333333372138"/>
    <n v="0"/>
    <n v="4.2333333333372138"/>
    <n v="36.28346456689588"/>
    <m/>
    <m/>
    <m/>
    <m/>
    <m/>
  </r>
  <r>
    <d v="2025-01-05T16:48:09"/>
    <x v="0"/>
    <m/>
    <s v="OMQO9OURR"/>
    <s v="DJ"/>
    <s v="Jacob Oneka"/>
    <s v="UBE 422T"/>
    <s v="Kabaco U Ltd"/>
    <n v="153.60000000000002"/>
    <s v="Z82071"/>
    <m/>
    <n v="320"/>
    <n v="320"/>
    <n v="0"/>
    <m/>
    <d v="2025-01-05T19:06:00"/>
    <d v="2025-01-06T02:22:00"/>
    <d v="2025-01-05T19:46:00"/>
    <n v="-394.16666666875244"/>
    <n v="39.814814819449872"/>
    <m/>
    <d v="2025-01-05T23:58:00"/>
    <d v="2025-01-06T02:45:00"/>
    <n v="163.52083333287737"/>
    <m/>
    <d v="2025-01-06T12:04:00"/>
    <d v="2025-01-06T13:01:00"/>
    <n v="55.81249999726424"/>
    <m/>
    <n v="0.67916666666860692"/>
    <n v="2"/>
    <n v="1.3208333333313931"/>
    <n v="16.300000000046566"/>
    <n v="0"/>
    <n v="16.300000000046566"/>
    <n v="9.4233128834086628"/>
    <m/>
    <m/>
    <m/>
    <m/>
    <m/>
  </r>
  <r>
    <d v="2025-01-05T16:49:09"/>
    <x v="0"/>
    <m/>
    <s v="OM42HHBRR"/>
    <s v="Manual"/>
    <s v="SENTONG DAVID"/>
    <s v="UBP 298H"/>
    <s v="Kabaco U Ltd"/>
    <n v="156"/>
    <s v="Z82072"/>
    <m/>
    <n v="320"/>
    <n v="321"/>
    <n v="1"/>
    <m/>
    <d v="2025-01-05T16:36:00"/>
    <d v="2025-01-06T02:22:00"/>
    <d v="2025-01-05T17:35:00"/>
    <n v="-524.56018518472172"/>
    <n v="58.726851855559893"/>
    <s v="Reconciling stock count delays "/>
    <d v="2025-01-06T08:01:00"/>
    <d v="2025-01-06T10:52:00"/>
    <n v="167.43750000205182"/>
    <m/>
    <d v="2025-01-07T14:56:00"/>
    <d v="2025-01-07T15:52:00"/>
    <n v="54.833333337664953"/>
    <m/>
    <n v="1.8895833333299379"/>
    <n v="2"/>
    <n v="0.11041666667006211"/>
    <n v="45.349999999918509"/>
    <n v="12"/>
    <n v="33.349999999918509"/>
    <n v="4.6776611694267221"/>
    <m/>
    <m/>
    <m/>
    <m/>
    <m/>
  </r>
  <r>
    <d v="2025-01-05T16:49:53"/>
    <x v="0"/>
    <m/>
    <s v="OMNK83VRR"/>
    <s v="DJ"/>
    <s v="ALIPA EREKU"/>
    <s v="UBK 858R"/>
    <s v="Bates Enterprises U Ltd"/>
    <n v="156"/>
    <s v="Z82073"/>
    <m/>
    <n v="606"/>
    <n v="576"/>
    <n v="-30"/>
    <m/>
    <d v="2025-01-05T17:56:00"/>
    <d v="2025-01-05T17:30:00"/>
    <d v="2025-01-05T18:39:00"/>
    <n v="68.680555560422363"/>
    <n v="42.80092592986572"/>
    <m/>
    <d v="2025-01-07T07:57:00"/>
    <d v="2025-01-07T10:44:00"/>
    <n v="163.52083333287737"/>
    <m/>
    <d v="2025-01-08T10:08:00"/>
    <d v="2025-01-08T11:05:00"/>
    <n v="55.81249999726424"/>
    <m/>
    <n v="2.6451388888890506"/>
    <n v="3"/>
    <n v="0.35486111111094942"/>
    <n v="63.483333333337214"/>
    <n v="24"/>
    <n v="39.483333333337214"/>
    <n v="3.9510341916416549"/>
    <m/>
    <m/>
    <m/>
    <m/>
    <m/>
  </r>
  <r>
    <d v="2025-01-05T23:16:45"/>
    <x v="0"/>
    <m/>
    <s v="OM49I5JRR"/>
    <s v="Manual"/>
    <s v="ZIWA ABASI"/>
    <s v="UBJ 420C"/>
    <s v="Boniface Harera"/>
    <n v="156"/>
    <s v="F15681"/>
    <m/>
    <n v="470"/>
    <n v="465"/>
    <n v="-5"/>
    <m/>
    <d v="2025-01-06T11:44:45"/>
    <d v="2025-01-06T11:16:45"/>
    <d v="2025-01-06T12:24:45"/>
    <n v="67.685185186807459"/>
    <n v="39.814814819449872"/>
    <m/>
    <d v="2025-01-07T12:24:45"/>
    <d v="2025-01-07T15:11:45"/>
    <n v="163.52083333287737"/>
    <m/>
    <d v="2025-01-08T16:07:45"/>
    <d v="2025-01-08T16:56:45"/>
    <n v="47.979166669174447"/>
    <m/>
    <n v="2.1548611111065838"/>
    <n v="2"/>
    <n v="-0.15486111110658385"/>
    <n v="51.716666666558012"/>
    <n v="24"/>
    <n v="27.716666666558012"/>
    <n v="5.6283824413930805"/>
    <m/>
    <m/>
    <m/>
    <m/>
    <m/>
  </r>
  <r>
    <d v="2025-01-05T23:17:56"/>
    <x v="0"/>
    <m/>
    <s v="OMYOY87RR"/>
    <s v="DJ"/>
    <s v="SULAIMAN MUBIRU"/>
    <s v="UBK 862R"/>
    <s v="Kato Investment Ltd -Kagadi"/>
    <n v="156"/>
    <s v="A19879"/>
    <m/>
    <n v="670"/>
    <n v="622"/>
    <n v="-48"/>
    <m/>
    <d v="2025-01-05T22:50:00"/>
    <d v="2025-01-06T17:46:00"/>
    <d v="2025-01-05T23:31:00"/>
    <n v="-1089.9305555520793"/>
    <n v="40.810185182635905"/>
    <m/>
    <d v="2025-01-06T20:05:00"/>
    <d v="2025-01-06T23:32:00"/>
    <n v="202.68750000410364"/>
    <s v="space consquents"/>
    <d v="2025-01-07T22:06:00"/>
    <d v="2025-01-07T23:03:00"/>
    <n v="55.81249999726424"/>
    <m/>
    <n v="1.9409722222189885"/>
    <n v="2"/>
    <n v="5.9027777781011537E-2"/>
    <n v="46.583333333255723"/>
    <n v="12"/>
    <n v="34.583333333255723"/>
    <n v="4.5108433735040991"/>
    <m/>
    <m/>
    <m/>
    <m/>
    <m/>
  </r>
  <r>
    <d v="2025-01-05T23:19:22"/>
    <x v="0"/>
    <m/>
    <s v="OMU06VORR"/>
    <s v="DJ"/>
    <s v="BYEKWASO TWAHA"/>
    <s v="UBE 680K"/>
    <s v="Kato Investment Ltd -Mityana"/>
    <n v="156"/>
    <s v="A19880"/>
    <s v="OM"/>
    <n v="690"/>
    <n v="692"/>
    <n v="2"/>
    <m/>
    <d v="2025-01-06T12:15:00"/>
    <d v="2025-01-06T19:35:00"/>
    <d v="2025-01-06T13:31:00"/>
    <n v="-362.3148148069352"/>
    <n v="75.6481481444401"/>
    <s v="Pre-Trip inspection defect closure"/>
    <d v="2025-01-07T16:11:00"/>
    <d v="2025-01-07T18:52:00"/>
    <n v="157.64583333424525"/>
    <m/>
    <d v="2025-01-08T09:45:00"/>
    <d v="2025-01-08T10:43:00"/>
    <n v="56.791666667122627"/>
    <m/>
    <n v="1.8430555555532919"/>
    <n v="2"/>
    <n v="0.15694444444670808"/>
    <n v="44.233333333279006"/>
    <n v="12"/>
    <n v="32.233333333279006"/>
    <n v="4.8397104446824075"/>
    <m/>
    <m/>
    <m/>
    <m/>
    <m/>
  </r>
  <r>
    <d v="2025-01-06T00:00:00"/>
    <x v="0"/>
    <m/>
    <s v="OM02L7T0"/>
    <s v="Manual"/>
    <s v="Kakembo Masuud"/>
    <s v="UBB 115P"/>
    <s v="Boniface Harera"/>
    <n v="156"/>
    <s v="F15684"/>
    <m/>
    <n v="470"/>
    <n v="469"/>
    <n v="-1"/>
    <m/>
    <d v="2025-01-06T07:58:00"/>
    <d v="2025-01-06T07:30:00"/>
    <d v="2025-01-06T08:38:00"/>
    <n v="67.685185186807459"/>
    <n v="39.814814819449872"/>
    <m/>
    <d v="2025-01-07T10:38:00"/>
    <d v="2025-01-07T13:16:00"/>
    <n v="154.70833333492919"/>
    <m/>
    <d v="2025-01-08T14:41:00"/>
    <d v="2025-01-08T15:39:00"/>
    <n v="56.791666667122627"/>
    <m/>
    <n v="2.2520833333328483"/>
    <n v="2"/>
    <n v="-0.25208333333284827"/>
    <n v="54.049999999988358"/>
    <n v="24"/>
    <n v="30.049999999988358"/>
    <n v="5.191347753745772"/>
    <m/>
    <m/>
    <m/>
    <m/>
    <m/>
  </r>
  <r>
    <d v="2025-01-06T00:00:00"/>
    <x v="0"/>
    <m/>
    <s v="OM02L7T9"/>
    <s v="Manual"/>
    <s v="Kakembo Masuud"/>
    <s v="UBB 115P"/>
    <s v="Kobusinge Steven-FPortal"/>
    <n v="156"/>
    <s v="Z82085"/>
    <m/>
    <n v="390"/>
    <n v="388"/>
    <n v="-2"/>
    <m/>
    <d v="2025-01-06T08:22:00"/>
    <d v="2025-01-06T07:30:00"/>
    <d v="2025-01-06T09:02:00"/>
    <n v="91.574074070134273"/>
    <n v="39.814814819449872"/>
    <m/>
    <d v="2025-01-07T10:32:00"/>
    <d v="2025-01-07T13:27:00"/>
    <n v="171.35416667122627"/>
    <m/>
    <d v="2025-01-08T11:15:12"/>
    <d v="2025-01-08T12:14:12"/>
    <n v="57.770833336981013"/>
    <m/>
    <n v="2.0924999999988358"/>
    <n v="2"/>
    <n v="-9.2499999998835847E-2"/>
    <n v="50.21999999997206"/>
    <n v="24"/>
    <n v="26.21999999997206"/>
    <n v="5.9496567505784226"/>
    <m/>
    <m/>
    <m/>
    <m/>
    <m/>
  </r>
  <r>
    <d v="2025-01-06T13:20:00"/>
    <x v="0"/>
    <m/>
    <s v="OMTGDUXRR"/>
    <s v="DJ"/>
    <s v="Tumusiime Robert"/>
    <s v="UBJ 988D"/>
    <s v="Rugoma Traders-Kanungu/Kihihi"/>
    <n v="153.60000000000002"/>
    <s v="F15682"/>
    <m/>
    <n v="414"/>
    <n v="413"/>
    <n v="-1"/>
    <m/>
    <d v="2025-01-06T14:53:00"/>
    <d v="2025-01-07T01:59:00"/>
    <d v="2025-01-06T15:33:00"/>
    <n v="-623.10185184930253"/>
    <n v="39.814814819449872"/>
    <m/>
    <d v="2025-01-07T12:17:00"/>
    <d v="2025-01-07T15:08:00"/>
    <n v="167.43750000205182"/>
    <m/>
    <d v="2025-01-08T12:56:00"/>
    <d v="2025-01-08T14:22:00"/>
    <n v="84.208333330825553"/>
    <s v="loading delays"/>
    <n v="1.890972222223354"/>
    <n v="2"/>
    <n v="0.10902777777664596"/>
    <n v="45.383333333360497"/>
    <n v="12"/>
    <n v="33.383333333360497"/>
    <n v="4.6010983524675497"/>
    <m/>
    <m/>
    <m/>
    <m/>
    <m/>
  </r>
  <r>
    <d v="2025-01-06T13:21:23"/>
    <x v="0"/>
    <m/>
    <s v="OM4O141RR"/>
    <s v="DJ"/>
    <s v="Kilabila Ismail"/>
    <s v="UBE 419T"/>
    <s v="Agaba Services"/>
    <n v="153.60000000000002"/>
    <s v="F15683"/>
    <m/>
    <n v="302"/>
    <n v="295"/>
    <n v="-7"/>
    <m/>
    <d v="2025-01-06T18:49:00"/>
    <d v="2025-01-07T04:15:00"/>
    <d v="2025-01-06T19:28:00"/>
    <n v="-524.56018518472172"/>
    <n v="38.819444445834961"/>
    <m/>
    <d v="2025-01-07T11:44:00"/>
    <d v="2025-01-07T14:31:00"/>
    <n v="163.52083333287737"/>
    <m/>
    <d v="2025-01-07T18:01:00"/>
    <d v="2025-01-07T18:57:00"/>
    <n v="54.833333337664953"/>
    <m/>
    <n v="0.93958333333284827"/>
    <n v="2"/>
    <n v="1.0604166666671517"/>
    <n v="22.549999999988358"/>
    <n v="0"/>
    <n v="22.549999999988358"/>
    <n v="6.8115299334846702"/>
    <m/>
    <m/>
    <m/>
    <m/>
    <m/>
  </r>
  <r>
    <d v="2025-01-06T14:10:46"/>
    <x v="0"/>
    <m/>
    <s v="OM76ZVYRR"/>
    <s v="Manual"/>
    <s v="Angello Lumala"/>
    <s v="UAV 051U"/>
    <s v="KATO INVESTMENTS LIMITED-MASAK"/>
    <n v="153.60000000000002"/>
    <s v="F15685"/>
    <m/>
    <n v="340"/>
    <n v="328"/>
    <n v="-12"/>
    <m/>
    <d v="2025-01-07T02:41:46"/>
    <d v="2025-01-07T02:10:46"/>
    <d v="2025-01-07T03:22:46"/>
    <n v="71.666666660409348"/>
    <n v="40.810185182635905"/>
    <m/>
    <d v="2025-01-07T06:35:46"/>
    <d v="2025-01-07T09:16:46"/>
    <n v="157.64583333424525"/>
    <m/>
    <d v="2025-01-08T01:51:46"/>
    <d v="2025-01-08T02:50:46"/>
    <n v="57.770833336981013"/>
    <m/>
    <n v="0.93680555555329192"/>
    <n v="2"/>
    <n v="1.0631944444467081"/>
    <n v="22.483333333279006"/>
    <n v="0"/>
    <n v="22.483333333279006"/>
    <n v="6.8317272053537952"/>
    <m/>
    <m/>
    <m/>
    <m/>
    <m/>
  </r>
  <r>
    <d v="2025-01-06T18:12:48"/>
    <x v="0"/>
    <m/>
    <s v="OMYKJ8LRR"/>
    <s v="DJ"/>
    <s v="Jacob Oneka"/>
    <s v="UBE 422T"/>
    <s v="KATO INVESTMENTS LTD-KATIKARA"/>
    <n v="153.60000000000002"/>
    <s v="A19895"/>
    <m/>
    <n v="790"/>
    <n v="792"/>
    <n v="2"/>
    <m/>
    <d v="2025-01-06T17:23:00"/>
    <d v="2025-01-06T20:00:00"/>
    <d v="2025-01-06T18:26:00"/>
    <n v="-93.564814817364095"/>
    <n v="62.708333329161782"/>
    <s v="Jam at the weigh bridge"/>
    <d v="2025-01-07T18:26:00"/>
    <d v="2025-01-07T21:07:00"/>
    <n v="157.64583333424525"/>
    <m/>
    <d v="2025-01-09T09:51:00"/>
    <d v="2025-01-09T10:48:00"/>
    <n v="55.81249999726424"/>
    <m/>
    <n v="2.6423611111094942"/>
    <n v="3"/>
    <n v="0.35763888889050577"/>
    <n v="63.416666666627862"/>
    <n v="24"/>
    <n v="39.416666666627862"/>
    <n v="3.896828752646543"/>
    <m/>
    <m/>
    <m/>
    <m/>
    <m/>
  </r>
  <r>
    <d v="2025-01-06T18:14:21"/>
    <x v="0"/>
    <m/>
    <s v="OMSZNXIRR"/>
    <s v="DJ"/>
    <s v="Stephen Musoke "/>
    <s v="UBJ 375N"/>
    <s v="KATO INVESTMENTS LTD- KALISIZO"/>
    <n v="153.60000000000002"/>
    <s v="F15686"/>
    <m/>
    <n v="350"/>
    <n v="343"/>
    <n v="-7"/>
    <m/>
    <d v="2025-01-07T17:42:00"/>
    <d v="2025-01-07T03:43:00"/>
    <d v="2025-01-07T18:22:00"/>
    <n v="874.93055554999353"/>
    <n v="39.814814819449872"/>
    <m/>
    <d v="2025-01-08T11:13:00"/>
    <d v="2025-01-08T17:13:00"/>
    <n v="352.5"/>
    <s v="slept at the RD and offloaded the next day"/>
    <d v="2025-01-09T10:20:00"/>
    <d v="2025-01-09T11:16:00"/>
    <n v="54.833333337664953"/>
    <m/>
    <n v="1.6652777777781012"/>
    <n v="2"/>
    <n v="0.33472222222189885"/>
    <n v="39.966666666674428"/>
    <n v="12"/>
    <n v="27.966666666674428"/>
    <n v="5.4922526817624817"/>
    <m/>
    <m/>
    <m/>
    <m/>
    <m/>
  </r>
  <r>
    <d v="2025-01-06T18:15:08"/>
    <x v="0"/>
    <m/>
    <s v="OMRF7ELRR"/>
    <s v="Manual"/>
    <s v="Godwin Niwensiima"/>
    <s v="UAR 731Q"/>
    <s v="KATO INVESTMENTS LIMITED-MASAK"/>
    <n v="153.60000000000002"/>
    <s v="F15687"/>
    <m/>
    <n v="340"/>
    <n v="328"/>
    <n v="-12"/>
    <m/>
    <d v="2025-01-07T07:58:08"/>
    <d v="2025-01-07T07:30:08"/>
    <d v="2025-01-07T08:38:08"/>
    <n v="67.685185186807459"/>
    <n v="39.814814819449872"/>
    <m/>
    <d v="2025-01-07T11:51:08"/>
    <d v="2025-01-07T14:38:08"/>
    <n v="163.52083333287737"/>
    <m/>
    <d v="2025-01-08T07:23:08"/>
    <d v="2025-01-08T08:16:08"/>
    <n v="51.895833338348893"/>
    <m/>
    <n v="0.94791666666424135"/>
    <n v="2"/>
    <n v="1.0520833333357587"/>
    <n v="22.749999999941792"/>
    <n v="0"/>
    <n v="22.749999999941792"/>
    <n v="6.7516483516656276"/>
    <m/>
    <m/>
    <m/>
    <m/>
    <m/>
  </r>
  <r>
    <d v="2025-01-06T18:17:21"/>
    <x v="0"/>
    <m/>
    <s v="OMLA1GERR"/>
    <s v="Manual"/>
    <s v="Hamudi Sesanga"/>
    <s v="UAT 351G"/>
    <s v="KATO INVESTMENTS LIMITED-MASAK"/>
    <n v="153.60000000000002"/>
    <s v="F15688"/>
    <m/>
    <n v="340"/>
    <n v="339"/>
    <n v="-1"/>
    <m/>
    <d v="2025-01-07T07:54:21"/>
    <d v="2025-01-07T07:30:21"/>
    <d v="2025-01-07T08:38:21"/>
    <n v="67.685185186807459"/>
    <n v="43.796296293051761"/>
    <m/>
    <d v="2025-01-07T11:51:21"/>
    <d v="2025-01-07T14:24:21"/>
    <n v="149.81249999589636"/>
    <m/>
    <d v="2025-01-08T07:27:21"/>
    <d v="2025-01-08T08:23:21"/>
    <n v="54.833333337664953"/>
    <m/>
    <n v="0.95069444444379769"/>
    <n v="2"/>
    <n v="1.0493055555562023"/>
    <n v="22.816666666651145"/>
    <n v="0"/>
    <n v="22.816666666651145"/>
    <n v="6.7319211103040697"/>
    <m/>
    <m/>
    <m/>
    <m/>
    <m/>
  </r>
  <r>
    <d v="2025-01-06T22:23:00"/>
    <x v="0"/>
    <m/>
    <s v="OMXCAB3RR"/>
    <s v="Manual"/>
    <s v="Nakalya John"/>
    <s v="UBM 648D"/>
    <s v="Kabaco U Ltd"/>
    <n v="156"/>
    <s v="Z82086"/>
    <m/>
    <n v="320"/>
    <n v="323"/>
    <n v="3"/>
    <m/>
    <d v="2025-01-07T10:49:00"/>
    <d v="2025-01-07T10:23:00"/>
    <d v="2025-01-07T11:46:00"/>
    <n v="82.615740738886714"/>
    <n v="56.736111108330078"/>
    <s v="Reconciling stock count delays "/>
    <d v="2025-01-07T17:46:00"/>
    <d v="2025-01-07T20:41:00"/>
    <n v="171.35416667122627"/>
    <m/>
    <d v="2025-01-08T19:30:00"/>
    <d v="2025-01-08T20:26:00"/>
    <n v="54.833333337664953"/>
    <m/>
    <n v="1.3222222222175333"/>
    <n v="2"/>
    <n v="0.67777777778246673"/>
    <n v="31.733333333220799"/>
    <n v="12"/>
    <n v="19.733333333220799"/>
    <n v="7.9054054054504883"/>
    <m/>
    <m/>
    <m/>
    <m/>
    <m/>
  </r>
  <r>
    <d v="2025-01-06T23:03:37"/>
    <x v="0"/>
    <m/>
    <s v="OMZ2EAARR"/>
    <s v="DJ"/>
    <s v="Bisaso  Ronald"/>
    <s v="UBK 875R"/>
    <s v="Rugoma Traders-Kanungu/Kihihi"/>
    <n v="153.60000000000002"/>
    <s v="F15689"/>
    <m/>
    <n v="414"/>
    <n v="413"/>
    <n v="-1"/>
    <m/>
    <d v="2025-01-08T10:11:00"/>
    <d v="2025-01-07T08:00:00"/>
    <d v="2025-01-08T11:04:00"/>
    <n v="1616.4814814736019"/>
    <n v="52.75462963472819"/>
    <s v="Unplanned Training"/>
    <d v="2025-01-08T17:34:00"/>
    <d v="2025-01-08T20:21:00"/>
    <n v="163.52083333287737"/>
    <m/>
    <d v="2025-01-10T10:07:00"/>
    <d v="2025-01-10T11:03:00"/>
    <n v="54.833333337664953"/>
    <m/>
    <n v="1.9604166666686069"/>
    <n v="2"/>
    <n v="3.9583333331393078E-2"/>
    <n v="47.050000000046566"/>
    <n v="12"/>
    <n v="35.050000000046566"/>
    <n v="4.3823109843023094"/>
    <m/>
    <m/>
    <m/>
    <m/>
    <m/>
  </r>
  <r>
    <d v="2025-01-07T00:00:00"/>
    <x v="0"/>
    <m/>
    <s v="OM02L8B9"/>
    <s v="Manual"/>
    <m/>
    <s v="UBP 311H"/>
    <s v="Sawan Distributors Ltd-Kayabwe"/>
    <n v="156"/>
    <s v="A19916"/>
    <m/>
    <n v="382"/>
    <n v="381"/>
    <n v="-1"/>
    <m/>
    <d v="2025-01-07T07:59:00"/>
    <d v="2025-01-07T07:30:00"/>
    <d v="2025-01-07T08:42:00"/>
    <n v="71.666666660409348"/>
    <n v="42.80092592986572"/>
    <m/>
    <d v="2025-01-08T11:42:00"/>
    <d v="2025-01-08T14:15:00"/>
    <n v="149.81249999589636"/>
    <m/>
    <d v="2025-01-09T13:57:00"/>
    <d v="2025-01-09T14:56:00"/>
    <n v="57.770833336981013"/>
    <m/>
    <n v="2.21875"/>
    <n v="2"/>
    <n v="-0.21875"/>
    <n v="53.25"/>
    <n v="24"/>
    <n v="29.25"/>
    <n v="5.333333333333333"/>
    <m/>
    <m/>
    <m/>
    <m/>
    <m/>
  </r>
  <r>
    <d v="2025-01-07T00:00:00"/>
    <x v="0"/>
    <m/>
    <s v="OM02L801"/>
    <s v="Manual"/>
    <m/>
    <s v="UBK 866R"/>
    <s v="Kato Investment Ltd -Kagadi"/>
    <n v="156"/>
    <s v="A19901"/>
    <m/>
    <n v="670"/>
    <n v="612"/>
    <n v="-58"/>
    <m/>
    <d v="2025-01-07T08:08:00"/>
    <d v="2025-01-07T07:30:00"/>
    <d v="2025-01-07T08:47:00"/>
    <n v="76.643518518055018"/>
    <n v="38.819444445834961"/>
    <m/>
    <d v="2025-01-08T10:17:00"/>
    <d v="2025-01-08T14:44:00"/>
    <n v="261.43750000068394"/>
    <s v="Waited for empties from trade"/>
    <d v="2025-01-09T09:47:31"/>
    <d v="2025-01-09T10:45:31"/>
    <n v="56.791666667122627"/>
    <m/>
    <n v="2.0420277777811862"/>
    <n v="2"/>
    <n v="-4.202777778118616E-2"/>
    <n v="49.008666666748468"/>
    <n v="24"/>
    <n v="25.008666666748468"/>
    <n v="6.2378375496290515"/>
    <m/>
    <m/>
    <m/>
    <m/>
    <m/>
  </r>
  <r>
    <d v="2025-01-07T00:00:00"/>
    <x v="0"/>
    <m/>
    <s v="OM02L87X"/>
    <s v="Manual"/>
    <m/>
    <s v="UBP 311H"/>
    <s v="Boniface Harera"/>
    <n v="156"/>
    <s v="F15690"/>
    <m/>
    <n v="470"/>
    <n v="465"/>
    <n v="-5"/>
    <m/>
    <d v="2025-01-07T08:07:00"/>
    <d v="2025-01-07T07:30:00"/>
    <d v="2025-01-07T08:46:00"/>
    <n v="75.6481481444401"/>
    <n v="38.819444445834961"/>
    <m/>
    <d v="2025-01-08T10:16:00"/>
    <d v="2025-01-08T15:23:00"/>
    <n v="300.60416666165111"/>
    <s v="Reached late and offloaded the next day"/>
    <d v="2025-01-09T13:52:00"/>
    <d v="2025-01-09T14:48:00"/>
    <n v="54.833333337664953"/>
    <m/>
    <n v="2.2124999999941792"/>
    <n v="2"/>
    <n v="-0.21249999999417923"/>
    <n v="53.099999999860302"/>
    <n v="24"/>
    <n v="29.099999999860302"/>
    <n v="5.3608247422937767"/>
    <m/>
    <m/>
    <m/>
    <m/>
    <m/>
  </r>
  <r>
    <d v="2025-01-07T00:00:00"/>
    <x v="0"/>
    <m/>
    <s v="OM02L80B"/>
    <s v="Manual"/>
    <m/>
    <s v="UBK 866R"/>
    <s v="Kabaco U Ltd"/>
    <n v="156"/>
    <s v="Z82087"/>
    <m/>
    <n v="320"/>
    <n v="321"/>
    <n v="1"/>
    <m/>
    <d v="2025-01-07T07:58:00"/>
    <d v="2025-01-07T07:30:00"/>
    <d v="2025-01-07T08:38:00"/>
    <n v="67.685185186807459"/>
    <n v="39.814814819449872"/>
    <m/>
    <d v="2025-01-07T14:38:00"/>
    <d v="2025-01-07T17:07:00"/>
    <n v="145.89583333698101"/>
    <m/>
    <d v="2025-01-08T11:53:12"/>
    <d v="2025-01-08T12:49:12"/>
    <n v="54.833333337664953"/>
    <m/>
    <n v="1.1355555555564933"/>
    <n v="2"/>
    <n v="0.86444444444350665"/>
    <n v="27.25333333335584"/>
    <n v="12"/>
    <n v="15.25333333335584"/>
    <n v="10.227272727257636"/>
    <m/>
    <m/>
    <m/>
    <m/>
    <m/>
  </r>
  <r>
    <d v="2025-01-07T00:00:00"/>
    <x v="0"/>
    <m/>
    <s v="OM02L8AK"/>
    <s v="Manual"/>
    <s v="Ekwalikwa Yusuf"/>
    <s v="UBP 311H"/>
    <s v="Ntale and Sons Ltd-Kakiri"/>
    <n v="155.10000000000002"/>
    <s v="A19913"/>
    <m/>
    <n v="620"/>
    <n v="602"/>
    <n v="-18"/>
    <m/>
    <d v="2025-01-07T07:41:00"/>
    <d v="2025-01-07T07:30:00"/>
    <d v="2025-01-07T08:58:00"/>
    <n v="87.592592586103521"/>
    <n v="76.643518518055018"/>
    <m/>
    <d v="2025-01-08T08:28:00"/>
    <d v="2025-01-08T11:15:00"/>
    <n v="163.52083333287737"/>
    <m/>
    <d v="2025-01-09T10:02:36"/>
    <d v="2025-01-09T11:00:36"/>
    <n v="56.791666667122627"/>
    <m/>
    <n v="2.0448611111060018"/>
    <n v="3"/>
    <n v="0.95513888889399823"/>
    <n v="49.076666666544043"/>
    <n v="24"/>
    <n v="25.076666666544043"/>
    <n v="6.1850325668254067"/>
    <m/>
    <m/>
    <m/>
    <m/>
    <m/>
  </r>
  <r>
    <d v="2025-01-07T00:00:00"/>
    <x v="0"/>
    <m/>
    <s v="OM02L807"/>
    <s v="Manual"/>
    <m/>
    <s v="UBK 866R"/>
    <s v="Kato Investments Ltd- Kyegegwa"/>
    <n v="156"/>
    <s v="A19902"/>
    <s v="OM"/>
    <n v="600"/>
    <n v="572"/>
    <n v="-28"/>
    <m/>
    <d v="2025-01-07T08:13:00"/>
    <d v="2025-01-07T07:30:00"/>
    <d v="2025-01-07T09:02:00"/>
    <n v="91.574074070134273"/>
    <n v="48.77314815069743"/>
    <s v="DJ failures "/>
    <d v="2025-01-08T10:32:00"/>
    <d v="2025-01-08T13:27:00"/>
    <n v="171.35416667122627"/>
    <m/>
    <d v="2025-01-09T11:27:12"/>
    <d v="2025-01-09T12:24:12"/>
    <n v="55.81249999726424"/>
    <m/>
    <n v="2.1008333333375049"/>
    <n v="2"/>
    <n v="-0.10083333333750488"/>
    <n v="50.420000000100117"/>
    <n v="24"/>
    <n v="26.420000000100117"/>
    <n v="5.9046177138307661"/>
    <m/>
    <m/>
    <m/>
    <m/>
    <m/>
  </r>
  <r>
    <d v="2025-01-07T12:42:38"/>
    <x v="0"/>
    <m/>
    <s v="OM7OPDRRR"/>
    <s v="DJ"/>
    <s v="NASASIRA STEPHENE"/>
    <s v="UBK 882R"/>
    <s v="Kato Investment Ltd -Mityana"/>
    <n v="187.20000000000002"/>
    <s v="A19903"/>
    <s v="OM"/>
    <n v="690"/>
    <n v="692"/>
    <n v="2"/>
    <m/>
    <d v="2025-01-07T12:01:00"/>
    <d v="2025-01-07T13:35:00"/>
    <d v="2025-01-07T12:44:00"/>
    <n v="-50.763888887498375"/>
    <n v="42.80092592986572"/>
    <m/>
    <d v="2025-01-08T12:56:00"/>
    <d v="2025-01-08T19:03:00"/>
    <n v="359.35416666849051"/>
    <s v="Waited for empties from trade"/>
    <d v="2025-01-09T10:49:00"/>
    <d v="2025-01-09T11:45:00"/>
    <n v="54.833333337664953"/>
    <m/>
    <n v="1.9201388888905058"/>
    <n v="3"/>
    <n v="1.0798611111094942"/>
    <n v="46.083333333372138"/>
    <n v="12"/>
    <n v="34.083333333372138"/>
    <n v="5.492420537891058"/>
    <m/>
    <m/>
    <m/>
    <m/>
    <m/>
  </r>
  <r>
    <d v="2025-01-07T12:59:15"/>
    <x v="0"/>
    <m/>
    <s v="OMCGJHRRR"/>
    <s v="DJ"/>
    <s v="Abel Mark naffa"/>
    <s v="UBJ 415C"/>
    <s v="Kabaco U Ltd-Mbarara"/>
    <n v="153.60000000000002"/>
    <s v="Z82089"/>
    <s v="OM"/>
    <n v="20"/>
    <n v="12"/>
    <n v="-8"/>
    <m/>
    <d v="2025-01-07T19:17:00"/>
    <d v="2025-01-07T15:00:00"/>
    <d v="2025-01-07T19:58:00"/>
    <n v="296.62037036735757"/>
    <n v="40.810185182635905"/>
    <m/>
    <d v="2025-01-08T11:07:00"/>
    <d v="2025-01-08T13:40:00"/>
    <n v="149.81249999589636"/>
    <m/>
    <d v="2025-01-08T14:26:00"/>
    <d v="2025-01-08T15:24:00"/>
    <n v="56.791666667122627"/>
    <m/>
    <n v="0.76944444444961846"/>
    <n v="2"/>
    <n v="1.2305555555503815"/>
    <n v="18.466666666790843"/>
    <n v="0"/>
    <n v="18.466666666790843"/>
    <n v="8.3176895306299912"/>
    <m/>
    <m/>
    <m/>
    <m/>
    <m/>
  </r>
  <r>
    <d v="2025-01-07T18:53:39"/>
    <x v="0"/>
    <m/>
    <s v="OMFEHYMRR"/>
    <s v="DJ"/>
    <s v="Konge Husein"/>
    <s v="UBJ 707D"/>
    <s v="Kabaco U Ltd"/>
    <n v="153.60000000000002"/>
    <s v="Z82091"/>
    <s v="OM"/>
    <n v="320"/>
    <n v="317"/>
    <n v="-3"/>
    <m/>
    <d v="2025-01-07T18:50:00"/>
    <d v="2025-01-08T02:22:00"/>
    <d v="2025-01-07T19:33:00"/>
    <n v="-407.10648148403078"/>
    <n v="42.80092592986572"/>
    <m/>
    <d v="2025-01-08T10:58:00"/>
    <d v="2025-01-08T13:31:00"/>
    <n v="149.81249999589636"/>
    <m/>
    <d v="2025-01-10T07:51:00"/>
    <d v="2025-01-10T08:47:00"/>
    <n v="54.833333337664953"/>
    <m/>
    <n v="2.5124999999970896"/>
    <n v="2"/>
    <n v="-0.51249999999708962"/>
    <n v="60.299999999930151"/>
    <n v="24"/>
    <n v="36.299999999930151"/>
    <n v="4.2314049586858289"/>
    <m/>
    <m/>
    <m/>
    <m/>
    <m/>
  </r>
  <r>
    <d v="2025-01-07T18:54:46"/>
    <x v="0"/>
    <m/>
    <s v="OMIFRI4RR"/>
    <s v="DJ"/>
    <s v="Benon Ssempijja"/>
    <s v="UAY 526V"/>
    <s v="Agaba Services"/>
    <n v="153.60000000000002"/>
    <s v="F15691"/>
    <s v="OM"/>
    <n v="302"/>
    <n v="294"/>
    <n v="-8"/>
    <m/>
    <d v="2025-01-08T09:18:00"/>
    <d v="2025-01-08T04:15:00"/>
    <d v="2025-01-08T09:57:00"/>
    <n v="340.41666666040936"/>
    <n v="38.819444445834961"/>
    <m/>
    <d v="2025-01-08T15:29:00"/>
    <d v="2025-01-08T18:02:00"/>
    <n v="149.81249999589636"/>
    <m/>
    <d v="2025-01-09T08:58:00"/>
    <d v="2025-01-09T09:56:00"/>
    <n v="56.791666667122627"/>
    <m/>
    <n v="0.95902777778246673"/>
    <n v="2"/>
    <n v="1.0409722222175333"/>
    <n v="23.016666666779201"/>
    <n v="0"/>
    <n v="23.016666666779201"/>
    <n v="6.6734250542758451"/>
    <m/>
    <m/>
    <m/>
    <m/>
    <m/>
  </r>
  <r>
    <d v="2025-01-07T18:55:40"/>
    <x v="0"/>
    <m/>
    <s v="OM65I70RR"/>
    <s v="DJ"/>
    <s v="Kilabila Ismail"/>
    <s v="UBE 419T"/>
    <s v="Kabaco U Ltd-Mbarara"/>
    <n v="153.60000000000002"/>
    <s v="Z82092"/>
    <s v="OM"/>
    <n v="20"/>
    <n v="14"/>
    <n v="-6"/>
    <m/>
    <d v="2025-01-07T18:39:00"/>
    <d v="2025-01-08T07:42:00"/>
    <d v="2025-01-07T19:19:00"/>
    <n v="-739.56018518680742"/>
    <n v="39.814814819449872"/>
    <m/>
    <d v="2025-01-07T20:08:00"/>
    <d v="2025-01-07T22:41:00"/>
    <n v="149.81249999589636"/>
    <m/>
    <d v="2025-01-08T15:39:00"/>
    <d v="2025-01-08T16:38:00"/>
    <n v="57.770833336981013"/>
    <m/>
    <n v="0.84722222222626442"/>
    <n v="2"/>
    <n v="1.1527777777737356"/>
    <n v="20.333333333430346"/>
    <n v="0"/>
    <n v="20.333333333430346"/>
    <n v="7.5540983606196974"/>
    <m/>
    <m/>
    <m/>
    <m/>
    <m/>
  </r>
  <r>
    <d v="2025-01-07T19:03:53"/>
    <x v="0"/>
    <m/>
    <s v="OMBC2B0RR"/>
    <s v="DJ"/>
    <s v="SENTONG DAVID"/>
    <s v="UBP 298H"/>
    <s v="Rugoma Traders-Rukungiri"/>
    <n v="156"/>
    <s v="Z82093"/>
    <s v="OM"/>
    <n v="256"/>
    <n v="255"/>
    <n v="-1"/>
    <m/>
    <d v="2025-01-08T09:45:00"/>
    <d v="2025-01-08T04:04:00"/>
    <d v="2025-01-08T10:28:00"/>
    <n v="382.22222222708905"/>
    <n v="42.80092592986572"/>
    <m/>
    <d v="2025-01-08T17:08:00"/>
    <d v="2025-01-08T19:49:00"/>
    <n v="157.64583333424525"/>
    <m/>
    <d v="2025-01-09T16:46:00"/>
    <d v="2025-01-09T17:44:00"/>
    <n v="56.791666667122627"/>
    <m/>
    <n v="1.2624999999970896"/>
    <n v="2"/>
    <n v="0.73750000000291038"/>
    <n v="30.299999999930151"/>
    <n v="12"/>
    <n v="18.299999999930151"/>
    <n v="8.5245901639669643"/>
    <m/>
    <m/>
    <m/>
    <m/>
    <m/>
  </r>
  <r>
    <d v="2025-01-07T19:49:39"/>
    <x v="0"/>
    <m/>
    <s v="OM8ZA87RR"/>
    <s v="DJ"/>
    <s v="Isaac Tumuhimbise"/>
    <s v="UBE 287X"/>
    <s v="KATO INVESTMENTS LIMITED-MASAK"/>
    <n v="153.60000000000002"/>
    <s v="F15692"/>
    <s v="OM"/>
    <n v="340"/>
    <n v="154"/>
    <n v="-186"/>
    <m/>
    <d v="2025-01-08T06:52:00"/>
    <d v="2025-01-08T04:14:00"/>
    <d v="2025-01-08T07:35:00"/>
    <n v="200.06944443957764"/>
    <n v="42.80092592986572"/>
    <m/>
    <d v="2025-01-08T10:35:00"/>
    <d v="2025-01-08T13:22:00"/>
    <n v="163.52083333287737"/>
    <m/>
    <d v="2025-01-09T08:37:00"/>
    <d v="2025-01-09T10:04:00"/>
    <n v="85.18750000068394"/>
    <s v="Traffic at gate"/>
    <n v="1.0430555555576575"/>
    <n v="2"/>
    <n v="0.9569444444423425"/>
    <n v="25.03333333338378"/>
    <n v="12"/>
    <n v="13.03333333338378"/>
    <n v="11.785166240363594"/>
    <m/>
    <m/>
    <m/>
    <m/>
    <m/>
  </r>
  <r>
    <d v="2025-01-07T19:50:22"/>
    <x v="0"/>
    <m/>
    <s v="OMDMEGIRR"/>
    <s v="Manual"/>
    <m/>
    <s v="UBF 379L"/>
    <s v="Kobusinge Steven-FPortal"/>
    <n v="156"/>
    <s v="Z82094"/>
    <s v="OM"/>
    <n v="390"/>
    <n v="392"/>
    <n v="2"/>
    <m/>
    <d v="2025-01-08T08:18:22"/>
    <d v="2025-01-08T07:50:22"/>
    <d v="2025-01-08T08:58:22"/>
    <n v="67.685185186807459"/>
    <n v="39.814814819449872"/>
    <m/>
    <d v="2025-01-09T10:28:22"/>
    <d v="2025-01-09T13:19:22"/>
    <n v="167.43750000205182"/>
    <m/>
    <d v="2025-01-10T12:13:29"/>
    <d v="2025-01-10T13:02:29"/>
    <n v="47.979166669174447"/>
    <m/>
    <n v="2.1354999999966822"/>
    <n v="2"/>
    <n v="-0.13549999999668216"/>
    <n v="51.251999999920372"/>
    <n v="24"/>
    <n v="27.251999999920372"/>
    <n v="5.7243505064015787"/>
    <m/>
    <m/>
    <m/>
    <m/>
    <m/>
  </r>
  <r>
    <d v="2025-01-07T19:53:28"/>
    <x v="0"/>
    <m/>
    <s v="OMTPUGSRR"/>
    <s v="Manual"/>
    <m/>
    <s v="UBJ 417C"/>
    <s v="Kato Investment Ltd -Mityana"/>
    <n v="156"/>
    <s v="A19912"/>
    <s v="OM"/>
    <n v="690"/>
    <n v="692"/>
    <n v="2"/>
    <m/>
    <d v="2025-01-08T08:22:28"/>
    <d v="2025-01-08T07:53:28"/>
    <d v="2025-01-08T09:05:28"/>
    <n v="71.666666660409348"/>
    <n v="42.80092592986572"/>
    <m/>
    <d v="2025-01-09T11:05:28"/>
    <d v="2025-01-09T16:52:28"/>
    <n v="339.77083333287737"/>
    <s v="Dj failure at customer"/>
    <d v="2025-01-10T11:21:47"/>
    <d v="2025-01-10T12:10:47"/>
    <n v="47.979166669174447"/>
    <m/>
    <n v="2.0946666666714009"/>
    <n v="3"/>
    <n v="0.90533333332859911"/>
    <n v="50.272000000113621"/>
    <n v="24"/>
    <n v="26.272000000113621"/>
    <n v="5.9378806333482537"/>
    <m/>
    <m/>
    <m/>
    <m/>
    <m/>
  </r>
  <r>
    <d v="2025-01-07T19:57:51"/>
    <x v="0"/>
    <m/>
    <s v="OM2GG6XRR"/>
    <s v="Manual"/>
    <m/>
    <s v="UBM 644D"/>
    <s v="Kabaco U Ltd"/>
    <n v="156"/>
    <s v="Z82095"/>
    <s v="OM"/>
    <n v="320"/>
    <n v="323"/>
    <n v="3"/>
    <m/>
    <d v="2025-01-07T20:05:51"/>
    <d v="2025-01-08T07:57:51"/>
    <d v="2025-01-07T20:46:51"/>
    <n v="-667.89351851596928"/>
    <n v="40.810185182635905"/>
    <m/>
    <d v="2025-01-08T14:46:51"/>
    <d v="2025-01-08T17:19:51"/>
    <n v="149.81249999589636"/>
    <m/>
    <d v="2025-01-09T12:33:03"/>
    <d v="2025-01-09T13:32:03"/>
    <n v="57.770833336981013"/>
    <m/>
    <n v="1.6570833333244082"/>
    <n v="2"/>
    <n v="0.34291666667559184"/>
    <n v="39.769999999785796"/>
    <n v="12"/>
    <n v="27.769999999785796"/>
    <n v="5.6175729204610478"/>
    <m/>
    <m/>
    <m/>
    <m/>
    <m/>
  </r>
  <r>
    <d v="2025-01-07T21:59:12"/>
    <x v="0"/>
    <m/>
    <s v="OM87MA9RR"/>
    <s v="Manual"/>
    <m/>
    <s v="UBP 301H"/>
    <s v="Kato Investment Ltd -Kagadi"/>
    <n v="156"/>
    <s v="A19918"/>
    <s v="OM"/>
    <n v="670"/>
    <n v="607"/>
    <n v="-63"/>
    <m/>
    <d v="2025-01-08T10:32:12"/>
    <d v="2025-01-08T09:59:12"/>
    <d v="2025-01-08T11:14:12"/>
    <n v="74.652777770825196"/>
    <n v="41.805555556250816"/>
    <m/>
    <d v="2025-01-09T12:44:12"/>
    <d v="2025-01-09T15:17:12"/>
    <n v="149.81249999589636"/>
    <m/>
    <d v="2025-01-10T11:55:43"/>
    <d v="2025-01-10T12:53:43"/>
    <n v="56.791666667122627"/>
    <m/>
    <n v="2.0288333333373885"/>
    <n v="2"/>
    <n v="-2.8833333337388467E-2"/>
    <n v="48.692000000097323"/>
    <n v="24"/>
    <n v="24.692000000097323"/>
    <n v="6.3178357362459554"/>
    <m/>
    <m/>
    <m/>
    <m/>
    <m/>
  </r>
  <r>
    <d v="2025-01-08T00:00:00"/>
    <x v="0"/>
    <m/>
    <s v="OM02L8JN"/>
    <s v="Manual"/>
    <m/>
    <s v="UBP 311H"/>
    <s v="Ntale and Sons Ltd-Kakiri"/>
    <n v="155.10000000000002"/>
    <s v="A19922"/>
    <s v="OM"/>
    <n v="620"/>
    <n v="602"/>
    <n v="-18"/>
    <m/>
    <d v="2025-01-08T07:58:00"/>
    <d v="2025-01-08T07:30:00"/>
    <d v="2025-01-08T08:38:00"/>
    <n v="67.685185186807459"/>
    <n v="39.814814819449872"/>
    <m/>
    <d v="2025-01-08T21:08:00"/>
    <d v="2025-01-08T23:55:00"/>
    <n v="163.52083333287737"/>
    <m/>
    <d v="2025-01-10T11:10:24"/>
    <d v="2025-01-10T12:08:24"/>
    <n v="56.791666667122627"/>
    <m/>
    <n v="2.1058333333348855"/>
    <n v="3"/>
    <n v="0.89416666666511446"/>
    <n v="50.540000000037253"/>
    <n v="24"/>
    <n v="26.540000000037253"/>
    <n v="5.8440090429458298"/>
    <m/>
    <m/>
    <m/>
    <m/>
    <m/>
  </r>
  <r>
    <d v="2025-01-08T00:00:00"/>
    <x v="0"/>
    <m/>
    <s v="OM02L8M9"/>
    <s v="Manual"/>
    <m/>
    <s v="UBE 678K"/>
    <s v="Kobusinge Steven-FPortal"/>
    <n v="156"/>
    <s v="Z82096"/>
    <s v="OM"/>
    <n v="390"/>
    <n v="388"/>
    <n v="-2"/>
    <m/>
    <d v="2025-01-08T08:02:00"/>
    <d v="2025-01-08T07:30:00"/>
    <d v="2025-01-08T08:42:00"/>
    <n v="71.666666660409348"/>
    <n v="39.814814819449872"/>
    <m/>
    <d v="2025-01-09T10:12:00"/>
    <d v="2025-01-09T16:02:00"/>
    <n v="342.70833333219343"/>
    <s v="found another truck at the RD"/>
    <d v="2025-01-10T09:34:34"/>
    <d v="2025-01-10T10:32:34"/>
    <n v="56.791666667122627"/>
    <m/>
    <n v="2.0365000000019791"/>
    <n v="2"/>
    <n v="-3.650000000197906E-2"/>
    <n v="48.876000000047497"/>
    <n v="24"/>
    <n v="24.876000000047497"/>
    <n v="6.2711046791969025"/>
    <m/>
    <m/>
    <m/>
    <m/>
    <m/>
  </r>
  <r>
    <d v="2025-01-08T00:00:00"/>
    <x v="0"/>
    <m/>
    <s v="OM02L8PX"/>
    <s v="Manual"/>
    <s v="Ekwalikwa Yusuf"/>
    <s v="UBP 311H"/>
    <s v="Kabaco U Ltd"/>
    <n v="156"/>
    <s v="Z82099"/>
    <s v="OM"/>
    <n v="320"/>
    <n v="323"/>
    <n v="3"/>
    <m/>
    <d v="2025-01-08T07:58:00"/>
    <d v="2025-01-08T07:30:00"/>
    <d v="2025-01-08T08:38:00"/>
    <n v="67.685185186807459"/>
    <n v="39.814814819449872"/>
    <m/>
    <d v="2025-01-08T14:38:00"/>
    <d v="2025-01-08T20:07:00"/>
    <n v="322.14583333698101"/>
    <s v="found another truck at the RD and offloaded the next day"/>
    <d v="2025-01-09T12:26:12"/>
    <d v="2025-01-09T13:22:12"/>
    <n v="54.833333337664953"/>
    <m/>
    <n v="1.1584722222251003"/>
    <n v="2"/>
    <n v="0.84152777777489973"/>
    <n v="27.803333333402406"/>
    <n v="12"/>
    <n v="15.803333333402406"/>
    <n v="9.8713351613152174"/>
    <m/>
    <m/>
    <m/>
    <m/>
    <m/>
  </r>
  <r>
    <d v="2025-01-08T00:00:00"/>
    <x v="0"/>
    <m/>
    <s v="OM02L8Q3"/>
    <s v="Manual"/>
    <s v="Ekwalikwa Yusuf"/>
    <s v="UBP 311H"/>
    <s v="Kobusinge Steven-Kamwenge"/>
    <n v="156"/>
    <s v="Z82101"/>
    <s v="OM"/>
    <n v="230"/>
    <n v="234"/>
    <n v="4"/>
    <m/>
    <d v="2025-01-08T08:18:00"/>
    <d v="2025-01-08T07:30:00"/>
    <d v="2025-01-08T08:58:00"/>
    <n v="87.592592586103521"/>
    <n v="39.814814819449872"/>
    <m/>
    <d v="2025-01-09T09:58:00"/>
    <d v="2025-01-09T19:25:00"/>
    <n v="555.18750000410364"/>
    <s v="Waited for empties from trade"/>
    <d v="2025-01-10T12:27:24"/>
    <d v="2025-01-10T13:17:24"/>
    <n v="48.958333328773733"/>
    <m/>
    <n v="2.1454166666662786"/>
    <n v="2"/>
    <n v="-0.14541666666627862"/>
    <n v="51.489999999990687"/>
    <n v="24"/>
    <n v="27.489999999990687"/>
    <n v="5.6747908330321151"/>
    <m/>
    <m/>
    <m/>
    <m/>
    <m/>
  </r>
  <r>
    <d v="2025-01-08T00:00:00"/>
    <x v="0"/>
    <m/>
    <s v="OM02L8Q4"/>
    <s v="Manual"/>
    <m/>
    <s v="UBP 311H"/>
    <s v="Kobusinge Acaali- Kyenjojo"/>
    <n v="156"/>
    <s v="Z82102"/>
    <s v="OM"/>
    <n v="480"/>
    <n v="479"/>
    <n v="-1"/>
    <m/>
    <d v="2025-01-08T07:58:00"/>
    <d v="2025-01-08T07:30:00"/>
    <d v="2025-01-08T08:38:00"/>
    <n v="67.685185186807459"/>
    <n v="39.814814819449872"/>
    <m/>
    <d v="2025-01-09T10:23:00"/>
    <d v="2025-01-09T17:12:00"/>
    <n v="400.47916666917445"/>
    <s v="found another truck at the RD"/>
    <d v="2025-01-10T19:38:44"/>
    <d v="2025-01-10T20:35:44"/>
    <n v="55.81249999726424"/>
    <m/>
    <n v="2.4588444444452762"/>
    <n v="2"/>
    <n v="-0.45884444444527617"/>
    <n v="59.012266666686628"/>
    <n v="24"/>
    <n v="35.012266666686628"/>
    <n v="4.4555812819862481"/>
    <m/>
    <m/>
    <m/>
    <m/>
    <m/>
  </r>
  <r>
    <d v="2025-01-08T12:07:41"/>
    <x v="0"/>
    <m/>
    <s v="OMAXS8ORR"/>
    <s v="Manual"/>
    <m/>
    <s v="UBJ 419C"/>
    <s v="Boniface Harera"/>
    <n v="156"/>
    <s v="F15694"/>
    <s v="OM"/>
    <n v="470"/>
    <n v="465"/>
    <n v="-5"/>
    <m/>
    <d v="2025-01-09T00:43:41"/>
    <d v="2025-01-09T00:07:41"/>
    <d v="2025-01-09T01:39:41"/>
    <n v="91.574074070134273"/>
    <n v="55.740740745144045"/>
    <s v="Unplanned Training"/>
    <d v="2025-01-10T01:39:41"/>
    <d v="2025-01-10T07:24:41"/>
    <n v="337.8125000034197"/>
    <s v="Waited for empties from trade"/>
    <d v="2025-01-11T07:17:29"/>
    <d v="2025-01-11T08:11:29"/>
    <n v="52.87499999794818"/>
    <m/>
    <n v="2.234583333338378"/>
    <n v="2"/>
    <n v="-0.234583333338378"/>
    <n v="53.630000000121072"/>
    <n v="24"/>
    <n v="29.630000000121072"/>
    <n v="5.2649341883011331"/>
    <m/>
    <m/>
    <m/>
    <m/>
    <m/>
  </r>
  <r>
    <d v="2025-01-08T12:58:25"/>
    <x v="0"/>
    <m/>
    <s v="OM6FUXCRR"/>
    <s v="DJ"/>
    <s v="KASULE JOHNBOSC"/>
    <s v="UBJ 705D"/>
    <s v="Kato Investments Ltd- Kyegegwa"/>
    <n v="156"/>
    <s v="A19923"/>
    <s v="OM"/>
    <n v="600"/>
    <n v="603"/>
    <n v="3"/>
    <m/>
    <d v="2025-01-08T13:34:00"/>
    <d v="2025-01-08T20:24:00"/>
    <d v="2025-01-08T14:18:00"/>
    <n v="-364.30555555416504"/>
    <n v="43.796296293051761"/>
    <m/>
    <d v="2025-01-09T08:54:00"/>
    <d v="2025-01-09T11:53:00"/>
    <n v="175.27083333014161"/>
    <m/>
    <d v="2025-01-09T20:28:00"/>
    <d v="2025-01-09T21:24:00"/>
    <n v="54.833333337664953"/>
    <m/>
    <n v="1.2569444444452529"/>
    <n v="2"/>
    <n v="0.74305555555474712"/>
    <n v="30.166666666686069"/>
    <n v="12"/>
    <n v="18.166666666686069"/>
    <n v="8.587155963293581"/>
    <m/>
    <m/>
    <m/>
    <m/>
    <m/>
  </r>
  <r>
    <d v="2025-01-08T13:15:27"/>
    <x v="0"/>
    <m/>
    <s v="OMOMP47RR"/>
    <s v="Manual"/>
    <s v="Angello Lumala"/>
    <s v="UAV 051U"/>
    <s v="Rugoma Traders-Kanungu/Kihihi"/>
    <n v="153.60000000000002"/>
    <s v="F15695"/>
    <s v="OM"/>
    <n v="414"/>
    <n v="413"/>
    <n v="-1"/>
    <m/>
    <d v="2025-01-09T13:52:27"/>
    <d v="2025-01-09T01:15:27"/>
    <d v="2025-01-09T14:32:27"/>
    <n v="793.31018518472172"/>
    <n v="39.814814819449872"/>
    <m/>
    <d v="2025-01-09T21:07:27"/>
    <d v="2025-01-10T13:41:03"/>
    <n v="972.90000000328291"/>
    <s v="Waited for empties from trade"/>
    <d v="2025-01-11T07:55:27"/>
    <d v="2025-01-11T08:51:27"/>
    <n v="54.833333337664953"/>
    <m/>
    <n v="1.7243055555591127"/>
    <n v="2"/>
    <n v="0.27569444444088731"/>
    <n v="41.383333333418705"/>
    <n v="12"/>
    <n v="29.383333333418705"/>
    <n v="5.2274532047494189"/>
    <m/>
    <m/>
    <m/>
    <m/>
    <m/>
  </r>
  <r>
    <d v="2025-01-08T16:01:20"/>
    <x v="0"/>
    <m/>
    <s v="OMN3QBKRR"/>
    <s v="DJ"/>
    <s v="Mugisha  George"/>
    <s v="UAV 203T"/>
    <s v="KATO INVESTMENTS LIMITED-MASAK"/>
    <n v="153.60000000000002"/>
    <s v="F15696"/>
    <s v="OM"/>
    <n v="340"/>
    <n v="151"/>
    <n v="-189"/>
    <s v="Delivered to Lyatonde"/>
    <d v="2025-01-08T16:58:00"/>
    <d v="2025-01-09T04:14:00"/>
    <d v="2025-01-08T17:41:00"/>
    <n v="-630.06944444374915"/>
    <n v="42.80092592986572"/>
    <m/>
    <d v="2025-01-08T20:25:00"/>
    <d v="2025-01-09T13:01:00"/>
    <n v="975.24999999863212"/>
    <s v="Waited for empties from trade"/>
    <d v="2025-01-09T16:09:00"/>
    <d v="2025-01-09T17:05:00"/>
    <n v="54.833333337664953"/>
    <m/>
    <n v="0.93611111111385981"/>
    <n v="2"/>
    <n v="1.0638888888861402"/>
    <n v="22.466666666732635"/>
    <n v="0"/>
    <n v="22.466666666732635"/>
    <n v="6.8367952522054454"/>
    <m/>
    <m/>
    <m/>
    <m/>
    <m/>
  </r>
  <r>
    <d v="2025-01-08T18:51:08"/>
    <x v="0"/>
    <m/>
    <s v="OM7J2X1RR"/>
    <s v="DJ"/>
    <s v="James  Kironde"/>
    <s v="UBK 881R"/>
    <s v="Ntale and Sons"/>
    <n v="153.60000000000002"/>
    <s v="A19929"/>
    <s v="OM"/>
    <n v="810"/>
    <n v="809"/>
    <n v="-1"/>
    <m/>
    <d v="2025-01-09T06:35:00"/>
    <d v="2025-01-08T20:00:00"/>
    <d v="2025-01-09T07:15:00"/>
    <n v="671.875"/>
    <n v="39.814814819449872"/>
    <m/>
    <d v="2025-01-09T18:37:00"/>
    <d v="2025-01-10T15:07:00"/>
    <n v="1204.3750000068394"/>
    <s v="Reached late and offloaded the next day"/>
    <d v="2025-01-11T17:05:00"/>
    <d v="2025-01-11T17:53:00"/>
    <n v="46.99999999931606"/>
    <m/>
    <n v="2.4097222222189885"/>
    <n v="3"/>
    <n v="0.59027777778101154"/>
    <n v="57.833333333255723"/>
    <n v="24"/>
    <n v="33.833333333255723"/>
    <n v="4.5399014778429274"/>
    <m/>
    <m/>
    <m/>
    <m/>
    <m/>
  </r>
  <r>
    <d v="2025-01-08T18:52:08"/>
    <x v="0"/>
    <m/>
    <s v="OM6MJPIRR"/>
    <s v="Manual"/>
    <s v="Hamudi Sesanga"/>
    <s v="UAT 351G"/>
    <s v="Kabaco U Ltd-Mbarara"/>
    <n v="152.02500000000001"/>
    <s v="Z82097"/>
    <s v="OM"/>
    <n v="20"/>
    <n v="12"/>
    <n v="-8"/>
    <m/>
    <d v="2025-01-09T07:58:08"/>
    <d v="2025-01-09T07:30:08"/>
    <d v="2025-01-09T08:38:08"/>
    <n v="67.685185186807459"/>
    <n v="39.814814819449872"/>
    <m/>
    <d v="2025-01-09T09:20:08"/>
    <d v="2025-01-09T11:38:08"/>
    <n v="135.12499999931606"/>
    <m/>
    <d v="2025-01-09T12:10:08"/>
    <d v="2025-01-09T13:08:08"/>
    <n v="56.791666667122627"/>
    <m/>
    <n v="0.14722222222189885"/>
    <n v="2"/>
    <n v="1.8527777777781012"/>
    <n v="3.5333333333255723"/>
    <n v="0"/>
    <n v="3.5333333333255723"/>
    <n v="43.025943396320926"/>
    <m/>
    <m/>
    <m/>
    <m/>
    <m/>
  </r>
  <r>
    <d v="2025-01-08T18:55:50"/>
    <x v="0"/>
    <m/>
    <s v="OMGCPOPRR"/>
    <s v="DJ"/>
    <s v="ALIPA EREKU"/>
    <s v="UBK 858R"/>
    <s v="Rugoma Traders-Rukungiri"/>
    <n v="156"/>
    <s v="Z82098"/>
    <s v="OM"/>
    <n v="256"/>
    <n v="254"/>
    <n v="-2"/>
    <m/>
    <d v="2025-01-08T20:16:00"/>
    <d v="2025-01-09T04:04:00"/>
    <d v="2025-01-08T20:57:00"/>
    <n v="-425.0231481465259"/>
    <n v="40.810185182635905"/>
    <m/>
    <d v="2025-01-09T08:37:00"/>
    <d v="2025-01-09T17:57:00"/>
    <n v="548.33333333561313"/>
    <s v="space consquents"/>
    <d v="2025-01-10T09:01:00"/>
    <d v="2025-01-10T09:59:00"/>
    <n v="56.791666667122627"/>
    <m/>
    <n v="1.5027777777795563"/>
    <n v="2"/>
    <n v="0.49722222222044365"/>
    <n v="36.066666666709352"/>
    <n v="12"/>
    <n v="24.066666666709352"/>
    <n v="6.4819944598222987"/>
    <m/>
    <m/>
    <m/>
    <m/>
    <m/>
  </r>
  <r>
    <d v="2025-01-08T18:56:47"/>
    <x v="0"/>
    <m/>
    <s v="OM50BJLRR"/>
    <s v="DJ"/>
    <s v="Abel Mark naffa"/>
    <s v="UBJ 415C"/>
    <s v="Ntale and Sons"/>
    <n v="153.60000000000002"/>
    <s v="A19930"/>
    <s v="OM"/>
    <n v="810"/>
    <n v="804"/>
    <n v="-6"/>
    <m/>
    <d v="2025-01-08T19:11:00"/>
    <d v="2025-01-08T20:00:00"/>
    <d v="2025-01-08T19:52:00"/>
    <n v="-7.9629629680615226"/>
    <n v="40.810185182635905"/>
    <m/>
    <d v="2025-01-09T13:21:00"/>
    <d v="2025-01-10T13:30:00"/>
    <n v="1418.8124999979482"/>
    <s v="Reached late and offloaded the next day"/>
    <d v="2025-01-12T12:35:00"/>
    <d v="2025-01-12T13:34:00"/>
    <n v="57.770833336981013"/>
    <m/>
    <n v="3.6965277777781012"/>
    <n v="3"/>
    <n v="-0.69652777777810115"/>
    <n v="88.716666666674428"/>
    <n v="36"/>
    <n v="52.716666666674428"/>
    <n v="2.9136895352509153"/>
    <m/>
    <m/>
    <m/>
    <m/>
    <m/>
  </r>
  <r>
    <d v="2025-01-08T18:57:56"/>
    <x v="0"/>
    <m/>
    <s v="OM1NWRKRR"/>
    <s v="DJ"/>
    <s v="Kilabila Ismail"/>
    <s v="UBE 419T"/>
    <s v="Kato Investments Ltd-Bulenga"/>
    <n v="153.60000000000002"/>
    <s v="A19931"/>
    <s v="OM"/>
    <n v="560"/>
    <n v="559"/>
    <n v="-1"/>
    <m/>
    <d v="2025-01-08T18:51:00"/>
    <d v="2025-01-08T20:13:00"/>
    <d v="2025-01-08T19:31:00"/>
    <n v="-41.805555556250816"/>
    <n v="39.814814819449872"/>
    <m/>
    <d v="2025-01-09T14:15:00"/>
    <d v="2025-01-09T18:58:00"/>
    <n v="277.10416666712263"/>
    <s v="truck faulty"/>
    <d v="2025-01-10T17:24:00"/>
    <d v="2025-01-10T18:16:00"/>
    <n v="50.916666668490507"/>
    <m/>
    <n v="1.9118055555518367"/>
    <n v="3"/>
    <n v="1.0881944444481633"/>
    <n v="45.883333333244082"/>
    <n v="12"/>
    <n v="33.883333333244082"/>
    <n v="4.5332021643011693"/>
    <m/>
    <m/>
    <m/>
    <m/>
    <m/>
  </r>
  <r>
    <d v="2025-01-08T19:19:40"/>
    <x v="0"/>
    <m/>
    <s v="OM7S3B6RR"/>
    <s v="DJ"/>
    <s v="Kabene John"/>
    <s v="UBA 523T"/>
    <s v="KATO INVESTMENTS LIMITED-MASAK"/>
    <n v="153.60000000000002"/>
    <s v="F15697"/>
    <s v="OM"/>
    <n v="340"/>
    <n v="300"/>
    <n v="-40"/>
    <m/>
    <d v="2025-01-09T07:58:00"/>
    <d v="2025-01-09T04:14:00"/>
    <d v="2025-01-09T08:41:00"/>
    <n v="265.76388888958417"/>
    <n v="42.80092592986572"/>
    <m/>
    <d v="2025-01-09T10:57:00"/>
    <d v="2025-01-09T15:53:00"/>
    <n v="289.83333333424525"/>
    <s v="Waited for empties from trade"/>
    <d v="2025-01-10T12:03:00"/>
    <d v="2025-01-10T12:53:00"/>
    <n v="48.958333328773733"/>
    <m/>
    <n v="1.140277777776646"/>
    <n v="2"/>
    <n v="0.85972222222335404"/>
    <n v="27.366666666639503"/>
    <n v="12"/>
    <n v="15.366666666639503"/>
    <n v="9.995661605223745"/>
    <m/>
    <m/>
    <m/>
    <m/>
    <m/>
  </r>
  <r>
    <d v="2025-01-08T19:20:44"/>
    <x v="0"/>
    <m/>
    <s v="OM49LLCRR"/>
    <s v="DJ"/>
    <s v="BYEKWASO TWAHA"/>
    <s v="UBE 680K"/>
    <s v="Kato Investments Ltd- Kyegegwa"/>
    <n v="156"/>
    <s v="A19933"/>
    <s v="OM"/>
    <n v="600"/>
    <n v="564"/>
    <n v="-36"/>
    <m/>
    <d v="2025-01-08T19:48:00"/>
    <d v="2025-01-08T20:24:00"/>
    <d v="2025-01-08T20:30:00"/>
    <n v="5.9722222208317062"/>
    <n v="41.805555556250816"/>
    <m/>
    <d v="2025-01-09T10:04:00"/>
    <d v="2025-01-09T16:14:00"/>
    <n v="362.29166666780657"/>
    <s v="found another truck to be offloaded"/>
    <d v="2025-01-10T06:49:00"/>
    <d v="2025-01-10T07:45:00"/>
    <n v="54.833333337664953"/>
    <m/>
    <n v="1.429861111115315"/>
    <n v="2"/>
    <n v="0.570138888884685"/>
    <n v="34.31666666676756"/>
    <n v="12"/>
    <n v="22.31666666676756"/>
    <n v="6.9902912621043196"/>
    <m/>
    <m/>
    <m/>
    <m/>
    <m/>
  </r>
  <r>
    <d v="2025-01-08T19:23:57"/>
    <x v="0"/>
    <m/>
    <s v="OMAQNGLRR"/>
    <s v="Manual"/>
    <s v="ZIWA ABASI"/>
    <s v="UBJ 420C"/>
    <s v="Kato Investment Ltd -Mityana"/>
    <n v="156"/>
    <s v="A19934"/>
    <s v="OM"/>
    <n v="690"/>
    <n v="692"/>
    <n v="2"/>
    <m/>
    <d v="2025-01-09T07:51:57"/>
    <d v="2025-01-09T07:23:57"/>
    <d v="2025-01-09T08:31:57"/>
    <n v="67.685185186807459"/>
    <n v="39.814814819449872"/>
    <m/>
    <d v="2025-01-10T10:31:57"/>
    <d v="2025-01-10T15:21:57"/>
    <n v="283.95833333561313"/>
    <s v="Dj failure at customer"/>
    <d v="2025-01-11T12:47:52"/>
    <d v="2025-01-11T13:46:52"/>
    <n v="57.770833336981013"/>
    <m/>
    <n v="2.1777222222226555"/>
    <n v="3"/>
    <n v="0.82227777777734445"/>
    <n v="52.265333333343733"/>
    <n v="24"/>
    <n v="28.265333333343733"/>
    <n v="5.5191282607649867"/>
    <m/>
    <m/>
    <m/>
    <m/>
    <m/>
  </r>
  <r>
    <d v="2025-01-10T00:00:00"/>
    <x v="0"/>
    <m/>
    <s v="OMFFWYQRR"/>
    <s v="Manual"/>
    <s v="Bisaso  Ronald"/>
    <s v="UBK 875R"/>
    <s v="Kato Investments Ltd-Bulenga"/>
    <n v="153.6"/>
    <s v="A19983"/>
    <s v="OM"/>
    <n v="560"/>
    <n v="558"/>
    <n v="-2"/>
    <m/>
    <d v="2025-01-11T07:58:00"/>
    <d v="2025-01-11T07:30:00"/>
    <d v="2025-01-11T08:41:00"/>
    <n v="70.671296297223307"/>
    <n v="42.80092592986572"/>
    <m/>
    <d v="2025-01-10T14:03:00"/>
    <d v="2025-01-10T16:57:00"/>
    <n v="170.37500000136788"/>
    <m/>
    <d v="2025-01-13T11:55:00"/>
    <d v="2025-01-13T12:53:00"/>
    <n v="56.791666667122627"/>
    <m/>
    <n v="2.1347222222248092"/>
    <n v="3"/>
    <n v="0.86527777777519077"/>
    <n v="51.233333333395422"/>
    <n v="24"/>
    <n v="27.233333333395422"/>
    <n v="5.6401468788121107"/>
    <m/>
    <m/>
    <m/>
    <m/>
    <m/>
  </r>
  <r>
    <d v="2025-01-10T00:00:00"/>
    <x v="0"/>
    <m/>
    <s v="OMHK4MCRR"/>
    <s v="Manual"/>
    <s v="ALIPA EREKU"/>
    <s v="UBK 858R"/>
    <s v="Kato Investment Ltd -Kagadi"/>
    <n v="156"/>
    <s v="A19985"/>
    <s v="OM"/>
    <n v="670"/>
    <n v="669"/>
    <n v="-1"/>
    <m/>
    <d v="2025-01-11T07:58:00"/>
    <d v="2025-01-11T07:30:00"/>
    <d v="2025-01-11T08:41:00"/>
    <n v="70.671296297223307"/>
    <n v="42.80092592986572"/>
    <m/>
    <d v="2025-01-12T11:55:00"/>
    <d v="2025-01-12T14:22:00"/>
    <n v="143.93749999726424"/>
    <m/>
    <d v="2025-01-13T08:28:31"/>
    <d v="2025-01-13T09:24:31"/>
    <n v="54.833333337664953"/>
    <m/>
    <n v="1.9913333333315677"/>
    <n v="2"/>
    <n v="8.666666668432299E-3"/>
    <n v="47.791999999957625"/>
    <n v="12"/>
    <n v="35.791999999957625"/>
    <n v="4.358515869473198"/>
    <m/>
    <m/>
    <m/>
    <m/>
    <m/>
  </r>
  <r>
    <d v="2025-01-10T00:00:00"/>
    <x v="0"/>
    <m/>
    <s v="OM07GNXRR"/>
    <s v="Manual"/>
    <s v="Hamudi Sesanga"/>
    <s v="UAT 351G"/>
    <s v="KATO INVESTMENTS LIMITED-MASAK"/>
    <n v="153.6"/>
    <s v="F15703"/>
    <s v="OM"/>
    <n v="298"/>
    <n v="295"/>
    <n v="-3"/>
    <m/>
    <d v="2025-01-11T08:11:00"/>
    <d v="2025-01-11T07:30:00"/>
    <d v="2025-01-11T08:54:00"/>
    <n v="83.611111112501632"/>
    <n v="42.80092592986572"/>
    <m/>
    <d v="2025-01-12T09:13:00"/>
    <d v="2025-01-12T12:07:00"/>
    <n v="170.37500000136788"/>
    <m/>
    <d v="2025-01-11T19:10:00"/>
    <d v="2025-01-11T20:07:00"/>
    <n v="55.81249999726424"/>
    <m/>
    <n v="0.42777777777519077"/>
    <n v="2"/>
    <n v="1.5722222222248092"/>
    <n v="10.266666666604578"/>
    <n v="0"/>
    <n v="10.266666666604578"/>
    <n v="14.961038961129438"/>
    <m/>
    <m/>
    <m/>
    <m/>
    <m/>
  </r>
  <r>
    <d v="2025-01-11T00:00:00"/>
    <x v="0"/>
    <m/>
    <s v="OM02L9W8"/>
    <s v="Manual"/>
    <s v="Bulega Sperito"/>
    <s v="UBE 673K"/>
    <s v="Kabaco U Ltd "/>
    <n v="156"/>
    <s v="Z82141"/>
    <s v="OM"/>
    <n v="320"/>
    <n v="317"/>
    <n v="-3"/>
    <m/>
    <d v="2025-01-11T06:53:00"/>
    <d v="2025-01-11T07:30:00"/>
    <d v="2025-01-11T07:34:00"/>
    <n v="3.9814814840307613"/>
    <n v="40.810185182635905"/>
    <m/>
    <d v="2025-01-11T12:07:00"/>
    <d v="2025-01-11T14:59:00"/>
    <n v="168.41666666165111"/>
    <m/>
    <d v="2025-01-12T11:22:12"/>
    <d v="2025-01-12T12:20:12"/>
    <n v="56.791666667122627"/>
    <m/>
    <n v="1.1584722222251003"/>
    <n v="2"/>
    <n v="0.84152777777489973"/>
    <n v="27.803333333402406"/>
    <n v="12"/>
    <n v="15.803333333402406"/>
    <n v="9.8713351613152174"/>
    <m/>
    <m/>
    <m/>
    <m/>
    <m/>
  </r>
  <r>
    <d v="2025-01-11T00:00:00"/>
    <x v="0"/>
    <m/>
    <s v="OM02L9WM"/>
    <s v="Manual"/>
    <m/>
    <s v="UBK 866R"/>
    <s v="Kabaco U Ltd "/>
    <n v="156"/>
    <s v="Z82142"/>
    <s v="OM"/>
    <n v="320"/>
    <n v="319"/>
    <n v="-1"/>
    <m/>
    <d v="2025-01-11T07:21:00"/>
    <d v="2025-01-11T07:30:00"/>
    <d v="2025-01-11T08:04:00"/>
    <n v="33.842592598618161"/>
    <n v="42.80092592986572"/>
    <m/>
    <d v="2025-01-11T13:34:00"/>
    <d v="2025-01-11T16:46:00"/>
    <n v="187.99999999726424"/>
    <s v="Waited for empties from trade"/>
    <d v="2025-01-12T11:19:12"/>
    <d v="2025-01-12T12:18:12"/>
    <n v="57.770833336981013"/>
    <m/>
    <n v="1.1355555555564933"/>
    <n v="2"/>
    <n v="0.86444444444350665"/>
    <n v="27.25333333335584"/>
    <n v="12"/>
    <n v="15.25333333335584"/>
    <n v="10.227272727257636"/>
    <m/>
    <m/>
    <m/>
    <m/>
    <m/>
  </r>
  <r>
    <d v="2025-01-11T00:00:00"/>
    <x v="0"/>
    <m/>
    <s v="OM02L9X4"/>
    <s v="Manual"/>
    <s v="Bulega Sperito"/>
    <s v="UBE 673K"/>
    <s v="KATO INVESTMENTS LTD-KATIKARA"/>
    <n v="156"/>
    <s v="A20003"/>
    <s v="OM"/>
    <n v="790"/>
    <n v="787"/>
    <n v="-3"/>
    <m/>
    <d v="2025-01-11T07:04:00"/>
    <d v="2025-01-11T07:30:00"/>
    <d v="2025-01-11T07:48:00"/>
    <n v="17.916666662495118"/>
    <n v="43.796296293051761"/>
    <m/>
    <d v="2025-01-12T09:52:00"/>
    <d v="2025-01-12T12:46:00"/>
    <n v="170.37500000136788"/>
    <m/>
    <d v="2025-01-13T18:37:00"/>
    <d v="2025-01-13T19:35:00"/>
    <n v="56.791666667122627"/>
    <m/>
    <n v="2.4506944444437977"/>
    <n v="3"/>
    <n v="0.54930555555620231"/>
    <n v="58.816666666651145"/>
    <n v="24"/>
    <n v="34.816666666651145"/>
    <n v="4.4806127333672441"/>
    <m/>
    <m/>
    <m/>
    <m/>
    <m/>
  </r>
  <r>
    <d v="2025-01-11T00:00:00"/>
    <x v="0"/>
    <m/>
    <s v="OM4DOVGRR"/>
    <s v="Manual"/>
    <s v="Isaac Tumuhimbise"/>
    <s v="UBE 287X"/>
    <s v="KATO INVESTMENTS LTD- KALISIZO"/>
    <n v="153.6"/>
    <s v="F15704"/>
    <s v="OM"/>
    <n v="350"/>
    <n v="349"/>
    <n v="-1"/>
    <m/>
    <d v="2025-01-11T16:28:00"/>
    <d v="2025-01-11T16:16:00"/>
    <d v="2025-01-11T17:09:00"/>
    <n v="52.75462963472819"/>
    <n v="40.810185182635905"/>
    <m/>
    <d v="2025-01-12T09:16:00"/>
    <d v="2025-01-12T12:15:00"/>
    <n v="175.27083333014161"/>
    <m/>
    <d v="2025-01-13T13:59:00"/>
    <d v="2025-01-13T14:56:00"/>
    <n v="55.81249999726424"/>
    <m/>
    <n v="1.8680555555547471"/>
    <n v="2"/>
    <n v="0.13194444444525288"/>
    <n v="44.833333333313931"/>
    <n v="12"/>
    <n v="32.833333333313931"/>
    <n v="4.6781725888352517"/>
    <m/>
    <m/>
    <m/>
    <m/>
    <m/>
  </r>
  <r>
    <d v="2025-01-11T00:00:00"/>
    <x v="0"/>
    <m/>
    <s v="OMDBS1TRR"/>
    <s v="Manual"/>
    <s v="Luyaga Isaac"/>
    <s v="UAY 265V"/>
    <s v="Kato Investments Ltd-Bulenga"/>
    <n v="153.6"/>
    <s v="A19992"/>
    <s v="OM"/>
    <n v="560"/>
    <n v="561"/>
    <n v="1"/>
    <m/>
    <d v="2025-01-12T08:10:00"/>
    <d v="2025-01-12T07:30:00"/>
    <d v="2025-01-12T08:50:00"/>
    <n v="79.629629628470866"/>
    <n v="39.814814819449872"/>
    <m/>
    <d v="2025-01-12T09:09:00"/>
    <d v="2025-01-12T12:01:00"/>
    <n v="168.41666666165111"/>
    <m/>
    <d v="2025-01-14T14:21:12"/>
    <d v="2025-01-14T15:20:12"/>
    <n v="57.770833336981013"/>
    <m/>
    <n v="2.2300000000032014"/>
    <n v="3"/>
    <n v="0.76999999999679858"/>
    <n v="53.520000000076834"/>
    <n v="24"/>
    <n v="29.520000000076834"/>
    <n v="5.2032520325067821"/>
    <m/>
    <m/>
    <m/>
    <m/>
    <m/>
  </r>
  <r>
    <d v="2025-01-11T00:00:00"/>
    <x v="0"/>
    <m/>
    <s v="OM25K0CRR"/>
    <s v="DJ"/>
    <s v="James  Kironde"/>
    <s v="UBK 881R"/>
    <s v="Kabaco U Ltd-Mbarara "/>
    <n v="153.6"/>
    <s v="Z82139"/>
    <s v="OM"/>
    <n v="20"/>
    <n v="19"/>
    <n v="-1"/>
    <m/>
    <d v="2025-01-12T07:10:00"/>
    <d v="2025-01-12T07:30:00"/>
    <d v="2025-01-12T07:51:00"/>
    <n v="20.902777772910969"/>
    <n v="40.810185182635905"/>
    <m/>
    <d v="2025-01-13T08:50:00"/>
    <d v="2025-01-13T12:00:00"/>
    <n v="186.04166666780657"/>
    <s v="Dj failure at customer"/>
    <d v="2025-01-12T14:18:00"/>
    <d v="2025-01-12T15:12:00"/>
    <n v="52.87499999794818"/>
    <m/>
    <n v="0.26875000000291038"/>
    <n v="1"/>
    <n v="0.73124999999708962"/>
    <n v="6.4500000000698492"/>
    <n v="0"/>
    <n v="6.4500000000698492"/>
    <n v="23.813953488114201"/>
    <m/>
    <m/>
    <m/>
    <m/>
    <m/>
  </r>
  <r>
    <d v="2025-01-11T00:00:00"/>
    <x v="0"/>
    <m/>
    <s v="OMJUD54RR"/>
    <s v="Manual"/>
    <s v="Kilabila Ismail"/>
    <s v="UBE 419T"/>
    <s v="KATO INVESTMENTS LIMITED-MASAK"/>
    <n v="153.6"/>
    <s v="F15709"/>
    <s v="OM"/>
    <n v="298"/>
    <n v="297"/>
    <n v="-1"/>
    <m/>
    <d v="2025-01-12T08:09:00"/>
    <d v="2025-01-12T07:30:00"/>
    <d v="2025-01-12T08:52:00"/>
    <n v="81.62037036527181"/>
    <n v="42.80092592986572"/>
    <m/>
    <d v="2025-01-12T09:17:24"/>
    <d v="2025-01-12T12:09:24"/>
    <n v="168.41666666165111"/>
    <m/>
    <d v="2025-01-13T07:38:00"/>
    <d v="2025-01-13T08:36:00"/>
    <n v="56.791666667122627"/>
    <m/>
    <n v="0.94861111111094942"/>
    <n v="2"/>
    <n v="1.0513888888890506"/>
    <n v="22.766666666662786"/>
    <n v="0"/>
    <n v="22.766666666662786"/>
    <n v="6.7467057101036385"/>
    <m/>
    <m/>
    <m/>
    <m/>
    <m/>
  </r>
  <r>
    <d v="2025-01-11T00:00:00"/>
    <x v="0"/>
    <m/>
    <s v="OM0X9GERR"/>
    <s v="Manual"/>
    <s v="Hamudi Sesanga"/>
    <s v="UAT 351G"/>
    <s v="KATO INVESTMENTS LIMITED-MASAK"/>
    <n v="153.6"/>
    <s v="F15710"/>
    <s v="OM"/>
    <n v="298"/>
    <n v="297"/>
    <n v="-1"/>
    <m/>
    <d v="2025-01-12T07:52:00"/>
    <d v="2025-01-12T07:30:00"/>
    <d v="2025-01-12T08:35:00"/>
    <n v="64.699074065962733"/>
    <n v="42.80092592986572"/>
    <m/>
    <d v="2025-01-12T12:05:00"/>
    <d v="2025-01-12T14:57:00"/>
    <n v="168.41666666165111"/>
    <m/>
    <d v="2025-01-13T08:04:00"/>
    <d v="2025-01-13T09:00:00"/>
    <n v="54.833333337664953"/>
    <m/>
    <n v="0.97847222221753327"/>
    <n v="2"/>
    <n v="1.0215277777824667"/>
    <n v="23.483333333220799"/>
    <n v="0"/>
    <n v="23.483333333220799"/>
    <n v="6.5408090844884059"/>
    <m/>
    <m/>
    <m/>
    <m/>
    <m/>
  </r>
  <r>
    <d v="2025-01-12T00:00:00"/>
    <x v="0"/>
    <m/>
    <s v="OM02L9YT"/>
    <s v="Manual"/>
    <m/>
    <s v="UBK 866R"/>
    <s v="Kobusinge Steven-Kamwenge"/>
    <n v="156"/>
    <s v="Z82148"/>
    <s v="OM"/>
    <n v="288"/>
    <n v="289"/>
    <n v="1"/>
    <m/>
    <d v="2025-01-12T07:57:00"/>
    <d v="2025-01-12T07:30:00"/>
    <d v="2025-01-12T08:53:00"/>
    <n v="82.615740738886714"/>
    <n v="55.740740745144045"/>
    <s v="DJ failures "/>
    <d v="2025-01-12T11:48:00"/>
    <d v="2025-01-12T14:40:00"/>
    <n v="168.41666666165111"/>
    <m/>
    <d v="2025-01-14T10:12:24"/>
    <d v="2025-01-14T11:06:24"/>
    <n v="52.87499999794818"/>
    <m/>
    <n v="2.055138888892543"/>
    <n v="2"/>
    <n v="-5.5138888892543036E-2"/>
    <n v="49.323333333421033"/>
    <n v="24"/>
    <n v="25.323333333421033"/>
    <n v="6.1603264446278692"/>
    <m/>
    <m/>
    <m/>
    <m/>
    <m/>
  </r>
  <r>
    <d v="2025-01-13T00:00:00"/>
    <x v="0"/>
    <m/>
    <s v="OM02LA1G"/>
    <s v="Manual"/>
    <m/>
    <s v="UBE 678K"/>
    <s v="Kato Investment Ltd -Mityana"/>
    <n v="157.5"/>
    <s v="A20019"/>
    <s v="OM"/>
    <n v="690"/>
    <n v="689"/>
    <n v="-1"/>
    <m/>
    <d v="2025-01-13T07:58:00"/>
    <d v="2025-01-13T07:30:00"/>
    <d v="2025-01-13T08:37:00"/>
    <n v="66.689814813192541"/>
    <n v="38.819444445834961"/>
    <m/>
    <d v="2025-01-13T09:23:00"/>
    <d v="2025-01-13T11:50:00"/>
    <n v="143.93749999726424"/>
    <m/>
    <d v="2025-01-15T09:58:55"/>
    <d v="2025-01-15T10:56:55"/>
    <n v="56.791666667122627"/>
    <m/>
    <n v="2.0568888888810761"/>
    <n v="3"/>
    <n v="0.94311111111892387"/>
    <n v="49.365333333145827"/>
    <n v="24"/>
    <n v="25.365333333145827"/>
    <n v="6.209261984907128"/>
    <m/>
    <m/>
    <m/>
    <m/>
    <m/>
  </r>
  <r>
    <d v="2025-01-13T00:00:00"/>
    <x v="0"/>
    <m/>
    <s v="OMWT228RR"/>
    <s v="Manual"/>
    <s v="Mugisha  George"/>
    <s v="UAV 203T"/>
    <s v="Kabaco U Ltd-Mbarara "/>
    <n v="153.6"/>
    <s v="Z82152"/>
    <s v="OM"/>
    <n v="20"/>
    <n v="21"/>
    <n v="1"/>
    <m/>
    <d v="2025-01-13T12:43:00"/>
    <d v="2025-01-13T12:06:00"/>
    <d v="2025-01-13T13:26:00"/>
    <n v="79.629629628470866"/>
    <n v="42.80092592986572"/>
    <m/>
    <d v="2025-01-14T09:37:00"/>
    <d v="2025-01-14T12:27:00"/>
    <n v="166.45833333219343"/>
    <m/>
    <d v="2025-01-13T18:27:00"/>
    <d v="2025-01-13T19:25:00"/>
    <n v="56.791666667122627"/>
    <m/>
    <n v="0.20902777778246673"/>
    <n v="1"/>
    <n v="0.79097222221753327"/>
    <n v="5.0166666667792015"/>
    <n v="0"/>
    <n v="5.0166666667792015"/>
    <n v="30.617940198648721"/>
    <m/>
    <m/>
    <m/>
    <m/>
    <m/>
  </r>
  <r>
    <d v="2025-01-13T00:00:00"/>
    <x v="0"/>
    <m/>
    <s v="OMRIOMRRR"/>
    <s v="Manual"/>
    <s v="Benon Ssempijja"/>
    <s v="UAY 526V"/>
    <s v="Ntale and Sons"/>
    <n v="144"/>
    <s v="A20020"/>
    <s v="OM"/>
    <n v="810"/>
    <n v="811"/>
    <n v="1"/>
    <m/>
    <d v="2025-01-13T12:30:00"/>
    <d v="2025-01-13T12:07:00"/>
    <d v="2025-01-13T13:11:00"/>
    <n v="63.703703702776693"/>
    <n v="40.810185182635905"/>
    <m/>
    <d v="2025-01-13T14:02:00"/>
    <d v="2025-01-13T16:42:00"/>
    <n v="156.66666666438687"/>
    <m/>
    <d v="2025-01-18T14:51:48"/>
    <d v="2025-01-18T16:12:48"/>
    <n v="79.31250000205182"/>
    <s v="Traffic at gate"/>
    <n v="5.069999999999709"/>
    <n v="3"/>
    <n v="-2.069999999999709"/>
    <n v="121.67999999999302"/>
    <n v="60"/>
    <n v="61.679999999993015"/>
    <n v="2.3346303501948169"/>
    <m/>
    <m/>
    <m/>
    <m/>
    <m/>
  </r>
  <r>
    <d v="2025-01-13T00:00:00"/>
    <x v="0"/>
    <m/>
    <s v="OM7MQQSRR"/>
    <s v="Manual"/>
    <s v="Angello Lumala"/>
    <s v="UAV 051U"/>
    <s v="RUGOMA TRADERS CO. LTD NTUNGAM"/>
    <n v="153.6"/>
    <s v="F15714"/>
    <s v="OM"/>
    <n v="150"/>
    <n v="149"/>
    <n v="-1"/>
    <m/>
    <d v="2025-01-13T22:18:00"/>
    <d v="2025-01-13T22:06:00"/>
    <d v="2025-01-13T22:57:00"/>
    <n v="50.763888897927245"/>
    <n v="38.819444445834961"/>
    <m/>
    <d v="2025-01-14T19:11:00"/>
    <d v="2025-01-14T22:03:00"/>
    <n v="168.41666666165111"/>
    <m/>
    <d v="2025-01-14T18:37:00"/>
    <d v="2025-01-14T19:33:00"/>
    <n v="54.833333337664953"/>
    <m/>
    <n v="0.81944444444525288"/>
    <n v="1"/>
    <n v="0.18055555555474712"/>
    <n v="19.666666666686069"/>
    <n v="0"/>
    <n v="19.666666666686069"/>
    <n v="7.8101694915177182"/>
    <m/>
    <m/>
    <m/>
    <m/>
    <m/>
  </r>
  <r>
    <d v="2025-01-14T00:00:00"/>
    <x v="0"/>
    <m/>
    <s v="OM2878BRR"/>
    <s v="Manual"/>
    <s v="Kilabila Ismail"/>
    <s v="UBE 419T"/>
    <s v="Boniface Harera"/>
    <n v="153.6"/>
    <s v="F15715"/>
    <s v="OM"/>
    <n v="448"/>
    <n v="449"/>
    <n v="1"/>
    <m/>
    <d v="2025-01-15T07:10:00"/>
    <d v="2025-01-15T07:30:00"/>
    <d v="2025-01-15T07:50:00"/>
    <n v="19.907407409724936"/>
    <n v="39.814814819449872"/>
    <m/>
    <d v="2025-01-14T11:27:00"/>
    <d v="2025-01-14T15:29:00"/>
    <n v="236.95833333629707"/>
    <s v="Waited for empties from trade"/>
    <d v="2025-01-17T13:33:00"/>
    <d v="2025-01-17T14:30:00"/>
    <n v="55.81249999726424"/>
    <m/>
    <n v="2.2381944444423425"/>
    <n v="2"/>
    <n v="-0.2381944444423425"/>
    <n v="53.71666666661622"/>
    <n v="24"/>
    <n v="29.71666666661622"/>
    <n v="5.16881660124265"/>
    <m/>
    <m/>
    <m/>
    <m/>
    <m/>
  </r>
  <r>
    <d v="2025-01-14T00:00:00"/>
    <x v="0"/>
    <m/>
    <s v="OMMGTQTRR"/>
    <s v="Manual"/>
    <s v="Isaac Tumuhimbise"/>
    <s v="UBE 287X"/>
    <s v="Kabaco U Ltd "/>
    <n v="153.6"/>
    <s v="Z82160"/>
    <s v="OM"/>
    <n v="320"/>
    <n v="319"/>
    <n v="-1"/>
    <m/>
    <d v="2025-01-15T06:57:00"/>
    <d v="2025-01-15T07:30:00"/>
    <d v="2025-01-15T07:36:00"/>
    <n v="5.9722222208317062"/>
    <n v="38.819444445834961"/>
    <m/>
    <d v="2025-01-16T09:50:00"/>
    <d v="2025-01-16T12:49:00"/>
    <n v="175.27083333014161"/>
    <m/>
    <d v="2025-01-16T11:22:12"/>
    <d v="2025-01-16T12:11:12"/>
    <n v="47.979166669174447"/>
    <m/>
    <n v="1.1570833333316841"/>
    <n v="2"/>
    <n v="0.84291666666831588"/>
    <n v="27.769999999960419"/>
    <n v="12"/>
    <n v="15.769999999960419"/>
    <n v="9.7400126823326261"/>
    <m/>
    <m/>
    <m/>
    <m/>
    <m/>
  </r>
  <r>
    <d v="2025-01-14T00:00:00"/>
    <x v="0"/>
    <m/>
    <s v="OMU6OH3RR"/>
    <s v="Manual"/>
    <s v="Hamudi Sesanga"/>
    <s v="UAT 351G"/>
    <s v="Kabaco U Ltd-Mbarara "/>
    <n v="155.625"/>
    <s v="Z82159"/>
    <s v="OM"/>
    <n v="20"/>
    <n v="17"/>
    <n v="-3"/>
    <m/>
    <d v="2025-01-15T06:51:00"/>
    <d v="2025-01-15T07:30:00"/>
    <d v="2025-01-15T07:30:00"/>
    <n v="0"/>
    <n v="38.819444445834961"/>
    <m/>
    <d v="2025-01-15T13:36:00"/>
    <d v="2025-01-15T16:28:00"/>
    <n v="168.41666666165111"/>
    <m/>
    <d v="2025-01-15T11:58:00"/>
    <d v="2025-01-15T12:56:00"/>
    <n v="56.791666667122627"/>
    <m/>
    <n v="0.18611111111385981"/>
    <n v="1"/>
    <n v="0.81388888888614019"/>
    <n v="4.4666666667326353"/>
    <n v="0"/>
    <n v="4.4666666667326353"/>
    <n v="34.841417909933185"/>
    <m/>
    <m/>
    <m/>
    <m/>
    <m/>
  </r>
  <r>
    <d v="2025-01-15T00:00:00"/>
    <x v="0"/>
    <m/>
    <s v="OMIPYWZRR"/>
    <s v="Manual"/>
    <s v="Hamudi Sesanga"/>
    <s v="UAT 351G"/>
    <s v="KATO INVESTMENTS LTD- KALISIZO"/>
    <n v="151.42500000000001"/>
    <s v="F15718"/>
    <s v="OM"/>
    <n v="350"/>
    <n v="349"/>
    <n v="-1"/>
    <m/>
    <d v="2025-01-15T17:19:00"/>
    <d v="2025-01-15T17:00:00"/>
    <d v="2025-01-15T18:02:00"/>
    <n v="61.712962955546878"/>
    <n v="42.80092592986572"/>
    <m/>
    <d v="2025-01-15T08:12:00"/>
    <d v="2025-01-15T11:12:00"/>
    <n v="176.25"/>
    <m/>
    <d v="2025-01-17T11:34:38"/>
    <d v="2025-01-17T12:30:38"/>
    <n v="54.833333337664953"/>
    <m/>
    <n v="1.7310000000070431"/>
    <n v="2"/>
    <n v="0.26899999999295687"/>
    <n v="41.544000000169035"/>
    <n v="12"/>
    <n v="29.544000000169035"/>
    <n v="5.1254061738130803"/>
    <m/>
    <m/>
    <m/>
    <m/>
    <m/>
  </r>
  <r>
    <d v="2025-01-15T00:00:00"/>
    <x v="0"/>
    <m/>
    <s v="OMK9VQKRR"/>
    <s v="Manual"/>
    <s v="BYEKWASO TWAHA"/>
    <s v="UBE 680K"/>
    <s v="Ntale and Sons Ltd-Kakiri"/>
    <n v="156"/>
    <s v="A20070"/>
    <s v="OM"/>
    <n v="620"/>
    <n v="621"/>
    <n v="1"/>
    <m/>
    <d v="2025-01-16T07:14:00"/>
    <d v="2025-01-16T07:30:00"/>
    <d v="2025-01-16T07:55:00"/>
    <n v="24.884259256941732"/>
    <n v="40.810185182635905"/>
    <m/>
    <d v="2025-01-16T07:02:00"/>
    <d v="2025-01-16T10:02:00"/>
    <n v="176.25"/>
    <m/>
    <d v="2025-01-18T10:27:24"/>
    <d v="2025-01-18T11:24:24"/>
    <n v="55.81249999726424"/>
    <m/>
    <n v="2.1058333333348855"/>
    <n v="3"/>
    <n v="0.89416666666511446"/>
    <n v="50.540000000037253"/>
    <n v="24"/>
    <n v="26.540000000037253"/>
    <n v="5.87792012056447"/>
    <m/>
    <m/>
    <m/>
    <m/>
    <m/>
  </r>
  <r>
    <d v="2025-01-16T00:00:00"/>
    <x v="0"/>
    <m/>
    <s v="OM02LB8W"/>
    <s v="Manual"/>
    <m/>
    <s v="UBK 866R"/>
    <s v="Kato Investment Ltd -Mubende"/>
    <n v="156"/>
    <s v="A20086"/>
    <s v="OM"/>
    <n v="680"/>
    <n v="677"/>
    <n v="-3"/>
    <m/>
    <d v="2025-01-16T07:45:00"/>
    <d v="2025-01-16T07:30:00"/>
    <d v="2025-01-16T08:26:00"/>
    <n v="55.740740734715168"/>
    <n v="40.810185182635905"/>
    <m/>
    <d v="2025-01-16T20:25:00"/>
    <d v="2025-01-16T23:05:00"/>
    <n v="156.66666666438687"/>
    <m/>
    <d v="2025-01-18T16:03:17"/>
    <d v="2025-01-18T17:00:17"/>
    <n v="55.81249999726424"/>
    <m/>
    <n v="2.3175555555571918"/>
    <n v="3"/>
    <n v="0.68244444444280816"/>
    <n v="55.621333333372604"/>
    <n v="24"/>
    <n v="31.621333333372604"/>
    <n v="4.9333783099955602"/>
    <m/>
    <m/>
    <m/>
    <m/>
    <m/>
  </r>
  <r>
    <d v="2025-01-16T00:00:00"/>
    <x v="0"/>
    <m/>
    <s v="OM02LBA5"/>
    <s v="Manual"/>
    <s v="Kakembo Masuud"/>
    <s v="UBB 115P"/>
    <s v="Kobusinge Acaali- Kyenjojo"/>
    <n v="156"/>
    <s v="Z82195"/>
    <s v="OM"/>
    <n v="580"/>
    <n v="577"/>
    <n v="-3"/>
    <m/>
    <d v="2025-01-16T07:10:00"/>
    <d v="2025-01-16T07:30:00"/>
    <d v="2025-01-16T07:50:00"/>
    <n v="19.907407409724936"/>
    <n v="39.814814819449872"/>
    <m/>
    <d v="2025-01-17T10:43:00"/>
    <d v="2025-01-17T13:43:00"/>
    <n v="176.25"/>
    <m/>
    <d v="2025-01-18T16:47:58"/>
    <d v="2025-01-18T17:45:58"/>
    <n v="56.791666667122627"/>
    <m/>
    <n v="2.3735833333339542"/>
    <n v="2"/>
    <n v="-0.37358333333395422"/>
    <n v="56.966000000014901"/>
    <n v="24"/>
    <n v="32.966000000014901"/>
    <n v="4.7321482739771126"/>
    <m/>
    <m/>
    <m/>
    <m/>
    <m/>
  </r>
  <r>
    <d v="2025-01-16T00:00:00"/>
    <x v="0"/>
    <m/>
    <s v="OM02LB8X"/>
    <s v="Manual"/>
    <m/>
    <s v="UBK 866R"/>
    <s v="Bates Enterprises U Ltd"/>
    <n v="156"/>
    <s v="Z82190"/>
    <s v="OM"/>
    <n v="464"/>
    <n v="461"/>
    <n v="-3"/>
    <m/>
    <d v="2025-01-16T06:37:00"/>
    <d v="2025-01-16T07:30:00"/>
    <d v="2025-01-16T07:40:00"/>
    <n v="9.9537037048624679"/>
    <n v="62.708333329161782"/>
    <s v="Jam at the weigh bridge"/>
    <d v="2025-01-17T09:50:00"/>
    <d v="2025-01-17T12:33:00"/>
    <n v="159.60416666370293"/>
    <m/>
    <d v="2025-01-19T15:04:00"/>
    <d v="2025-01-19T16:00:00"/>
    <n v="54.833333337664953"/>
    <m/>
    <n v="3.3083333333343035"/>
    <n v="3"/>
    <n v="-0.30833333333430346"/>
    <n v="79.400000000023283"/>
    <n v="36"/>
    <n v="43.400000000023283"/>
    <n v="3.5944700460810211"/>
    <m/>
    <m/>
    <m/>
    <m/>
    <m/>
  </r>
  <r>
    <d v="2025-01-16T00:00:00"/>
    <x v="0"/>
    <m/>
    <s v="OM02LB8G"/>
    <s v="Manual"/>
    <m/>
    <s v="UBK 866R"/>
    <s v="Kabaco U Ltd "/>
    <n v="156"/>
    <s v="Z82186"/>
    <s v="OM"/>
    <n v="320"/>
    <n v="318"/>
    <n v="-2"/>
    <m/>
    <d v="2025-01-16T07:21:00"/>
    <d v="2025-01-16T07:30:00"/>
    <d v="2025-01-16T08:02:00"/>
    <n v="31.851851851388346"/>
    <n v="40.810185182635905"/>
    <m/>
    <d v="2025-01-18T07:40:00"/>
    <d v="2025-01-18T10:40:00"/>
    <n v="176.25"/>
    <m/>
    <d v="2025-01-17T11:08:12"/>
    <d v="2025-01-17T12:05:12"/>
    <n v="55.81249999726424"/>
    <m/>
    <n v="1.1293055555579485"/>
    <n v="2"/>
    <n v="0.87069444444205146"/>
    <n v="27.103333333390765"/>
    <n v="12"/>
    <n v="15.103333333390765"/>
    <n v="10.328845729380278"/>
    <m/>
    <m/>
    <m/>
    <m/>
    <m/>
  </r>
  <r>
    <d v="2025-01-16T00:00:00"/>
    <x v="0"/>
    <m/>
    <s v="OMGCR2FRR"/>
    <s v="Manual"/>
    <s v="Luyaga Isaac"/>
    <s v="UAY 265V"/>
    <s v="RUGOMA TRADERS CO. LTD NTUNGAM"/>
    <n v="153.6"/>
    <s v="F15725"/>
    <s v="OM"/>
    <n v="150"/>
    <n v="151"/>
    <n v="1"/>
    <m/>
    <d v="2025-01-17T08:02:00"/>
    <d v="2025-01-17T07:30:00"/>
    <d v="2025-01-17T08:42:00"/>
    <n v="71.666666660409348"/>
    <n v="39.814814819449872"/>
    <m/>
    <d v="2025-01-16T14:02:00"/>
    <d v="2025-01-16T16:54:00"/>
    <n v="168.41666666165111"/>
    <m/>
    <d v="2025-01-17T19:08:00"/>
    <d v="2025-01-17T20:05:00"/>
    <n v="55.81249999726424"/>
    <m/>
    <n v="0.43472222222771961"/>
    <n v="1"/>
    <n v="0.56527777777228039"/>
    <n v="10.433333333465271"/>
    <n v="0"/>
    <n v="10.433333333465271"/>
    <n v="14.722044728248333"/>
    <m/>
    <m/>
    <m/>
    <m/>
    <m/>
  </r>
  <r>
    <d v="2025-01-16T00:00:00"/>
    <x v="0"/>
    <m/>
    <s v="OML8B0JRR"/>
    <s v="Manual"/>
    <m/>
    <s v="UBF 379L"/>
    <s v="Kabaco U Ltd "/>
    <n v="154.34399999999999"/>
    <s v="Z82197"/>
    <s v="OM"/>
    <n v="320"/>
    <n v="319"/>
    <n v="-1"/>
    <m/>
    <d v="2025-01-17T08:11:00"/>
    <d v="2025-01-17T07:30:00"/>
    <d v="2025-01-17T08:52:00"/>
    <n v="81.62037036527181"/>
    <n v="40.810185182635905"/>
    <m/>
    <d v="2025-01-17T10:58:00"/>
    <d v="2025-01-17T13:58:00"/>
    <n v="176.25"/>
    <m/>
    <d v="2025-01-18T12:40:12"/>
    <d v="2025-01-18T13:36:12"/>
    <n v="54.833333337664953"/>
    <m/>
    <n v="1.1584722222251003"/>
    <n v="2"/>
    <n v="0.84152777777489973"/>
    <n v="27.803333333402406"/>
    <n v="12"/>
    <n v="15.803333333402406"/>
    <n v="9.7665471419104861"/>
    <m/>
    <m/>
    <m/>
    <m/>
    <m/>
  </r>
  <r>
    <d v="2025-01-16T00:00:00"/>
    <x v="0"/>
    <m/>
    <s v="OMFJAHBRR"/>
    <s v="Manual"/>
    <m/>
    <s v="UBJ 419C"/>
    <s v="KATO INVESTMENTS LTD-KATIKARA"/>
    <n v="156"/>
    <s v="A20095"/>
    <s v="OM"/>
    <n v="790"/>
    <n v="789"/>
    <n v="-1"/>
    <m/>
    <d v="2025-01-16T07:39:00"/>
    <d v="2025-01-16T07:30:00"/>
    <d v="2025-01-16T08:44:00"/>
    <n v="73.657407407639155"/>
    <n v="64.699074076391597"/>
    <s v="Unplanned Training"/>
    <d v="2025-01-17T14:52:00"/>
    <d v="2025-01-17T17:35:00"/>
    <n v="159.60416666370293"/>
    <m/>
    <d v="2025-01-18T19:46:00"/>
    <d v="2025-01-18T20:45:00"/>
    <n v="57.770833336981013"/>
    <m/>
    <n v="2.4597222222218988"/>
    <n v="3"/>
    <n v="0.54027777777810115"/>
    <n v="59.033333333325572"/>
    <n v="24"/>
    <n v="35.033333333325572"/>
    <n v="4.4529019980980369"/>
    <m/>
    <m/>
    <m/>
    <m/>
    <m/>
  </r>
  <r>
    <d v="2025-01-17T00:00:00"/>
    <x v="0"/>
    <m/>
    <s v="OM02LBK3"/>
    <s v="Manual"/>
    <s v="Kakembo Masuud"/>
    <s v="UBB 115P"/>
    <s v="Bates Enterprises U Ltd"/>
    <n v="156"/>
    <s v="Z82198"/>
    <s v="OM"/>
    <n v="464"/>
    <n v="465"/>
    <n v="1"/>
    <m/>
    <d v="2025-01-17T08:01:00"/>
    <d v="2025-01-17T07:30:00"/>
    <d v="2025-01-17T08:42:00"/>
    <n v="71.666666660409348"/>
    <n v="40.810185182635905"/>
    <m/>
    <d v="2025-01-17T09:59:00"/>
    <d v="2025-01-17T12:58:00"/>
    <n v="175.27083333014161"/>
    <m/>
    <d v="2025-01-20T16:16:00"/>
    <d v="2025-01-20T17:15:00"/>
    <n v="57.770833336981013"/>
    <m/>
    <n v="3.3152777777795563"/>
    <n v="3"/>
    <n v="-0.31527777777955635"/>
    <n v="79.566666666709352"/>
    <n v="36"/>
    <n v="43.566666666709352"/>
    <n v="3.5807192042811131"/>
    <m/>
    <m/>
    <m/>
    <m/>
    <m/>
  </r>
  <r>
    <d v="2025-01-17T00:00:00"/>
    <x v="0"/>
    <m/>
    <s v="OMC325YRR"/>
    <s v="Manual"/>
    <s v="Isaac Tumuhimbise"/>
    <s v="UBE 287X"/>
    <s v="Rugoma Traders-Kanungu/Kihihi"/>
    <n v="153.6"/>
    <s v="F15726"/>
    <s v="OM"/>
    <n v="414"/>
    <n v="415"/>
    <n v="1"/>
    <m/>
    <d v="2025-01-17T14:19:00"/>
    <d v="2025-01-17T13:59:00"/>
    <d v="2025-01-17T15:00:00"/>
    <n v="60.717592592360838"/>
    <n v="40.810185182635905"/>
    <m/>
    <d v="2025-01-19T08:42:00"/>
    <d v="2025-01-19T13:34:00"/>
    <n v="285.91666666507081"/>
    <s v="truck faulty"/>
    <d v="2025-01-18T19:10:00"/>
    <d v="2025-01-18T20:32:00"/>
    <n v="80.291666661651107"/>
    <s v="dj failures at the gate"/>
    <n v="1.1736111111094942"/>
    <n v="2"/>
    <n v="0.82638888889050577"/>
    <n v="28.166666666627862"/>
    <n v="12"/>
    <n v="16.166666666627862"/>
    <n v="9.5010309278578564"/>
    <m/>
    <m/>
    <m/>
    <m/>
    <m/>
  </r>
  <r>
    <d v="2025-01-17T00:00:00"/>
    <x v="0"/>
    <m/>
    <s v="OMGBRN0RR"/>
    <s v="Manual"/>
    <s v="Mugisha  George"/>
    <s v="UAV 203T"/>
    <s v="KATO INVESTMENTS LIMITED-MASAK"/>
    <n v="153.6"/>
    <s v="F15727"/>
    <s v="OM"/>
    <n v="298"/>
    <n v="295"/>
    <n v="-3"/>
    <m/>
    <d v="2025-01-17T16:25:00"/>
    <d v="2025-01-17T15:53:00"/>
    <d v="2025-01-17T17:06:00"/>
    <n v="72.662037034024252"/>
    <n v="40.810185182635905"/>
    <m/>
    <d v="2025-01-18T07:35:00"/>
    <d v="2025-01-18T10:27:00"/>
    <n v="168.41666666165111"/>
    <m/>
    <d v="2025-01-18T15:22:00"/>
    <d v="2025-01-18T16:44:00"/>
    <n v="80.291666661651107"/>
    <s v="sorting delays"/>
    <n v="0.92777777777519077"/>
    <n v="2"/>
    <n v="1.0722222222248092"/>
    <n v="22.266666666604578"/>
    <n v="0"/>
    <n v="22.266666666604578"/>
    <n v="6.8982035928336058"/>
    <m/>
    <m/>
    <m/>
    <m/>
    <m/>
  </r>
  <r>
    <d v="2025-01-17T00:00:00"/>
    <x v="0"/>
    <m/>
    <s v="OMZ664MRR"/>
    <s v="Manual"/>
    <s v="SENTONG DAVID"/>
    <s v="UBP 298H"/>
    <s v="Kato Investment Ltd -Kagadi"/>
    <n v="156"/>
    <s v="A20123"/>
    <s v="OM"/>
    <n v="670"/>
    <n v="669"/>
    <n v="-1"/>
    <m/>
    <d v="2025-01-18T08:05:00"/>
    <d v="2025-01-18T07:30:00"/>
    <d v="2025-01-18T08:46:00"/>
    <n v="75.6481481444401"/>
    <n v="40.810185182635905"/>
    <m/>
    <d v="2025-01-18T08:19:00"/>
    <d v="2025-01-18T11:19:00"/>
    <n v="176.25"/>
    <m/>
    <d v="2025-01-20T09:34:31"/>
    <d v="2025-01-20T10:27:31"/>
    <n v="51.895833338348893"/>
    <m/>
    <n v="2.0336944444497931"/>
    <n v="2"/>
    <n v="-3.3694444449793082E-2"/>
    <n v="48.808666666795034"/>
    <n v="24"/>
    <n v="24.808666666795034"/>
    <n v="6.2881251175339052"/>
    <m/>
    <m/>
    <m/>
    <m/>
    <m/>
  </r>
  <r>
    <d v="2025-01-17T00:00:00"/>
    <x v="0"/>
    <m/>
    <s v="OM4B5TARR"/>
    <s v="Manual"/>
    <m/>
    <s v="UBM 648D"/>
    <s v="Kato Investment Ltd -Mityana"/>
    <n v="156"/>
    <s v="A20124"/>
    <s v="OM"/>
    <n v="690"/>
    <n v="687"/>
    <n v="-3"/>
    <m/>
    <d v="2025-01-17T08:11:00"/>
    <d v="2025-01-17T07:30:00"/>
    <d v="2025-01-17T08:55:00"/>
    <n v="84.606481475687659"/>
    <n v="43.796296293051761"/>
    <m/>
    <d v="2025-01-19T10:46:00"/>
    <d v="2025-01-19T13:38:00"/>
    <n v="168.41666666165111"/>
    <m/>
    <d v="2025-01-19T12:14:43"/>
    <d v="2025-01-19T13:11:43"/>
    <n v="55.81249999726424"/>
    <m/>
    <n v="2.1386944444457185"/>
    <n v="3"/>
    <n v="0.86130555555428145"/>
    <n v="51.328666666697245"/>
    <n v="24"/>
    <n v="27.328666666697245"/>
    <n v="5.7082916595452433"/>
    <m/>
    <m/>
    <m/>
    <m/>
    <m/>
  </r>
  <r>
    <d v="2025-01-18T00:00:00"/>
    <x v="0"/>
    <m/>
    <s v="OMN2SNYRR"/>
    <s v="Manual"/>
    <s v="Tumusiime Robert"/>
    <s v="UBJ 988D"/>
    <s v="RUGOMA TRADERS CO. LTD NTUNGAM"/>
    <n v="153.6"/>
    <s v="F15738"/>
    <s v="OM"/>
    <n v="150"/>
    <n v="151"/>
    <n v="1"/>
    <m/>
    <d v="2025-01-19T08:02:00"/>
    <d v="2025-01-19T07:30:00"/>
    <d v="2025-01-19T08:42:00"/>
    <n v="71.666666660409348"/>
    <n v="39.814814819449872"/>
    <m/>
    <d v="2025-01-18T10:55:00"/>
    <d v="2025-01-18T13:35:00"/>
    <n v="156.66666666438687"/>
    <m/>
    <d v="2025-01-19T19:28:00"/>
    <d v="2025-01-19T20:24:00"/>
    <n v="54.833333337664953"/>
    <m/>
    <n v="0.44861111111822538"/>
    <n v="1"/>
    <n v="0.55138888888177462"/>
    <n v="10.766666666837409"/>
    <n v="0"/>
    <n v="10.766666666837409"/>
    <n v="14.266253869742799"/>
    <m/>
    <m/>
    <m/>
    <m/>
    <m/>
  </r>
  <r>
    <d v="2025-01-19T00:00:00"/>
    <x v="0"/>
    <m/>
    <s v="OM02LBWD"/>
    <s v="Manual"/>
    <m/>
    <s v="UBP 311H"/>
    <s v="KATO INVESTMENTS LTD-KATIKARA"/>
    <n v="156"/>
    <s v="A20149"/>
    <s v="OM"/>
    <n v="790"/>
    <n v="787"/>
    <n v="-3"/>
    <m/>
    <d v="2025-01-19T06:58:00"/>
    <d v="2025-01-19T07:30:00"/>
    <d v="2025-01-19T07:42:00"/>
    <n v="11.944444441663412"/>
    <n v="43.796296293051761"/>
    <m/>
    <d v="2025-01-19T10:58:00"/>
    <d v="2025-01-19T13:41:00"/>
    <n v="159.60416666370293"/>
    <m/>
    <d v="2025-01-21T17:11:00"/>
    <d v="2025-01-21T18:07:00"/>
    <n v="54.833333337664953"/>
    <m/>
    <n v="2.3951388888890506"/>
    <n v="3"/>
    <n v="0.60486111111094942"/>
    <n v="57.483333333337214"/>
    <n v="24"/>
    <n v="33.483333333337214"/>
    <n v="4.6590343454449554"/>
    <m/>
    <m/>
    <m/>
    <m/>
    <m/>
  </r>
  <r>
    <d v="2025-01-19T00:00:00"/>
    <x v="0"/>
    <m/>
    <s v="OMFHMV5RR"/>
    <s v="Manual"/>
    <s v="Isaac Tumuhimbise"/>
    <s v="UBE 287X"/>
    <s v="Kabaco U Ltd-Mbarara "/>
    <n v="153.6"/>
    <s v="Z82223"/>
    <s v="OM"/>
    <n v="20"/>
    <n v="19"/>
    <n v="-1"/>
    <m/>
    <d v="2025-01-19T14:18:00"/>
    <d v="2025-01-19T14:05:00"/>
    <d v="2025-01-19T15:19:00"/>
    <n v="73.657407407639155"/>
    <n v="60.717592592360838"/>
    <s v="Reconciling stock count delays "/>
    <d v="2025-01-20T08:57:00"/>
    <d v="2025-01-20T11:45:00"/>
    <n v="164.50000000273576"/>
    <m/>
    <d v="2025-01-20T12:28:55"/>
    <d v="2025-01-20T13:17:55"/>
    <n v="47.979166669174447"/>
    <m/>
    <n v="0.88188888889271766"/>
    <n v="1"/>
    <n v="0.11811111110728234"/>
    <n v="21.165333333425224"/>
    <n v="0"/>
    <n v="21.165333333425224"/>
    <n v="7.2571500566649769"/>
    <m/>
    <m/>
    <m/>
    <m/>
    <m/>
  </r>
  <r>
    <d v="2025-01-19T00:00:00"/>
    <x v="0"/>
    <m/>
    <s v="OMZW8IMRR"/>
    <s v="Manual"/>
    <s v="Jacob Oneka"/>
    <s v="UBE 422T"/>
    <s v="Rugoma Traders-Kanungu/Kihihi"/>
    <n v="153.6"/>
    <s v="F15740"/>
    <s v="OM"/>
    <n v="414"/>
    <n v="411"/>
    <n v="-3"/>
    <m/>
    <d v="2025-01-19T14:35:00"/>
    <d v="2025-01-19T14:07:00"/>
    <d v="2025-01-19T15:16:00"/>
    <n v="68.680555560422363"/>
    <n v="40.810185182635905"/>
    <m/>
    <d v="2025-01-19T15:46:00"/>
    <d v="2025-01-19T18:13:00"/>
    <n v="143.93749999726424"/>
    <m/>
    <d v="2025-01-20T19:40:00"/>
    <d v="2025-01-20T20:35:00"/>
    <n v="53.854166667806567"/>
    <m/>
    <n v="1.1833333333343035"/>
    <n v="2"/>
    <n v="0.81666666666569654"/>
    <n v="28.400000000023283"/>
    <n v="12"/>
    <n v="16.400000000023283"/>
    <n v="9.3658536585232888"/>
    <m/>
    <m/>
    <m/>
    <m/>
    <m/>
  </r>
  <r>
    <d v="2025-01-19T00:00:00"/>
    <x v="0"/>
    <m/>
    <s v="OMSRSHURR"/>
    <s v="Manual"/>
    <s v="Kilabila Ismail"/>
    <s v="UBE 419T"/>
    <s v="KATO INVESTMENTS LIMITED-MASAK"/>
    <n v="156"/>
    <s v="F15741"/>
    <s v="OM"/>
    <n v="298"/>
    <n v="295"/>
    <n v="-3"/>
    <m/>
    <d v="2025-01-19T14:41:00"/>
    <d v="2025-01-19T14:08:00"/>
    <d v="2025-01-19T15:22:00"/>
    <n v="73.657407407639155"/>
    <n v="40.810185182635905"/>
    <m/>
    <d v="2025-01-20T08:15:00"/>
    <d v="2025-01-20T12:38:00"/>
    <n v="257.52083333150949"/>
    <s v="Dj failure at customer"/>
    <d v="2025-01-20T15:58:12"/>
    <d v="2025-01-20T16:55:12"/>
    <n v="55.81249999726424"/>
    <m/>
    <n v="1.0251388888864312"/>
    <n v="2"/>
    <n v="0.97486111111356877"/>
    <n v="24.60333333327435"/>
    <n v="12"/>
    <n v="12.60333333327435"/>
    <n v="12.377677863057134"/>
    <m/>
    <m/>
    <m/>
    <m/>
    <m/>
  </r>
  <r>
    <d v="2025-01-19T00:00:00"/>
    <x v="0"/>
    <m/>
    <s v="OM07KFYRR"/>
    <s v="Manual"/>
    <s v="Hamudi Sesanga"/>
    <s v="UAT 351G"/>
    <s v="RUGOMA TRADERS CO. LTD NTUNGAM"/>
    <n v="153.6"/>
    <s v="F15742"/>
    <s v="OM"/>
    <n v="150"/>
    <n v="148"/>
    <n v="-2"/>
    <m/>
    <d v="2025-01-19T14:46:00"/>
    <d v="2025-01-19T14:10:00"/>
    <d v="2025-01-19T15:27:00"/>
    <n v="76.643518518055018"/>
    <n v="40.810185182635905"/>
    <m/>
    <d v="2025-01-19T18:35:00"/>
    <d v="2025-01-19T21:35:00"/>
    <n v="176.25"/>
    <m/>
    <d v="2025-01-20T15:54:36"/>
    <d v="2025-01-20T16:51:36"/>
    <n v="55.81249999726424"/>
    <m/>
    <n v="1.0191666666723904"/>
    <n v="1"/>
    <n v="-1.916666667239042E-2"/>
    <n v="24.46000000013737"/>
    <n v="12"/>
    <n v="12.46000000013737"/>
    <n v="12.327447832929902"/>
    <m/>
    <m/>
    <m/>
    <m/>
    <m/>
  </r>
  <r>
    <d v="2025-01-19T00:00:00"/>
    <x v="0"/>
    <m/>
    <s v="OM2JT1CRR"/>
    <s v="Manual"/>
    <s v="Abel Mark naffa"/>
    <s v="UBJ 415C"/>
    <s v="KATO INVESTMENTS LTD- KALISIZO"/>
    <n v="153.6"/>
    <s v="F15743"/>
    <s v="OM"/>
    <n v="350"/>
    <n v="349"/>
    <n v="-1"/>
    <m/>
    <d v="2025-01-19T17:18:00"/>
    <d v="2025-01-19T16:51:00"/>
    <d v="2025-01-19T18:01:00"/>
    <n v="69.675925934037267"/>
    <n v="42.80092592986572"/>
    <m/>
    <d v="2025-01-19T17:27:00"/>
    <d v="2025-01-19T20:19:00"/>
    <n v="168.41666666165111"/>
    <m/>
    <d v="2025-01-22T08:43:14"/>
    <d v="2025-01-22T09:43:14"/>
    <n v="58.7499999965803"/>
    <m/>
    <n v="2.612666666667792"/>
    <n v="2"/>
    <n v="-0.61266666666779201"/>
    <n v="62.704000000027008"/>
    <n v="24"/>
    <n v="38.704000000027008"/>
    <n v="3.9685820586991736"/>
    <m/>
    <m/>
    <m/>
    <m/>
    <m/>
  </r>
  <r>
    <d v="2025-01-20T00:00:00"/>
    <x v="0"/>
    <m/>
    <s v="OM02LCCT"/>
    <s v="Manual"/>
    <m/>
    <s v="UBE 684K"/>
    <s v="Kato Investments Ltd- Kyegegwa"/>
    <n v="156"/>
    <s v="A20176"/>
    <s v="OM"/>
    <n v="600"/>
    <n v="599"/>
    <n v="-1"/>
    <m/>
    <d v="2025-01-20T07:01:00"/>
    <d v="2025-01-20T07:30:00"/>
    <d v="2025-01-20T07:41:00"/>
    <n v="10.949074078477375"/>
    <n v="39.814814819449872"/>
    <m/>
    <d v="2025-01-21T08:01:00"/>
    <d v="2025-01-21T10:53:00"/>
    <n v="168.41666666165111"/>
    <m/>
    <d v="2025-01-22T08:00:55"/>
    <d v="2025-01-22T08:53:55"/>
    <n v="51.895833338348893"/>
    <m/>
    <n v="2.0138333333379705"/>
    <n v="2"/>
    <n v="-1.3833333337970544E-2"/>
    <n v="48.332000000111293"/>
    <n v="24"/>
    <n v="24.332000000111293"/>
    <n v="6.4113102087492386"/>
    <m/>
    <m/>
    <m/>
    <m/>
    <m/>
  </r>
  <r>
    <d v="2025-01-20T00:00:00"/>
    <x v="0"/>
    <m/>
    <s v="OM02LCCD"/>
    <s v="Manual"/>
    <m/>
    <s v="UBF 379L"/>
    <s v="Kato Investment Ltd -Mityana"/>
    <n v="156"/>
    <s v="A20173"/>
    <s v="OM"/>
    <n v="690"/>
    <n v="687"/>
    <n v="-3"/>
    <m/>
    <d v="2025-01-20T07:17:00"/>
    <d v="2025-01-20T07:30:00"/>
    <d v="2025-01-20T07:58:00"/>
    <n v="27.870370377786458"/>
    <n v="40.810185182635905"/>
    <m/>
    <d v="2025-01-21T09:11:00"/>
    <d v="2025-01-21T11:38:00"/>
    <n v="143.93749999726424"/>
    <m/>
    <d v="2025-01-22T09:49:55"/>
    <d v="2025-01-22T11:12:55"/>
    <n v="81.270833331509493"/>
    <s v="found another truck at the gate"/>
    <n v="2.0777222222241107"/>
    <n v="3"/>
    <n v="0.92227777777588926"/>
    <n v="49.865333333378658"/>
    <n v="24"/>
    <n v="25.865333333378658"/>
    <n v="6.0312387236349805"/>
    <m/>
    <m/>
    <m/>
    <m/>
    <m/>
  </r>
  <r>
    <d v="2025-01-20T00:00:00"/>
    <x v="0"/>
    <m/>
    <s v="OMA4Y0IRR"/>
    <s v="Manual"/>
    <s v="SENTONG DAVID"/>
    <s v="UBP 298H"/>
    <s v="Boniface Harera"/>
    <n v="156"/>
    <s v="F15748"/>
    <s v="OM"/>
    <n v="448"/>
    <n v="445"/>
    <n v="-3"/>
    <m/>
    <d v="2025-01-21T08:14:00"/>
    <d v="2025-01-21T07:30:00"/>
    <d v="2025-01-21T08:57:00"/>
    <n v="86.59722222291748"/>
    <n v="42.80092592986572"/>
    <m/>
    <d v="2025-01-21T09:58:00"/>
    <d v="2025-01-21T12:58:00"/>
    <n v="176.25"/>
    <m/>
    <d v="2025-01-23T14:30:00"/>
    <d v="2025-01-23T15:22:00"/>
    <n v="50.916666668490507"/>
    <m/>
    <n v="2.2312499999970896"/>
    <n v="2"/>
    <n v="-0.23124999999708962"/>
    <n v="53.549999999930151"/>
    <n v="24"/>
    <n v="29.549999999930151"/>
    <n v="5.279187817271362"/>
    <m/>
    <m/>
    <m/>
    <m/>
    <m/>
  </r>
  <r>
    <d v="2025-01-20T00:00:00"/>
    <x v="0"/>
    <m/>
    <s v="OM6MVL0RR"/>
    <s v="Manual"/>
    <s v="ALIPA EREKU"/>
    <s v="UBK 858R"/>
    <s v="KATO INVESTMENTS LTD-KATIKARA"/>
    <n v="154.34399999999999"/>
    <s v="A20172"/>
    <s v="OM"/>
    <n v="790"/>
    <n v="788"/>
    <n v="-2"/>
    <m/>
    <d v="2025-01-20T19:45:00"/>
    <d v="2025-01-21T07:30:00"/>
    <d v="2025-01-20T20:27:00"/>
    <n v="-659.93055555833655"/>
    <n v="41.805555556250816"/>
    <m/>
    <d v="2025-01-22T10:27:00"/>
    <d v="2025-01-22T14:28:00"/>
    <n v="235.97916666643869"/>
    <s v="Reached late and offloaded the next day"/>
    <d v="2025-01-23T07:36:00"/>
    <d v="2025-01-23T08:30:00"/>
    <n v="52.87499999794818"/>
    <m/>
    <n v="2.4645833333343035"/>
    <n v="3"/>
    <n v="0.53541666666569654"/>
    <n v="59.150000000023283"/>
    <n v="24"/>
    <n v="35.150000000023283"/>
    <n v="4.3910099573228383"/>
    <m/>
    <m/>
    <m/>
    <m/>
    <m/>
  </r>
  <r>
    <d v="2025-01-20T00:00:00"/>
    <x v="0"/>
    <m/>
    <s v="OM4DE3NRR"/>
    <s v="Manual"/>
    <s v="Konge Husein"/>
    <s v="UBJ 707D"/>
    <s v="KATO INVESTMENTS LIMITED-MASAK"/>
    <n v="148.80000000000001"/>
    <s v="F15753"/>
    <s v="OM"/>
    <n v="298"/>
    <n v="297"/>
    <n v="-1"/>
    <m/>
    <d v="2025-01-21T07:06:00"/>
    <d v="2025-01-21T07:30:00"/>
    <d v="2025-01-21T07:46:00"/>
    <n v="15.925925925694173"/>
    <n v="39.814814819449872"/>
    <m/>
    <d v="2025-01-21T21:42:00"/>
    <d v="2025-01-22T00:34:00"/>
    <n v="168.41666666165111"/>
    <m/>
    <d v="2025-01-21T18:47:00"/>
    <d v="2025-01-21T19:44:00"/>
    <n v="55.81249999726424"/>
    <m/>
    <n v="0.45902777777519077"/>
    <n v="2"/>
    <n v="1.5409722222248092"/>
    <n v="11.016666666604578"/>
    <n v="0"/>
    <n v="11.016666666604578"/>
    <n v="13.506807866944504"/>
    <m/>
    <m/>
    <m/>
    <m/>
    <m/>
  </r>
  <r>
    <d v="2025-01-21T00:00:00"/>
    <x v="0"/>
    <m/>
    <s v="OM02LCU3"/>
    <s v="Manual"/>
    <s v="Kakembo Masuud"/>
    <s v="UBB 115P"/>
    <s v="Kobusinge Steven-FPortal"/>
    <n v="156"/>
    <s v="Z82255"/>
    <s v="OM"/>
    <n v="304"/>
    <n v="303"/>
    <n v="-1"/>
    <m/>
    <d v="2025-01-21T07:22:00"/>
    <d v="2025-01-21T07:30:00"/>
    <d v="2025-01-21T08:03:00"/>
    <n v="32.847222225003257"/>
    <n v="40.810185182635905"/>
    <m/>
    <d v="2025-01-21T10:59:00"/>
    <d v="2025-01-21T13:39:00"/>
    <n v="156.66666666438687"/>
    <m/>
    <d v="2025-01-23T11:18:07"/>
    <d v="2025-01-23T12:14:07"/>
    <n v="54.833333337664953"/>
    <m/>
    <n v="2.1354999999966822"/>
    <n v="2"/>
    <n v="-0.13549999999668216"/>
    <n v="51.251999999920372"/>
    <n v="24"/>
    <n v="27.251999999920372"/>
    <n v="5.7243505064015787"/>
    <m/>
    <m/>
    <m/>
    <m/>
    <m/>
  </r>
  <r>
    <d v="2025-01-21T00:00:00"/>
    <x v="0"/>
    <m/>
    <s v="OM02LCVC"/>
    <s v="Manual"/>
    <s v="BYEKWASO TWAHA"/>
    <s v="UBE 680K"/>
    <s v="Kobusinge Steven-FPortal"/>
    <n v="156"/>
    <s v="Z82267"/>
    <s v="OM"/>
    <n v="304"/>
    <n v="301"/>
    <n v="-3"/>
    <m/>
    <d v="2025-01-21T07:09:00"/>
    <d v="2025-01-21T07:30:00"/>
    <d v="2025-01-21T07:50:00"/>
    <n v="19.907407409724936"/>
    <n v="40.810185182635905"/>
    <m/>
    <d v="2025-01-22T09:33:00"/>
    <d v="2025-01-22T12:33:00"/>
    <n v="176.25"/>
    <m/>
    <d v="2025-01-23T07:59:22"/>
    <d v="2025-01-23T08:52:22"/>
    <n v="51.895833338348893"/>
    <m/>
    <n v="2.0065000000031432"/>
    <n v="2"/>
    <n v="-6.5000000031432137E-3"/>
    <n v="48.156000000075437"/>
    <n v="24"/>
    <n v="24.156000000075437"/>
    <n v="6.4580228514453069"/>
    <m/>
    <m/>
    <m/>
    <m/>
    <m/>
  </r>
  <r>
    <d v="2025-01-21T00:00:00"/>
    <x v="0"/>
    <m/>
    <s v="OM02LCUL"/>
    <s v="Manual"/>
    <m/>
    <s v="UBP 311H"/>
    <s v="KATO INVESTMENTS LTD-KATIKARA"/>
    <n v="154.34399999999999"/>
    <s v="A20191"/>
    <s v="OM"/>
    <n v="790"/>
    <n v="789"/>
    <n v="-1"/>
    <m/>
    <d v="2025-01-21T07:11:00"/>
    <d v="2025-01-21T07:30:00"/>
    <d v="2025-01-21T07:51:00"/>
    <n v="20.902777783339843"/>
    <n v="39.814814819449872"/>
    <m/>
    <d v="2025-01-22T09:20:00"/>
    <d v="2025-01-22T12:48:00"/>
    <n v="203.66666666370293"/>
    <s v="truck faulty"/>
    <d v="2025-01-23T17:15:00"/>
    <d v="2025-01-23T18:11:00"/>
    <n v="54.833333337664953"/>
    <m/>
    <n v="2.3916666666627862"/>
    <n v="3"/>
    <n v="0.60833333333721384"/>
    <n v="57.399999999906868"/>
    <n v="24"/>
    <n v="33.399999999906868"/>
    <n v="4.6210778443242626"/>
    <m/>
    <m/>
    <m/>
    <m/>
    <m/>
  </r>
  <r>
    <d v="2025-01-21T00:00:00"/>
    <x v="0"/>
    <m/>
    <s v="OM02LCVL"/>
    <s v="Manual"/>
    <m/>
    <s v="UBP 311H"/>
    <s v="Ntale and Sons Ltd-Kakiri"/>
    <n v="156"/>
    <s v="A20194"/>
    <s v="OM"/>
    <n v="620"/>
    <n v="621"/>
    <n v="1"/>
    <m/>
    <d v="2025-01-21T06:48:00"/>
    <d v="2025-01-21T07:30:00"/>
    <d v="2025-01-21T07:30:00"/>
    <n v="0"/>
    <n v="41.805555556250816"/>
    <m/>
    <d v="2025-01-22T09:06:00"/>
    <d v="2025-01-22T11:58:00"/>
    <n v="168.41666666165111"/>
    <m/>
    <d v="2025-01-23T12:12:00"/>
    <d v="2025-01-23T13:10:00"/>
    <n v="56.791666667122627"/>
    <m/>
    <n v="2.195833333338669"/>
    <n v="3"/>
    <n v="0.80416666666133096"/>
    <n v="52.700000000128057"/>
    <n v="24"/>
    <n v="28.700000000128057"/>
    <n v="5.4355400696621583"/>
    <m/>
    <m/>
    <m/>
    <m/>
    <m/>
  </r>
  <r>
    <d v="2025-01-22T00:00:00"/>
    <x v="0"/>
    <m/>
    <s v="OMK2QQ0RR"/>
    <s v="Manual"/>
    <s v="Abel Mark naffa"/>
    <s v="UBJ 415C"/>
    <s v="Kato Investments Ltd-Bulenga"/>
    <n v="153.6"/>
    <s v="A20201"/>
    <s v="OM"/>
    <n v="560"/>
    <n v="557"/>
    <n v="-3"/>
    <m/>
    <d v="2025-01-23T07:23:00"/>
    <d v="2025-01-23T07:30:00"/>
    <d v="2025-01-23T08:04:00"/>
    <n v="33.842592598618161"/>
    <n v="40.810185182635905"/>
    <m/>
    <d v="2025-01-22T08:58:00"/>
    <d v="2025-01-22T11:50:00"/>
    <n v="168.41666666165111"/>
    <m/>
    <d v="2025-01-25T08:04:00"/>
    <d v="2025-01-25T09:22:00"/>
    <n v="76.37500000273576"/>
    <s v="dj failures at the gate"/>
    <n v="2"/>
    <n v="3"/>
    <n v="1"/>
    <n v="48"/>
    <n v="24"/>
    <n v="24"/>
    <n v="6.3999999999999995"/>
    <m/>
    <m/>
    <m/>
    <m/>
    <m/>
  </r>
  <r>
    <d v="2025-01-23T00:00:00"/>
    <x v="0"/>
    <m/>
    <s v="OMI94BXRR"/>
    <s v="Manual"/>
    <m/>
    <s v="UBJ 417C"/>
    <s v="Ntale and Sons Ltd-Kakiri"/>
    <n v="156"/>
    <s v="A20219"/>
    <s v="OM"/>
    <n v="620"/>
    <n v="617"/>
    <n v="-3"/>
    <m/>
    <d v="2025-01-23T22:02:00"/>
    <d v="2025-01-23T07:30:00"/>
    <d v="2025-01-23T22:45:00"/>
    <n v="910.76388889584143"/>
    <n v="42.80092592986572"/>
    <m/>
    <d v="2025-01-24T08:04:00"/>
    <d v="2025-01-24T10:56:00"/>
    <n v="168.41666666165111"/>
    <m/>
    <d v="2025-01-26T09:50:02"/>
    <d v="2025-01-26T10:47:02"/>
    <n v="55.81249999726424"/>
    <m/>
    <n v="2.4618333333346527"/>
    <n v="3"/>
    <n v="0.53816666666534729"/>
    <n v="59.084000000031665"/>
    <n v="24"/>
    <n v="35.084000000031665"/>
    <n v="4.4464713259565389"/>
    <m/>
    <m/>
    <m/>
    <m/>
    <m/>
  </r>
  <r>
    <d v="2025-01-23T00:00:00"/>
    <x v="0"/>
    <m/>
    <s v="OM30TK9RR"/>
    <s v="Manual"/>
    <m/>
    <s v="UBR 540W"/>
    <s v="Ntale and Sons Ltd-Kakiri"/>
    <n v="156"/>
    <s v="A20220"/>
    <s v="OM"/>
    <n v="620"/>
    <n v="621"/>
    <n v="1"/>
    <m/>
    <d v="2025-01-23T19:49:00"/>
    <d v="2025-01-23T07:30:00"/>
    <d v="2025-01-23T20:30:00"/>
    <n v="776.3888888854126"/>
    <n v="40.810185182635905"/>
    <m/>
    <d v="2025-01-24T11:15:00"/>
    <d v="2025-01-24T14:07:00"/>
    <n v="168.41666666165111"/>
    <m/>
    <d v="2025-01-26T10:12:00"/>
    <d v="2025-01-26T11:09:00"/>
    <n v="55.81249999726424"/>
    <m/>
    <n v="2.5708333333313931"/>
    <n v="3"/>
    <n v="0.42916666666860692"/>
    <n v="61.699999999953434"/>
    <n v="24"/>
    <n v="37.699999999953434"/>
    <n v="4.1379310344878695"/>
    <m/>
    <m/>
    <m/>
    <m/>
    <m/>
  </r>
  <r>
    <d v="2025-01-23T00:00:00"/>
    <x v="0"/>
    <m/>
    <s v="OMFZR75RR"/>
    <s v="Manual"/>
    <m/>
    <s v="UBR 903Y"/>
    <s v="KATO INVESTMENTS LTD-KATIKARA"/>
    <n v="156"/>
    <s v="A20230"/>
    <s v="OM"/>
    <n v="790"/>
    <n v="787"/>
    <n v="-3"/>
    <m/>
    <d v="2025-01-24T07:59:00"/>
    <d v="2025-01-23T07:30:00"/>
    <d v="2025-01-24T08:39:00"/>
    <n v="1502.0138888833269"/>
    <n v="39.814814819449872"/>
    <m/>
    <d v="2025-01-24T09:00:00"/>
    <d v="2025-01-24T11:54:00"/>
    <n v="170.37500000136788"/>
    <m/>
    <d v="2025-01-26T19:58:00"/>
    <d v="2025-01-26T20:54:00"/>
    <n v="54.833333337664953"/>
    <m/>
    <n v="2.4715277777722804"/>
    <n v="3"/>
    <n v="0.52847222222771961"/>
    <n v="59.316666666534729"/>
    <n v="24"/>
    <n v="35.316666666534729"/>
    <n v="4.4171779141269312"/>
    <m/>
    <m/>
    <m/>
    <m/>
    <m/>
  </r>
  <r>
    <d v="2025-01-23T00:00:00"/>
    <x v="0"/>
    <m/>
    <s v="OM81ATSRR"/>
    <s v="Manual"/>
    <s v="Stephen Musoke "/>
    <s v="UBJ 375N"/>
    <s v="KATO INVESTMENTS LIMITED-MASAK"/>
    <n v="153.6"/>
    <s v="F15768"/>
    <s v="OM"/>
    <n v="298"/>
    <n v="295"/>
    <n v="-3"/>
    <m/>
    <d v="2025-01-24T07:58:00"/>
    <d v="2025-01-23T07:30:00"/>
    <d v="2025-01-24T08:39:00"/>
    <n v="1502.0138888833269"/>
    <n v="40.810185182635905"/>
    <m/>
    <d v="2025-01-25T10:24:00"/>
    <d v="2025-01-25T13:16:00"/>
    <n v="168.41666666165111"/>
    <m/>
    <d v="2025-01-25T09:47:00"/>
    <d v="2025-01-25T10:39:00"/>
    <n v="50.916666668490507"/>
    <m/>
    <n v="1.047222222223354"/>
    <n v="2"/>
    <n v="0.95277777777664596"/>
    <n v="25.133333333360497"/>
    <n v="12"/>
    <n v="13.133333333360497"/>
    <n v="11.695431472057029"/>
    <m/>
    <m/>
    <m/>
    <m/>
    <m/>
  </r>
  <r>
    <d v="2025-01-23T00:00:00"/>
    <x v="0"/>
    <m/>
    <s v="OMY60JXRR"/>
    <s v="Manual"/>
    <s v="Kilabila Ismail"/>
    <s v="UBE 419T"/>
    <s v="Kato Investments Ltd-Bulenga"/>
    <n v="153.6"/>
    <s v="A20235"/>
    <s v="OM"/>
    <n v="560"/>
    <n v="558"/>
    <n v="-2"/>
    <m/>
    <d v="2025-01-24T07:56:00"/>
    <d v="2025-01-23T07:30:00"/>
    <d v="2025-01-24T08:39:00"/>
    <n v="1502.0138888833269"/>
    <n v="42.80092592986572"/>
    <m/>
    <d v="2025-01-24T11:52:00"/>
    <d v="2025-01-24T14:42:00"/>
    <n v="166.45833333219343"/>
    <m/>
    <d v="2025-01-26T14:10:12"/>
    <d v="2025-01-26T14:55:12"/>
    <n v="44.0625"/>
    <m/>
    <n v="2.2300000000032014"/>
    <n v="3"/>
    <n v="0.76999999999679858"/>
    <n v="53.520000000076834"/>
    <n v="24"/>
    <n v="29.520000000076834"/>
    <n v="5.2032520325067821"/>
    <m/>
    <m/>
    <m/>
    <m/>
    <m/>
  </r>
  <r>
    <d v="2025-01-23T00:00:00"/>
    <x v="0"/>
    <m/>
    <s v="OM8UP1NRR"/>
    <s v="Manual"/>
    <s v="Jacob Oneka"/>
    <s v="UBE 422T"/>
    <s v="Ntale and Sons"/>
    <n v="153.6"/>
    <s v="A20237"/>
    <s v="OM"/>
    <n v="810"/>
    <n v="807"/>
    <n v="-3"/>
    <m/>
    <d v="2025-01-24T08:09:00"/>
    <d v="2025-01-23T07:30:00"/>
    <d v="2025-01-24T08:52:00"/>
    <n v="1514.9537036986051"/>
    <n v="42.80092592986572"/>
    <m/>
    <d v="2025-01-25T08:39:00"/>
    <d v="2025-01-25T11:33:00"/>
    <n v="170.37500000136788"/>
    <m/>
    <d v="2025-01-27T07:34:00"/>
    <d v="2025-01-27T08:31:00"/>
    <n v="55.81249999726424"/>
    <m/>
    <n v="2.9458333333313931"/>
    <n v="3"/>
    <n v="5.4166666668606922E-2"/>
    <n v="70.699999999953434"/>
    <n v="24"/>
    <n v="46.699999999953434"/>
    <n v="3.2890792291253352"/>
    <m/>
    <m/>
    <m/>
    <m/>
    <m/>
  </r>
  <r>
    <d v="2025-01-24T00:00:00"/>
    <x v="0"/>
    <m/>
    <s v="OMW08D3RR"/>
    <s v="Manual"/>
    <m/>
    <s v="UBK 862R"/>
    <s v="KATO INVESTMENTS LTD-KATIKARA"/>
    <n v="156"/>
    <s v="A20270"/>
    <s v="OM"/>
    <n v="790"/>
    <n v="787"/>
    <n v="-3"/>
    <m/>
    <d v="2025-01-24T19:45:00"/>
    <d v="2025-01-25T07:30:00"/>
    <d v="2025-01-24T20:28:00"/>
    <n v="-658.93518518472172"/>
    <n v="42.80092592986572"/>
    <m/>
    <d v="2025-01-25T14:52:00"/>
    <d v="2025-01-25T17:42:00"/>
    <n v="166.45833333219343"/>
    <m/>
    <d v="2025-01-27T07:30:00"/>
    <d v="2025-01-27T08:26:00"/>
    <n v="54.833333337664953"/>
    <m/>
    <n v="2.4597222222218988"/>
    <n v="3"/>
    <n v="0.54027777777810115"/>
    <n v="59.033333333325572"/>
    <n v="24"/>
    <n v="35.033333333325572"/>
    <n v="4.4529019980980369"/>
    <m/>
    <m/>
    <m/>
    <m/>
    <m/>
  </r>
  <r>
    <d v="2025-01-24T00:00:00"/>
    <x v="0"/>
    <m/>
    <s v="OMX3L21RR"/>
    <s v="Manual"/>
    <s v="ZIWA ABASI"/>
    <s v="UBJ 420C"/>
    <s v="Kato Investment Ltd -Mubende"/>
    <n v="156"/>
    <s v="A20274"/>
    <s v="OM"/>
    <n v="680"/>
    <n v="678"/>
    <n v="-2"/>
    <m/>
    <d v="2025-01-25T08:13:00"/>
    <d v="2025-01-25T07:30:00"/>
    <d v="2025-01-25T08:53:00"/>
    <n v="82.615740738886714"/>
    <n v="39.814814819449872"/>
    <m/>
    <d v="2025-01-25T21:43:00"/>
    <d v="2025-01-26T00:33:00"/>
    <n v="166.45833333219343"/>
    <m/>
    <d v="2025-01-27T18:47:48"/>
    <d v="2025-01-27T19:47:48"/>
    <n v="58.7499999965803"/>
    <m/>
    <n v="2.4130555555530009"/>
    <n v="3"/>
    <n v="0.58694444444699911"/>
    <n v="57.913333333272021"/>
    <n v="24"/>
    <n v="33.913333333272021"/>
    <n v="4.5999606841050333"/>
    <m/>
    <m/>
    <m/>
    <m/>
    <m/>
  </r>
  <r>
    <d v="2025-01-25T00:00:00"/>
    <x v="0"/>
    <m/>
    <s v="OM02LEAV"/>
    <s v="Manual"/>
    <m/>
    <s v="UBP 311H"/>
    <s v="Kato Investment Ltd -Kagadi"/>
    <n v="156"/>
    <s v="A20299"/>
    <s v="OM"/>
    <n v="670"/>
    <n v="671"/>
    <n v="1"/>
    <m/>
    <d v="2025-01-25T09:00:00"/>
    <d v="2025-01-25T07:30:00"/>
    <d v="2025-01-25T09:41:00"/>
    <n v="130.39351852639811"/>
    <n v="40.810185182635905"/>
    <m/>
    <d v="2025-01-26T11:10:00"/>
    <d v="2025-01-26T14:02:00"/>
    <n v="168.41666666165111"/>
    <m/>
    <d v="2025-01-27T10:40:31"/>
    <d v="2025-01-27T11:37:31"/>
    <n v="55.81249999726424"/>
    <m/>
    <n v="2.0413333333344781"/>
    <n v="2"/>
    <n v="-4.1333333334478084E-2"/>
    <n v="48.992000000027474"/>
    <n v="24"/>
    <n v="24.992000000027474"/>
    <n v="6.2419974391736757"/>
    <m/>
    <m/>
    <m/>
    <m/>
    <m/>
  </r>
  <r>
    <d v="2025-01-25T00:00:00"/>
    <x v="0"/>
    <m/>
    <s v="OM02LEB2"/>
    <s v="Manual"/>
    <m/>
    <s v="UBE 678K"/>
    <s v="Kobusinge Steven-Kamwenge"/>
    <n v="156"/>
    <s v="Z82334"/>
    <s v="OM"/>
    <n v="288"/>
    <n v="286"/>
    <n v="-2"/>
    <m/>
    <d v="2025-01-25T07:14:00"/>
    <d v="2025-01-25T07:30:00"/>
    <d v="2025-01-25T07:55:00"/>
    <n v="24.884259256941732"/>
    <n v="40.810185182635905"/>
    <m/>
    <d v="2025-01-26T11:41:00"/>
    <d v="2025-01-26T14:41:00"/>
    <n v="176.25"/>
    <m/>
    <d v="2025-01-26T18:04:00"/>
    <d v="2025-01-26T19:02:00"/>
    <n v="56.791666667122627"/>
    <m/>
    <n v="1.4229166666627862"/>
    <n v="2"/>
    <n v="0.57708333333721384"/>
    <n v="34.149999999906868"/>
    <n v="12"/>
    <n v="22.149999999906868"/>
    <n v="7.0428893905488001"/>
    <m/>
    <m/>
    <m/>
    <m/>
    <m/>
  </r>
  <r>
    <d v="2025-01-25T00:00:00"/>
    <x v="0"/>
    <m/>
    <s v="OM02LEB0"/>
    <s v="Manual"/>
    <m/>
    <s v="UBP 311H"/>
    <s v="Kobusinge Steven-Kamwenge"/>
    <n v="156"/>
    <s v="Z82333"/>
    <s v="OM"/>
    <n v="288"/>
    <n v="287"/>
    <n v="-1"/>
    <m/>
    <d v="2025-01-25T06:09:00"/>
    <d v="2025-01-25T07:30:00"/>
    <d v="2025-01-25T06:52:00"/>
    <n v="-37.824074082648927"/>
    <n v="42.80092592986572"/>
    <m/>
    <d v="2025-01-26T08:47:00"/>
    <d v="2025-01-26T11:37:00"/>
    <n v="166.45833333219343"/>
    <m/>
    <d v="2025-01-27T08:41:24"/>
    <d v="2025-01-27T09:40:24"/>
    <n v="57.770833336981013"/>
    <m/>
    <n v="2.0759722222283017"/>
    <n v="2"/>
    <n v="-7.5972222228301689E-2"/>
    <n v="49.823333333479241"/>
    <n v="24"/>
    <n v="25.823333333479241"/>
    <n v="6.0410481476359328"/>
    <m/>
    <m/>
    <m/>
    <m/>
    <m/>
  </r>
  <r>
    <d v="2025-01-25T00:00:00"/>
    <x v="0"/>
    <m/>
    <s v="OM02LEAY"/>
    <s v="Manual"/>
    <m/>
    <s v="UBP 311H"/>
    <s v="Kobusinge Steven-FPortal"/>
    <n v="156"/>
    <s v="Z82332"/>
    <s v="OM"/>
    <n v="304"/>
    <n v="301"/>
    <n v="-3"/>
    <m/>
    <d v="2025-01-25T07:58:00"/>
    <d v="2025-01-25T07:30:00"/>
    <d v="2025-01-25T08:38:00"/>
    <n v="67.685185186807459"/>
    <n v="39.814814819449872"/>
    <m/>
    <d v="2025-01-26T07:22:00"/>
    <d v="2025-01-26T10:14:00"/>
    <n v="168.41666666165111"/>
    <m/>
    <d v="2025-01-27T13:15:12"/>
    <d v="2025-01-27T14:08:12"/>
    <n v="51.895833338348893"/>
    <m/>
    <n v="2.1924999999973807"/>
    <n v="2"/>
    <n v="-0.19249999999738066"/>
    <n v="52.619999999937136"/>
    <n v="24"/>
    <n v="28.619999999937136"/>
    <n v="5.4507337526325177"/>
    <m/>
    <m/>
    <m/>
    <m/>
    <m/>
  </r>
  <r>
    <d v="2025-01-25T00:00:00"/>
    <x v="0"/>
    <m/>
    <s v="OMYYR0JRR"/>
    <s v="Manual"/>
    <s v="Abel Mark naffa"/>
    <s v="UBJ 415C"/>
    <s v="Kato Investments Ltd-Bulenga"/>
    <n v="153.6"/>
    <s v="A20290"/>
    <s v="OM"/>
    <n v="560"/>
    <n v="559"/>
    <n v="-1"/>
    <m/>
    <d v="2025-01-25T14:54:00"/>
    <d v="2025-01-25T14:26:00"/>
    <d v="2025-01-25T15:33:00"/>
    <n v="66.689814813192541"/>
    <n v="38.819444445834961"/>
    <m/>
    <d v="2025-01-26T10:08:00"/>
    <d v="2025-01-26T13:00:00"/>
    <n v="168.41666666165111"/>
    <m/>
    <d v="2025-01-27T16:45:00"/>
    <d v="2025-01-27T17:43:00"/>
    <n v="56.791666667122627"/>
    <m/>
    <n v="2.0500000000029104"/>
    <n v="3"/>
    <n v="0.94999999999708962"/>
    <n v="49.200000000069849"/>
    <n v="24"/>
    <n v="25.200000000069849"/>
    <n v="6.0952380952212"/>
    <m/>
    <m/>
    <m/>
    <m/>
    <m/>
  </r>
  <r>
    <d v="2025-01-25T00:00:00"/>
    <x v="0"/>
    <m/>
    <s v="OM9EIJURR"/>
    <s v="Manual"/>
    <m/>
    <s v="UBM 644D"/>
    <s v="Kobusinge Acaali- Kyenjojo"/>
    <n v="156"/>
    <s v="Z82324"/>
    <s v="OM"/>
    <n v="580"/>
    <n v="577"/>
    <n v="-3"/>
    <m/>
    <d v="2025-01-25T14:50:00"/>
    <d v="2025-01-25T14:22:00"/>
    <d v="2025-01-25T15:29:00"/>
    <n v="66.689814813192541"/>
    <n v="38.819444445834961"/>
    <m/>
    <d v="2025-01-26T15:33:00"/>
    <d v="2025-01-26T18:33:00"/>
    <n v="176.25"/>
    <m/>
    <d v="2025-01-28T18:22:48"/>
    <d v="2025-01-28T19:19:48"/>
    <n v="55.81249999726424"/>
    <m/>
    <n v="3.1206944444493274"/>
    <n v="2"/>
    <n v="-1.1206944444493274"/>
    <n v="74.896666666783858"/>
    <n v="36"/>
    <n v="38.896666666783858"/>
    <n v="4.0106264461272598"/>
    <m/>
    <m/>
    <m/>
    <m/>
    <m/>
  </r>
  <r>
    <d v="2025-01-25T00:00:00"/>
    <x v="0"/>
    <m/>
    <s v="OM1IHTVRR"/>
    <s v="Manual"/>
    <s v="NTUMWA SOLOMON"/>
    <s v="UBR 540W"/>
    <s v="KATO INVESTMENTS LTD-KATIKARA"/>
    <n v="156"/>
    <s v="A20291"/>
    <s v="OM"/>
    <n v="790"/>
    <n v="791"/>
    <n v="1"/>
    <m/>
    <d v="2025-01-25T15:25:00"/>
    <d v="2025-01-25T14:30:00"/>
    <d v="2025-01-25T16:09:00"/>
    <n v="98.541666675009765"/>
    <n v="43.796296293051761"/>
    <m/>
    <d v="2025-01-26T17:54:00"/>
    <d v="2025-01-26T20:46:00"/>
    <n v="168.41666666165111"/>
    <m/>
    <d v="2025-01-28T04:58:00"/>
    <d v="2025-01-28T05:58:00"/>
    <n v="58.7499999965803"/>
    <m/>
    <n v="2.5340277777795563"/>
    <n v="3"/>
    <n v="0.46597222222044365"/>
    <n v="60.816666666709352"/>
    <n v="24"/>
    <n v="36.816666666709352"/>
    <n v="4.2372114078719543"/>
    <m/>
    <m/>
    <m/>
    <m/>
    <m/>
  </r>
  <r>
    <d v="2025-01-25T00:00:00"/>
    <x v="0"/>
    <m/>
    <s v="OM7D5ZMRR"/>
    <s v="Manual"/>
    <m/>
    <s v="UBF 379L"/>
    <s v="Boniface Harera"/>
    <n v="156"/>
    <s v="F15778"/>
    <s v="OM"/>
    <n v="448"/>
    <n v="446"/>
    <n v="-2"/>
    <m/>
    <d v="2025-01-25T15:34:00"/>
    <d v="2025-01-25T14:40:00"/>
    <d v="2025-01-25T16:17:00"/>
    <n v="96.55092593820882"/>
    <n v="42.80092592986572"/>
    <m/>
    <d v="2025-01-26T17:24:00"/>
    <d v="2025-01-26T20:14:00"/>
    <n v="166.45833333219343"/>
    <m/>
    <d v="2025-01-27T16:36:48"/>
    <d v="2025-01-27T17:31:48"/>
    <n v="53.854166667806567"/>
    <m/>
    <n v="2.0137499999982538"/>
    <n v="2"/>
    <n v="-1.374999999825377E-2"/>
    <n v="48.32999999995809"/>
    <n v="24"/>
    <n v="24.32999999995809"/>
    <n v="6.4118372379888502"/>
    <m/>
    <m/>
    <m/>
    <m/>
    <m/>
  </r>
  <r>
    <d v="2025-01-26T00:00:00"/>
    <x v="0"/>
    <m/>
    <s v="OM02LEE4"/>
    <s v="Manual"/>
    <m/>
    <s v="UBK 866R"/>
    <s v="Kabaco U Ltd"/>
    <n v="156"/>
    <s v="Z82343"/>
    <s v="OM"/>
    <n v="320"/>
    <n v="319"/>
    <n v="-1"/>
    <m/>
    <d v="2025-01-26T07:58:00"/>
    <d v="2025-01-26T07:30:00"/>
    <d v="2025-01-26T08:37:00"/>
    <n v="66.689814813192541"/>
    <n v="38.819444445834961"/>
    <m/>
    <d v="2025-01-26T16:17:00"/>
    <d v="2025-01-26T19:00:00"/>
    <n v="159.60416666370293"/>
    <m/>
    <d v="2025-01-27T11:43:12"/>
    <d v="2025-01-27T12:42:12"/>
    <n v="57.770833336981013"/>
    <m/>
    <n v="1.1293055555579485"/>
    <n v="2"/>
    <n v="0.87069444444205146"/>
    <n v="27.103333333390765"/>
    <n v="12"/>
    <n v="15.103333333390765"/>
    <n v="10.328845729380278"/>
    <m/>
    <m/>
    <m/>
    <m/>
    <m/>
  </r>
  <r>
    <d v="2025-01-26T00:00:00"/>
    <x v="0"/>
    <m/>
    <s v="OMQV2WDRR"/>
    <s v="Manual"/>
    <m/>
    <s v="UBR 535W"/>
    <s v="Kabaco U Ltd"/>
    <n v="156"/>
    <s v="Z82339"/>
    <s v="OM"/>
    <n v="320"/>
    <n v="319"/>
    <n v="-1"/>
    <m/>
    <d v="2025-01-26T13:18:00"/>
    <d v="2025-01-26T12:50:00"/>
    <d v="2025-01-26T13:57:00"/>
    <n v="66.689814823621418"/>
    <n v="38.819444445834961"/>
    <m/>
    <d v="2025-01-26T14:37:00"/>
    <d v="2025-01-26T18:47:00"/>
    <n v="244.79166666438687"/>
    <s v="Waited for empties from trade"/>
    <d v="2025-01-27T17:12:12"/>
    <d v="2025-01-27T18:09:12"/>
    <n v="55.81249999726424"/>
    <m/>
    <n v="1.1355555555564933"/>
    <n v="2"/>
    <n v="0.86444444444350665"/>
    <n v="27.25333333335584"/>
    <n v="12"/>
    <n v="15.25333333335584"/>
    <n v="10.227272727257636"/>
    <m/>
    <m/>
    <m/>
    <m/>
    <m/>
  </r>
  <r>
    <d v="2025-01-27T00:00:00"/>
    <x v="0"/>
    <m/>
    <s v="OM02LEQX"/>
    <s v="Manual"/>
    <m/>
    <s v="UBP 311H"/>
    <s v="Kobusinge Steven-Kamwenge"/>
    <n v="156"/>
    <s v="Z82356"/>
    <s v="OM"/>
    <n v="288"/>
    <n v="289"/>
    <n v="1"/>
    <m/>
    <d v="2025-01-27T06:40:00"/>
    <d v="2025-01-27T07:30:00"/>
    <d v="2025-01-27T07:41:00"/>
    <n v="10.949074078477375"/>
    <n v="60.717592592360838"/>
    <s v="DJ failures "/>
    <d v="2025-01-26T19:57:00"/>
    <d v="2025-01-26T22:49:00"/>
    <n v="168.41666666165111"/>
    <m/>
    <d v="2025-01-28T19:29:00"/>
    <d v="2025-01-28T20:26:00"/>
    <n v="55.81249999726424"/>
    <m/>
    <n v="1.4916666666686069"/>
    <n v="2"/>
    <n v="0.50833333333139308"/>
    <n v="35.800000000046566"/>
    <n v="12"/>
    <n v="23.800000000046566"/>
    <n v="6.5546218487266712"/>
    <m/>
    <m/>
    <m/>
    <m/>
    <m/>
  </r>
  <r>
    <d v="2025-01-27T00:00:00"/>
    <x v="0"/>
    <m/>
    <s v="OM1NA56RR"/>
    <s v="Manual"/>
    <s v="Hamudi Sesanga"/>
    <s v="UAT 351G"/>
    <s v="KATO INVESTMENTS LIMITED-MASAK"/>
    <n v="153.6"/>
    <s v="F15782"/>
    <s v="OM"/>
    <n v="298"/>
    <n v="297"/>
    <n v="-1"/>
    <m/>
    <d v="2025-01-27T16:11:00"/>
    <d v="2025-01-27T15:17:00"/>
    <d v="2025-01-27T16:52:00"/>
    <n v="94.560185180550135"/>
    <n v="40.810185182635905"/>
    <m/>
    <d v="2025-01-28T08:33:00"/>
    <d v="2025-01-28T11:23:00"/>
    <n v="166.45833333219343"/>
    <m/>
    <d v="2025-01-28T15:43:00"/>
    <d v="2025-01-28T16:41:00"/>
    <n v="56.791666667122627"/>
    <m/>
    <n v="0.95208333332993789"/>
    <n v="2"/>
    <n v="1.0479166666700621"/>
    <n v="22.849999999918509"/>
    <n v="0"/>
    <n v="22.849999999918509"/>
    <n v="6.7221006564791148"/>
    <m/>
    <m/>
    <m/>
    <m/>
    <m/>
  </r>
  <r>
    <d v="2025-01-27T00:00:00"/>
    <x v="0"/>
    <m/>
    <s v="OM59X9SRR"/>
    <s v="Manual"/>
    <s v="Ntende Nassar"/>
    <s v="UBR 537W"/>
    <s v="Kobusinge Steven-FPortal"/>
    <n v="156"/>
    <s v="Z82357"/>
    <s v="OM"/>
    <n v="304"/>
    <n v="302"/>
    <n v="-2"/>
    <m/>
    <d v="2025-01-27T16:08:00"/>
    <d v="2025-01-27T15:32:00"/>
    <d v="2025-01-27T16:49:00"/>
    <n v="76.643518518055018"/>
    <n v="40.810185182635905"/>
    <m/>
    <d v="2025-01-28T08:05:00"/>
    <d v="2025-01-28T10:57:00"/>
    <n v="168.41666666165111"/>
    <m/>
    <d v="2025-01-29T13:58:22"/>
    <d v="2025-01-29T14:57:22"/>
    <n v="57.770833336981013"/>
    <m/>
    <n v="1.8815000000031432"/>
    <n v="2"/>
    <n v="0.11849999999685679"/>
    <n v="45.156000000075437"/>
    <n v="12"/>
    <n v="33.156000000075437"/>
    <n v="4.7050307636519806"/>
    <m/>
    <m/>
    <m/>
    <m/>
    <m/>
  </r>
  <r>
    <d v="2025-01-27T00:00:00"/>
    <x v="0"/>
    <m/>
    <s v="OM1UO8SRR"/>
    <s v="Manual"/>
    <m/>
    <s v="UBM 644D"/>
    <s v="Kobusinge Acaali- Kyenjojo"/>
    <n v="156"/>
    <s v="Z82358"/>
    <s v="OM"/>
    <n v="580"/>
    <n v="579"/>
    <n v="-1"/>
    <m/>
    <d v="2025-01-27T16:13:00"/>
    <d v="2025-01-27T15:36:00"/>
    <d v="2025-01-27T16:53:00"/>
    <n v="76.643518518055018"/>
    <n v="39.814814819449872"/>
    <m/>
    <d v="2025-01-28T15:19:00"/>
    <d v="2025-01-28T18:07:00"/>
    <n v="164.50000000273576"/>
    <m/>
    <d v="2025-01-30T16:42:48"/>
    <d v="2025-01-30T17:39:48"/>
    <n v="55.81249999726424"/>
    <m/>
    <n v="2.9929166666697711"/>
    <n v="2"/>
    <n v="-0.99291666666977108"/>
    <n v="71.830000000074506"/>
    <n v="24"/>
    <n v="47.830000000074506"/>
    <n v="3.2615513276135686"/>
    <m/>
    <m/>
    <m/>
    <m/>
    <m/>
  </r>
  <r>
    <d v="2025-01-27T00:00:00"/>
    <x v="0"/>
    <m/>
    <s v="OM8EHZZRR"/>
    <s v="Manual"/>
    <s v="ZIWA ABASI"/>
    <s v="UBJ 420C"/>
    <s v="Kabaco U Ltd"/>
    <n v="156"/>
    <s v="Z82359"/>
    <s v="OM"/>
    <n v="320"/>
    <n v="317"/>
    <n v="-3"/>
    <m/>
    <d v="2025-01-27T16:43:00"/>
    <d v="2025-01-27T16:12:00"/>
    <d v="2025-01-27T17:24:00"/>
    <n v="71.666666660409348"/>
    <n v="40.810185182635905"/>
    <m/>
    <d v="2025-01-28T18:38:00"/>
    <d v="2025-01-28T21:30:00"/>
    <n v="168.41666666165111"/>
    <m/>
    <d v="2025-01-28T19:40:00"/>
    <d v="2025-01-28T20:36:00"/>
    <n v="54.833333337664953"/>
    <m/>
    <n v="1.0944444444394321"/>
    <n v="2"/>
    <n v="0.90555555556056788"/>
    <n v="26.266666666546371"/>
    <n v="12"/>
    <n v="14.266666666546371"/>
    <n v="10.934579439344537"/>
    <m/>
    <m/>
    <m/>
    <m/>
    <m/>
  </r>
  <r>
    <d v="2025-01-27T00:00:00"/>
    <x v="0"/>
    <m/>
    <s v="OMJV7ZARR"/>
    <s v="Manual"/>
    <m/>
    <s v="UBR 538W"/>
    <s v="Kabaco U Ltd"/>
    <n v="156"/>
    <s v="Z82360"/>
    <s v="OM"/>
    <n v="320"/>
    <n v="317"/>
    <n v="-3"/>
    <m/>
    <d v="2025-01-27T16:49:00"/>
    <d v="2025-01-27T16:18:00"/>
    <d v="2025-01-27T17:30:00"/>
    <n v="71.666666660409348"/>
    <n v="40.810185182635905"/>
    <m/>
    <d v="2025-01-28T09:24:00"/>
    <d v="2025-01-28T12:18:00"/>
    <n v="170.37500000136788"/>
    <m/>
    <d v="2025-01-28T17:56:00"/>
    <d v="2025-01-28T18:53:00"/>
    <n v="55.81249999726424"/>
    <m/>
    <n v="1.0180555555489263"/>
    <n v="2"/>
    <n v="0.98194444445107365"/>
    <n v="24.433333333174232"/>
    <n v="12"/>
    <n v="12.433333333174232"/>
    <n v="12.546916890240983"/>
    <m/>
    <m/>
    <m/>
    <m/>
    <m/>
  </r>
  <r>
    <d v="2025-02-01T00:00:00"/>
    <x v="1"/>
    <m/>
    <s v="A20492"/>
    <s v="Manual"/>
    <s v="Tsaale Hassan"/>
    <s v="UBJ 703D"/>
    <s v="Sawan Distributors Ltd-Nabingo"/>
    <n v="156"/>
    <s v="A20492"/>
    <s v="OM"/>
    <n v="560"/>
    <n v="558"/>
    <n v="-2"/>
    <m/>
    <d v="2025-01-31T14:56:00"/>
    <d v="2025-01-31T15:25:00"/>
    <d v="2025-01-31T15:36:00"/>
    <n v="10.949074078477375"/>
    <n v="39.814814819449872"/>
    <m/>
    <d v="2025-02-03T12:54:00"/>
    <d v="2025-02-03T15:18:00"/>
    <n v="140.99999999794818"/>
    <m/>
    <d v="2025-02-03T10:08:00"/>
    <d v="2025-02-03T10:56:00"/>
    <n v="46.99999999931606"/>
    <m/>
    <n v="2.7722222222218988"/>
    <n v="2"/>
    <n v="-0.77222222222189885"/>
    <n v="66.533333333325572"/>
    <n v="24"/>
    <n v="42.533333333325572"/>
    <n v="3.6677115987467506"/>
    <m/>
    <m/>
    <m/>
    <m/>
    <m/>
  </r>
  <r>
    <d v="2025-02-01T00:00:00"/>
    <x v="1"/>
    <m/>
    <s v="A20493"/>
    <s v="Manual"/>
    <m/>
    <s v="UBR 535W"/>
    <s v="Kato Investments Ltd- Kakumiro"/>
    <n v="156"/>
    <s v="A20493"/>
    <s v="OM"/>
    <n v="790"/>
    <n v="788"/>
    <n v="-2"/>
    <m/>
    <d v="2025-01-31T13:36:00"/>
    <d v="2025-01-31T14:13:00"/>
    <d v="2025-01-31T14:17:00"/>
    <n v="3.9814814736018889"/>
    <n v="40.810185182635905"/>
    <m/>
    <d v="2025-02-02T09:48:00"/>
    <d v="2025-02-02T12:27:00"/>
    <n v="155.68750000478758"/>
    <m/>
    <d v="2025-02-03T10:08:00"/>
    <d v="2025-02-03T11:32:00"/>
    <n v="82.25000000136788"/>
    <s v="dj failures at the gate"/>
    <n v="2.8270833333372138"/>
    <n v="2"/>
    <n v="-0.82708333333721384"/>
    <n v="67.850000000093132"/>
    <n v="24"/>
    <n v="43.850000000093132"/>
    <n v="3.5575826681794451"/>
    <m/>
    <m/>
    <m/>
    <m/>
    <m/>
  </r>
  <r>
    <d v="2025-02-01T00:00:00"/>
    <x v="1"/>
    <m/>
    <s v="Z82476"/>
    <s v="Manual"/>
    <s v="Nakalya John"/>
    <s v="UBM 648D"/>
    <s v="Kobusinge Steven-Kamwenge"/>
    <n v="156"/>
    <s v="Z82476"/>
    <s v="OM"/>
    <n v="288"/>
    <n v="285"/>
    <n v="-3"/>
    <m/>
    <d v="2025-01-31T20:51:00"/>
    <d v="2025-01-31T20:44:00"/>
    <d v="2025-01-31T21:25:00"/>
    <n v="40.810185182635905"/>
    <n v="33.842592588189291"/>
    <m/>
    <d v="2025-02-01T17:26:00"/>
    <d v="2025-02-02T09:17:00"/>
    <n v="931.18749999863212"/>
    <s v="slept at the RD and offloaded the next day"/>
    <d v="2025-02-03T12:40:00"/>
    <d v="2025-02-03T13:40:00"/>
    <n v="58.7499999965803"/>
    <m/>
    <n v="2.6354166666715173"/>
    <n v="2"/>
    <n v="-0.63541666667151731"/>
    <n v="63.250000000116415"/>
    <n v="24"/>
    <n v="39.250000000116415"/>
    <n v="3.9745222929818422"/>
    <m/>
    <m/>
    <m/>
    <m/>
    <m/>
  </r>
  <r>
    <d v="2025-02-01T00:00:00"/>
    <x v="1"/>
    <m/>
    <s v="A20494"/>
    <s v="Manual"/>
    <s v="Sentongo paul"/>
    <s v="UBR 541W"/>
    <s v="KATO INVESTMENTS LTD-KATIKARA"/>
    <n v="156"/>
    <s v="A20494"/>
    <s v="OM"/>
    <n v="790"/>
    <n v="788"/>
    <n v="-2"/>
    <m/>
    <d v="2025-01-31T13:07:00"/>
    <d v="2025-01-31T13:24:00"/>
    <d v="2025-01-31T13:47:00"/>
    <n v="22.893518520140788"/>
    <n v="39.814814819449872"/>
    <m/>
    <d v="2025-02-01T10:33:00"/>
    <d v="2025-02-01T13:15:00"/>
    <n v="158.62500000410364"/>
    <m/>
    <d v="2025-02-03T12:40:00"/>
    <d v="2025-02-03T13:38:00"/>
    <n v="56.791666667122627"/>
    <m/>
    <n v="2.953472222223354"/>
    <n v="2"/>
    <n v="-0.95347222222335404"/>
    <n v="70.883333333360497"/>
    <n v="24"/>
    <n v="46.883333333360497"/>
    <n v="3.3274084607161667"/>
    <m/>
    <m/>
    <m/>
    <m/>
    <m/>
  </r>
  <r>
    <d v="2025-02-01T00:00:00"/>
    <x v="1"/>
    <m/>
    <s v="A20497"/>
    <s v="Manual"/>
    <s v="Nminya Siraje"/>
    <s v="UBP 301H"/>
    <s v="Kato Investment Ltd -Mityana"/>
    <n v="156"/>
    <s v="A20497"/>
    <s v="OM"/>
    <n v="690"/>
    <n v="692"/>
    <n v="2"/>
    <m/>
    <d v="2025-01-31T15:15:00"/>
    <d v="2025-01-31T15:05:00"/>
    <d v="2025-01-31T15:56:00"/>
    <n v="50.763888887498375"/>
    <n v="40.810185182635905"/>
    <m/>
    <d v="2025-02-02T17:32:00"/>
    <d v="2025-02-02T20:34:00"/>
    <n v="178.20833332945767"/>
    <m/>
    <d v="2025-02-03T15:12:00"/>
    <d v="2025-02-03T16:05:00"/>
    <n v="51.895833338348893"/>
    <m/>
    <n v="2.9694444444394321"/>
    <n v="3"/>
    <n v="3.0555555560567882E-2"/>
    <n v="71.266666666546371"/>
    <n v="24"/>
    <n v="47.266666666546371"/>
    <n v="3.3004231311790626"/>
    <m/>
    <m/>
    <m/>
    <m/>
    <m/>
  </r>
  <r>
    <d v="2025-02-01T00:00:00"/>
    <x v="1"/>
    <m/>
    <s v="Z82469"/>
    <s v="Manual"/>
    <s v="Byanshala Stoney"/>
    <s v="UBP 312H"/>
    <s v="Bates Enterprises Ltd-Ntoroko"/>
    <n v="156"/>
    <s v="Z82469"/>
    <s v="OM"/>
    <n v="464"/>
    <n v="463"/>
    <n v="-1"/>
    <m/>
    <d v="2025-01-31T14:57:00"/>
    <d v="2025-01-31T15:23:00"/>
    <d v="2025-01-31T15:37:00"/>
    <n v="13.935185188893229"/>
    <n v="39.814814819449872"/>
    <m/>
    <d v="2025-02-03T15:13:00"/>
    <d v="2025-02-03T17:42:00"/>
    <n v="145.89583333698101"/>
    <m/>
    <d v="2025-02-03T15:12:00"/>
    <d v="2025-02-03T16:09:00"/>
    <n v="55.81249999726424"/>
    <m/>
    <n v="2.9826388888905058"/>
    <n v="3"/>
    <n v="1.7361111109494232E-2"/>
    <n v="71.583333333372138"/>
    <n v="24"/>
    <n v="47.583333333372138"/>
    <n v="3.2784588441304261"/>
    <m/>
    <m/>
    <m/>
    <m/>
    <m/>
  </r>
  <r>
    <d v="2025-02-01T00:00:00"/>
    <x v="1"/>
    <m/>
    <s v="Z82472"/>
    <s v="Manual"/>
    <m/>
    <s v="UBR 534W"/>
    <s v="Kobusinge Steven-FPortal"/>
    <n v="156"/>
    <s v="Z82472"/>
    <s v="OM"/>
    <n v="304"/>
    <n v="302"/>
    <n v="-2"/>
    <m/>
    <d v="2025-01-31T21:42:00"/>
    <d v="2025-01-31T21:44:00"/>
    <d v="2025-01-31T22:25:00"/>
    <n v="40.810185182635905"/>
    <n v="42.80092592986572"/>
    <m/>
    <d v="2025-02-03T10:52:00"/>
    <d v="2025-02-03T19:08:00"/>
    <n v="485.66666666985839"/>
    <s v="found another truck at the RD"/>
    <d v="2025-02-03T10:40:00"/>
    <d v="2025-02-03T11:38:00"/>
    <n v="56.791666667122627"/>
    <m/>
    <n v="2.5104166666642413"/>
    <n v="2"/>
    <n v="-0.51041666666424135"/>
    <n v="60.249999999941792"/>
    <n v="24"/>
    <n v="36.249999999941792"/>
    <n v="4.3034482758689787"/>
    <m/>
    <m/>
    <m/>
    <m/>
    <m/>
  </r>
  <r>
    <d v="2025-02-01T00:00:00"/>
    <x v="1"/>
    <m/>
    <s v="Z82475"/>
    <s v="Manual"/>
    <s v="Mulumba Kasim"/>
    <s v="UBE 680K"/>
    <s v="Kobusinge Acaali- Kyenjojo"/>
    <n v="156"/>
    <s v="Z82475"/>
    <s v="OM"/>
    <n v="580"/>
    <n v="579"/>
    <n v="-1"/>
    <m/>
    <d v="2025-01-31T15:06:00"/>
    <d v="2025-01-31T14:16:00"/>
    <d v="2025-01-31T15:47:00"/>
    <n v="90.578703706948247"/>
    <n v="40.810185182635905"/>
    <m/>
    <d v="2025-02-01T10:57:00"/>
    <d v="2025-02-02T13:39:00"/>
    <n v="1568.6249999938445"/>
    <s v="found another truck at the RD and offloaded the next day"/>
    <d v="2025-02-03T15:12:00"/>
    <d v="2025-02-03T16:00:00"/>
    <n v="46.99999999931606"/>
    <m/>
    <n v="2.9756944444452529"/>
    <n v="2"/>
    <n v="-0.97569444444525288"/>
    <n v="71.416666666686069"/>
    <n v="24"/>
    <n v="47.416666666686069"/>
    <n v="3.2899824253062109"/>
    <m/>
    <m/>
    <m/>
    <m/>
    <m/>
  </r>
  <r>
    <d v="2025-02-02T00:00:00"/>
    <x v="1"/>
    <m/>
    <s v="A20508"/>
    <s v="Manual"/>
    <m/>
    <s v="UBR 903Y"/>
    <s v="Kato Investment Ltd -Kagadi"/>
    <n v="156"/>
    <s v="A20508"/>
    <s v="OM"/>
    <n v="670"/>
    <n v="671"/>
    <n v="1"/>
    <m/>
    <d v="2025-01-31T15:56:00"/>
    <d v="2025-01-31T15:55:00"/>
    <d v="2025-01-31T16:36:00"/>
    <n v="40.810185182635905"/>
    <n v="39.814814819449872"/>
    <m/>
    <d v="2025-02-03T15:13:00"/>
    <d v="2025-02-03T17:42:00"/>
    <n v="145.89583333698101"/>
    <m/>
    <d v="2025-02-03T15:12:00"/>
    <d v="2025-02-03T16:05:00"/>
    <n v="51.895833338348893"/>
    <m/>
    <n v="2.9416666666656965"/>
    <n v="2"/>
    <n v="-0.94166666666569654"/>
    <n v="70.599999999976717"/>
    <n v="24"/>
    <n v="46.599999999976717"/>
    <n v="3.3476394849802134"/>
    <m/>
    <m/>
    <m/>
    <m/>
    <m/>
  </r>
  <r>
    <d v="2025-02-02T00:00:00"/>
    <x v="1"/>
    <m/>
    <s v="A20506"/>
    <s v="Manual"/>
    <s v="Ngobi Fred"/>
    <s v="UBK 866R"/>
    <s v="KATO INVESTMENTS LTD-KATIKARA"/>
    <n v="156"/>
    <s v="A20506"/>
    <s v="OM"/>
    <n v="790"/>
    <n v="788"/>
    <n v="-2"/>
    <m/>
    <d v="2025-01-31T16:57:00"/>
    <d v="2025-01-31T17:20:00"/>
    <d v="2025-01-31T17:37:00"/>
    <n v="16.921296299309081"/>
    <n v="39.814814819449872"/>
    <m/>
    <d v="2025-02-03T10:52:00"/>
    <d v="2025-02-03T19:08:00"/>
    <n v="485.66666666985839"/>
    <s v="Waited for empties from trade"/>
    <d v="2025-02-03T10:08:00"/>
    <d v="2025-02-03T10:57:00"/>
    <n v="47.979166669174447"/>
    <m/>
    <n v="2.6881944444467081"/>
    <n v="2"/>
    <n v="-0.68819444444670808"/>
    <n v="64.516666666720994"/>
    <n v="24"/>
    <n v="40.516666666720994"/>
    <n v="3.8502673796739817"/>
    <m/>
    <m/>
    <m/>
    <m/>
    <m/>
  </r>
  <r>
    <d v="2025-02-02T00:00:00"/>
    <x v="1"/>
    <m/>
    <s v="A20510"/>
    <s v="Manual"/>
    <s v="Bwanga Gilbert"/>
    <s v="UBK 862R"/>
    <s v="Kato Investment Ltd -Mityana"/>
    <n v="156"/>
    <s v="A20510"/>
    <s v="OM"/>
    <n v="690"/>
    <n v="692"/>
    <n v="2"/>
    <m/>
    <d v="2025-02-03T07:13:00"/>
    <d v="2025-02-03T07:46:00"/>
    <d v="2025-02-03T07:54:00"/>
    <n v="7.9629629680615226"/>
    <n v="40.810185182635905"/>
    <m/>
    <d v="2025-02-01T10:57:00"/>
    <d v="2025-02-02T13:39:00"/>
    <n v="1568.6249999938445"/>
    <s v="found another truck at the RD"/>
    <d v="2025-02-03T12:44:00"/>
    <d v="2025-02-03T13:40:00"/>
    <n v="54.833333337664953"/>
    <m/>
    <n v="0.20138888888322981"/>
    <n v="2"/>
    <n v="1.7986111111167702"/>
    <n v="4.8333333331975155"/>
    <n v="0"/>
    <n v="4.8333333331975155"/>
    <n v="32.275862069872474"/>
    <m/>
    <m/>
    <m/>
    <m/>
    <m/>
  </r>
  <r>
    <d v="2025-02-02T00:00:00"/>
    <x v="1"/>
    <m/>
    <s v="A20509"/>
    <s v="Manual"/>
    <s v="Taimwa Alex"/>
    <s v="UBJ 705D"/>
    <s v="Kato Investment Ltd -Kagadi"/>
    <n v="156"/>
    <s v="A20509"/>
    <s v="OM"/>
    <n v="670"/>
    <n v="672"/>
    <n v="2"/>
    <m/>
    <d v="2025-02-02T11:14:00"/>
    <d v="2025-02-02T11:00:00"/>
    <d v="2025-02-02T11:54:00"/>
    <n v="53.749999997914223"/>
    <n v="39.814814819449872"/>
    <m/>
    <d v="2025-02-02T14:16:00"/>
    <d v="2025-02-02T17:07:00"/>
    <n v="167.43749999179272"/>
    <m/>
    <d v="2025-02-03T14:59:00"/>
    <d v="2025-02-03T15:48:00"/>
    <n v="47.979166669174447"/>
    <m/>
    <n v="1.1284722222189885"/>
    <n v="2"/>
    <n v="0.87152777778101154"/>
    <n v="27.083333333255723"/>
    <n v="12"/>
    <n v="15.083333333255723"/>
    <n v="10.342541436517305"/>
    <m/>
    <m/>
    <m/>
    <m/>
    <m/>
  </r>
  <r>
    <d v="2025-02-03T00:00:00"/>
    <x v="1"/>
    <m/>
    <s v="OMRYT3NRR"/>
    <s v="DJ"/>
    <s v="Stephen Musoke "/>
    <s v="UBJ 375N"/>
    <s v="RUGOMA TRADERS CO. LTD NTUNGAM "/>
    <n v="153.6"/>
    <s v="OMRYT3NRR"/>
    <s v="OM"/>
    <n v="150"/>
    <n v="149"/>
    <n v="-1"/>
    <m/>
    <d v="2025-02-02T14:54:00"/>
    <d v="2025-02-02T14:17:00"/>
    <d v="2025-02-02T15:34:00"/>
    <n v="76.643518518055018"/>
    <n v="39.814814819449872"/>
    <m/>
    <d v="2025-02-02T11:08:00"/>
    <d v="2025-02-02T14:02:00"/>
    <n v="170.37500000136788"/>
    <m/>
    <d v="2025-02-04T07:49:00"/>
    <d v="2025-02-04T08:47:00"/>
    <n v="56.791666667122627"/>
    <m/>
    <n v="1.6770833333357587"/>
    <n v="1"/>
    <n v="-0.67708333333575865"/>
    <n v="40.250000000058208"/>
    <n v="12"/>
    <n v="28.250000000058208"/>
    <n v="5.4371681415817168"/>
    <m/>
    <m/>
    <m/>
    <m/>
    <m/>
  </r>
  <r>
    <d v="2025-02-03T00:00:00"/>
    <x v="1"/>
    <m/>
    <s v="OMRYT3NRR"/>
    <s v="DJ"/>
    <s v="Stephen Musoke "/>
    <s v="UBJ 375N"/>
    <s v="KATO INVESTMENTS LIMITED-MASAK "/>
    <n v="153.6"/>
    <m/>
    <s v="OM"/>
    <n v="298"/>
    <n v="299"/>
    <n v="1"/>
    <m/>
    <d v="2025-02-01T15:40:00"/>
    <d v="2025-02-01T15:58:00"/>
    <d v="2025-02-01T16:21:00"/>
    <n v="22.893518520140788"/>
    <n v="40.810185182635905"/>
    <m/>
    <d v="2025-02-01T10:04:00"/>
    <d v="2025-02-01T15:02:00"/>
    <n v="291.79166666370293"/>
    <s v="Waited for empties from trade"/>
    <d v="2025-02-04T10:47:00"/>
    <d v="2025-02-04T12:09:00"/>
    <n v="80.291666661651107"/>
    <s v="dj failures at the gate"/>
    <n v="2.7680555555562023"/>
    <n v="2"/>
    <n v="-0.76805555555620231"/>
    <n v="66.433333333348855"/>
    <n v="24"/>
    <n v="42.433333333348855"/>
    <n v="3.6197957580505218"/>
    <m/>
    <m/>
    <m/>
    <m/>
    <m/>
  </r>
  <r>
    <d v="2025-02-03T00:00:00"/>
    <x v="1"/>
    <m/>
    <s v="OM1JESFRR"/>
    <s v="DJ"/>
    <s v="Benon Ssempijja"/>
    <s v="UAY 526V"/>
    <s v="Kabaco U Ltd-Mbarara"/>
    <n v="153.6"/>
    <s v="OM1JESFRR"/>
    <s v="OM"/>
    <n v="20"/>
    <n v="21"/>
    <n v="1"/>
    <m/>
    <d v="2025-02-03T17:17:00"/>
    <d v="2025-02-03T06:15:00"/>
    <d v="2025-02-03T17:57:00"/>
    <n v="698.75000000417151"/>
    <n v="39.814814819449872"/>
    <m/>
    <d v="2025-02-04T08:57:00"/>
    <d v="2025-02-04T15:39:00"/>
    <n v="393.62500000068394"/>
    <s v="Waited for empties from trade"/>
    <d v="2025-02-04T17:39:00"/>
    <d v="2025-02-04T18:35:00"/>
    <n v="54.833333337664953"/>
    <m/>
    <n v="0.98750000000291038"/>
    <n v="2"/>
    <n v="1.0124999999970896"/>
    <n v="23.700000000069849"/>
    <n v="0"/>
    <n v="23.700000000069849"/>
    <n v="6.4810126582087468"/>
    <m/>
    <m/>
    <m/>
    <m/>
    <m/>
  </r>
  <r>
    <d v="2025-02-03T00:00:00"/>
    <x v="1"/>
    <m/>
    <s v="OMRGR92RR"/>
    <s v="DJ"/>
    <s v="Isaac Tumuhimbise"/>
    <s v="UBE 287X"/>
    <s v="RUGOMA TRADERS CO. LTD NTUNGAM "/>
    <n v="153.6"/>
    <s v="OMRGR92RR"/>
    <s v="OM"/>
    <n v="150"/>
    <n v="149"/>
    <n v="-1"/>
    <m/>
    <d v="2025-02-03T19:46:00"/>
    <d v="2025-02-03T02:30:00"/>
    <d v="2025-02-03T20:30:00"/>
    <n v="1075"/>
    <n v="43.796296293051761"/>
    <m/>
    <d v="2025-02-03T16:01:00"/>
    <d v="2025-02-04T11:01:00"/>
    <n v="1116.2499999965803"/>
    <s v="Reached late and offloaded the next day"/>
    <d v="2025-02-05T12:14:00"/>
    <d v="2025-02-05T13:32:00"/>
    <n v="76.37500000273576"/>
    <s v="Failed batteries at the gate"/>
    <n v="1.6555555555605679"/>
    <n v="1"/>
    <n v="-0.65555555556056788"/>
    <n v="39.733333333453629"/>
    <n v="12"/>
    <n v="27.733333333453629"/>
    <n v="5.5384615384375149"/>
    <m/>
    <m/>
    <m/>
    <m/>
    <m/>
  </r>
  <r>
    <d v="2025-02-04T00:00:00"/>
    <x v="1"/>
    <m/>
    <s v="Z82492"/>
    <s v="Manual"/>
    <m/>
    <s v="UBP 305H"/>
    <s v="Kabaco U Ltd "/>
    <n v="156"/>
    <s v="Z82492"/>
    <s v="OM"/>
    <n v="320"/>
    <n v="317"/>
    <n v="-3"/>
    <m/>
    <d v="2025-02-03T18:27:00"/>
    <d v="2025-02-03T04:14:00"/>
    <d v="2025-02-03T19:03:00"/>
    <n v="884.88425925485592"/>
    <n v="35.833333335419105"/>
    <m/>
    <d v="2025-02-03T08:30:00"/>
    <d v="2025-02-03T12:12:00"/>
    <n v="217.37500000068394"/>
    <s v="Waited for empties from trade"/>
    <d v="2025-02-03T20:24:00"/>
    <d v="2025-02-03T21:16:00"/>
    <n v="50.916666668490507"/>
    <m/>
    <n v="5.6250000001455192E-2"/>
    <n v="2"/>
    <n v="1.9437499999985448"/>
    <n v="1.3500000000349246"/>
    <n v="0"/>
    <n v="1.3500000000349246"/>
    <n v="115.55555555256612"/>
    <m/>
    <m/>
    <m/>
    <m/>
    <m/>
  </r>
  <r>
    <d v="2025-02-04T00:00:00"/>
    <x v="1"/>
    <m/>
    <s v="Z82491"/>
    <s v="Manual"/>
    <m/>
    <s v="UBR 868Y"/>
    <s v="Kabaco U Ltd "/>
    <n v="156"/>
    <s v="Z82491"/>
    <s v="OM"/>
    <n v="320"/>
    <n v="58"/>
    <n v="-262"/>
    <m/>
    <d v="2025-02-03T19:18:00"/>
    <d v="2025-02-03T07:42:00"/>
    <d v="2025-02-03T19:54:00"/>
    <n v="728.61111111875891"/>
    <n v="35.833333335419105"/>
    <m/>
    <d v="2025-02-04T12:10:00"/>
    <d v="2025-02-04T14:16:00"/>
    <n v="123.37500000205182"/>
    <m/>
    <d v="2025-02-04T13:03:00"/>
    <d v="2025-02-04T13:58:00"/>
    <n v="53.854166667806567"/>
    <m/>
    <n v="0.7145833333270275"/>
    <n v="2"/>
    <n v="1.2854166666729725"/>
    <n v="17.14999999984866"/>
    <n v="0"/>
    <n v="17.14999999984866"/>
    <n v="9.0962099126167129"/>
    <m/>
    <m/>
    <m/>
    <m/>
    <m/>
  </r>
  <r>
    <d v="2025-02-04T00:00:00"/>
    <x v="1"/>
    <m/>
    <s v="F15836"/>
    <s v="Manual"/>
    <m/>
    <s v="UBG 237J"/>
    <s v="Boniface Harera"/>
    <n v="156"/>
    <s v="F15836"/>
    <s v="OM"/>
    <n v="448"/>
    <n v="450"/>
    <n v="2"/>
    <m/>
    <d v="2025-02-01T20:12:00"/>
    <d v="2025-02-01T20:03:00"/>
    <d v="2025-02-01T20:44:00"/>
    <n v="40.810185182635905"/>
    <n v="31.851851851388346"/>
    <m/>
    <d v="2025-02-04T19:57:00"/>
    <d v="2025-02-05T20:09:00"/>
    <n v="1421.7499999972642"/>
    <s v="space consquents"/>
    <d v="2025-02-06T14:55:00"/>
    <d v="2025-02-06T15:40:00"/>
    <n v="44.0625"/>
    <m/>
    <n v="4.757638888891961"/>
    <n v="2"/>
    <n v="-2.757638888891961"/>
    <n v="114.18333333340706"/>
    <n v="48"/>
    <n v="66.183333333407063"/>
    <n v="2.3570888944823905"/>
    <m/>
    <m/>
    <m/>
    <m/>
    <m/>
  </r>
  <r>
    <d v="2025-02-04T00:00:00"/>
    <x v="1"/>
    <m/>
    <s v="OMEA2E9RR"/>
    <s v="DJ"/>
    <s v="Abel Mark naffa"/>
    <s v="UBJ 415C"/>
    <s v="Sawan Distributors Ltd-Kayabwe "/>
    <n v="153.6"/>
    <s v="OMEA2E9RR"/>
    <s v="OM"/>
    <n v="382"/>
    <n v="384"/>
    <n v="2"/>
    <m/>
    <d v="2025-02-03T09:14:00"/>
    <d v="2025-02-03T08:25:00"/>
    <d v="2025-02-03T09:54:00"/>
    <n v="88.587962959718425"/>
    <n v="39.814814819449872"/>
    <m/>
    <d v="2025-02-04T17:17:00"/>
    <d v="2025-02-04T19:24:00"/>
    <n v="124.35416667191021"/>
    <m/>
    <d v="2025-02-05T12:44:00"/>
    <d v="2025-02-05T14:04:00"/>
    <n v="78.333333332193433"/>
    <s v="sorting delays"/>
    <n v="2.1180555555547471"/>
    <n v="2"/>
    <n v="-0.11805555555474712"/>
    <n v="50.833333333313931"/>
    <n v="24"/>
    <n v="26.833333333313931"/>
    <n v="5.7242236024886113"/>
    <m/>
    <m/>
    <m/>
    <m/>
    <m/>
  </r>
  <r>
    <d v="2025-02-04T00:00:00"/>
    <x v="1"/>
    <m/>
    <s v="OMGW63URR"/>
    <s v="DJ"/>
    <s v="Isaac Tumuhimbise"/>
    <s v="UBE 287X"/>
    <s v="Sawan Distributors Ltd-Kayabwe "/>
    <n v="153.6"/>
    <s v="OMGW63URR"/>
    <s v="OM"/>
    <n v="382"/>
    <n v="379"/>
    <n v="-3"/>
    <m/>
    <d v="2025-02-02T11:12:00"/>
    <d v="2025-02-02T11:43:00"/>
    <d v="2025-02-02T11:54:00"/>
    <n v="10.949074078477375"/>
    <n v="41.805555556250816"/>
    <m/>
    <d v="2025-02-04T11:56:00"/>
    <d v="2025-02-04T14:38:00"/>
    <n v="158.62500000410364"/>
    <m/>
    <d v="2025-02-05T14:24:00"/>
    <d v="2025-02-05T15:10:00"/>
    <n v="45.041666669858387"/>
    <m/>
    <n v="3.1041666666642413"/>
    <n v="2"/>
    <n v="-1.1041666666642413"/>
    <n v="74.499999999941792"/>
    <n v="36"/>
    <n v="38.499999999941792"/>
    <n v="3.9896103896164212"/>
    <m/>
    <m/>
    <m/>
    <m/>
    <m/>
  </r>
  <r>
    <d v="2025-02-05T00:00:00"/>
    <x v="1"/>
    <m/>
    <s v="A20570"/>
    <s v="Manual"/>
    <m/>
    <s v="UBR 533W"/>
    <s v="Kato Investment Ltd -Mityana"/>
    <n v="156"/>
    <s v="A20570"/>
    <s v="OM"/>
    <n v="690"/>
    <n v="689"/>
    <n v="-1"/>
    <m/>
    <d v="2025-02-04T18:58:00"/>
    <d v="2025-02-04T02:30:00"/>
    <d v="2025-02-04T19:36:00"/>
    <n v="1021.2500000020858"/>
    <n v="37.82407407222005"/>
    <m/>
    <d v="2025-02-04T11:56:00"/>
    <d v="2025-02-04T14:38:00"/>
    <n v="158.62500000410364"/>
    <m/>
    <d v="2025-02-05T14:24:00"/>
    <d v="2025-02-05T15:43:00"/>
    <n v="77.354166662335047"/>
    <s v="dj failures at the gate"/>
    <n v="0.78333333333284827"/>
    <n v="3"/>
    <n v="2.2166666666671517"/>
    <n v="18.799999999988358"/>
    <n v="0"/>
    <n v="18.799999999988358"/>
    <n v="8.2978723404306702"/>
    <m/>
    <m/>
    <m/>
    <m/>
    <m/>
  </r>
  <r>
    <d v="2025-02-05T00:00:00"/>
    <x v="1"/>
    <m/>
    <s v="Z82522"/>
    <s v="Manual"/>
    <s v="Ikwalikwa Yusuf"/>
    <s v="UBP 311H"/>
    <s v="Kabaco U Ltd "/>
    <n v="156"/>
    <s v="Z82522"/>
    <s v="OM"/>
    <n v="320"/>
    <n v="319"/>
    <n v="-1"/>
    <m/>
    <d v="2025-02-04T17:29:00"/>
    <d v="2025-02-04T04:19:00"/>
    <d v="2025-02-04T18:10:00"/>
    <n v="827.15277778333984"/>
    <n v="40.810185182635905"/>
    <m/>
    <d v="2025-02-04T17:17:00"/>
    <d v="2025-02-04T19:54:00"/>
    <n v="153.72916667532991"/>
    <m/>
    <d v="2025-02-05T12:44:00"/>
    <d v="2025-02-05T13:40:00"/>
    <n v="54.833333337664953"/>
    <m/>
    <n v="0.77361111110803904"/>
    <n v="2"/>
    <n v="1.226388888891961"/>
    <n v="18.566666666592937"/>
    <n v="0"/>
    <n v="18.566666666592937"/>
    <n v="8.4021543985970997"/>
    <m/>
    <m/>
    <m/>
    <m/>
    <m/>
  </r>
  <r>
    <d v="2025-02-05T00:00:00"/>
    <x v="1"/>
    <m/>
    <s v="A20568"/>
    <s v="Manual"/>
    <s v="kayanja Sam"/>
    <s v="UBF 379L"/>
    <s v="Kato Investments Ltd-Bulenga"/>
    <n v="156"/>
    <s v="A20568"/>
    <s v="OM"/>
    <n v="560"/>
    <n v="559"/>
    <n v="-1"/>
    <m/>
    <d v="2025-02-05T13:54:00"/>
    <d v="2025-02-05T13:02:00"/>
    <d v="2025-02-05T14:37:00"/>
    <n v="94.560185180550135"/>
    <n v="42.80092592986572"/>
    <m/>
    <d v="2025-02-06T09:07:00"/>
    <d v="2025-02-06T11:25:00"/>
    <n v="135.12499999931606"/>
    <m/>
    <d v="2025-02-07T15:31:00"/>
    <d v="2025-02-07T16:24:00"/>
    <n v="51.895833338348893"/>
    <m/>
    <n v="2.0374999999985448"/>
    <n v="3"/>
    <n v="0.96250000000145519"/>
    <n v="48.899999999965075"/>
    <n v="24"/>
    <n v="24.899999999965075"/>
    <n v="6.2650602409726428"/>
    <m/>
    <m/>
    <m/>
    <m/>
    <m/>
  </r>
  <r>
    <d v="2025-02-05T00:00:00"/>
    <x v="1"/>
    <m/>
    <s v="Z82524"/>
    <s v="Manual"/>
    <s v="Eriku Alipa"/>
    <s v="UBK 858R"/>
    <s v="Kobusinge Steven-Kamwenge"/>
    <n v="156"/>
    <s v="Z82524"/>
    <s v="OM"/>
    <n v="288"/>
    <n v="290"/>
    <n v="2"/>
    <m/>
    <d v="2025-02-05T13:05:00"/>
    <d v="2025-02-05T12:59:00"/>
    <d v="2025-02-05T13:42:00"/>
    <n v="42.80092592986572"/>
    <n v="36.828703698605146"/>
    <m/>
    <d v="2025-02-05T22:10:00"/>
    <d v="2025-02-06T10:26:00"/>
    <n v="720.66666666643869"/>
    <s v="Reached late and offloaded the next day"/>
    <d v="2025-02-07T12:35:00"/>
    <d v="2025-02-07T13:28:00"/>
    <n v="51.895833338348893"/>
    <m/>
    <n v="1.953472222223354"/>
    <n v="2"/>
    <n v="4.6527777776645962E-2"/>
    <n v="46.883333333360497"/>
    <n v="12"/>
    <n v="34.883333333360497"/>
    <n v="4.4720496894375117"/>
    <m/>
    <m/>
    <m/>
    <m/>
    <m/>
  </r>
  <r>
    <d v="2025-02-05T00:00:00"/>
    <x v="1"/>
    <m/>
    <s v="Z82527"/>
    <s v="Manual"/>
    <s v="Kyakulaga James"/>
    <s v="UBJ 419C"/>
    <s v="Kabaco U Ltd "/>
    <n v="156"/>
    <s v="Z82527"/>
    <s v="OM"/>
    <n v="320"/>
    <n v="321"/>
    <n v="1"/>
    <m/>
    <d v="2025-02-05T12:42:00"/>
    <d v="2025-02-05T12:43:00"/>
    <d v="2025-02-05T13:24:00"/>
    <n v="40.810185182635905"/>
    <n v="41.805555556250816"/>
    <m/>
    <d v="2025-02-05T18:58:00"/>
    <d v="2025-02-06T12:58:00"/>
    <n v="1057.5"/>
    <s v="truck faulty"/>
    <d v="2025-02-07T12:35:00"/>
    <d v="2025-02-07T13:23:00"/>
    <n v="46.99999999931606"/>
    <m/>
    <n v="1.9659722222204437"/>
    <n v="2"/>
    <n v="3.4027777779556345E-2"/>
    <n v="47.183333333290648"/>
    <n v="12"/>
    <n v="35.183333333290648"/>
    <n v="4.4339175746145694"/>
    <m/>
    <m/>
    <m/>
    <m/>
    <m/>
  </r>
  <r>
    <d v="2025-02-05T00:00:00"/>
    <x v="1"/>
    <m/>
    <s v="F15854"/>
    <s v="Manual"/>
    <s v="Kabanda Ronald"/>
    <s v="UBE 684K"/>
    <s v="Boniface Harera"/>
    <n v="156"/>
    <s v="F15854"/>
    <s v="OM"/>
    <n v="448"/>
    <n v="445"/>
    <n v="-3"/>
    <m/>
    <d v="2025-02-05T12:18:00"/>
    <d v="2025-02-05T12:06:00"/>
    <d v="2025-02-05T13:00:00"/>
    <n v="53.749999997914223"/>
    <n v="41.805555556250816"/>
    <m/>
    <d v="2025-02-05T16:34:00"/>
    <d v="2025-02-05T19:39:00"/>
    <n v="181.14583332877373"/>
    <s v="Waited for empties from trade"/>
    <d v="2025-02-05T21:47:00"/>
    <d v="2025-02-05T22:43:00"/>
    <n v="54.833333337664953"/>
    <m/>
    <n v="0.36597222222189885"/>
    <n v="2"/>
    <n v="1.6340277777781012"/>
    <n v="8.7833333333255723"/>
    <n v="0"/>
    <n v="8.7833333333255723"/>
    <n v="17.760910815954972"/>
    <m/>
    <m/>
    <m/>
    <m/>
    <m/>
  </r>
  <r>
    <d v="2025-02-05T00:00:00"/>
    <x v="1"/>
    <m/>
    <s v="Z82525"/>
    <s v="Manual"/>
    <s v="Lule Fred"/>
    <s v="UBP 310H"/>
    <s v="Kobusinge Acaali- Kyenjojo"/>
    <n v="156"/>
    <s v="Z82525"/>
    <s v="OM"/>
    <n v="580"/>
    <n v="582"/>
    <n v="2"/>
    <m/>
    <d v="2025-02-05T17:26:00"/>
    <d v="2025-02-05T16:47:00"/>
    <d v="2025-02-05T18:04:00"/>
    <n v="76.643518518055018"/>
    <n v="37.82407407222005"/>
    <m/>
    <d v="2025-02-06T10:57:00"/>
    <d v="2025-02-06T18:31:00"/>
    <n v="444.54166665891535"/>
    <s v="found another truck to be offloaded"/>
    <d v="2025-02-07T15:46:00"/>
    <d v="2025-02-07T16:46:00"/>
    <n v="58.7499999965803"/>
    <m/>
    <n v="1.9041666666671517"/>
    <n v="2"/>
    <n v="9.5833333332848269E-2"/>
    <n v="45.700000000011642"/>
    <n v="12"/>
    <n v="33.700000000011642"/>
    <n v="4.6290801186927633"/>
    <m/>
    <m/>
    <m/>
    <m/>
    <m/>
  </r>
  <r>
    <d v="2025-02-05T00:00:00"/>
    <x v="1"/>
    <m/>
    <s v="OM08QBORR"/>
    <s v="DJ"/>
    <s v="Benon Ssempijja"/>
    <s v="UAY 526V"/>
    <s v="Kato Investment Ltd -Mityana "/>
    <n v="153.6"/>
    <s v="OM08QBORR"/>
    <s v="OM"/>
    <n v="690"/>
    <n v="689"/>
    <n v="-1"/>
    <m/>
    <d v="2025-02-05T11:57:00"/>
    <d v="2025-02-05T11:59:00"/>
    <d v="2025-02-05T12:40:00"/>
    <n v="40.810185182635905"/>
    <n v="42.80092592986572"/>
    <m/>
    <d v="2025-02-06T11:17:00"/>
    <d v="2025-02-06T17:01:00"/>
    <n v="336.83333333356131"/>
    <s v="Dj failure at customer"/>
    <d v="2025-02-08T10:54:00"/>
    <d v="2025-02-08T11:52:00"/>
    <n v="56.791666667122627"/>
    <m/>
    <n v="2.9263888888890506"/>
    <n v="2"/>
    <n v="-0.92638888888905058"/>
    <n v="70.233333333337214"/>
    <n v="24"/>
    <n v="46.233333333337214"/>
    <n v="3.3222782984856618"/>
    <m/>
    <m/>
    <m/>
    <m/>
    <m/>
  </r>
  <r>
    <d v="2025-02-05T00:00:00"/>
    <x v="1"/>
    <m/>
    <s v="OM2G8SKRR"/>
    <s v="DJ"/>
    <s v="Luyaga Isaac"/>
    <s v="UAY 265V"/>
    <s v="Kato Investments Ltd-Bulenga"/>
    <n v="153.6"/>
    <s v="OM2G8SKRR"/>
    <s v="OM"/>
    <n v="560"/>
    <n v="561"/>
    <n v="1"/>
    <m/>
    <d v="2025-02-04T13:43:00"/>
    <d v="2025-02-04T14:08:00"/>
    <d v="2025-02-04T14:25:00"/>
    <n v="16.921296299309081"/>
    <n v="41.805555556250816"/>
    <m/>
    <d v="2025-02-06T11:34:00"/>
    <d v="2025-02-06T16:34:00"/>
    <n v="293.7500000034197"/>
    <s v="Waited for empties from trade"/>
    <d v="2025-02-07T14:38:00"/>
    <d v="2025-02-07T15:31:00"/>
    <n v="51.895833338348893"/>
    <m/>
    <n v="3.0090277777781012"/>
    <n v="2"/>
    <n v="-1.0090277777781012"/>
    <n v="72.216666666674428"/>
    <n v="36"/>
    <n v="36.216666666674428"/>
    <n v="4.2411412793364125"/>
    <m/>
    <m/>
    <m/>
    <m/>
    <m/>
  </r>
  <r>
    <d v="2025-02-05T00:00:00"/>
    <x v="1"/>
    <m/>
    <s v="OM3FY6QRR"/>
    <s v="DJ"/>
    <s v="Bisaso  Ronald"/>
    <s v="UBK 875R"/>
    <s v="Kato Investment Ltd -Mityana "/>
    <n v="153.6"/>
    <s v="OM3FY6QRR"/>
    <s v="OM"/>
    <n v="690"/>
    <n v="692"/>
    <n v="2"/>
    <m/>
    <d v="2025-02-05T08:05:00"/>
    <d v="2025-02-05T07:17:00"/>
    <d v="2025-02-05T08:46:00"/>
    <n v="88.587962959718425"/>
    <n v="40.810185182635905"/>
    <m/>
    <d v="2025-02-06T15:34:00"/>
    <d v="2025-02-07T08:33:00"/>
    <n v="997.77083333356131"/>
    <s v="less casuals and offloaded the next day"/>
    <d v="2025-02-08T14:54:00"/>
    <d v="2025-02-08T15:46:00"/>
    <n v="50.916666668490507"/>
    <m/>
    <n v="3.2555555555591127"/>
    <n v="2"/>
    <n v="-1.2555555555591127"/>
    <n v="78.133333333418705"/>
    <n v="36"/>
    <n v="42.133333333418705"/>
    <n v="3.6455696202457779"/>
    <m/>
    <m/>
    <m/>
    <m/>
    <m/>
  </r>
  <r>
    <d v="2025-02-05T00:00:00"/>
    <x v="1"/>
    <m/>
    <s v="OMGYL7CRR"/>
    <s v="DJ"/>
    <s v="Tumusiime Robert"/>
    <s v="UBJ 988D"/>
    <s v="KATO INVESTMENTS LTD- KALISIZO "/>
    <n v="153.6"/>
    <s v="OMGYL7CRR"/>
    <s v="OM"/>
    <n v="350"/>
    <n v="352"/>
    <n v="2"/>
    <m/>
    <d v="2025-02-05T13:55:00"/>
    <d v="2025-02-04T20:00:00"/>
    <d v="2025-02-05T14:37:00"/>
    <n v="1111.8287036986051"/>
    <n v="41.805555556250816"/>
    <m/>
    <d v="2025-02-11T09:57:00"/>
    <d v="2025-02-11T13:11:00"/>
    <n v="189.95833333698101"/>
    <s v="First offloaded their route sale trucks"/>
    <d v="2025-02-05T21:47:00"/>
    <d v="2025-02-05T22:44:00"/>
    <n v="55.81249999726424"/>
    <m/>
    <n v="0.29861111110949423"/>
    <n v="2"/>
    <n v="1.7013888888905058"/>
    <n v="7.1666666666278616"/>
    <n v="0"/>
    <n v="7.1666666666278616"/>
    <n v="21.432558139650933"/>
    <m/>
    <m/>
    <m/>
    <m/>
    <m/>
  </r>
  <r>
    <d v="2025-02-05T00:00:00"/>
    <x v="1"/>
    <m/>
    <s v="OMMK06ORR"/>
    <s v="DJ"/>
    <s v="Kabene John"/>
    <s v="UBA 523T"/>
    <s v="Ntale and Sons"/>
    <n v="153.6"/>
    <s v="OMMK06ORR"/>
    <s v="OM"/>
    <n v="810"/>
    <n v="812"/>
    <n v="2"/>
    <m/>
    <d v="2025-02-05T12:43:00"/>
    <d v="2025-02-04T20:13:00"/>
    <d v="2025-02-05T13:24:00"/>
    <n v="1026.2268518493026"/>
    <n v="40.810185182635905"/>
    <m/>
    <d v="2025-02-10T18:37:00"/>
    <d v="2025-02-11T09:23:00"/>
    <n v="867.54166667327809"/>
    <s v="slept at the RD and offloaded the next day"/>
    <d v="2025-02-08T10:54:00"/>
    <d v="2025-02-08T11:44:00"/>
    <n v="48.958333328773733"/>
    <m/>
    <n v="2.8958333333357587"/>
    <n v="3"/>
    <n v="0.10416666666424135"/>
    <n v="69.500000000058208"/>
    <n v="24"/>
    <n v="45.500000000058208"/>
    <n v="3.3758241758198571"/>
    <m/>
    <m/>
    <m/>
    <m/>
    <m/>
  </r>
  <r>
    <d v="2025-02-06T00:00:00"/>
    <x v="1"/>
    <m/>
    <s v="OM2T10KRR"/>
    <s v="DJ"/>
    <s v="Abel Mark naffa"/>
    <s v="UBJ 415C"/>
    <s v="Kabaco U Ltd "/>
    <n v="153.6"/>
    <s v="OM2T10KRR"/>
    <s v="OM"/>
    <n v="320"/>
    <n v="322"/>
    <n v="2"/>
    <m/>
    <d v="2025-02-05T12:40:00"/>
    <d v="2025-02-04T20:13:00"/>
    <d v="2025-02-05T13:24:00"/>
    <n v="1026.2268518493026"/>
    <n v="43.796296293051761"/>
    <m/>
    <d v="2025-02-06T10:57:00"/>
    <d v="2025-02-06T18:31:00"/>
    <n v="444.54166665891535"/>
    <s v="found another truck at RD"/>
    <d v="2025-02-07T15:46:00"/>
    <d v="2025-02-07T16:37:00"/>
    <n v="49.93749999863212"/>
    <m/>
    <n v="2.0986111111124046"/>
    <n v="2"/>
    <n v="-9.8611111112404615E-2"/>
    <n v="50.366666666697711"/>
    <n v="24"/>
    <n v="26.366666666697711"/>
    <n v="5.8255372945569839"/>
    <m/>
    <m/>
    <m/>
    <m/>
    <m/>
  </r>
  <r>
    <d v="2025-02-06T00:00:00"/>
    <x v="1"/>
    <m/>
    <s v="OMF1N6TRR"/>
    <s v="DJ"/>
    <s v="Konge Husein"/>
    <s v="UBJ 707D"/>
    <s v="KATO INVESTMENTS LIMITED-MASAK"/>
    <n v="153.6"/>
    <s v="OMF1N6TRR"/>
    <s v="OM"/>
    <n v="298"/>
    <n v="148"/>
    <n v="-150"/>
    <m/>
    <d v="2025-02-05T12:17:00"/>
    <d v="2025-02-04T20:00:00"/>
    <d v="2025-02-05T13:00:00"/>
    <n v="1015.2777777708252"/>
    <n v="42.80092592986572"/>
    <m/>
    <d v="2025-02-06T15:34:00"/>
    <d v="2025-02-07T08:33:00"/>
    <n v="997.77083333356131"/>
    <s v="Not enough casuals to offload"/>
    <d v="2025-02-08T14:54:00"/>
    <d v="2025-02-08T15:43:00"/>
    <n v="47.979166669174447"/>
    <m/>
    <n v="3.0791666666700621"/>
    <n v="2"/>
    <n v="-1.0791666666700621"/>
    <n v="73.900000000081491"/>
    <n v="36"/>
    <n v="37.900000000081491"/>
    <n v="4.0527704485400982"/>
    <m/>
    <m/>
    <m/>
    <m/>
    <m/>
  </r>
  <r>
    <d v="2025-02-06T00:00:00"/>
    <x v="1"/>
    <m/>
    <s v="OMMMFQSRR"/>
    <s v="DJ"/>
    <s v="Isaac Tumuhimbise"/>
    <s v="UBE 287X"/>
    <s v="RUGOMA TRADERS CO. LTD NTUNGAM"/>
    <n v="153.6"/>
    <s v="OMMMFQSRR"/>
    <s v="OM"/>
    <n v="150"/>
    <n v="149"/>
    <n v="-1"/>
    <m/>
    <d v="2025-02-05T17:20:00"/>
    <d v="2025-02-05T03:43:00"/>
    <d v="2025-02-05T18:04:00"/>
    <n v="857.01388888749841"/>
    <n v="43.796296293051761"/>
    <m/>
    <d v="2025-02-06T11:34:00"/>
    <d v="2025-02-06T16:34:00"/>
    <n v="293.7500000034197"/>
    <s v="Waited for empties from trade"/>
    <d v="2025-02-07T14:38:00"/>
    <d v="2025-02-07T15:32:00"/>
    <n v="52.87499999794818"/>
    <m/>
    <n v="1.8569444444437977"/>
    <n v="1"/>
    <n v="-0.85694444444379769"/>
    <n v="44.566666666651145"/>
    <n v="12"/>
    <n v="32.566666666651145"/>
    <n v="4.7164790174024525"/>
    <m/>
    <m/>
    <m/>
    <m/>
    <m/>
  </r>
  <r>
    <d v="2025-02-06T00:00:00"/>
    <x v="1"/>
    <m/>
    <s v="OMOHRI9RR"/>
    <s v="DJ"/>
    <s v="ZIWA ABASI"/>
    <s v="UBJ 420C"/>
    <s v="Rugoma Traders-Rukungiri "/>
    <n v="153.6"/>
    <s v="OMOHRI9RR"/>
    <s v="OM"/>
    <n v="256"/>
    <n v="255"/>
    <n v="-1"/>
    <m/>
    <d v="2025-02-07T18:43:00"/>
    <d v="2025-02-06T04:14:00"/>
    <d v="2025-02-07T19:26:00"/>
    <n v="2341.1111111083301"/>
    <n v="42.80092592986572"/>
    <m/>
    <d v="2025-02-12T15:42:00"/>
    <d v="2025-02-12T17:50:00"/>
    <n v="125.33333333150949"/>
    <m/>
    <d v="2025-02-10T13:48:00"/>
    <d v="2025-02-10T14:39:00"/>
    <n v="49.93749999863212"/>
    <m/>
    <n v="2.765277777776646"/>
    <n v="2"/>
    <n v="-0.76527777777664596"/>
    <n v="66.366666666639503"/>
    <n v="24"/>
    <n v="42.366666666639503"/>
    <n v="3.62549173879068"/>
    <m/>
    <m/>
    <m/>
    <m/>
    <m/>
  </r>
  <r>
    <d v="2025-02-06T00:00:00"/>
    <x v="1"/>
    <m/>
    <s v="OMPH45PRR"/>
    <s v="DJ"/>
    <s v="MUKOSE MUZAMIRU"/>
    <s v="UBJ 417C"/>
    <s v="Boniface Harera "/>
    <n v="153.6"/>
    <s v="OMPH45PRR"/>
    <s v="OM"/>
    <n v="448"/>
    <n v="450"/>
    <n v="2"/>
    <m/>
    <d v="2025-02-06T19:26:00"/>
    <d v="2025-02-06T06:15:00"/>
    <d v="2025-02-06T20:08:00"/>
    <n v="829.14351852014079"/>
    <n v="41.805555556250816"/>
    <m/>
    <d v="2025-02-07T10:12:00"/>
    <d v="2025-02-07T18:32:00"/>
    <n v="489.58333332877373"/>
    <s v="found another truck at the RD"/>
    <d v="2025-02-08T09:00:00"/>
    <d v="2025-02-08T09:50:00"/>
    <n v="48.958333328773733"/>
    <m/>
    <n v="1.5361111111124046"/>
    <n v="2"/>
    <n v="0.46388888888759539"/>
    <n v="36.866666666697711"/>
    <n v="12"/>
    <n v="24.866666666697711"/>
    <n v="6.176943699724192"/>
    <m/>
    <m/>
    <m/>
    <m/>
    <m/>
  </r>
  <r>
    <d v="2025-02-07T00:00:00"/>
    <x v="1"/>
    <m/>
    <s v="A20596"/>
    <s v="Manual"/>
    <s v="Mulumba Kasim"/>
    <s v="UBE 680K"/>
    <s v="Kato Investments Ltd- Kyegegwa"/>
    <n v="156"/>
    <s v="A20596"/>
    <s v="OM"/>
    <n v="600"/>
    <n v="602"/>
    <n v="2"/>
    <m/>
    <d v="2025-02-06T10:11:00"/>
    <d v="2025-02-06T02:22:00"/>
    <d v="2025-02-06T10:55:00"/>
    <n v="510.62499999582843"/>
    <n v="43.796296293051761"/>
    <m/>
    <d v="2025-02-09T18:55:00"/>
    <d v="2025-02-10T13:15:00"/>
    <n v="1077.0833333356131"/>
    <s v="space consquents"/>
    <d v="2025-02-10T15:52:00"/>
    <d v="2025-02-10T16:48:00"/>
    <n v="54.833333337664953"/>
    <m/>
    <n v="4.2062500000029104"/>
    <n v="3"/>
    <n v="-1.2062500000029104"/>
    <n v="100.95000000006985"/>
    <n v="48"/>
    <n v="52.950000000069849"/>
    <n v="2.9461756373898811"/>
    <m/>
    <m/>
    <m/>
    <m/>
    <m/>
  </r>
  <r>
    <d v="2025-02-07T00:00:00"/>
    <x v="1"/>
    <m/>
    <s v="Z82547"/>
    <s v="Manual"/>
    <s v="ZIWA ABASI"/>
    <s v="UBJ 420C"/>
    <s v="Kobusinge Steven-FPortal"/>
    <n v="156"/>
    <s v="Z82547"/>
    <s v="OM"/>
    <n v="304"/>
    <n v="306"/>
    <n v="2"/>
    <m/>
    <d v="2025-02-06T21:55:00"/>
    <d v="2025-02-06T04:04:00"/>
    <d v="2025-02-06T22:38:00"/>
    <n v="1108.8425925986182"/>
    <n v="42.80092592986572"/>
    <m/>
    <d v="2025-02-06T10:31:00"/>
    <d v="2025-02-06T15:45:00"/>
    <n v="307.45833333014161"/>
    <s v="Waited for empties from trade"/>
    <d v="2025-02-07T19:55:00"/>
    <d v="2025-02-07T20:43:00"/>
    <n v="46.99999999931606"/>
    <m/>
    <n v="0.88680555555038154"/>
    <n v="2"/>
    <n v="1.1131944444496185"/>
    <n v="21.283333333209157"/>
    <n v="0"/>
    <n v="21.283333333209157"/>
    <n v="7.3296789350466804"/>
    <m/>
    <m/>
    <m/>
    <m/>
    <m/>
  </r>
  <r>
    <d v="2025-02-07T00:00:00"/>
    <x v="1"/>
    <m/>
    <s v="A20594"/>
    <s v="Manual"/>
    <s v="Ikwalikwa Yusuf"/>
    <s v="UBP 311H"/>
    <s v="Kato Investments Ltd-Bulenga"/>
    <n v="156"/>
    <s v="A20594"/>
    <s v="OM"/>
    <n v="560"/>
    <n v="558"/>
    <n v="-2"/>
    <m/>
    <d v="2025-02-06T19:13:00"/>
    <d v="2025-02-06T01:30:00"/>
    <d v="2025-02-06T19:55:00"/>
    <n v="1099.8842592569417"/>
    <n v="41.805555556250816"/>
    <m/>
    <d v="2025-02-06T12:42:00"/>
    <d v="2025-02-06T18:36:00"/>
    <n v="346.62500000136788"/>
    <s v="Not enough casuals to offload"/>
    <d v="2025-02-07T13:36:00"/>
    <d v="2025-02-07T14:32:00"/>
    <n v="54.833333337664953"/>
    <m/>
    <n v="0.73680555555620231"/>
    <n v="3"/>
    <n v="2.2631944444437977"/>
    <n v="17.683333333348855"/>
    <n v="0"/>
    <n v="17.683333333348855"/>
    <n v="8.8218661639884868"/>
    <m/>
    <m/>
    <m/>
    <m/>
    <m/>
  </r>
  <r>
    <d v="2025-02-07T00:00:00"/>
    <x v="1"/>
    <m/>
    <s v="A20595"/>
    <s v="Manual"/>
    <s v="Kabanda Ronald"/>
    <s v="UBE 684K"/>
    <s v="Kato Investment Ltd -Mubende"/>
    <n v="156"/>
    <s v="A20595"/>
    <s v="OM"/>
    <n v="680"/>
    <n v="678"/>
    <n v="-2"/>
    <m/>
    <d v="2025-02-26T09:18:00"/>
    <d v="2025-02-26T09:37:00"/>
    <d v="2025-02-26T10:00:00"/>
    <n v="22.893518520140788"/>
    <n v="41.805555556250816"/>
    <m/>
    <d v="2025-02-27T14:49:00"/>
    <d v="2025-02-28T17:33:00"/>
    <n v="1570.5833333335613"/>
    <m/>
    <d v="2025-03-01T19:39:00"/>
    <d v="2025-03-01T20:28:00"/>
    <n v="47.979166669174447"/>
    <m/>
    <n v="3.4020833333343035"/>
    <n v="2"/>
    <n v="-1.4020833333343035"/>
    <n v="81.650000000023283"/>
    <n v="36"/>
    <n v="45.650000000023283"/>
    <n v="3.4173055859785419"/>
    <m/>
    <m/>
    <m/>
    <m/>
    <m/>
  </r>
  <r>
    <d v="2025-02-07T00:00:00"/>
    <x v="1"/>
    <m/>
    <s v="Z82552"/>
    <s v="Manual"/>
    <s v="Kyakulaga James"/>
    <s v="UBJ 419C"/>
    <s v="Kobusinge Steven-Kamwenge"/>
    <n v="156"/>
    <s v="Z82552"/>
    <s v="OM"/>
    <n v="288"/>
    <n v="290"/>
    <n v="2"/>
    <m/>
    <d v="2025-02-26T14:19:00"/>
    <d v="2025-02-26T14:03:00"/>
    <d v="2025-02-26T15:00:00"/>
    <n v="56.736111108330078"/>
    <n v="40.810185182635905"/>
    <m/>
    <d v="2025-02-07T13:10:00"/>
    <d v="2025-02-07T15:40:00"/>
    <n v="146.8750000068394"/>
    <m/>
    <d v="2025-02-28T19:39:00"/>
    <d v="2025-02-28T20:39:00"/>
    <n v="58.7499999965803"/>
    <m/>
    <n v="2.1937499999985448"/>
    <n v="2"/>
    <n v="-0.19374999999854481"/>
    <n v="52.649999999965075"/>
    <n v="24"/>
    <n v="28.649999999965075"/>
    <n v="5.445026178017109"/>
    <m/>
    <m/>
    <m/>
    <m/>
    <m/>
  </r>
  <r>
    <d v="2025-02-07T00:00:00"/>
    <x v="1"/>
    <m/>
    <s v="Z82546"/>
    <s v="Manual"/>
    <s v="Tsaale Hassan"/>
    <s v="UBJ 703D"/>
    <s v="Bates Enterprises U Ltd"/>
    <n v="156"/>
    <s v="Z82546"/>
    <s v="OM"/>
    <n v="414"/>
    <n v="417"/>
    <n v="3"/>
    <m/>
    <d v="2025-02-26T18:22:00"/>
    <d v="2025-02-26T18:40:00"/>
    <d v="2025-02-26T19:03:00"/>
    <n v="22.893518520140788"/>
    <n v="40.810185182635905"/>
    <m/>
    <d v="2025-02-27T15:28:00"/>
    <d v="2025-02-27T17:30:00"/>
    <n v="119.45833333287737"/>
    <m/>
    <d v="2025-02-28T10:03:00"/>
    <d v="2025-02-28T10:56:00"/>
    <n v="51.895833338348893"/>
    <m/>
    <n v="1.625"/>
    <n v="3"/>
    <n v="1.375"/>
    <n v="39"/>
    <n v="12"/>
    <n v="27"/>
    <n v="5.7777777777777777"/>
    <m/>
    <m/>
    <m/>
    <m/>
    <m/>
  </r>
  <r>
    <d v="2025-02-07T00:00:00"/>
    <x v="1"/>
    <m/>
    <s v="F15865"/>
    <s v="Manual"/>
    <s v="Lule Fred"/>
    <s v="UBP 310H"/>
    <s v="Boniface Harera"/>
    <n v="156"/>
    <s v="F15865"/>
    <s v="OM"/>
    <n v="448"/>
    <n v="450"/>
    <n v="2"/>
    <m/>
    <d v="2025-02-28T18:19:00"/>
    <d v="2025-02-28T18:40:00"/>
    <d v="2025-02-28T19:03:00"/>
    <n v="22.893518520140788"/>
    <n v="43.796296293051761"/>
    <m/>
    <d v="2025-02-28T12:24:00"/>
    <d v="2025-02-28T17:56:00"/>
    <n v="325.08333332603797"/>
    <s v="Waited for empties from trade"/>
    <d v="2025-03-01T19:31:00"/>
    <d v="2025-03-01T20:21:00"/>
    <n v="48.958333328773733"/>
    <m/>
    <n v="1.0194444444496185"/>
    <n v="2"/>
    <n v="0.98055555555038154"/>
    <n v="24.466666666790843"/>
    <n v="12"/>
    <n v="12.466666666790843"/>
    <n v="12.513368983832578"/>
    <m/>
    <m/>
    <m/>
    <m/>
    <m/>
  </r>
  <r>
    <d v="2025-02-07T00:00:00"/>
    <x v="1"/>
    <m/>
    <s v="F15863"/>
    <s v="Manual"/>
    <s v="Eriku Alipa"/>
    <s v="UBK 858R"/>
    <s v="Boniface Harera"/>
    <n v="156"/>
    <s v="F15863"/>
    <s v="OM"/>
    <n v="448"/>
    <n v="450"/>
    <n v="2"/>
    <m/>
    <d v="2025-03-01T06:59:00"/>
    <d v="2025-03-01T07:09:00"/>
    <d v="2025-03-01T07:40:00"/>
    <n v="30.856481477773439"/>
    <n v="40.810185182635905"/>
    <m/>
    <d v="2025-03-01T18:34:00"/>
    <d v="2025-03-02T20:55:00"/>
    <n v="1548.0625000088912"/>
    <m/>
    <d v="2025-03-03T16:21:00"/>
    <d v="2025-03-03T17:10:00"/>
    <n v="47.979166669174447"/>
    <m/>
    <n v="2.3618055555562023"/>
    <n v="2"/>
    <n v="-0.36180555555620231"/>
    <n v="56.683333333348855"/>
    <n v="24"/>
    <n v="32.683333333348855"/>
    <n v="4.7730749617519406"/>
    <m/>
    <m/>
    <m/>
    <m/>
    <m/>
  </r>
  <r>
    <d v="2025-02-07T00:00:00"/>
    <x v="1"/>
    <m/>
    <s v="OMSF49ZRR"/>
    <s v="DJ"/>
    <s v="James  Kironde"/>
    <s v="UBK 881R"/>
    <s v="Kabaco U Ltd-Mbarara "/>
    <n v="153.6"/>
    <s v="OMSF49ZRR"/>
    <s v="OM"/>
    <n v="20"/>
    <n v="19"/>
    <n v="-1"/>
    <m/>
    <d v="2025-02-28T18:22:00"/>
    <d v="2025-02-28T18:40:00"/>
    <d v="2025-02-28T19:03:00"/>
    <n v="22.893518520140788"/>
    <n v="40.810185182635905"/>
    <m/>
    <d v="2025-03-01T10:40:00"/>
    <d v="2025-03-01T13:13:00"/>
    <n v="149.81249999589636"/>
    <m/>
    <d v="2025-03-01T19:39:00"/>
    <d v="2025-03-01T20:33:00"/>
    <n v="52.87499999794818"/>
    <m/>
    <n v="1.0250000000014552"/>
    <n v="1"/>
    <n v="-2.5000000001455192E-2"/>
    <n v="24.600000000034925"/>
    <n v="12"/>
    <n v="12.600000000034925"/>
    <n v="12.1904761904424"/>
    <m/>
    <m/>
    <m/>
    <m/>
    <m/>
  </r>
  <r>
    <d v="2025-02-07T00:00:00"/>
    <x v="1"/>
    <m/>
    <s v="OMT67LPRR"/>
    <s v="DJ"/>
    <s v="SENTONG DAVID"/>
    <s v="UBP 298H"/>
    <s v="Kobusinge Acaali- Kyenjojo"/>
    <n v="156"/>
    <s v="OMT67LPRR"/>
    <s v="OM"/>
    <n v="580"/>
    <n v="582"/>
    <n v="2"/>
    <m/>
    <d v="2025-03-12T14:10:00"/>
    <d v="2025-03-12T14:11:00"/>
    <d v="2025-03-12T14:52:00"/>
    <n v="40.810185182635905"/>
    <n v="41.805555556250816"/>
    <m/>
    <d v="2025-03-12T12:15:00"/>
    <d v="2025-03-13T14:29:00"/>
    <n v="1541.2083333404007"/>
    <m/>
    <d v="2025-03-14T19:39:00"/>
    <d v="2025-03-14T20:27:00"/>
    <n v="46.99999999931606"/>
    <m/>
    <n v="2.1993055555576575"/>
    <n v="2"/>
    <n v="-0.1993055555576575"/>
    <n v="52.78333333338378"/>
    <n v="24"/>
    <n v="28.78333333338378"/>
    <n v="5.4198031267999971"/>
    <m/>
    <m/>
    <m/>
    <m/>
    <m/>
  </r>
  <r>
    <d v="2025-02-08T00:00:00"/>
    <x v="1"/>
    <m/>
    <s v="Z82558"/>
    <s v="Manual"/>
    <s v="Taimwa Alex"/>
    <s v="UBJ 705D"/>
    <s v="Bates Enterprises Ltd-Ntoroko"/>
    <n v="156"/>
    <s v="Z82558"/>
    <s v="OM"/>
    <n v="464"/>
    <n v="462"/>
    <n v="-2"/>
    <m/>
    <d v="2025-02-07T15:04:00"/>
    <d v="2025-02-07T15:31:00"/>
    <d v="2025-02-07T15:48:00"/>
    <n v="16.921296299309081"/>
    <n v="43.796296293051761"/>
    <m/>
    <d v="2025-02-07T22:12:00"/>
    <d v="2025-02-08T13:51:00"/>
    <n v="919.43749999110878"/>
    <s v="slept at the RD and offloaded the next day"/>
    <d v="2025-02-08T16:21:00"/>
    <d v="2025-02-08T17:17:00"/>
    <n v="54.833333337664953"/>
    <m/>
    <n v="1.0229166666686069"/>
    <n v="2"/>
    <n v="0.97708333333139308"/>
    <n v="24.550000000046566"/>
    <n v="12"/>
    <n v="12.550000000046566"/>
    <n v="12.43027888441603"/>
    <m/>
    <m/>
    <m/>
    <m/>
    <m/>
  </r>
  <r>
    <d v="2025-02-08T00:00:00"/>
    <x v="1"/>
    <m/>
    <s v="Z82559"/>
    <s v="Manual"/>
    <s v="Ntumwa Solomon"/>
    <s v="UBR 540W"/>
    <s v="Bates Enterprises U Ltd"/>
    <n v="156"/>
    <s v="Z82559"/>
    <s v="OM"/>
    <n v="414"/>
    <n v="413"/>
    <n v="-1"/>
    <m/>
    <d v="2025-02-07T09:27:00"/>
    <d v="2025-02-07T07:42:00"/>
    <d v="2025-02-07T10:09:00"/>
    <n v="146.31944445209228"/>
    <n v="41.805555556250816"/>
    <m/>
    <d v="2025-02-11T09:57:00"/>
    <d v="2025-02-11T13:11:00"/>
    <n v="189.95833333698101"/>
    <s v="found another truck at the RD"/>
    <d v="2025-02-09T10:03:00"/>
    <d v="2025-02-09T10:56:00"/>
    <n v="51.895833338348893"/>
    <m/>
    <n v="1.9958333333270275"/>
    <n v="3"/>
    <n v="1.0041666666729725"/>
    <n v="47.89999999984866"/>
    <n v="12"/>
    <n v="35.89999999984866"/>
    <n v="4.3454038997397673"/>
    <m/>
    <m/>
    <m/>
    <m/>
    <m/>
  </r>
  <r>
    <d v="2025-02-08T00:00:00"/>
    <x v="1"/>
    <m/>
    <s v="F15867"/>
    <s v="Manual"/>
    <s v="Bwanga Gilbert"/>
    <s v="UBK 862R"/>
    <s v="Boniface Harera"/>
    <n v="156"/>
    <s v="F15867"/>
    <s v="OM"/>
    <n v="448"/>
    <n v="449"/>
    <n v="1"/>
    <m/>
    <d v="2025-02-07T10:32:00"/>
    <d v="2025-02-07T03:17:00"/>
    <d v="2025-02-07T11:15:00"/>
    <n v="475.78703703402425"/>
    <n v="42.80092592986572"/>
    <m/>
    <d v="2025-02-10T18:37:00"/>
    <d v="2025-02-11T09:23:00"/>
    <n v="867.54166667327809"/>
    <s v="found another truck at the RD and offloaded the next day"/>
    <d v="2025-02-07T16:21:00"/>
    <d v="2025-02-07T17:14:00"/>
    <n v="51.895833338348893"/>
    <m/>
    <n v="0.21250000000145519"/>
    <n v="2"/>
    <n v="1.7874999999985448"/>
    <n v="5.1000000000349246"/>
    <n v="0"/>
    <n v="5.1000000000349246"/>
    <n v="30.588235293908181"/>
    <m/>
    <m/>
    <m/>
    <m/>
    <m/>
  </r>
  <r>
    <d v="2025-02-08T00:00:00"/>
    <x v="1"/>
    <m/>
    <s v="OM6CYJIRR"/>
    <s v="DJ"/>
    <s v="ZIWA ABASI"/>
    <s v="UBJ 420C"/>
    <s v="Kobusinge Steven-Fporta"/>
    <n v="156"/>
    <s v="OM6CYJIRR"/>
    <s v="OM"/>
    <n v="304"/>
    <n v="302"/>
    <n v="-2"/>
    <m/>
    <d v="2025-02-07T10:31:00"/>
    <d v="2025-02-07T03:17:00"/>
    <d v="2025-02-07T11:15:00"/>
    <n v="475.78703703402425"/>
    <n v="43.796296293051761"/>
    <m/>
    <d v="2025-02-11T09:57:00"/>
    <d v="2025-02-11T13:11:00"/>
    <n v="189.95833333698101"/>
    <s v="Waited for empties from trade"/>
    <d v="2025-02-09T10:03:00"/>
    <d v="2025-02-09T10:57:00"/>
    <n v="52.87499999794818"/>
    <m/>
    <n v="1.9499999999970896"/>
    <n v="2"/>
    <n v="5.0000000002910383E-2"/>
    <n v="46.799999999930151"/>
    <n v="12"/>
    <n v="34.799999999930151"/>
    <n v="4.4827586206986529"/>
    <m/>
    <m/>
    <m/>
    <m/>
    <m/>
  </r>
  <r>
    <d v="2025-02-08T00:00:00"/>
    <x v="1"/>
    <m/>
    <s v="OM97USARR"/>
    <s v="DJ"/>
    <s v="Luyaga Isaac"/>
    <s v="UAY 265V"/>
    <s v="KATO INVESTMENTS LIMITED-MASAK "/>
    <n v="153.6"/>
    <s v="OM97USARR"/>
    <s v="OM"/>
    <n v="298"/>
    <n v="295"/>
    <n v="-3"/>
    <m/>
    <d v="2025-02-07T09:28:00"/>
    <d v="2025-02-07T07:42:00"/>
    <d v="2025-02-07T10:09:00"/>
    <n v="146.31944445209228"/>
    <n v="40.810185182635905"/>
    <m/>
    <d v="2025-02-11T10:12:00"/>
    <d v="2025-02-11T12:04:00"/>
    <n v="109.66666666507081"/>
    <m/>
    <d v="2025-02-07T16:21:00"/>
    <d v="2025-02-07T17:15:00"/>
    <n v="52.87499999794818"/>
    <m/>
    <n v="0.25833333333139308"/>
    <n v="2"/>
    <n v="1.7416666666686069"/>
    <n v="6.1999999999534339"/>
    <n v="0"/>
    <n v="6.1999999999534339"/>
    <n v="24.774193548573166"/>
    <m/>
    <m/>
    <m/>
    <m/>
    <m/>
  </r>
  <r>
    <d v="2025-02-08T00:00:00"/>
    <x v="1"/>
    <m/>
    <s v="OMGBWDPRR"/>
    <s v="DJ"/>
    <s v="Benon Ssempijja"/>
    <s v="UAY 526V"/>
    <s v="Kabaco U Ltd-Mbarara "/>
    <n v="153.6"/>
    <s v="OMGBWDPRR"/>
    <s v="OM"/>
    <n v="20"/>
    <n v="19"/>
    <n v="-1"/>
    <m/>
    <d v="2025-02-07T18:14:00"/>
    <d v="2025-02-07T18:14:00"/>
    <d v="2025-02-07T18:55:00"/>
    <n v="40.810185182635905"/>
    <n v="40.810185182635905"/>
    <m/>
    <d v="2025-02-12T15:42:00"/>
    <d v="2025-02-12T17:50:00"/>
    <n v="125.33333333150949"/>
    <m/>
    <d v="2025-02-09T16:27:00"/>
    <d v="2025-02-09T17:20:00"/>
    <n v="51.895833338348893"/>
    <m/>
    <n v="1.8972222222218988"/>
    <n v="3"/>
    <n v="1.1027777777781012"/>
    <n v="45.533333333325572"/>
    <n v="12"/>
    <n v="33.533333333325572"/>
    <n v="4.5805168986094102"/>
    <m/>
    <m/>
    <m/>
    <m/>
    <m/>
  </r>
  <r>
    <d v="2025-02-08T00:00:00"/>
    <x v="1"/>
    <m/>
    <s v="OMPS7Y0RR"/>
    <s v="DJ"/>
    <s v="James  Kironde"/>
    <s v="UBK 881R"/>
    <s v="Kabaco U Ltd-Mbarara "/>
    <n v="153.6"/>
    <s v="OMPS7Y0RR"/>
    <s v="OM"/>
    <n v="20"/>
    <n v="21"/>
    <n v="1"/>
    <m/>
    <d v="2025-02-08T07:14:00"/>
    <d v="2025-02-08T07:13:00"/>
    <d v="2025-02-08T07:56:00"/>
    <n v="42.80092592986572"/>
    <n v="41.805555556250816"/>
    <m/>
    <d v="2025-02-08T08:38:00"/>
    <d v="2025-02-08T15:07:00"/>
    <n v="380.89583333356131"/>
    <s v="Waited for empties from trade"/>
    <d v="2025-02-08T15:39:00"/>
    <d v="2025-02-08T16:32:00"/>
    <n v="51.895833338348893"/>
    <m/>
    <n v="0.32152777777810115"/>
    <n v="3"/>
    <n v="2.6784722222218988"/>
    <n v="7.7166666666744277"/>
    <n v="0"/>
    <n v="7.7166666666744277"/>
    <n v="19.904967602571773"/>
    <m/>
    <m/>
    <m/>
    <m/>
    <m/>
  </r>
  <r>
    <d v="2025-02-09T00:00:00"/>
    <x v="1"/>
    <m/>
    <s v="Z82566"/>
    <s v="Manual"/>
    <s v="Byanshala Stoney"/>
    <s v="UBP 312H"/>
    <s v="Kabaco U Ltd "/>
    <n v="6.3"/>
    <s v="Z82566"/>
    <s v="OM"/>
    <n v="320"/>
    <n v="319"/>
    <n v="-1"/>
    <m/>
    <d v="2025-02-08T12:03:00"/>
    <d v="2025-02-08T07:42:00"/>
    <d v="2025-02-08T12:45:00"/>
    <n v="301.59722222500324"/>
    <n v="41.805555556250816"/>
    <m/>
    <d v="2025-02-11T10:12:00"/>
    <d v="2025-02-11T12:04:00"/>
    <n v="109.66666666507081"/>
    <m/>
    <d v="2025-02-08T15:39:00"/>
    <d v="2025-02-08T16:32:00"/>
    <n v="51.895833338348893"/>
    <m/>
    <n v="0.12083333333430346"/>
    <n v="2"/>
    <n v="1.8791666666656965"/>
    <n v="2.9000000000232831"/>
    <n v="0"/>
    <n v="2.9000000000232831"/>
    <n v="2.1724137930860068"/>
    <m/>
    <m/>
    <m/>
    <m/>
    <m/>
  </r>
  <r>
    <d v="2025-02-09T00:00:00"/>
    <x v="1"/>
    <m/>
    <s v="A20629"/>
    <s v="Manual"/>
    <m/>
    <s v="UBR 903Y"/>
    <s v="KATO INVESTMENTS LTD-KATIKARA"/>
    <n v="6.3"/>
    <s v="A20629"/>
    <s v="OM"/>
    <n v="790"/>
    <n v="792"/>
    <n v="2"/>
    <m/>
    <d v="2025-02-08T05:43:00"/>
    <d v="2025-02-07T20:30:00"/>
    <d v="2025-02-08T06:25:00"/>
    <n v="592.24537037152913"/>
    <n v="41.805555556250816"/>
    <m/>
    <d v="2025-02-12T15:42:00"/>
    <d v="2025-02-12T17:50:00"/>
    <n v="125.33333333150949"/>
    <m/>
    <d v="2025-02-10T09:38:00"/>
    <d v="2025-02-10T10:31:00"/>
    <n v="51.895833338348893"/>
    <m/>
    <n v="2.1340277777781012"/>
    <n v="3"/>
    <n v="0.86597222222189885"/>
    <n v="51.216666666674428"/>
    <n v="24"/>
    <n v="27.216666666674428"/>
    <n v="0.23147581139001361"/>
    <m/>
    <m/>
    <m/>
    <m/>
    <m/>
  </r>
  <r>
    <d v="2025-02-09T00:00:00"/>
    <x v="1"/>
    <m/>
    <s v="Z82562"/>
    <s v="Manual"/>
    <s v="Mudunga Musa"/>
    <s v="UBE 678K"/>
    <s v="Kabaco U Ltd "/>
    <n v="156"/>
    <s v="Z82562"/>
    <s v="OM"/>
    <n v="320"/>
    <n v="322"/>
    <n v="2"/>
    <m/>
    <d v="2025-02-08T12:01:00"/>
    <d v="2025-02-08T07:42:00"/>
    <d v="2025-02-08T12:45:00"/>
    <n v="301.59722222500324"/>
    <n v="43.796296293051761"/>
    <m/>
    <d v="2025-02-08T13:15:00"/>
    <d v="2025-02-08T19:22:00"/>
    <n v="359.35416665823141"/>
    <s v="Dj failure at customer"/>
    <d v="2025-02-08T20:14:00"/>
    <d v="2025-02-08T21:10:00"/>
    <n v="54.833333337664953"/>
    <m/>
    <n v="0.31180555555329192"/>
    <n v="2"/>
    <n v="1.6881944444467081"/>
    <n v="7.4833333332790062"/>
    <n v="0"/>
    <n v="7.4833333332790062"/>
    <n v="20.8463251671892"/>
    <m/>
    <m/>
    <m/>
    <m/>
    <m/>
  </r>
  <r>
    <d v="2025-02-09T00:00:00"/>
    <x v="1"/>
    <m/>
    <s v="A20628"/>
    <s v="Manual"/>
    <s v="Sentongo paul"/>
    <s v="UBR 541W"/>
    <s v="Kato Investments Ltd- Kyegegwa"/>
    <n v="70.8"/>
    <s v="A20628"/>
    <s v="OM"/>
    <n v="600"/>
    <n v="602"/>
    <n v="2"/>
    <m/>
    <d v="2025-02-08T07:15:00"/>
    <d v="2025-02-08T07:42:00"/>
    <d v="2025-02-08T07:56:00"/>
    <n v="13.935185188893229"/>
    <n v="40.810185182635905"/>
    <m/>
    <d v="2025-02-08T08:38:00"/>
    <d v="2025-02-08T15:07:00"/>
    <n v="380.89583333356131"/>
    <s v="Waited for empties from trade"/>
    <d v="2025-02-08T15:39:00"/>
    <d v="2025-02-08T16:33:00"/>
    <n v="52.87499999794818"/>
    <m/>
    <n v="0.32152777777810115"/>
    <n v="3"/>
    <n v="2.6784722222218988"/>
    <n v="7.7166666666744277"/>
    <n v="0"/>
    <n v="7.7166666666744277"/>
    <n v="9.1749460043104261"/>
    <m/>
    <m/>
    <m/>
    <m/>
    <m/>
  </r>
  <r>
    <d v="2025-02-09T00:00:00"/>
    <x v="1"/>
    <m/>
    <s v="Z82563"/>
    <s v="Manual"/>
    <m/>
    <s v="UBF 369L"/>
    <s v="Rugoma Traders-Rukungiri"/>
    <n v="156"/>
    <s v="Z82563"/>
    <s v="OM"/>
    <n v="256"/>
    <n v="258"/>
    <n v="2"/>
    <m/>
    <d v="2025-02-09T07:13:00"/>
    <d v="2025-02-09T07:14:00"/>
    <d v="2025-02-09T07:55:00"/>
    <n v="40.810185182635905"/>
    <n v="41.805555556250816"/>
    <m/>
    <d v="2025-02-09T07:04:00"/>
    <d v="2025-02-09T22:06:00"/>
    <n v="883.20833332945767"/>
    <s v="found another truck at the RD"/>
    <d v="2025-02-10T16:21:00"/>
    <d v="2025-02-10T17:19:00"/>
    <n v="56.791666667122627"/>
    <m/>
    <n v="1.351388888891961"/>
    <n v="2"/>
    <n v="0.64861111110803904"/>
    <n v="32.433333333407063"/>
    <n v="12"/>
    <n v="20.433333333407063"/>
    <n v="7.6345840130230229"/>
    <m/>
    <m/>
    <m/>
    <m/>
    <m/>
  </r>
  <r>
    <d v="2025-02-09T00:00:00"/>
    <x v="1"/>
    <m/>
    <s v="F15868"/>
    <s v="Manual"/>
    <m/>
    <s v="UBR 868Y"/>
    <s v="Boniface Harera"/>
    <n v="156"/>
    <s v="F15868"/>
    <s v="OM"/>
    <n v="448"/>
    <n v="447"/>
    <n v="-1"/>
    <m/>
    <d v="2025-02-08T18:04:00"/>
    <d v="2025-02-08T17:54:00"/>
    <d v="2025-02-08T18:45:00"/>
    <n v="50.763888887498375"/>
    <n v="40.810185182635905"/>
    <m/>
    <d v="2025-02-09T13:54:00"/>
    <d v="2025-02-09T16:28:00"/>
    <n v="150.79166666575475"/>
    <m/>
    <d v="2025-02-11T09:40:00"/>
    <d v="2025-02-11T10:31:00"/>
    <n v="49.93749999863212"/>
    <m/>
    <n v="2.6215277777810115"/>
    <n v="2"/>
    <n v="-0.62152777778101154"/>
    <n v="62.916666666744277"/>
    <n v="24"/>
    <n v="38.916666666744277"/>
    <n v="4.0085653104845109"/>
    <m/>
    <m/>
    <m/>
    <m/>
    <m/>
  </r>
  <r>
    <d v="2025-02-09T00:00:00"/>
    <x v="1"/>
    <m/>
    <s v="F15870"/>
    <s v="Manual"/>
    <m/>
    <s v="UBR 534W"/>
    <s v="KATO INVESTMENTS LIMITED-MASAK"/>
    <n v="156"/>
    <s v="F15870"/>
    <s v="OM"/>
    <n v="298"/>
    <n v="297"/>
    <n v="-1"/>
    <s v="Delievered to kalangala"/>
    <d v="2025-02-09T07:22:00"/>
    <d v="2025-02-09T07:53:00"/>
    <d v="2025-02-09T08:03:00"/>
    <n v="9.9537037048624679"/>
    <n v="40.810185182635905"/>
    <m/>
    <d v="2025-02-10T20:22:00"/>
    <d v="2025-02-11T11:48:00"/>
    <n v="906.70833333424525"/>
    <s v="Waited for empties from trade"/>
    <d v="2025-02-10T18:39:00"/>
    <d v="2025-02-10T19:37:00"/>
    <n v="56.791666667122627"/>
    <m/>
    <n v="1.4416666666656965"/>
    <n v="2"/>
    <n v="0.55833333333430346"/>
    <n v="34.599999999976717"/>
    <n v="12"/>
    <n v="22.599999999976717"/>
    <n v="6.9026548672637489"/>
    <m/>
    <m/>
    <m/>
    <m/>
    <m/>
  </r>
  <r>
    <d v="2025-02-09T00:00:00"/>
    <x v="1"/>
    <m/>
    <s v="Z82565"/>
    <s v="Manual"/>
    <s v="Matovu Musa"/>
    <s v="UBR 538W"/>
    <s v="Kobusinge Acaali- Kyenjojo"/>
    <n v="5.5439999999999996"/>
    <s v="Z82565"/>
    <s v="OM"/>
    <n v="580"/>
    <n v="579"/>
    <n v="-1"/>
    <m/>
    <d v="2025-02-08T21:53:00"/>
    <d v="2025-02-08T22:12:00"/>
    <d v="2025-02-08T22:35:00"/>
    <n v="22.893518520140788"/>
    <n v="41.805555556250816"/>
    <m/>
    <d v="2025-02-08T18:54:00"/>
    <d v="2025-02-08T21:21:00"/>
    <n v="143.93749999726424"/>
    <m/>
    <d v="2025-02-10T18:39:00"/>
    <d v="2025-02-10T19:39:00"/>
    <n v="58.7499999965803"/>
    <m/>
    <n v="1.836111111115315"/>
    <n v="2"/>
    <n v="0.163888888884685"/>
    <n v="44.06666666676756"/>
    <n v="12"/>
    <n v="32.06666666676756"/>
    <n v="0.17288981288926891"/>
    <m/>
    <m/>
    <m/>
    <m/>
    <m/>
  </r>
  <r>
    <d v="2025-02-09T00:00:00"/>
    <x v="1"/>
    <m/>
    <s v="OM3EGIHRR"/>
    <s v="DJ"/>
    <s v="Isaac Tumuhimbise"/>
    <s v="UBE 287X"/>
    <s v="Sawan Distributors Ltd-Nabingo "/>
    <n v="153.6"/>
    <s v="OM3EGIHRR"/>
    <s v="OM"/>
    <n v="560"/>
    <n v="561"/>
    <n v="1"/>
    <m/>
    <d v="2025-02-09T09:44:00"/>
    <d v="2025-02-09T10:11:00"/>
    <d v="2025-02-09T10:28:00"/>
    <n v="16.921296299309081"/>
    <n v="43.796296293051761"/>
    <m/>
    <d v="2025-02-09T16:04:00"/>
    <d v="2025-02-09T18:14:00"/>
    <n v="127.29166667122627"/>
    <m/>
    <d v="2025-02-11T07:31:00"/>
    <d v="2025-02-11T08:29:00"/>
    <n v="56.791666667122627"/>
    <m/>
    <n v="1.8770833333328483"/>
    <n v="2"/>
    <n v="0.12291666666715173"/>
    <n v="45.049999999988358"/>
    <n v="12"/>
    <n v="33.049999999988358"/>
    <n v="4.6475037821498972"/>
    <m/>
    <m/>
    <m/>
    <m/>
    <m/>
  </r>
  <r>
    <d v="2025-02-09T00:00:00"/>
    <x v="1"/>
    <m/>
    <s v="OMWUMP8RR"/>
    <s v="DJ"/>
    <s v="Bisaso  Ronald"/>
    <s v="UBK 875R"/>
    <s v="Kato Investment Ltd -Mityana "/>
    <n v="153.6"/>
    <s v="OMWUMP8RR"/>
    <s v="OM"/>
    <n v="690"/>
    <n v="689"/>
    <n v="-1"/>
    <m/>
    <d v="2025-02-08T18:50:00"/>
    <d v="2025-02-08T19:08:00"/>
    <d v="2025-02-08T19:31:00"/>
    <n v="22.893518520140788"/>
    <n v="40.810185182635905"/>
    <m/>
    <d v="2025-02-09T18:01:00"/>
    <d v="2025-02-09T20:54:00"/>
    <n v="169.39583333150949"/>
    <m/>
    <d v="2025-02-11T07:31:00"/>
    <d v="2025-02-11T08:31:00"/>
    <n v="58.7499999965803"/>
    <m/>
    <n v="2.5"/>
    <n v="2"/>
    <n v="-0.5"/>
    <n v="60"/>
    <n v="24"/>
    <n v="36"/>
    <n v="4.2666666666666666"/>
    <m/>
    <m/>
    <m/>
    <m/>
    <m/>
  </r>
  <r>
    <d v="2025-02-09T00:00:00"/>
    <x v="1"/>
    <m/>
    <s v="OMZIMCMRR"/>
    <s v="DJ"/>
    <s v="Benon Ssempijja"/>
    <s v="UAY 526V"/>
    <s v="KATO INVESTMENTS LIMITED-MASAK"/>
    <n v="153.6"/>
    <s v="OMZIMCMRR"/>
    <s v="OM"/>
    <n v="298"/>
    <n v="300"/>
    <n v="2"/>
    <m/>
    <d v="2025-02-10T12:21:00"/>
    <d v="2025-02-10T12:51:00"/>
    <d v="2025-02-10T13:03:00"/>
    <n v="11.944444441663412"/>
    <n v="41.805555556250816"/>
    <m/>
    <d v="2025-02-10T14:18:00"/>
    <d v="2025-02-10T16:48:00"/>
    <n v="146.8749999965803"/>
    <m/>
    <d v="2025-02-11T08:03:00"/>
    <d v="2025-02-11T08:56:00"/>
    <n v="51.895833338348893"/>
    <m/>
    <n v="0.79166666667151731"/>
    <n v="2"/>
    <n v="1.2083333333284827"/>
    <n v="19.000000000116415"/>
    <n v="0"/>
    <n v="19.000000000116415"/>
    <n v="8.084210526266256"/>
    <m/>
    <m/>
    <m/>
    <m/>
    <m/>
  </r>
  <r>
    <d v="2025-02-09T00:00:00"/>
    <x v="1"/>
    <m/>
    <s v="OMU699YRR"/>
    <s v="DJ"/>
    <s v="Jacob Oneka"/>
    <s v="UBE 422T"/>
    <s v="Kato Investment Ltd -Mityana "/>
    <n v="153.6"/>
    <s v="OMU699YRR"/>
    <s v="OM"/>
    <n v="690"/>
    <n v="688"/>
    <n v="-2"/>
    <m/>
    <d v="2025-02-09T07:21:00"/>
    <d v="2025-02-09T07:20:00"/>
    <d v="2025-02-09T08:03:00"/>
    <n v="42.80092592986572"/>
    <n v="41.805555556250816"/>
    <m/>
    <d v="2025-02-10T10:06:00"/>
    <d v="2025-02-10T18:15:00"/>
    <n v="478.81250000136788"/>
    <s v="Not enough casuals to offload"/>
    <d v="2025-02-11T19:54:00"/>
    <d v="2025-02-11T20:48:00"/>
    <n v="52.87499999794818"/>
    <m/>
    <n v="2.4937500000014552"/>
    <n v="2"/>
    <n v="-0.49375000000145519"/>
    <n v="59.850000000034925"/>
    <n v="24"/>
    <n v="35.850000000034925"/>
    <n v="4.2845188284477089"/>
    <m/>
    <m/>
    <m/>
    <m/>
    <m/>
  </r>
  <r>
    <d v="2025-02-09T00:00:00"/>
    <x v="1"/>
    <m/>
    <s v="OMAKGLLRR"/>
    <s v="DJ"/>
    <s v="James  Kironde"/>
    <s v="UBK 881R"/>
    <s v="KATO INVESTMENTS LIMITED-MASAK"/>
    <n v="153.6"/>
    <s v="OMAKGLLRR"/>
    <s v="OM"/>
    <n v="560"/>
    <n v="562"/>
    <n v="2"/>
    <m/>
    <d v="2025-02-10T07:19:00"/>
    <d v="2025-02-09T09:00:00"/>
    <d v="2025-02-10T08:03:00"/>
    <n v="1376.5972222250032"/>
    <n v="43.796296293051761"/>
    <m/>
    <d v="2025-02-11T09:57:00"/>
    <d v="2025-02-11T13:11:00"/>
    <n v="189.95833333698101"/>
    <s v="Waited for empties from trade"/>
    <d v="2025-02-12T06:43:00"/>
    <d v="2025-02-12T07:39:00"/>
    <n v="54.833333337664953"/>
    <m/>
    <n v="1.9444444444452529"/>
    <n v="2"/>
    <n v="5.5555555554747116E-2"/>
    <n v="46.666666666686069"/>
    <n v="12"/>
    <n v="34.666666666686069"/>
    <n v="4.4307692307667503"/>
    <m/>
    <m/>
    <m/>
    <m/>
    <m/>
  </r>
  <r>
    <d v="2025-02-10T00:00:00"/>
    <x v="1"/>
    <m/>
    <s v="Z82576"/>
    <s v="Manual"/>
    <s v="Tsaale Hassan"/>
    <s v="UBJ 703D"/>
    <s v="Kobusinge Steven-FPortal"/>
    <n v="156"/>
    <s v="Z82576"/>
    <s v="OM"/>
    <n v="298"/>
    <n v="300"/>
    <n v="2"/>
    <m/>
    <d v="2025-02-10T10:57:00"/>
    <d v="2025-02-09T10:00:00"/>
    <d v="2025-02-10T11:38:00"/>
    <n v="1530.8796296347282"/>
    <n v="40.810185182635905"/>
    <m/>
    <d v="2025-02-11T09:57:00"/>
    <d v="2025-02-11T13:11:00"/>
    <n v="189.95833333698101"/>
    <s v="slept at the RD and offloaded the next day"/>
    <d v="2025-02-10T14:54:00"/>
    <d v="2025-02-10T15:43:00"/>
    <n v="47.979166669174447"/>
    <m/>
    <n v="0.13611111111094942"/>
    <n v="2"/>
    <n v="1.8638888888890506"/>
    <n v="3.2666666666627862"/>
    <n v="0"/>
    <n v="3.2666666666627862"/>
    <n v="47.755102040873055"/>
    <m/>
    <m/>
    <m/>
    <m/>
    <m/>
  </r>
  <r>
    <d v="2025-02-10T00:00:00"/>
    <x v="1"/>
    <m/>
    <s v="Z82578"/>
    <s v="Manual"/>
    <s v="Nminya Siraje"/>
    <s v="UBP 301H"/>
    <s v="Kobusinge Steven-Kamwenge"/>
    <n v="156"/>
    <s v="Z82578"/>
    <s v="OM"/>
    <n v="288"/>
    <n v="285"/>
    <n v="-3"/>
    <m/>
    <d v="2025-02-10T10:54:00"/>
    <d v="2025-02-09T10:00:00"/>
    <d v="2025-02-10T11:38:00"/>
    <n v="1530.8796296347282"/>
    <n v="43.796296293051761"/>
    <m/>
    <d v="2025-02-11T10:12:00"/>
    <d v="2025-02-11T12:04:00"/>
    <n v="109.66666666507081"/>
    <m/>
    <d v="2025-02-12T06:43:00"/>
    <d v="2025-02-12T07:39:00"/>
    <n v="54.833333337664953"/>
    <m/>
    <n v="1.7951388888905058"/>
    <n v="2"/>
    <n v="0.20486111110949423"/>
    <n v="43.083333333372138"/>
    <n v="12"/>
    <n v="31.083333333372138"/>
    <n v="5.0187667560259062"/>
    <m/>
    <m/>
    <m/>
    <m/>
    <m/>
  </r>
  <r>
    <d v="2025-02-10T00:00:00"/>
    <x v="1"/>
    <m/>
    <s v="Z82584"/>
    <s v="Manual"/>
    <s v="Kyakulaga James"/>
    <s v="UBJ 419C"/>
    <s v="Kabaco U Ltd "/>
    <n v="156"/>
    <s v="Z82584"/>
    <s v="OM"/>
    <n v="320"/>
    <n v="322"/>
    <n v="2"/>
    <m/>
    <d v="2025-02-10T07:20:00"/>
    <d v="2025-02-09T09:00:00"/>
    <d v="2025-02-10T08:03:00"/>
    <n v="1376.5972222250032"/>
    <n v="42.80092592986572"/>
    <m/>
    <d v="2025-02-12T15:42:00"/>
    <d v="2025-02-12T17:50:00"/>
    <n v="125.33333333150949"/>
    <m/>
    <d v="2025-02-11T09:53:00"/>
    <d v="2025-02-11T10:49:00"/>
    <n v="54.833333337664953"/>
    <m/>
    <n v="1.0763888888905058"/>
    <n v="2"/>
    <n v="0.92361111110949423"/>
    <n v="25.833333333372138"/>
    <n v="12"/>
    <n v="13.833333333372138"/>
    <n v="11.277108433703305"/>
    <m/>
    <m/>
    <m/>
    <m/>
    <m/>
  </r>
  <r>
    <d v="2025-02-10T00:00:00"/>
    <x v="1"/>
    <m/>
    <s v="Z82579"/>
    <s v="Manual"/>
    <s v="Mulumba Kasim"/>
    <s v="UBE 680K"/>
    <s v="Rugoma Traders-Rukungiri"/>
    <n v="5.04"/>
    <s v="Z82579"/>
    <s v="OM"/>
    <n v="256"/>
    <n v="253"/>
    <n v="-3"/>
    <m/>
    <d v="2025-02-10T10:05:00"/>
    <d v="2025-02-09T19:35:00"/>
    <d v="2025-02-10T10:49:00"/>
    <n v="909.7685185222266"/>
    <n v="43.796296293051761"/>
    <m/>
    <d v="2025-02-10T10:06:00"/>
    <d v="2025-02-10T18:15:00"/>
    <n v="478.81250000136788"/>
    <s v="Waited for empties from trade"/>
    <d v="2025-02-11T19:54:00"/>
    <d v="2025-02-11T20:48:00"/>
    <n v="52.87499999794818"/>
    <m/>
    <n v="1.3784722222262644"/>
    <n v="2"/>
    <n v="0.62152777777373558"/>
    <n v="33.083333333430346"/>
    <n v="12"/>
    <n v="21.083333333430346"/>
    <n v="0.23905138339810952"/>
    <m/>
    <m/>
    <m/>
    <m/>
    <m/>
  </r>
  <r>
    <d v="2025-02-10T00:00:00"/>
    <x v="1"/>
    <m/>
    <s v="Z82582"/>
    <s v="Manual"/>
    <s v="ZIWA ABASI"/>
    <s v="UBJ 420C"/>
    <s v="Kabaco U Ltd "/>
    <n v="5.04"/>
    <s v="Z82582"/>
    <s v="OM"/>
    <n v="320"/>
    <n v="321"/>
    <n v="1"/>
    <m/>
    <d v="2025-02-10T09:47:00"/>
    <d v="2025-02-09T19:37:00"/>
    <d v="2025-02-10T10:28:00"/>
    <n v="886.87500000208581"/>
    <n v="40.810185182635905"/>
    <m/>
    <d v="2025-02-10T09:50:00"/>
    <d v="2025-02-10T18:58:00"/>
    <n v="536.58333333834889"/>
    <s v="found another truck at the RD"/>
    <d v="2025-02-11T15:58:00"/>
    <d v="2025-02-11T16:52:00"/>
    <n v="52.87499999794818"/>
    <m/>
    <n v="1.2291666666642413"/>
    <n v="2"/>
    <n v="0.77083333333575865"/>
    <n v="29.499999999941792"/>
    <n v="12"/>
    <n v="17.499999999941792"/>
    <n v="0.28800000000095793"/>
    <m/>
    <m/>
    <m/>
    <m/>
    <m/>
  </r>
  <r>
    <d v="2025-02-10T00:00:00"/>
    <x v="1"/>
    <m/>
    <s v="A20645"/>
    <s v="Manual"/>
    <s v="Nakalya John"/>
    <s v="UBM 648D"/>
    <s v="Kato Investment Ltd -Mubende"/>
    <n v="156"/>
    <s v="A20645"/>
    <s v="OM"/>
    <n v="680"/>
    <n v="679"/>
    <n v="-1"/>
    <m/>
    <d v="2025-02-10T12:20:00"/>
    <d v="2025-02-10T02:22:00"/>
    <d v="2025-02-10T13:03:00"/>
    <n v="638.03240740138187"/>
    <n v="42.80092592986572"/>
    <m/>
    <d v="2025-02-09T15:00:00"/>
    <d v="2025-02-09T19:18:00"/>
    <n v="252.62500000273576"/>
    <s v="Waited for empties from trade"/>
    <d v="2025-02-10T14:54:00"/>
    <d v="2025-02-10T15:50:00"/>
    <n v="54.833333337664953"/>
    <m/>
    <n v="7.7083333337213844E-2"/>
    <n v="3"/>
    <n v="2.9229166666627862"/>
    <n v="1.8500000000931323"/>
    <n v="0"/>
    <n v="1.8500000000931323"/>
    <n v="84.324324320079285"/>
    <m/>
    <m/>
    <m/>
    <m/>
    <m/>
  </r>
  <r>
    <d v="2025-02-10T00:00:00"/>
    <x v="1"/>
    <m/>
    <s v="Z82577"/>
    <s v="Manual"/>
    <m/>
    <s v="UBR 537W"/>
    <s v="Kobusinge Steven-Kamwenge"/>
    <n v="156"/>
    <s v="Z82577"/>
    <s v="OM"/>
    <n v="288"/>
    <n v="290"/>
    <n v="2"/>
    <m/>
    <d v="2025-02-10T20:29:00"/>
    <d v="2025-02-10T20:30:00"/>
    <d v="2025-02-10T21:13:00"/>
    <n v="42.80092592986572"/>
    <n v="43.796296293051761"/>
    <m/>
    <d v="2025-02-10T17:14:00"/>
    <d v="2025-02-10T20:51:00"/>
    <n v="212.47916667191021"/>
    <s v="Waited for empties from trade"/>
    <d v="2025-02-13T17:07:00"/>
    <d v="2025-02-13T17:56:00"/>
    <n v="47.979166669174447"/>
    <m/>
    <n v="2.8291666666627862"/>
    <n v="2"/>
    <n v="-0.82916666666278616"/>
    <n v="67.899999999906868"/>
    <n v="24"/>
    <n v="43.899999999906868"/>
    <n v="3.5535307517159671"/>
    <m/>
    <m/>
    <m/>
    <m/>
    <m/>
  </r>
  <r>
    <d v="2025-02-10T00:00:00"/>
    <x v="1"/>
    <m/>
    <s v="Z82575"/>
    <s v="Manual"/>
    <s v="SENTONG DAVID"/>
    <s v="UBP 298H"/>
    <s v="Kobusinge Acaali- Kyenjojo"/>
    <n v="156"/>
    <s v="Z82575"/>
    <s v="OM"/>
    <n v="580"/>
    <n v="579"/>
    <n v="-1"/>
    <m/>
    <d v="2025-02-10T09:14:00"/>
    <d v="2025-02-10T09:51:00"/>
    <d v="2025-02-10T09:55:00"/>
    <n v="3.9814814840307613"/>
    <n v="40.810185182635905"/>
    <m/>
    <d v="2025-02-10T10:03:00"/>
    <d v="2025-02-10T13:29:00"/>
    <n v="201.70833333424525"/>
    <s v="Reached late and offloaded the next day"/>
    <d v="2025-02-12T10:00:00"/>
    <d v="2025-02-12T10:54:00"/>
    <n v="52.87499999794818"/>
    <m/>
    <n v="2.0034722222189885"/>
    <n v="2"/>
    <n v="-3.4722222189884633E-3"/>
    <n v="48.083333333255723"/>
    <n v="24"/>
    <n v="24.083333333255723"/>
    <n v="6.4775086505399058"/>
    <m/>
    <m/>
    <m/>
    <m/>
    <m/>
  </r>
  <r>
    <d v="2025-02-10T00:00:00"/>
    <x v="1"/>
    <m/>
    <s v="Z82583"/>
    <s v="Manual"/>
    <s v="kakembo Masudi"/>
    <s v="UBM 644D"/>
    <s v="Kobusinge Steven-FPortal"/>
    <n v="148.80000000000001"/>
    <s v="Z82583"/>
    <s v="OM"/>
    <n v="304"/>
    <n v="306"/>
    <n v="2"/>
    <m/>
    <d v="2025-02-10T19:36:00"/>
    <d v="2025-02-10T19:37:00"/>
    <d v="2025-02-10T20:20:00"/>
    <n v="42.80092592986572"/>
    <n v="43.796296293051761"/>
    <m/>
    <d v="2025-02-10T11:01:00"/>
    <d v="2025-02-10T13:14:00"/>
    <n v="130.22916667054233"/>
    <m/>
    <d v="2025-02-11T21:30:00"/>
    <d v="2025-02-11T22:24:00"/>
    <n v="52.87499999794818"/>
    <m/>
    <n v="1.0486111111167702"/>
    <n v="2"/>
    <n v="0.95138888888322981"/>
    <n v="25.166666666802485"/>
    <n v="12"/>
    <n v="13.166666666802485"/>
    <n v="11.301265822668235"/>
    <m/>
    <m/>
    <m/>
    <m/>
    <m/>
  </r>
  <r>
    <d v="2025-02-10T00:00:00"/>
    <x v="1"/>
    <m/>
    <s v="A20647"/>
    <s v="Manual"/>
    <s v="Ngobi Fred"/>
    <s v="UBK 866R"/>
    <s v="Kato Investments Ltd- Kyegegwa"/>
    <n v="156"/>
    <s v="A20647"/>
    <s v="OM"/>
    <n v="600"/>
    <n v="602"/>
    <n v="2"/>
    <m/>
    <d v="2025-02-09T19:10:00"/>
    <d v="2025-02-09T19:09:00"/>
    <d v="2025-02-09T19:52:00"/>
    <n v="42.80092592986572"/>
    <n v="41.805555556250816"/>
    <m/>
    <d v="2025-02-11T11:35:00"/>
    <d v="2025-02-11T13:47:00"/>
    <n v="129.25000000068394"/>
    <m/>
    <d v="2025-02-12T12:41:00"/>
    <d v="2025-02-12T13:41:00"/>
    <n v="58.7499999965803"/>
    <m/>
    <n v="2.7006944444437977"/>
    <n v="2"/>
    <n v="-0.70069444444379769"/>
    <n v="64.816666666651145"/>
    <n v="24"/>
    <n v="40.816666666651145"/>
    <n v="3.8219681502668679"/>
    <m/>
    <m/>
    <m/>
    <m/>
    <m/>
  </r>
  <r>
    <d v="2025-02-10T00:00:00"/>
    <x v="1"/>
    <m/>
    <s v="Z82574"/>
    <s v="Manual"/>
    <m/>
    <s v="UBR 533W"/>
    <s v="Kobusinge Acaali- Kyenjojo"/>
    <n v="156"/>
    <s v="Z82574"/>
    <s v="OM"/>
    <n v="580"/>
    <n v="581"/>
    <n v="1"/>
    <m/>
    <d v="2025-02-10T08:52:00"/>
    <d v="2025-02-10T08:50:00"/>
    <d v="2025-02-10T09:33:00"/>
    <n v="42.80092592986572"/>
    <n v="40.810185182635905"/>
    <m/>
    <d v="2025-02-13T12:57:00"/>
    <d v="2025-02-13T15:00:00"/>
    <n v="120.43750000273576"/>
    <m/>
    <d v="2025-02-12T08:42:00"/>
    <d v="2025-02-12T09:29:00"/>
    <n v="46.020833329457673"/>
    <m/>
    <n v="1.9645833333343035"/>
    <n v="2"/>
    <n v="3.5416666665696539E-2"/>
    <n v="47.150000000023283"/>
    <n v="12"/>
    <n v="35.150000000023283"/>
    <n v="4.4381223328562349"/>
    <m/>
    <m/>
    <m/>
    <m/>
    <m/>
  </r>
  <r>
    <d v="2025-02-11T00:00:00"/>
    <x v="1"/>
    <m/>
    <s v="A20657"/>
    <s v="Manual"/>
    <m/>
    <s v="UBR 534W"/>
    <s v="Kato Investments Ltd- Kakumiro"/>
    <n v="36"/>
    <s v="A20657"/>
    <s v="OM"/>
    <n v="790"/>
    <n v="792"/>
    <n v="2"/>
    <m/>
    <d v="2025-02-10T19:38:00"/>
    <d v="2025-02-10T19:37:00"/>
    <d v="2025-02-10T20:20:00"/>
    <n v="42.80092592986572"/>
    <n v="41.805555556250816"/>
    <m/>
    <d v="2025-02-12T09:43:00"/>
    <d v="2025-02-12T12:37:00"/>
    <n v="170.37500000136788"/>
    <m/>
    <d v="2025-02-13T17:07:00"/>
    <d v="2025-02-13T17:52:00"/>
    <n v="44.0625"/>
    <m/>
    <n v="2.8659722222218988"/>
    <n v="2"/>
    <n v="-0.86597222222189885"/>
    <n v="68.783333333325572"/>
    <n v="24"/>
    <n v="44.783333333325572"/>
    <n v="0.80387048753270351"/>
    <m/>
    <m/>
    <m/>
    <m/>
    <m/>
  </r>
  <r>
    <d v="2025-02-11T00:00:00"/>
    <x v="1"/>
    <m/>
    <s v="A20659"/>
    <s v="Manual"/>
    <s v="Faruk Abel"/>
    <s v="UBR 539W"/>
    <s v="Kato Investment Ltd -Mubende"/>
    <n v="156"/>
    <s v="A20659"/>
    <s v="OM"/>
    <n v="680"/>
    <n v="678"/>
    <n v="-2"/>
    <m/>
    <d v="2025-02-10T20:30:00"/>
    <d v="2025-02-10T19:48:00"/>
    <d v="2025-02-10T21:13:00"/>
    <n v="84.606481486116536"/>
    <n v="42.80092592986572"/>
    <m/>
    <d v="2025-02-11T09:57:00"/>
    <d v="2025-02-11T13:11:00"/>
    <n v="189.95833333698101"/>
    <s v="less casuals and offloaded the next day"/>
    <d v="2025-02-12T10:00:00"/>
    <d v="2025-02-12T11:00:00"/>
    <n v="58.7499999965803"/>
    <m/>
    <n v="1.5326388888861402"/>
    <n v="2"/>
    <n v="0.46736111111385981"/>
    <n v="36.783333333267365"/>
    <n v="12"/>
    <n v="24.783333333267365"/>
    <n v="6.2945527908708234"/>
    <m/>
    <m/>
    <m/>
    <m/>
    <m/>
  </r>
  <r>
    <d v="2025-02-11T00:00:00"/>
    <x v="1"/>
    <m/>
    <s v="Z82591"/>
    <s v="Manual"/>
    <s v="Lule Fred"/>
    <s v="UBP 310H"/>
    <s v="Kabaco U Ltd "/>
    <n v="156"/>
    <s v="Z82591"/>
    <s v="OM"/>
    <n v="320"/>
    <n v="319"/>
    <n v="-1"/>
    <m/>
    <d v="2025-02-10T09:13:00"/>
    <d v="2025-02-10T09:44:00"/>
    <d v="2025-02-10T09:55:00"/>
    <n v="10.949074078477375"/>
    <n v="41.805555556250816"/>
    <m/>
    <d v="2025-02-10T18:37:00"/>
    <d v="2025-02-11T09:23:00"/>
    <n v="867.54166667327809"/>
    <m/>
    <d v="2025-02-11T21:30:00"/>
    <d v="2025-02-11T22:15:00"/>
    <n v="44.0625"/>
    <m/>
    <n v="1.4826388888905058"/>
    <n v="2"/>
    <n v="0.51736111110949423"/>
    <n v="35.583333333372138"/>
    <n v="12"/>
    <n v="23.583333333372138"/>
    <n v="6.6148409893884086"/>
    <m/>
    <m/>
    <m/>
    <m/>
    <m/>
  </r>
  <r>
    <d v="2025-02-11T00:00:00"/>
    <x v="1"/>
    <m/>
    <s v="Z82590"/>
    <s v="Manual"/>
    <m/>
    <s v="UBG 084B"/>
    <s v="Kobusinge Steven-FPortal"/>
    <n v="134.4"/>
    <s v="Z82590"/>
    <s v="OM"/>
    <n v="304"/>
    <n v="302"/>
    <n v="-2"/>
    <m/>
    <d v="2025-02-10T08:52:00"/>
    <d v="2025-02-10T08:20:00"/>
    <d v="2025-02-10T09:33:00"/>
    <n v="72.662037034024252"/>
    <n v="40.810185182635905"/>
    <m/>
    <d v="2025-02-12T09:43:00"/>
    <d v="2025-02-12T12:21:00"/>
    <n v="154.70833333492919"/>
    <m/>
    <d v="2025-02-12T12:41:00"/>
    <d v="2025-02-12T13:37:00"/>
    <n v="54.833333337664953"/>
    <m/>
    <n v="2.1305555555518367"/>
    <n v="2"/>
    <n v="-0.13055555555183673"/>
    <n v="51.133333333244082"/>
    <n v="24"/>
    <n v="27.133333333244082"/>
    <n v="4.9533169533332471"/>
    <m/>
    <m/>
    <m/>
    <m/>
    <m/>
  </r>
  <r>
    <d v="2025-02-11T00:00:00"/>
    <x v="1"/>
    <m/>
    <s v="F15881"/>
    <s v="Manual"/>
    <m/>
    <s v="UBR 535W"/>
    <s v="Boniface Harera"/>
    <n v="148.80000000000001"/>
    <s v="F15881"/>
    <s v="OM"/>
    <n v="448"/>
    <n v="449"/>
    <n v="1"/>
    <m/>
    <d v="2025-02-10T20:31:00"/>
    <d v="2025-02-10T20:32:00"/>
    <d v="2025-02-10T21:13:00"/>
    <n v="40.810185182635905"/>
    <n v="41.805555556250816"/>
    <m/>
    <d v="2025-02-11T09:43:00"/>
    <d v="2025-02-11T11:45:00"/>
    <n v="119.45833333287737"/>
    <m/>
    <d v="2025-02-12T12:41:00"/>
    <d v="2025-02-12T13:30:00"/>
    <n v="47.979166669174447"/>
    <m/>
    <n v="1.6444444444423425"/>
    <n v="2"/>
    <n v="0.3555555555576575"/>
    <n v="39.46666666661622"/>
    <n v="12"/>
    <n v="27.46666666661622"/>
    <n v="5.4174757281652903"/>
    <m/>
    <m/>
    <m/>
    <m/>
    <m/>
  </r>
  <r>
    <d v="2025-02-11T00:00:00"/>
    <x v="1"/>
    <m/>
    <s v="OM2FJTZRR"/>
    <s v="DJ"/>
    <s v="Isaac Tumuhimbise"/>
    <s v="UBE 287X"/>
    <s v="KATO INVESTMENTS LIMITED-MASAK "/>
    <n v="153.6"/>
    <s v="OM2FJTZRR"/>
    <s v="OM"/>
    <n v="298"/>
    <n v="295"/>
    <n v="-3"/>
    <m/>
    <d v="2025-02-13T19:36:00"/>
    <d v="2025-02-13T20:05:00"/>
    <d v="2025-02-13T20:17:00"/>
    <n v="11.944444441663412"/>
    <n v="40.810185182635905"/>
    <m/>
    <d v="2025-02-11T10:12:00"/>
    <d v="2025-02-11T12:04:00"/>
    <n v="109.66666666507081"/>
    <m/>
    <d v="2025-02-14T19:21:00"/>
    <d v="2025-02-14T20:16:00"/>
    <n v="53.854166667806567"/>
    <m/>
    <n v="0.961111111115315"/>
    <n v="2"/>
    <n v="1.038888888884685"/>
    <n v="23.06666666676756"/>
    <n v="0"/>
    <n v="23.06666666676756"/>
    <n v="6.6589595375431276"/>
    <m/>
    <m/>
    <m/>
    <m/>
    <m/>
  </r>
  <r>
    <d v="2025-02-11T00:00:00"/>
    <x v="1"/>
    <m/>
    <s v="OM5KX1ZRR"/>
    <s v="DJ"/>
    <s v="ZIWA ABASI"/>
    <s v="UBJ 420C"/>
    <s v="Kabaco U Ltd "/>
    <n v="156"/>
    <s v="OM5KX1ZRR"/>
    <s v="OM"/>
    <n v="320"/>
    <n v="58"/>
    <n v="-262"/>
    <m/>
    <d v="2025-02-13T16:44:00"/>
    <d v="2025-02-13T16:13:00"/>
    <d v="2025-02-13T17:26:00"/>
    <n v="72.662037034024252"/>
    <n v="41.805555556250816"/>
    <m/>
    <d v="2025-02-12T15:42:00"/>
    <d v="2025-02-12T17:50:00"/>
    <n v="125.33333333150949"/>
    <m/>
    <d v="2025-02-14T12:52:00"/>
    <d v="2025-02-14T13:40:00"/>
    <n v="46.99999999931606"/>
    <m/>
    <n v="0.80972222222044365"/>
    <n v="2"/>
    <n v="1.1902777777795563"/>
    <n v="19.433333333290648"/>
    <n v="0"/>
    <n v="19.433333333290648"/>
    <n v="8.0274442538769808"/>
    <m/>
    <m/>
    <m/>
    <m/>
    <m/>
  </r>
  <r>
    <d v="2025-02-11T00:00:00"/>
    <x v="1"/>
    <m/>
    <s v="OMATXRURR"/>
    <s v="DJ"/>
    <s v="Bisaso  Ronald"/>
    <s v="UBK 875R"/>
    <s v="Ntale and Sons"/>
    <n v="153.6"/>
    <s v="OMATXRURR"/>
    <s v="OM"/>
    <n v="810"/>
    <n v="807"/>
    <n v="-3"/>
    <m/>
    <d v="2025-02-13T14:25:00"/>
    <d v="2025-02-13T13:54:00"/>
    <d v="2025-02-13T15:07:00"/>
    <n v="72.662037034024252"/>
    <n v="41.805555556250816"/>
    <m/>
    <d v="2025-02-11T14:14:00"/>
    <d v="2025-02-11T16:52:00"/>
    <n v="154.70833333492919"/>
    <m/>
    <d v="2025-02-14T13:47:00"/>
    <d v="2025-02-14T14:38:00"/>
    <n v="49.93749999863212"/>
    <m/>
    <n v="0.94444444444525288"/>
    <n v="3"/>
    <n v="2.0555555555547471"/>
    <n v="22.666666666686069"/>
    <n v="0"/>
    <n v="22.666666666686069"/>
    <n v="6.7764705882294933"/>
    <m/>
    <m/>
    <m/>
    <m/>
    <m/>
  </r>
  <r>
    <d v="2025-02-11T00:00:00"/>
    <x v="1"/>
    <m/>
    <s v="OMJBBX8RR"/>
    <s v="DJ"/>
    <s v="Abel Mark naffa"/>
    <s v="UBJ 415C"/>
    <s v="KATO INVESTMENTS LIMITED-MASAK "/>
    <n v="153.6"/>
    <s v="OMJBBX8RR"/>
    <s v="OM"/>
    <n v="298"/>
    <n v="296"/>
    <n v="-2"/>
    <m/>
    <d v="2025-02-13T13:29:00"/>
    <d v="2025-02-13T13:29:00"/>
    <d v="2025-02-13T14:10:00"/>
    <n v="40.810185182635905"/>
    <n v="40.810185182635905"/>
    <m/>
    <d v="2025-02-12T07:12:00"/>
    <d v="2025-02-12T16:14:00"/>
    <n v="530.70833332945767"/>
    <s v="space consquents"/>
    <d v="2025-02-13T18:31:00"/>
    <d v="2025-02-13T19:26:00"/>
    <n v="53.854166667806567"/>
    <m/>
    <n v="0.18124999999417923"/>
    <n v="2"/>
    <n v="1.8187500000058208"/>
    <n v="4.3499999998603016"/>
    <n v="0"/>
    <n v="4.3499999998603016"/>
    <n v="35.310344828720183"/>
    <m/>
    <m/>
    <m/>
    <m/>
    <m/>
  </r>
  <r>
    <d v="2025-02-11T00:00:00"/>
    <x v="1"/>
    <m/>
    <s v="OMN4OBMRR"/>
    <s v="DJ"/>
    <s v="Luyaga Isaac"/>
    <s v="UAY 265V"/>
    <s v="Ntale and Sons"/>
    <n v="153.6"/>
    <s v="OMN4OBMRR"/>
    <s v="OM"/>
    <n v="810"/>
    <n v="812"/>
    <n v="2"/>
    <m/>
    <d v="2025-02-11T09:18:00"/>
    <d v="2025-02-11T09:21:00"/>
    <d v="2025-02-11T10:02:00"/>
    <n v="40.810185182635905"/>
    <n v="43.796296293051761"/>
    <m/>
    <d v="2025-02-14T10:22:00"/>
    <d v="2025-02-14T13:16:00"/>
    <n v="170.37500000136788"/>
    <m/>
    <d v="2025-02-16T11:44:00"/>
    <d v="2025-02-16T12:34:00"/>
    <n v="48.958333328773733"/>
    <m/>
    <n v="5.0708333333313931"/>
    <n v="2"/>
    <n v="-3.0708333333313931"/>
    <n v="121.69999999995343"/>
    <n v="60"/>
    <n v="61.699999999953434"/>
    <n v="2.4894651539727053"/>
    <m/>
    <m/>
    <m/>
    <m/>
    <m/>
  </r>
  <r>
    <d v="2025-02-11T00:00:00"/>
    <x v="1"/>
    <m/>
    <s v="OMOF3KLRR"/>
    <s v="DJ"/>
    <s v="Stephen Musoke "/>
    <s v="UBJ 375N"/>
    <s v="KATO INVESTMENTS LIMITED-MASAK "/>
    <n v="153.6"/>
    <s v="OMOF3KLRR"/>
    <s v="OM"/>
    <n v="298"/>
    <n v="148"/>
    <n v="-150"/>
    <s v="Delievered to Lyantonde"/>
    <d v="2025-02-11T14:52:00"/>
    <d v="2025-02-11T15:17:00"/>
    <d v="2025-02-11T15:36:00"/>
    <n v="18.912037036110025"/>
    <n v="43.796296293051761"/>
    <m/>
    <d v="2025-02-15T18:17:00"/>
    <d v="2025-02-15T20:34:00"/>
    <n v="134.14583332945767"/>
    <m/>
    <d v="2025-02-17T09:41:00"/>
    <d v="2025-02-17T10:35:00"/>
    <n v="52.87499999794818"/>
    <m/>
    <n v="5.7534722222189885"/>
    <n v="2"/>
    <n v="-3.7534722222189885"/>
    <n v="138.08333333325572"/>
    <n v="60"/>
    <n v="78.083333333255723"/>
    <n v="1.9671291355409093"/>
    <m/>
    <m/>
    <m/>
    <m/>
    <m/>
  </r>
  <r>
    <d v="2025-02-11T00:00:00"/>
    <x v="1"/>
    <m/>
    <s v="OMWCMJWRR"/>
    <s v="DJ"/>
    <s v="Benon Ssempijja"/>
    <s v="UAY 526V"/>
    <s v="RUGOMA TRADERS CO. LTD NTUNGAM "/>
    <n v="153.6"/>
    <s v="OMWCMJWRR"/>
    <s v="OM"/>
    <n v="150"/>
    <n v="149"/>
    <n v="-1"/>
    <m/>
    <d v="2025-02-11T12:17:00"/>
    <d v="2025-02-11T12:16:00"/>
    <d v="2025-02-11T12:59:00"/>
    <n v="42.80092592986572"/>
    <n v="41.805555556250816"/>
    <m/>
    <d v="2025-02-15T08:03:00"/>
    <d v="2025-02-15T14:44:00"/>
    <n v="392.64583333082555"/>
    <s v="Waited for empties from trade"/>
    <d v="2025-02-16T20:14:00"/>
    <d v="2025-02-16T21:10:00"/>
    <n v="54.833333337664953"/>
    <m/>
    <n v="5.3020833333284827"/>
    <n v="1"/>
    <n v="-4.3020833333284827"/>
    <n v="127.24999999988358"/>
    <n v="60"/>
    <n v="67.249999999883585"/>
    <n v="2.2840148698924296"/>
    <m/>
    <m/>
    <m/>
    <m/>
    <m/>
  </r>
  <r>
    <d v="2025-02-12T00:00:00"/>
    <x v="1"/>
    <m/>
    <s v="Z82603"/>
    <s v="Manual"/>
    <m/>
    <s v="UBR 537W"/>
    <s v="Kabaco U Ltd "/>
    <n v="156"/>
    <s v="Z82603"/>
    <s v="OM"/>
    <n v="320"/>
    <n v="317"/>
    <n v="-3"/>
    <m/>
    <d v="2025-02-13T19:36:00"/>
    <d v="2025-02-10T21:55:00"/>
    <d v="2025-02-13T20:17:00"/>
    <n v="4202.4537036986048"/>
    <n v="40.810185182635905"/>
    <m/>
    <d v="2025-02-15T08:03:00"/>
    <d v="2025-02-15T14:44:00"/>
    <n v="392.64583333082555"/>
    <s v="Dj failure at customer"/>
    <d v="2025-02-16T20:14:00"/>
    <d v="2025-02-16T21:12:00"/>
    <n v="56.791666667122627"/>
    <m/>
    <n v="2.9979166666671517"/>
    <n v="2"/>
    <n v="-0.99791666666715173"/>
    <n v="71.950000000011642"/>
    <n v="24"/>
    <n v="47.950000000011642"/>
    <n v="3.2533889468188137"/>
    <m/>
    <m/>
    <m/>
    <m/>
    <m/>
  </r>
  <r>
    <d v="2025-02-12T00:00:00"/>
    <x v="1"/>
    <m/>
    <s v="A20677"/>
    <s v="Manual"/>
    <s v="Sentongo paul"/>
    <s v="UBR 541W"/>
    <s v="Kato Investments Ltd- Kakumiro"/>
    <n v="156"/>
    <s v="A20677"/>
    <s v="OM"/>
    <n v="790"/>
    <n v="792"/>
    <n v="2"/>
    <m/>
    <d v="2025-02-13T16:45:00"/>
    <d v="2025-02-11T11:00:00"/>
    <d v="2025-02-13T17:26:00"/>
    <n v="3250.8796296305568"/>
    <n v="40.810185182635905"/>
    <m/>
    <d v="2025-02-14T09:56:00"/>
    <d v="2025-02-14T19:53:00"/>
    <n v="584.56249999726424"/>
    <s v="Waited for empties from trade"/>
    <d v="2025-02-14T22:23:00"/>
    <d v="2025-02-14T23:23:00"/>
    <n v="58.7499999965803"/>
    <m/>
    <n v="1.2062499999956344"/>
    <n v="3"/>
    <n v="1.7937500000043656"/>
    <n v="28.949999999895226"/>
    <n v="12"/>
    <n v="16.949999999895226"/>
    <n v="9.2035398230657393"/>
    <m/>
    <m/>
    <m/>
    <m/>
    <m/>
  </r>
  <r>
    <d v="2025-02-12T00:00:00"/>
    <x v="1"/>
    <m/>
    <s v="Z82600"/>
    <s v="Manual"/>
    <s v="Kyakulaga James"/>
    <s v="UBJ 419C"/>
    <s v="Kobusinge Steven-Kamwenge"/>
    <n v="156"/>
    <s v="Z82600"/>
    <s v="OM"/>
    <n v="288"/>
    <n v="290"/>
    <n v="2"/>
    <m/>
    <d v="2025-02-13T14:25:00"/>
    <d v="2025-02-11T16:40:00"/>
    <d v="2025-02-13T15:07:00"/>
    <n v="2774.0972222229175"/>
    <n v="41.805555556250816"/>
    <m/>
    <d v="2025-02-14T10:22:00"/>
    <d v="2025-02-14T13:14:00"/>
    <n v="168.41666666165111"/>
    <m/>
    <d v="2025-02-16T11:44:00"/>
    <d v="2025-02-16T12:42:00"/>
    <n v="56.791666667122627"/>
    <m/>
    <n v="2.859027777776646"/>
    <n v="2"/>
    <n v="-0.85902777777664596"/>
    <n v="68.616666666639503"/>
    <n v="24"/>
    <n v="44.616666666639503"/>
    <n v="3.4964512514029504"/>
    <m/>
    <m/>
    <m/>
    <m/>
    <m/>
  </r>
  <r>
    <d v="2025-02-12T00:00:00"/>
    <x v="1"/>
    <m/>
    <s v="Z82599"/>
    <s v="Manual"/>
    <m/>
    <s v="UBR 868Y"/>
    <s v="Kobusinge Acaali- Kyenjojo"/>
    <n v="156"/>
    <s v="Z82599"/>
    <s v="OM"/>
    <n v="580"/>
    <n v="582"/>
    <n v="2"/>
    <m/>
    <d v="2025-02-11T14:53:00"/>
    <d v="2025-02-11T04:14:00"/>
    <d v="2025-02-11T15:36:00"/>
    <n v="678.84259259444661"/>
    <n v="42.80092592986572"/>
    <m/>
    <d v="2025-02-12T15:42:00"/>
    <d v="2025-02-12T17:50:00"/>
    <n v="125.33333333150949"/>
    <m/>
    <d v="2025-02-13T13:47:00"/>
    <d v="2025-02-13T14:47:00"/>
    <n v="58.7499999965803"/>
    <m/>
    <n v="1.9243055555562023"/>
    <n v="2"/>
    <n v="7.5694444443797693E-2"/>
    <n v="46.183333333348855"/>
    <n v="12"/>
    <n v="34.183333333348855"/>
    <n v="4.5636274987790104"/>
    <m/>
    <m/>
    <m/>
    <m/>
    <m/>
  </r>
  <r>
    <d v="2025-02-12T00:00:00"/>
    <x v="1"/>
    <m/>
    <s v="F15884"/>
    <s v="Manual"/>
    <m/>
    <s v="UBF 369L"/>
    <s v="Boniface Harera"/>
    <n v="156"/>
    <s v="F15884"/>
    <s v="OM"/>
    <n v="448"/>
    <n v="450"/>
    <n v="2"/>
    <m/>
    <d v="2025-02-11T12:17:00"/>
    <d v="2025-02-11T02:22:00"/>
    <d v="2025-02-11T12:59:00"/>
    <n v="634.05092592777999"/>
    <n v="41.805555556250816"/>
    <m/>
    <d v="2025-02-12T07:12:00"/>
    <d v="2025-02-12T16:14:00"/>
    <n v="530.70833332945767"/>
    <s v="slept at the RD and offloaded the next day"/>
    <d v="2025-02-12T18:31:00"/>
    <d v="2025-02-12T19:25:00"/>
    <n v="52.87499999794818"/>
    <m/>
    <n v="1.2305555555503815"/>
    <n v="2"/>
    <n v="0.76944444444961846"/>
    <n v="29.533333333209157"/>
    <n v="12"/>
    <n v="17.533333333209157"/>
    <n v="8.8973384031048379"/>
    <m/>
    <m/>
    <m/>
    <m/>
    <m/>
  </r>
  <r>
    <d v="2025-02-12T00:00:00"/>
    <x v="1"/>
    <m/>
    <s v="Z82602"/>
    <s v="Manual"/>
    <s v="Ntumwa Solomon"/>
    <s v="UBR 540W"/>
    <s v="Bates Enterprises Ltd-Ntoroko"/>
    <n v="100"/>
    <s v="Z82602"/>
    <s v="OM"/>
    <n v="464"/>
    <n v="466"/>
    <n v="2"/>
    <m/>
    <d v="2025-02-11T09:34:00"/>
    <d v="2025-02-11T04:14:00"/>
    <d v="2025-02-11T10:18:00"/>
    <n v="362.31481481736409"/>
    <n v="43.796296293051761"/>
    <m/>
    <d v="2025-02-15T18:17:00"/>
    <d v="2025-02-15T20:34:00"/>
    <n v="134.14583332945767"/>
    <m/>
    <d v="2025-02-17T09:41:00"/>
    <d v="2025-02-17T10:37:00"/>
    <n v="54.833333337664953"/>
    <m/>
    <n v="5.9743055555518367"/>
    <n v="3"/>
    <n v="-2.9743055555518367"/>
    <n v="143.38333333324408"/>
    <n v="60"/>
    <n v="83.383333333244082"/>
    <n v="1.1992804317422392"/>
    <m/>
    <m/>
    <m/>
    <m/>
    <m/>
  </r>
  <r>
    <d v="2025-02-12T00:00:00"/>
    <x v="1"/>
    <m/>
    <s v="Z82604"/>
    <s v="Manual"/>
    <s v="Taimwa Alex"/>
    <s v="UBJ 705D"/>
    <s v="Kobusinge Steven-FPortal"/>
    <n v="148.80000000000001"/>
    <s v="Z82604"/>
    <s v="OM"/>
    <n v="304"/>
    <n v="302"/>
    <n v="-2"/>
    <m/>
    <d v="2025-02-11T13:51:00"/>
    <d v="2025-02-11T09:00:00"/>
    <d v="2025-02-11T14:32:00"/>
    <n v="330.46296296597575"/>
    <n v="40.810185182635905"/>
    <m/>
    <d v="2025-02-11T17:02:00"/>
    <d v="2025-02-11T21:29:00"/>
    <n v="261.43750000068394"/>
    <s v="found another truck at the RD and offloaded the next day"/>
    <d v="2025-02-12T11:04:00"/>
    <d v="2025-02-12T12:02:00"/>
    <n v="56.791666667122627"/>
    <m/>
    <n v="0.85555555555038154"/>
    <n v="2"/>
    <n v="1.1444444444496185"/>
    <n v="20.533333333209157"/>
    <n v="0"/>
    <n v="20.533333333209157"/>
    <n v="7.2467532467970726"/>
    <m/>
    <m/>
    <m/>
    <m/>
    <m/>
  </r>
  <r>
    <d v="2025-02-12T00:00:00"/>
    <x v="1"/>
    <m/>
    <s v="Z82606"/>
    <s v="Manual"/>
    <s v="Bwanga Gilbert"/>
    <s v="UBK 862R"/>
    <s v="Kobusinge Steven-Kamwenge"/>
    <n v="148.80000000000001"/>
    <s v="Z82606"/>
    <s v="OM"/>
    <n v="288"/>
    <n v="285"/>
    <n v="-3"/>
    <m/>
    <d v="2025-02-11T21:28:00"/>
    <d v="2025-02-11T03:17:00"/>
    <d v="2025-02-11T22:10:00"/>
    <n v="1127.7546296242992"/>
    <n v="41.805555556250816"/>
    <m/>
    <d v="2025-02-11T14:14:00"/>
    <d v="2025-02-11T17:08:00"/>
    <n v="170.37500000136788"/>
    <m/>
    <d v="2025-02-12T19:21:00"/>
    <d v="2025-02-12T20:15:00"/>
    <n v="52.87499999794818"/>
    <m/>
    <n v="0.88263888889196096"/>
    <n v="2"/>
    <n v="1.117361111108039"/>
    <n v="21.183333333407063"/>
    <n v="0"/>
    <n v="21.183333333407063"/>
    <n v="7.024390243877991"/>
    <m/>
    <m/>
    <m/>
    <m/>
    <m/>
  </r>
  <r>
    <d v="2025-02-12T00:00:00"/>
    <x v="1"/>
    <m/>
    <s v="A20678"/>
    <s v="Manual"/>
    <s v="Byanshala Stoney"/>
    <s v="UBP 312H"/>
    <s v="Sawan Distributors Ltd-Kayabwe"/>
    <n v="156"/>
    <s v="A20678"/>
    <s v="OM"/>
    <n v="382"/>
    <n v="384"/>
    <n v="2"/>
    <m/>
    <d v="2025-02-11T08:20:00"/>
    <d v="2025-02-11T08:22:00"/>
    <d v="2025-02-11T09:03:00"/>
    <n v="40.810185182635905"/>
    <n v="42.80092592986572"/>
    <m/>
    <d v="2025-02-13T10:48:00"/>
    <d v="2025-02-13T12:49:00"/>
    <n v="118.47916667327809"/>
    <m/>
    <d v="2025-02-14T15:30:00"/>
    <d v="2025-02-14T16:40:00"/>
    <n v="68.541666664386867"/>
    <s v="fueling delays"/>
    <n v="3.2687500000029104"/>
    <n v="2"/>
    <n v="-1.2687500000029104"/>
    <n v="78.450000000069849"/>
    <n v="36"/>
    <n v="42.450000000069849"/>
    <n v="3.6749116607713384"/>
    <m/>
    <m/>
    <m/>
    <m/>
    <m/>
  </r>
  <r>
    <d v="2025-02-12T00:00:00"/>
    <x v="1"/>
    <m/>
    <s v="OMBYEG6RR"/>
    <s v="DJ"/>
    <s v="Jacob Oneka"/>
    <s v="UBE 422T"/>
    <s v="Rugoma Traders-Kanungu/Kihih"/>
    <n v="153.6"/>
    <s v="OMBYEG6RR"/>
    <s v="OM"/>
    <n v="414"/>
    <n v="413"/>
    <n v="-1"/>
    <m/>
    <d v="2025-02-11T17:39:00"/>
    <d v="2025-02-11T17:06:00"/>
    <d v="2025-02-11T18:23:00"/>
    <n v="76.643518518055018"/>
    <n v="43.796296293051761"/>
    <m/>
    <d v="2025-02-13T15:45:00"/>
    <d v="2025-02-13T18:04:00"/>
    <n v="136.10416666917445"/>
    <m/>
    <d v="2025-02-13T09:21:00"/>
    <d v="2025-02-13T10:17:00"/>
    <n v="54.833333337664953"/>
    <m/>
    <n v="1.6236111111065838"/>
    <n v="2"/>
    <n v="0.37638888889341615"/>
    <n v="38.966666666558012"/>
    <n v="12"/>
    <n v="26.966666666558012"/>
    <n v="5.6959208900105889"/>
    <m/>
    <m/>
    <m/>
    <m/>
    <m/>
  </r>
  <r>
    <d v="2025-02-12T00:00:00"/>
    <x v="1"/>
    <m/>
    <s v="OMMT37ZRR"/>
    <s v="DJ"/>
    <s v="James  Kironde"/>
    <s v="UBK 881R"/>
    <s v="KATO INVESTMENTS LTD- KALISIZO"/>
    <n v="153.6"/>
    <s v="OMMT37ZRR"/>
    <s v="OM"/>
    <n v="350"/>
    <n v="348"/>
    <n v="-2"/>
    <m/>
    <d v="2025-02-10T21:28:00"/>
    <d v="2025-02-10T21:47:00"/>
    <d v="2025-02-10T22:10:00"/>
    <n v="22.893518520140788"/>
    <n v="41.805555556250816"/>
    <m/>
    <d v="2025-02-12T17:30:00"/>
    <d v="2025-02-12T20:24:00"/>
    <n v="170.37500000136788"/>
    <m/>
    <d v="2025-02-14T08:51:00"/>
    <d v="2025-02-14T09:49:00"/>
    <n v="56.791666667122627"/>
    <m/>
    <n v="3.445138888891961"/>
    <n v="2"/>
    <n v="-1.445138888891961"/>
    <n v="82.683333333407063"/>
    <n v="36"/>
    <n v="46.683333333407063"/>
    <n v="3.2902534808944819"/>
    <m/>
    <m/>
    <m/>
    <m/>
    <m/>
  </r>
  <r>
    <d v="2025-02-13T00:00:00"/>
    <x v="1"/>
    <m/>
    <s v="A20691"/>
    <s v="Manual"/>
    <s v="Mulumba Kasim"/>
    <s v="UBE 680K"/>
    <s v="Kato Investment Ltd -Mityana"/>
    <n v="63.6"/>
    <s v="A20691"/>
    <s v="OM"/>
    <n v="690"/>
    <n v="689"/>
    <n v="-1"/>
    <m/>
    <d v="2025-02-11T22:12:00"/>
    <d v="2025-02-11T22:41:00"/>
    <d v="2025-02-11T22:53:00"/>
    <n v="11.944444441663412"/>
    <n v="40.810185182635905"/>
    <m/>
    <d v="2025-02-12T08:47:00"/>
    <d v="2025-02-12T13:33:00"/>
    <n v="280.04166666643869"/>
    <s v="Reached late and offloaded the next day"/>
    <d v="2025-02-13T11:08:00"/>
    <d v="2025-02-13T12:04:00"/>
    <n v="54.833333337664953"/>
    <m/>
    <n v="1.5104166666642413"/>
    <n v="2"/>
    <n v="0.48958333333575865"/>
    <n v="36.249999999941792"/>
    <n v="12"/>
    <n v="24.249999999941792"/>
    <n v="2.6226804123774294"/>
    <m/>
    <m/>
    <m/>
    <m/>
    <m/>
  </r>
  <r>
    <d v="2025-02-13T00:00:00"/>
    <x v="1"/>
    <m/>
    <s v="Z82617"/>
    <s v="Manual"/>
    <m/>
    <s v="UBR 533W"/>
    <s v="Kabaco U Ltd "/>
    <n v="156"/>
    <s v="Z82617"/>
    <s v="OM"/>
    <n v="320"/>
    <n v="57"/>
    <n v="-263"/>
    <m/>
    <d v="2025-02-11T21:39:00"/>
    <d v="2025-02-11T22:12:00"/>
    <d v="2025-02-11T22:23:00"/>
    <n v="10.949074078477375"/>
    <n v="43.796296293051761"/>
    <m/>
    <d v="2025-02-12T19:20:00"/>
    <d v="2025-02-13T09:58:00"/>
    <n v="859.70833333492919"/>
    <s v="truck faulty"/>
    <d v="2025-02-12T09:52:00"/>
    <d v="2025-02-12T11:08:00"/>
    <n v="74.416666663018987"/>
    <s v="pre trip inspections"/>
    <n v="0.47847222222480923"/>
    <n v="2"/>
    <n v="1.5215277777751908"/>
    <n v="11.483333333395422"/>
    <n v="0"/>
    <n v="11.483333333395422"/>
    <n v="13.584905660303907"/>
    <m/>
    <m/>
    <m/>
    <m/>
    <m/>
  </r>
  <r>
    <d v="2025-02-13T00:00:00"/>
    <x v="1"/>
    <m/>
    <s v="Z82618"/>
    <s v="Manual"/>
    <s v="Tsaale Hassan"/>
    <s v="UBJ 703D"/>
    <s v="Kabaco U Ltd "/>
    <n v="156"/>
    <s v="Z82618"/>
    <s v="OM"/>
    <n v="320"/>
    <n v="319"/>
    <n v="-1"/>
    <m/>
    <d v="2025-02-11T21:09:00"/>
    <d v="2025-02-11T20:57:00"/>
    <d v="2025-02-11T21:51:00"/>
    <n v="53.749999997914223"/>
    <n v="41.805555556250816"/>
    <m/>
    <d v="2025-02-12T16:28:00"/>
    <d v="2025-02-12T20:46:00"/>
    <n v="252.62499999247666"/>
    <s v="Waited for empties from trade"/>
    <d v="2025-02-17T20:49:00"/>
    <d v="2025-02-17T21:49:00"/>
    <n v="58.7499999965803"/>
    <m/>
    <n v="5.9569444444423425"/>
    <n v="2"/>
    <n v="-3.9569444444423425"/>
    <n v="142.96666666661622"/>
    <n v="60"/>
    <n v="82.96666666661622"/>
    <n v="1.8802732020903357"/>
    <m/>
    <m/>
    <m/>
    <m/>
    <m/>
  </r>
  <r>
    <d v="2025-02-13T00:00:00"/>
    <x v="1"/>
    <m/>
    <s v="Z82616"/>
    <s v="Manual"/>
    <s v="Matovu Musa"/>
    <s v="UBR 538W"/>
    <s v="Rugoma Traders-Rukungiri"/>
    <n v="5.5439999999999996"/>
    <s v="Z82616"/>
    <s v="OM"/>
    <n v="256"/>
    <n v="253"/>
    <n v="-3"/>
    <m/>
    <d v="2025-02-10T21:51:00"/>
    <d v="2025-02-10T22:12:00"/>
    <d v="2025-02-10T22:33:00"/>
    <n v="20.902777772910969"/>
    <n v="41.805555556250816"/>
    <m/>
    <d v="2025-02-11T15:51:00"/>
    <d v="2025-02-11T17:56:00"/>
    <n v="122.39583333219343"/>
    <m/>
    <d v="2025-02-14T17:28:00"/>
    <d v="2025-02-14T18:19:00"/>
    <n v="49.93749999863212"/>
    <m/>
    <n v="3.7881944444452529"/>
    <n v="2"/>
    <n v="-1.7881944444452529"/>
    <n v="90.916666666686069"/>
    <n v="36"/>
    <n v="54.916666666686069"/>
    <n v="0.10095295902879589"/>
    <m/>
    <m/>
    <m/>
    <m/>
    <m/>
  </r>
  <r>
    <d v="2025-02-13T00:00:00"/>
    <x v="1"/>
    <m/>
    <s v="F15889"/>
    <s v="Manual"/>
    <s v="Mudunga Musa"/>
    <s v="UBE 678K"/>
    <s v="Boniface Harera"/>
    <n v="156"/>
    <s v="F15889"/>
    <s v="OM"/>
    <n v="448"/>
    <n v="447"/>
    <n v="-1"/>
    <m/>
    <d v="2025-02-13T13:26:00"/>
    <d v="2025-02-12T01:59:00"/>
    <d v="2025-02-13T14:10:00"/>
    <n v="2160.9490740784772"/>
    <n v="43.796296293051761"/>
    <m/>
    <d v="2025-02-13T19:19:00"/>
    <d v="2025-02-13T22:12:00"/>
    <n v="169.39583333150949"/>
    <m/>
    <d v="2025-02-14T17:28:00"/>
    <d v="2025-02-14T18:22:00"/>
    <n v="52.87499999794818"/>
    <m/>
    <n v="1.1374999999970896"/>
    <n v="2"/>
    <n v="0.86250000000291038"/>
    <n v="27.299999999930151"/>
    <n v="12"/>
    <n v="15.299999999930151"/>
    <n v="10.196078431419098"/>
    <m/>
    <m/>
    <m/>
    <m/>
    <m/>
  </r>
  <r>
    <d v="2025-02-13T00:00:00"/>
    <x v="1"/>
    <m/>
    <s v="A20693"/>
    <s v="Manual"/>
    <m/>
    <s v="UBR 903Y"/>
    <s v="Ntale and Sons Ltd-Kakiri"/>
    <n v="156"/>
    <s v="A20693"/>
    <s v="OM"/>
    <n v="620"/>
    <n v="617"/>
    <n v="-3"/>
    <m/>
    <d v="2025-02-12T16:09:00"/>
    <d v="2025-02-12T03:43:00"/>
    <d v="2025-02-12T16:51:00"/>
    <n v="784.35185184304521"/>
    <n v="41.805555556250816"/>
    <m/>
    <d v="2025-02-11T21:47:00"/>
    <d v="2025-02-12T13:38:00"/>
    <n v="931.18750000889122"/>
    <s v="found another truck at the RD and offloaded the next day"/>
    <d v="2025-02-12T18:32:00"/>
    <d v="2025-02-12T19:32:00"/>
    <n v="58.7499999965803"/>
    <m/>
    <n v="7.013888889196096E-2"/>
    <n v="3"/>
    <n v="2.929861111108039"/>
    <n v="1.683333333407063"/>
    <n v="0"/>
    <n v="1.683333333407063"/>
    <n v="92.673267322673595"/>
    <m/>
    <m/>
    <m/>
    <m/>
    <m/>
  </r>
  <r>
    <d v="2025-02-13T00:00:00"/>
    <x v="1"/>
    <m/>
    <s v="A20689"/>
    <s v="Manual"/>
    <s v="Nminya Siraje"/>
    <s v="UBP 301H"/>
    <s v="Kato Investment Ltd -Kagadi"/>
    <n v="5.04"/>
    <s v="A20689"/>
    <s v="OM"/>
    <n v="670"/>
    <n v="668"/>
    <n v="-2"/>
    <m/>
    <d v="2025-02-16T07:47:00"/>
    <d v="2025-02-16T08:07:00"/>
    <d v="2025-02-16T08:28:00"/>
    <n v="20.902777772910969"/>
    <n v="40.810185182635905"/>
    <m/>
    <d v="2025-02-16T15:14:00"/>
    <d v="2025-02-17T16:58:00"/>
    <n v="1511.8333333267219"/>
    <m/>
    <d v="2025-02-17T18:02:00"/>
    <d v="2025-02-17T19:00:00"/>
    <n v="56.791666667122627"/>
    <m/>
    <n v="1.398611111108039"/>
    <n v="2"/>
    <n v="0.60138888889196096"/>
    <n v="33.566666666592937"/>
    <n v="12"/>
    <n v="21.566666666592937"/>
    <n v="0.23369397218008794"/>
    <m/>
    <m/>
    <m/>
    <m/>
    <m/>
  </r>
  <r>
    <d v="2025-02-13T00:00:00"/>
    <x v="1"/>
    <m/>
    <s v="Z82619"/>
    <s v="Manual"/>
    <s v="SENTONG DAVID"/>
    <s v="UBP 298H"/>
    <s v="Kobusinge Steven-FPortal"/>
    <n v="156"/>
    <s v="Z82619"/>
    <s v="OM"/>
    <n v="304"/>
    <n v="306"/>
    <n v="2"/>
    <m/>
    <d v="2025-02-14T07:37:00"/>
    <d v="2025-02-14T08:01:00"/>
    <d v="2025-02-14T08:20:00"/>
    <n v="18.912037036110025"/>
    <n v="42.80092592986572"/>
    <m/>
    <d v="2025-02-14T17:23:00"/>
    <d v="2025-02-14T19:32:00"/>
    <n v="126.31249999110878"/>
    <m/>
    <d v="2025-02-14T13:26:00"/>
    <d v="2025-02-14T14:39:00"/>
    <n v="71.479166663702927"/>
    <s v="pre trip inspections"/>
    <n v="0.21250000000145519"/>
    <n v="2"/>
    <n v="1.7874999999985448"/>
    <n v="5.1000000000349246"/>
    <n v="0"/>
    <n v="5.1000000000349246"/>
    <n v="30.588235293908181"/>
    <m/>
    <m/>
    <m/>
    <m/>
    <m/>
  </r>
  <r>
    <d v="2025-02-13T00:00:00"/>
    <x v="1"/>
    <m/>
    <s v="Z82620"/>
    <s v="Manual"/>
    <s v="Kabanda Ronald"/>
    <s v="UBE 684K"/>
    <s v="Kobusinge Steven-Kamwenge"/>
    <n v="156"/>
    <s v="Z82620"/>
    <s v="OM"/>
    <n v="288"/>
    <n v="285"/>
    <n v="-3"/>
    <m/>
    <d v="2025-02-15T09:20:00"/>
    <d v="2025-02-15T09:23:00"/>
    <d v="2025-02-15T10:04:00"/>
    <n v="40.810185182635905"/>
    <n v="43.796296293051761"/>
    <m/>
    <d v="2025-02-14T17:04:00"/>
    <d v="2025-02-14T19:56:00"/>
    <n v="168.41666666165111"/>
    <m/>
    <d v="2025-02-15T15:40:00"/>
    <d v="2025-02-15T16:26:00"/>
    <n v="45.041666669858387"/>
    <m/>
    <n v="0.23333333333721384"/>
    <n v="2"/>
    <n v="1.7666666666627862"/>
    <n v="5.6000000000931323"/>
    <n v="0"/>
    <n v="5.6000000000931323"/>
    <n v="27.857142856679573"/>
    <m/>
    <m/>
    <m/>
    <m/>
    <m/>
  </r>
  <r>
    <d v="2025-02-13T00:00:00"/>
    <x v="1"/>
    <m/>
    <s v="A20688"/>
    <s v="Manual"/>
    <s v="Ikwalikwa Yusuf"/>
    <s v="UBP 311H"/>
    <s v="Sawan Distributors Ltd-Kayabwe"/>
    <n v="156"/>
    <s v="A20688"/>
    <s v="OM"/>
    <n v="382"/>
    <n v="379"/>
    <n v="-3"/>
    <m/>
    <d v="2025-02-14T08:08:00"/>
    <d v="2025-02-14T08:08:00"/>
    <d v="2025-02-14T08:49:00"/>
    <n v="40.810185182635905"/>
    <n v="40.810185182635905"/>
    <m/>
    <d v="2025-02-14T14:29:00"/>
    <d v="2025-02-14T19:01:00"/>
    <n v="266.33333332945767"/>
    <s v="Waited for empties from trade"/>
    <d v="2025-02-16T06:54:00"/>
    <d v="2025-02-16T07:50:00"/>
    <n v="54.833333337664953"/>
    <m/>
    <n v="1.9201388888905058"/>
    <n v="2"/>
    <n v="7.9861111109494232E-2"/>
    <n v="46.083333333372138"/>
    <n v="12"/>
    <n v="34.083333333372138"/>
    <n v="4.5770171149092143"/>
    <m/>
    <m/>
    <m/>
    <m/>
    <m/>
  </r>
  <r>
    <d v="2025-02-13T00:00:00"/>
    <x v="1"/>
    <m/>
    <s v="F15890"/>
    <s v="Manual"/>
    <s v="Ngobi Fred"/>
    <s v="UBK 866R"/>
    <s v="Boniface Harera"/>
    <n v="156"/>
    <s v="F15890"/>
    <s v="OM"/>
    <n v="448"/>
    <n v="450"/>
    <n v="2"/>
    <m/>
    <d v="2025-02-13T19:05:00"/>
    <d v="2025-02-13T19:31:00"/>
    <d v="2025-02-13T19:47:00"/>
    <n v="15.925925925694173"/>
    <n v="41.805555556250816"/>
    <m/>
    <d v="2025-02-13T13:14:00"/>
    <d v="2025-02-13T16:08:00"/>
    <n v="170.37500000136788"/>
    <m/>
    <d v="2025-02-17T11:11:00"/>
    <d v="2025-02-17T12:08:00"/>
    <n v="55.81249999726424"/>
    <m/>
    <n v="3.6416666666627862"/>
    <n v="2"/>
    <n v="-1.6416666666627862"/>
    <n v="87.399999999906868"/>
    <n v="36"/>
    <n v="51.399999999906868"/>
    <n v="3.0350194552584173"/>
    <m/>
    <m/>
    <m/>
    <m/>
    <m/>
  </r>
  <r>
    <d v="2025-02-13T00:00:00"/>
    <x v="1"/>
    <m/>
    <s v="OM7QN6ORR"/>
    <s v="DJ"/>
    <s v="James  Kironde"/>
    <s v="UBK 881R"/>
    <s v="Kabaco U Ltd-Mbarara "/>
    <n v="153.6"/>
    <s v="OM7QN6ORR"/>
    <s v="OM"/>
    <n v="20"/>
    <n v="22"/>
    <n v="2"/>
    <m/>
    <d v="2025-02-14T08:06:00"/>
    <d v="2025-02-14T08:27:00"/>
    <d v="2025-02-14T08:48:00"/>
    <n v="20.902777772910969"/>
    <n v="41.805555556250816"/>
    <m/>
    <d v="2025-02-14T17:10:00"/>
    <d v="2025-02-14T19:12:00"/>
    <n v="119.45833333287737"/>
    <m/>
    <d v="2025-02-17T11:11:00"/>
    <d v="2025-02-17T12:07:00"/>
    <n v="54.833333337664953"/>
    <m/>
    <n v="3.0993055555518367"/>
    <n v="3"/>
    <n v="-9.9305555551836733E-2"/>
    <n v="74.383333333244082"/>
    <n v="36"/>
    <n v="38.383333333244082"/>
    <n v="4.0017368649680547"/>
    <m/>
    <m/>
    <m/>
    <m/>
    <m/>
  </r>
  <r>
    <d v="2025-02-13T00:00:00"/>
    <x v="1"/>
    <m/>
    <s v="OMM0QETRR"/>
    <s v="DJ"/>
    <s v="Isaac Tumuhimbise"/>
    <s v="UBE 287X"/>
    <s v="Rugoma Traders-Kanungu/Kihihi"/>
    <n v="153.6"/>
    <s v="OMM0QETRR"/>
    <s v="OM"/>
    <n v="414"/>
    <n v="413"/>
    <n v="-1"/>
    <m/>
    <d v="2025-02-14T10:21:00"/>
    <d v="2025-02-14T10:11:00"/>
    <d v="2025-02-14T11:05:00"/>
    <n v="53.749999997914223"/>
    <n v="43.796296293051761"/>
    <m/>
    <d v="2025-02-14T17:17:00"/>
    <d v="2025-02-14T20:11:00"/>
    <n v="170.37500000136788"/>
    <m/>
    <d v="2025-02-16T09:30:00"/>
    <d v="2025-02-16T10:24:00"/>
    <n v="52.87499999794818"/>
    <m/>
    <n v="1.9340277777810115"/>
    <n v="2"/>
    <n v="6.5972222218988463E-2"/>
    <n v="46.416666666744277"/>
    <n v="12"/>
    <n v="34.416666666744277"/>
    <n v="4.4629539951473207"/>
    <m/>
    <m/>
    <m/>
    <m/>
    <m/>
  </r>
  <r>
    <d v="2025-02-14T00:00:00"/>
    <x v="1"/>
    <m/>
    <s v="A20708"/>
    <s v="Manual"/>
    <s v="Faruk Abel"/>
    <s v="UBR 539W"/>
    <s v="Kato Investment Ltd -Mubende"/>
    <n v="70.8"/>
    <s v="A20708"/>
    <s v="OM"/>
    <n v="680"/>
    <n v="679"/>
    <n v="-1"/>
    <m/>
    <d v="2025-02-14T08:33:00"/>
    <d v="2025-02-14T08:56:00"/>
    <d v="2025-02-14T09:17:00"/>
    <n v="20.902777772910969"/>
    <n v="43.796296293051761"/>
    <m/>
    <d v="2025-02-12T17:32:00"/>
    <d v="2025-02-12T20:26:00"/>
    <n v="170.37500000136788"/>
    <m/>
    <d v="2025-02-15T13:45:00"/>
    <d v="2025-02-15T14:39:00"/>
    <n v="52.87499999794818"/>
    <m/>
    <n v="1.1861111111065838"/>
    <n v="2"/>
    <n v="0.81388888889341615"/>
    <n v="28.466666666558012"/>
    <n v="12"/>
    <n v="16.466666666558012"/>
    <n v="4.2995951417287754"/>
    <m/>
    <m/>
    <m/>
    <m/>
    <m/>
  </r>
  <r>
    <d v="2025-02-14T00:00:00"/>
    <x v="1"/>
    <m/>
    <s v="Z82629"/>
    <s v="Manual"/>
    <m/>
    <s v="UBR 534W"/>
    <s v="Kobusinge Steven-Kamwenge"/>
    <n v="156"/>
    <s v="Z82629"/>
    <s v="OM"/>
    <n v="288"/>
    <n v="290"/>
    <n v="2"/>
    <m/>
    <d v="2025-02-12T13:44:00"/>
    <d v="2025-02-12T13:44:00"/>
    <d v="2025-02-12T14:25:00"/>
    <n v="40.810185182635905"/>
    <n v="40.810185182635905"/>
    <m/>
    <d v="2025-02-12T19:03:00"/>
    <d v="2025-02-13T10:45:00"/>
    <n v="922.37500000068394"/>
    <s v="found another truck to be offloaded"/>
    <d v="2025-02-15T13:45:00"/>
    <d v="2025-02-15T14:42:00"/>
    <n v="55.81249999726424"/>
    <m/>
    <n v="2.9722222222189885"/>
    <n v="2"/>
    <n v="-0.97222222221898846"/>
    <n v="71.333333333255723"/>
    <n v="24"/>
    <n v="47.333333333255723"/>
    <n v="3.2957746478927277"/>
    <m/>
    <m/>
    <m/>
    <m/>
    <m/>
  </r>
  <r>
    <d v="2025-02-14T00:00:00"/>
    <x v="1"/>
    <m/>
    <s v="Z82628"/>
    <s v="Manual"/>
    <s v="Byanshala Stoney"/>
    <s v="UBP 312H"/>
    <s v="Kabaco U Ltd "/>
    <n v="141.6"/>
    <s v="Z82628"/>
    <s v="OM"/>
    <n v="320"/>
    <n v="321"/>
    <n v="1"/>
    <m/>
    <d v="2025-02-12T11:37:00"/>
    <d v="2025-02-12T12:08:00"/>
    <d v="2025-02-12T12:19:00"/>
    <n v="10.949074078477375"/>
    <n v="41.805555556250816"/>
    <m/>
    <d v="2025-02-13T07:02:00"/>
    <d v="2025-02-13T11:35:00"/>
    <n v="267.31249999931606"/>
    <s v="Dj failure at customer"/>
    <d v="2025-02-14T12:25:00"/>
    <d v="2025-02-14T13:18:00"/>
    <n v="51.895833338348893"/>
    <m/>
    <n v="2.0041666666656965"/>
    <n v="2"/>
    <n v="-4.166666665696539E-3"/>
    <n v="48.099999999976717"/>
    <n v="24"/>
    <n v="24.099999999976717"/>
    <n v="5.875518672204846"/>
    <m/>
    <m/>
    <m/>
    <m/>
    <m/>
  </r>
  <r>
    <d v="2025-02-14T00:00:00"/>
    <x v="1"/>
    <m/>
    <s v="A20710"/>
    <s v="Manual"/>
    <s v="Bwanga Gilbert"/>
    <s v="UBK 862R"/>
    <s v="Kato Investment Ltd -Mityana"/>
    <n v="70.8"/>
    <s v="A20710"/>
    <s v="OM"/>
    <n v="690"/>
    <n v="689"/>
    <n v="-1"/>
    <m/>
    <d v="2025-02-13T20:06:00"/>
    <d v="2025-02-13T19:52:00"/>
    <d v="2025-02-13T20:47:00"/>
    <n v="54.745370371529134"/>
    <n v="40.810185182635905"/>
    <m/>
    <d v="2025-02-13T12:46:00"/>
    <d v="2025-02-13T14:47:00"/>
    <n v="118.47916666301899"/>
    <m/>
    <d v="2025-02-14T16:48:00"/>
    <d v="2025-02-14T17:46:00"/>
    <n v="56.791666667122627"/>
    <m/>
    <n v="0.83402777777519077"/>
    <n v="3"/>
    <n v="2.1659722222248092"/>
    <n v="20.016666666604578"/>
    <n v="0"/>
    <n v="20.016666666604578"/>
    <n v="3.5370524562973991"/>
    <m/>
    <m/>
    <m/>
    <m/>
    <m/>
  </r>
  <r>
    <d v="2025-02-14T00:00:00"/>
    <x v="1"/>
    <m/>
    <s v="A20712"/>
    <s v="Manual"/>
    <s v="Lule Fred"/>
    <s v="UBP 310H"/>
    <s v="KATO INVESTMENTS LTD-KATIKARA"/>
    <n v="134.4"/>
    <s v="A20712"/>
    <s v="OM"/>
    <n v="790"/>
    <n v="792"/>
    <n v="2"/>
    <m/>
    <d v="2025-02-13T10:50:00"/>
    <d v="2025-02-13T11:11:00"/>
    <d v="2025-02-13T11:34:00"/>
    <n v="22.893518520140788"/>
    <n v="43.796296293051761"/>
    <m/>
    <d v="2025-02-13T18:42:00"/>
    <d v="2025-02-13T21:26:00"/>
    <n v="160.58333333356131"/>
    <m/>
    <d v="2025-02-15T11:46:00"/>
    <d v="2025-02-15T12:42:00"/>
    <n v="54.833333337664953"/>
    <m/>
    <n v="2.0083333333313931"/>
    <n v="2"/>
    <n v="-8.333333331393078E-3"/>
    <n v="48.199999999953434"/>
    <n v="24"/>
    <n v="24.199999999953434"/>
    <n v="5.5537190082751495"/>
    <m/>
    <m/>
    <m/>
    <m/>
    <m/>
  </r>
  <r>
    <d v="2025-02-14T00:00:00"/>
    <x v="1"/>
    <m/>
    <s v="A20715"/>
    <s v="Manual"/>
    <s v="Tsaale Hassan"/>
    <s v="UBJ 703D"/>
    <s v="Kato Investments Ltd-Bulenga"/>
    <n v="148.80000000000001"/>
    <s v="A20715"/>
    <s v="OM"/>
    <n v="560"/>
    <n v="558"/>
    <n v="-2"/>
    <m/>
    <d v="2025-02-13T14:31:00"/>
    <d v="2025-02-13T14:31:00"/>
    <d v="2025-02-13T15:12:00"/>
    <n v="40.810185182635905"/>
    <n v="40.810185182635905"/>
    <m/>
    <d v="2025-02-15T12:28:00"/>
    <d v="2025-02-15T14:48:00"/>
    <n v="137.08333333903283"/>
    <m/>
    <d v="2025-02-16T06:54:00"/>
    <d v="2025-02-16T07:45:00"/>
    <n v="49.93749999863212"/>
    <m/>
    <n v="2.6541666666671517"/>
    <n v="2"/>
    <n v="-0.65416666666715173"/>
    <n v="63.700000000011642"/>
    <n v="24"/>
    <n v="39.700000000011642"/>
    <n v="3.7481108312331579"/>
    <m/>
    <m/>
    <m/>
    <m/>
    <m/>
  </r>
  <r>
    <d v="2025-02-14T00:00:00"/>
    <x v="1"/>
    <m/>
    <s v="A20713"/>
    <s v="Manual"/>
    <m/>
    <s v="UBR 535W"/>
    <s v="KATO INVESTMENTS LTD-KATIKARA"/>
    <n v="5.04"/>
    <s v="A20713"/>
    <s v="OM"/>
    <n v="790"/>
    <n v="792"/>
    <n v="2"/>
    <m/>
    <d v="2025-02-13T13:30:00"/>
    <d v="2025-02-13T13:32:00"/>
    <d v="2025-02-13T14:13:00"/>
    <n v="40.810185182635905"/>
    <n v="42.80092592986572"/>
    <m/>
    <d v="2025-02-14T12:08:00"/>
    <d v="2025-02-14T16:20:00"/>
    <n v="246.74999999384454"/>
    <s v="Waited for empties from trade"/>
    <d v="2025-02-16T09:30:00"/>
    <d v="2025-02-16T10:26:00"/>
    <n v="54.833333337664953"/>
    <m/>
    <n v="2.8034722222218988"/>
    <n v="2"/>
    <n v="-0.80347222222189885"/>
    <n v="67.283333333325572"/>
    <n v="24"/>
    <n v="43.283333333325572"/>
    <n v="0.1164420485175411"/>
    <m/>
    <m/>
    <m/>
    <m/>
    <m/>
  </r>
  <r>
    <d v="2025-02-14T00:00:00"/>
    <x v="1"/>
    <m/>
    <s v="Z82625"/>
    <s v="Manual"/>
    <s v="kayanja Sam"/>
    <s v="UBF 379L"/>
    <s v="Kobusinge Steven-FPortal"/>
    <n v="156"/>
    <s v="Z82625"/>
    <s v="OM"/>
    <n v="304"/>
    <n v="302"/>
    <n v="-2"/>
    <m/>
    <d v="2025-02-13T09:59:00"/>
    <d v="2025-02-13T08:00:00"/>
    <d v="2025-02-13T10:41:00"/>
    <n v="160.25462963055665"/>
    <n v="41.805555556250816"/>
    <m/>
    <d v="2025-02-13T11:18:00"/>
    <d v="2025-02-13T15:24:00"/>
    <n v="240.87500000547152"/>
    <s v="found another truck at RD"/>
    <d v="2025-02-13T16:48:00"/>
    <d v="2025-02-13T17:44:00"/>
    <n v="54.833333337664953"/>
    <m/>
    <n v="0.25486111110512866"/>
    <n v="2"/>
    <n v="1.7451388888948713"/>
    <n v="6.1166666665230878"/>
    <n v="0"/>
    <n v="6.1166666665230878"/>
    <n v="25.504087194059156"/>
    <m/>
    <m/>
    <m/>
    <m/>
    <m/>
  </r>
  <r>
    <d v="2025-02-14T00:00:00"/>
    <x v="1"/>
    <m/>
    <s v="A20705"/>
    <s v="Manual"/>
    <s v="Nakalya John"/>
    <s v="UBM 648D"/>
    <s v="Ntale and Sons Ltd-Kakiri"/>
    <n v="70.8"/>
    <s v="A20705"/>
    <s v="OM"/>
    <n v="620"/>
    <n v="619"/>
    <n v="-1"/>
    <m/>
    <d v="2025-02-13T22:16:00"/>
    <d v="2025-02-13T22:03:00"/>
    <d v="2025-02-13T22:58:00"/>
    <n v="54.745370371529134"/>
    <n v="41.805555556250816"/>
    <m/>
    <d v="2025-02-15T16:31:00"/>
    <d v="2025-02-15T18:39:00"/>
    <n v="125.33333333150949"/>
    <m/>
    <d v="2025-02-20T19:16:00"/>
    <d v="2025-02-20T20:11:00"/>
    <n v="53.854166667806567"/>
    <m/>
    <n v="6.8458333333328483"/>
    <n v="3"/>
    <n v="-3.8458333333328483"/>
    <n v="164.29999999998836"/>
    <n v="72"/>
    <n v="92.299999999988358"/>
    <n v="0.76706392199359619"/>
    <m/>
    <m/>
    <m/>
    <m/>
    <m/>
  </r>
  <r>
    <d v="2025-02-14T00:00:00"/>
    <x v="1"/>
    <m/>
    <s v="Z82627"/>
    <s v="Manual"/>
    <s v="kakembo Masudi"/>
    <s v="UBM 644D"/>
    <s v="Bates Enterprises U Ltd"/>
    <n v="56"/>
    <s v="Z82627"/>
    <s v="OM"/>
    <n v="414"/>
    <n v="416"/>
    <n v="2"/>
    <m/>
    <d v="2025-02-13T11:30:00"/>
    <d v="2025-02-13T11:50:00"/>
    <d v="2025-02-13T12:11:00"/>
    <n v="20.902777772910969"/>
    <n v="40.810185182635905"/>
    <m/>
    <d v="2025-02-14T19:18:00"/>
    <d v="2025-02-15T10:22:00"/>
    <n v="885.16666665891535"/>
    <s v="Reached late and offloaded the next day"/>
    <d v="2025-02-14T16:49:00"/>
    <d v="2025-02-14T17:47:00"/>
    <n v="56.791666667122627"/>
    <m/>
    <n v="1.1930555555518367"/>
    <n v="3"/>
    <n v="1.8069444444481633"/>
    <n v="28.633333333244082"/>
    <n v="12"/>
    <n v="16.633333333244082"/>
    <n v="3.3667334669519331"/>
    <m/>
    <m/>
    <m/>
    <m/>
    <m/>
  </r>
  <r>
    <d v="2025-02-14T00:00:00"/>
    <x v="1"/>
    <m/>
    <s v="Z82630"/>
    <s v="Manual"/>
    <s v="Taimwa Alex"/>
    <s v="UBJ 705D"/>
    <s v="Kobusinge Acaali- Kyenjojo"/>
    <n v="31.2"/>
    <s v="Z82630"/>
    <s v="OM"/>
    <n v="580"/>
    <n v="582"/>
    <n v="2"/>
    <m/>
    <d v="2025-02-15T14:05:00"/>
    <d v="2025-02-15T14:26:00"/>
    <d v="2025-02-15T14:47:00"/>
    <n v="20.902777772910969"/>
    <n v="41.805555556250816"/>
    <m/>
    <d v="2025-02-14T08:36:00"/>
    <d v="2025-02-14T14:44:00"/>
    <n v="360.33333333834889"/>
    <s v="found another truck at the RD"/>
    <d v="2025-02-16T08:18:00"/>
    <d v="2025-02-16T09:14:00"/>
    <n v="54.833333337664953"/>
    <m/>
    <n v="0.72986111111094942"/>
    <n v="2"/>
    <n v="1.2701388888890506"/>
    <n v="17.516666666662786"/>
    <n v="0"/>
    <n v="17.516666666662786"/>
    <n v="1.7811607992392147"/>
    <m/>
    <m/>
    <m/>
    <m/>
    <m/>
  </r>
  <r>
    <d v="2025-02-14T00:00:00"/>
    <x v="1"/>
    <m/>
    <s v="A20714"/>
    <s v="Manual"/>
    <m/>
    <s v="UBR 868Y"/>
    <s v="Sawan Distributors Ltd-Nabingo"/>
    <n v="156"/>
    <s v="A20714"/>
    <s v="OM"/>
    <n v="560"/>
    <n v="562"/>
    <n v="2"/>
    <m/>
    <d v="2025-02-14T12:13:00"/>
    <d v="2025-02-14T12:38:00"/>
    <d v="2025-02-14T12:57:00"/>
    <n v="18.912037036110025"/>
    <n v="43.796296293051761"/>
    <m/>
    <d v="2025-02-14T14:26:00"/>
    <d v="2025-02-14T17:50:00"/>
    <n v="199.74999999452848"/>
    <s v="space consquents"/>
    <d v="2025-02-16T08:18:00"/>
    <d v="2025-02-16T09:15:00"/>
    <n v="55.81249999726424"/>
    <m/>
    <n v="1.8062500000014552"/>
    <n v="2"/>
    <n v="0.19374999999854481"/>
    <n v="43.350000000034925"/>
    <n v="12"/>
    <n v="31.350000000034925"/>
    <n v="4.9760765550183796"/>
    <m/>
    <m/>
    <m/>
    <m/>
    <m/>
  </r>
  <r>
    <d v="2025-02-14T00:00:00"/>
    <x v="1"/>
    <m/>
    <s v="A20706"/>
    <s v="Manual"/>
    <m/>
    <s v="UBR 537W"/>
    <s v="Kato Investment Ltd -Mityana"/>
    <n v="78.75"/>
    <s v="A20706"/>
    <s v="OM"/>
    <n v="690"/>
    <n v="692"/>
    <n v="2"/>
    <m/>
    <d v="2025-02-13T17:17:00"/>
    <d v="2025-02-13T17:51:00"/>
    <d v="2025-02-13T17:59:00"/>
    <n v="7.9629629680615226"/>
    <n v="41.805555556250816"/>
    <m/>
    <d v="2025-02-16T14:10:00"/>
    <d v="2025-02-16T16:46:00"/>
    <n v="152.74999999521242"/>
    <m/>
    <d v="2025-02-15T07:38:00"/>
    <d v="2025-02-15T08:25:00"/>
    <n v="46.020833329457673"/>
    <m/>
    <n v="1.5687500000058208"/>
    <n v="3"/>
    <n v="1.4312499999941792"/>
    <n v="37.650000000139698"/>
    <n v="12"/>
    <n v="25.650000000139698"/>
    <n v="3.0701754385797702"/>
    <m/>
    <m/>
    <m/>
    <m/>
    <m/>
  </r>
  <r>
    <d v="2025-02-14T00:00:00"/>
    <x v="1"/>
    <m/>
    <s v="F15895"/>
    <s v="Manual"/>
    <m/>
    <s v="UBR 533W"/>
    <s v="Boniface Harera"/>
    <n v="156"/>
    <s v="F15895"/>
    <s v="OM"/>
    <n v="448"/>
    <n v="445"/>
    <n v="-3"/>
    <m/>
    <d v="2025-02-16T07:44:00"/>
    <d v="2025-02-16T08:20:00"/>
    <d v="2025-02-16T08:28:00"/>
    <n v="7.9629629680615226"/>
    <n v="43.796296293051761"/>
    <m/>
    <d v="2025-02-15T13:04:00"/>
    <d v="2025-02-15T18:25:00"/>
    <n v="314.31249999863212"/>
    <s v="less casuals and offloaded the next day"/>
    <d v="2025-02-17T13:31:00"/>
    <d v="2025-02-17T14:28:00"/>
    <n v="55.81249999726424"/>
    <m/>
    <n v="1.2104166666686069"/>
    <n v="2"/>
    <n v="0.78958333333139308"/>
    <n v="29.050000000046566"/>
    <n v="12"/>
    <n v="17.050000000046566"/>
    <n v="9.1495601172770638"/>
    <m/>
    <m/>
    <m/>
    <m/>
    <m/>
  </r>
  <r>
    <d v="2025-02-14T00:00:00"/>
    <x v="1"/>
    <m/>
    <s v="Z82631"/>
    <s v="Manual"/>
    <s v="Kyakulaga James"/>
    <s v="UBJ 419C"/>
    <s v="Bates Enterprises Ltd-Ntoroko"/>
    <n v="100"/>
    <s v="Z82631"/>
    <s v="OM"/>
    <n v="464"/>
    <n v="462"/>
    <n v="-2"/>
    <m/>
    <d v="2025-02-14T08:05:00"/>
    <d v="2025-02-14T08:18:00"/>
    <d v="2025-02-14T08:49:00"/>
    <n v="30.856481477773439"/>
    <n v="43.796296293051761"/>
    <m/>
    <d v="2025-02-15T16:02:00"/>
    <d v="2025-02-15T18:21:00"/>
    <n v="136.10416665891535"/>
    <m/>
    <d v="2025-02-17T13:03:00"/>
    <d v="2025-02-17T14:03:00"/>
    <n v="58.7499999965803"/>
    <m/>
    <n v="3.1763888888890506"/>
    <n v="2"/>
    <n v="-1.1763888888890506"/>
    <n v="76.233333333337214"/>
    <n v="36"/>
    <n v="40.233333333337214"/>
    <n v="2.4855012427503818"/>
    <m/>
    <m/>
    <m/>
    <m/>
    <m/>
  </r>
  <r>
    <d v="2025-02-14T00:00:00"/>
    <x v="1"/>
    <m/>
    <s v="OMD8HUDRR"/>
    <s v="DJ"/>
    <s v="James  Kironde"/>
    <s v="UBK 881R"/>
    <s v="Boniface Harera"/>
    <n v="153.6"/>
    <s v="OMD8HUDRR"/>
    <s v="OM"/>
    <n v="448"/>
    <n v="450"/>
    <n v="2"/>
    <m/>
    <d v="2025-02-14T08:36:00"/>
    <d v="2025-02-14T08:54:00"/>
    <d v="2025-02-14T09:17:00"/>
    <n v="22.893518520140788"/>
    <n v="40.810185182635905"/>
    <m/>
    <d v="2025-02-15T09:43:00"/>
    <d v="2025-02-15T11:55:00"/>
    <n v="129.25000000068394"/>
    <m/>
    <d v="2025-02-16T14:55:00"/>
    <d v="2025-02-16T15:55:00"/>
    <n v="58.7499999965803"/>
    <m/>
    <n v="2.234722222223354"/>
    <n v="2"/>
    <n v="-0.23472222222335404"/>
    <n v="53.633333333360497"/>
    <n v="24"/>
    <n v="29.633333333360497"/>
    <n v="5.1833520809851246"/>
    <m/>
    <m/>
    <m/>
    <m/>
    <m/>
  </r>
  <r>
    <d v="2025-02-14T00:00:00"/>
    <x v="1"/>
    <m/>
    <s v="OM881JIRR"/>
    <s v="DJ"/>
    <s v="MUKOSE MUZAMIRU"/>
    <s v="UBJ 417C"/>
    <s v="Ntale and Sons"/>
    <n v="153.6"/>
    <s v="OM881JIRR"/>
    <s v="OM"/>
    <n v="810"/>
    <n v="809"/>
    <n v="-1"/>
    <s v="Deviated due to road mantanance"/>
    <d v="2025-02-12T13:44:00"/>
    <d v="2025-02-12T14:13:00"/>
    <d v="2025-02-12T14:25:00"/>
    <n v="11.944444441663412"/>
    <n v="40.810185182635905"/>
    <m/>
    <d v="2025-02-15T16:13:00"/>
    <d v="2025-02-15T19:02:00"/>
    <n v="165.47916667259415"/>
    <m/>
    <d v="2025-02-15T07:52:00"/>
    <d v="2025-02-15T08:50:00"/>
    <n v="56.791666667122627"/>
    <m/>
    <n v="2.7270833333313931"/>
    <n v="2"/>
    <n v="-0.72708333333139308"/>
    <n v="65.449999999953434"/>
    <n v="24"/>
    <n v="41.449999999953434"/>
    <n v="3.7056694813069373"/>
    <m/>
    <m/>
    <m/>
    <m/>
    <m/>
  </r>
  <r>
    <d v="2025-02-14T00:00:00"/>
    <x v="1"/>
    <m/>
    <s v="OMTDJ66RR"/>
    <s v="DJ"/>
    <s v="SENTONG DAVID"/>
    <s v="UBP 298H"/>
    <s v="KATO INVESTMENTS LTD- KALISIZO "/>
    <n v="153.6"/>
    <s v="OMTDJ66RR"/>
    <s v="OM"/>
    <n v="350"/>
    <n v="352"/>
    <n v="2"/>
    <m/>
    <d v="2025-02-12T11:37:00"/>
    <d v="2025-02-12T10:50:00"/>
    <d v="2025-02-12T12:19:00"/>
    <n v="88.587962959718425"/>
    <n v="41.805555556250816"/>
    <m/>
    <d v="2025-02-15T16:31:00"/>
    <d v="2025-02-15T19:39:00"/>
    <n v="184.08333332808979"/>
    <s v="Waited for empties from trade"/>
    <d v="2025-02-19T18:12:00"/>
    <d v="2025-02-19T19:10:00"/>
    <n v="56.791666667122627"/>
    <m/>
    <n v="7.2451388888875954"/>
    <n v="2"/>
    <n v="-5.2451388888875954"/>
    <n v="173.88333333330229"/>
    <n v="84"/>
    <n v="89.883333333302289"/>
    <n v="1.7088818839241948"/>
    <m/>
    <m/>
    <m/>
    <m/>
    <m/>
  </r>
  <r>
    <d v="2025-02-15T00:00:00"/>
    <x v="1"/>
    <m/>
    <s v="A20728"/>
    <s v="Manual"/>
    <s v="Kabanda Ronald"/>
    <s v="UBE 684K"/>
    <s v="KATO INVESTMENTS LTD-KATIKARA"/>
    <n v="156"/>
    <s v="A20728"/>
    <s v="OM"/>
    <n v="790"/>
    <n v="792"/>
    <n v="2"/>
    <m/>
    <d v="2025-02-13T20:04:00"/>
    <d v="2025-02-13T20:04:00"/>
    <d v="2025-02-13T20:47:00"/>
    <n v="42.80092592986572"/>
    <n v="42.80092592986572"/>
    <m/>
    <d v="2025-02-14T19:18:00"/>
    <d v="2025-02-15T10:22:00"/>
    <n v="885.16666665891535"/>
    <s v="Reached late and offloaded the next day"/>
    <d v="2025-02-16T08:18:00"/>
    <d v="2025-02-16T09:13:00"/>
    <n v="53.854166667806567"/>
    <m/>
    <n v="2.4798611111109494"/>
    <n v="2"/>
    <n v="-0.47986111111094942"/>
    <n v="59.516666666662786"/>
    <n v="24"/>
    <n v="35.516666666662786"/>
    <n v="4.3923040825908135"/>
    <m/>
    <m/>
    <m/>
    <m/>
    <m/>
  </r>
  <r>
    <d v="2025-02-15T00:00:00"/>
    <x v="1"/>
    <m/>
    <s v="A20734"/>
    <s v="Manual"/>
    <s v="Ntumwa Solomon"/>
    <s v="UBR 540W"/>
    <s v="Kato Investment Ltd -Mityana"/>
    <n v="156"/>
    <s v="A20734"/>
    <s v="OM"/>
    <n v="690"/>
    <n v="692"/>
    <n v="2"/>
    <m/>
    <d v="2025-02-13T10:50:00"/>
    <d v="2025-02-13T10:37:00"/>
    <d v="2025-02-13T11:34:00"/>
    <n v="56.736111108330078"/>
    <n v="43.796296293051761"/>
    <m/>
    <d v="2025-02-14T08:36:00"/>
    <d v="2025-02-14T14:44:00"/>
    <n v="360.33333333834889"/>
    <s v="Waited for empties from trade"/>
    <d v="2025-02-16T08:18:00"/>
    <d v="2025-02-16T09:14:00"/>
    <n v="54.833333337664953"/>
    <m/>
    <n v="2.8638888888890506"/>
    <n v="3"/>
    <n v="0.13611111111094942"/>
    <n v="68.733333333337214"/>
    <n v="24"/>
    <n v="44.733333333337214"/>
    <n v="3.4873323397910538"/>
    <m/>
    <m/>
    <m/>
    <m/>
    <m/>
  </r>
  <r>
    <d v="2025-02-15T00:00:00"/>
    <x v="1"/>
    <m/>
    <s v="A20735"/>
    <s v="Manual"/>
    <s v="Mulumba Kasim"/>
    <s v="UBE 680K"/>
    <s v="Kato Investments Ltd- Kakumiro"/>
    <n v="156"/>
    <s v="A20735"/>
    <s v="OM"/>
    <n v="790"/>
    <n v="788"/>
    <n v="-2"/>
    <m/>
    <d v="2025-02-13T14:29:00"/>
    <d v="2025-02-13T14:55:00"/>
    <d v="2025-02-13T15:12:00"/>
    <n v="16.921296299309081"/>
    <n v="42.80092592986572"/>
    <m/>
    <d v="2025-02-14T14:26:00"/>
    <d v="2025-02-14T17:50:00"/>
    <n v="199.74999999452848"/>
    <s v="space consquents"/>
    <d v="2025-02-15T07:38:00"/>
    <d v="2025-02-15T08:38:00"/>
    <n v="58.7499999965803"/>
    <m/>
    <n v="1.6847222222277196"/>
    <n v="2"/>
    <n v="0.31527777777228039"/>
    <n v="40.433333333465271"/>
    <n v="12"/>
    <n v="28.433333333465271"/>
    <n v="5.4865181711351507"/>
    <m/>
    <m/>
    <m/>
    <m/>
    <m/>
  </r>
  <r>
    <d v="2025-02-15T00:00:00"/>
    <x v="1"/>
    <m/>
    <s v="A20731"/>
    <s v="Manual"/>
    <s v="Matovu Musa"/>
    <s v="UBR 538W"/>
    <s v="Kato Investments Ltd- Kyegegwa"/>
    <n v="156"/>
    <s v="A20731"/>
    <s v="OM"/>
    <n v="600"/>
    <n v="602"/>
    <n v="2"/>
    <m/>
    <d v="2025-02-12T18:26:00"/>
    <d v="2025-02-12T19:03:00"/>
    <d v="2025-02-12T19:07:00"/>
    <n v="3.9814814840307613"/>
    <n v="40.810185182635905"/>
    <m/>
    <d v="2025-02-16T14:10:00"/>
    <d v="2025-02-16T16:46:00"/>
    <n v="152.74999999521242"/>
    <m/>
    <d v="2025-02-15T09:15:00"/>
    <d v="2025-02-15T10:06:00"/>
    <n v="49.93749999863212"/>
    <m/>
    <n v="2.5888888888875954"/>
    <n v="3"/>
    <n v="0.41111111111240461"/>
    <n v="62.133333333302289"/>
    <n v="24"/>
    <n v="38.133333333302289"/>
    <n v="4.0909090909124215"/>
    <m/>
    <m/>
    <m/>
    <m/>
    <m/>
  </r>
  <r>
    <d v="2025-02-15T00:00:00"/>
    <x v="1"/>
    <m/>
    <s v="Z82636"/>
    <s v="Manual"/>
    <m/>
    <s v="UBG 084B"/>
    <s v="Kabaco U Ltd "/>
    <n v="156"/>
    <s v="Z82636"/>
    <s v="OM"/>
    <n v="320"/>
    <n v="319"/>
    <n v="-1"/>
    <m/>
    <d v="2025-02-12T17:00:00"/>
    <d v="2025-02-12T16:22:00"/>
    <d v="2025-02-12T17:44:00"/>
    <n v="81.62037036527181"/>
    <n v="43.796296293051761"/>
    <m/>
    <d v="2025-02-14T11:08:00"/>
    <d v="2025-02-14T17:13:00"/>
    <n v="357.39583333903283"/>
    <s v="truck faulty"/>
    <d v="2025-02-17T13:31:00"/>
    <d v="2025-02-17T14:27:00"/>
    <n v="54.833333337664953"/>
    <m/>
    <n v="4.8243055555576575"/>
    <n v="2"/>
    <n v="-2.8243055555576575"/>
    <n v="115.78333333338378"/>
    <n v="48"/>
    <n v="67.78333333338378"/>
    <n v="2.3014507007605198"/>
    <m/>
    <m/>
    <m/>
    <m/>
    <m/>
  </r>
  <r>
    <d v="2025-02-15T00:00:00"/>
    <x v="1"/>
    <m/>
    <s v="Z82637"/>
    <s v="Manual"/>
    <s v="Byanshala Stoney"/>
    <s v="UBP 312H"/>
    <s v="Rugoma Traders-Rukungiri"/>
    <n v="156"/>
    <s v="Z82637"/>
    <s v="OM"/>
    <n v="256"/>
    <n v="255"/>
    <n v="-1"/>
    <m/>
    <d v="2025-02-13T13:30:00"/>
    <d v="2025-02-13T14:01:00"/>
    <d v="2025-02-13T14:13:00"/>
    <n v="11.944444441663412"/>
    <n v="42.80092592986572"/>
    <m/>
    <d v="2025-02-14T08:43:00"/>
    <d v="2025-02-14T10:46:00"/>
    <n v="120.43750000273576"/>
    <m/>
    <d v="2025-02-16T08:18:00"/>
    <d v="2025-02-16T09:15:00"/>
    <n v="55.81249999726424"/>
    <m/>
    <n v="2.7534722222189885"/>
    <n v="2"/>
    <n v="-0.75347222221898846"/>
    <n v="66.083333333255723"/>
    <n v="24"/>
    <n v="42.083333333255723"/>
    <n v="3.7069306930761434"/>
    <m/>
    <m/>
    <m/>
    <m/>
    <m/>
  </r>
  <r>
    <d v="2025-02-15T00:00:00"/>
    <x v="1"/>
    <m/>
    <s v="A20730"/>
    <s v="Manual"/>
    <m/>
    <s v="UBR 534W"/>
    <s v="Kato Investment Ltd -Mityana"/>
    <n v="156"/>
    <s v="A20730"/>
    <s v="OM"/>
    <n v="690"/>
    <n v="692"/>
    <n v="2"/>
    <m/>
    <d v="2025-02-14T12:56:00"/>
    <d v="2025-02-14T13:32:00"/>
    <d v="2025-02-14T13:40:00"/>
    <n v="7.9629629680615226"/>
    <n v="43.796296293051761"/>
    <m/>
    <d v="2025-02-15T13:04:00"/>
    <d v="2025-02-15T18:25:00"/>
    <n v="314.31249999863212"/>
    <s v="found another truck to be offloaded"/>
    <d v="2025-02-16T08:18:00"/>
    <d v="2025-02-16T09:28:00"/>
    <n v="68.541666664386867"/>
    <s v="pre trip inspections"/>
    <n v="1.7763888888875954"/>
    <n v="3"/>
    <n v="1.2236111111124046"/>
    <n v="42.633333333302289"/>
    <n v="12"/>
    <n v="30.633333333302289"/>
    <n v="5.0924918389605471"/>
    <m/>
    <m/>
    <m/>
    <m/>
    <m/>
  </r>
  <r>
    <d v="2025-02-15T00:00:00"/>
    <x v="1"/>
    <m/>
    <s v="A20736"/>
    <s v="Manual"/>
    <s v="SENTONG DAVID"/>
    <s v="UBP 298H"/>
    <s v="KATO INVESTMENTS LTD-KATIKARA"/>
    <n v="156"/>
    <s v="A20736"/>
    <s v="OM"/>
    <n v="790"/>
    <n v="792"/>
    <n v="2"/>
    <m/>
    <d v="2025-02-12T21:44:00"/>
    <d v="2025-02-12T21:17:00"/>
    <d v="2025-02-12T22:27:00"/>
    <n v="69.675925923608403"/>
    <n v="42.80092592986572"/>
    <m/>
    <d v="2025-02-14T13:52:00"/>
    <d v="2025-02-14T16:39:00"/>
    <n v="163.52083333287737"/>
    <m/>
    <d v="2025-02-15T07:38:00"/>
    <d v="2025-02-15T08:36:00"/>
    <n v="56.791666667122627"/>
    <m/>
    <n v="2.382638888891961"/>
    <n v="3"/>
    <n v="0.61736111110803904"/>
    <n v="57.183333333407063"/>
    <n v="24"/>
    <n v="33.183333333407063"/>
    <n v="4.7011551983823221"/>
    <m/>
    <m/>
    <m/>
    <m/>
    <m/>
  </r>
  <r>
    <d v="2025-02-15T00:00:00"/>
    <x v="1"/>
    <m/>
    <s v="Z82639"/>
    <s v="Manual"/>
    <s v="Nminya Siraje"/>
    <s v="UBP 301H"/>
    <s v="Kobusinge Steven-FPortal"/>
    <n v="156"/>
    <s v="Z82639"/>
    <s v="OM"/>
    <n v="304"/>
    <n v="306"/>
    <n v="2"/>
    <m/>
    <d v="2025-02-12T17:30:00"/>
    <d v="2025-02-12T17:01:00"/>
    <d v="2025-02-12T18:11:00"/>
    <n v="69.675925923608403"/>
    <n v="40.810185182635905"/>
    <m/>
    <d v="2025-02-15T11:12:00"/>
    <d v="2025-02-15T14:08:00"/>
    <n v="172.33333333082555"/>
    <m/>
    <d v="2025-02-15T07:38:00"/>
    <d v="2025-02-15T08:32:00"/>
    <n v="52.87499999794818"/>
    <m/>
    <n v="2.5604166666671517"/>
    <n v="2"/>
    <n v="-0.56041666666715173"/>
    <n v="61.450000000011642"/>
    <n v="24"/>
    <n v="37.450000000011642"/>
    <n v="4.1655540720948334"/>
    <m/>
    <m/>
    <m/>
    <m/>
    <m/>
  </r>
  <r>
    <d v="2025-02-15T00:00:00"/>
    <x v="1"/>
    <m/>
    <s v="A20726"/>
    <s v="Manual"/>
    <m/>
    <s v="UBF 369L"/>
    <s v="Sawan Distributors Ltd-Nabingo"/>
    <n v="156"/>
    <s v="A20726"/>
    <s v="OM"/>
    <n v="560"/>
    <n v="561"/>
    <n v="1"/>
    <m/>
    <d v="2025-02-15T12:59:00"/>
    <d v="2025-02-14T16:40:00"/>
    <d v="2025-02-15T13:40:00"/>
    <n v="1254.1666666666667"/>
    <n v="40.810185182635905"/>
    <m/>
    <d v="2025-02-15T11:17:00"/>
    <d v="2025-02-15T19:00:00"/>
    <n v="453.35416666712263"/>
    <s v="First offloaded their route sale trucks"/>
    <d v="2025-02-19T18:12:00"/>
    <d v="2025-02-19T19:10:00"/>
    <n v="56.791666667122627"/>
    <m/>
    <n v="4.1888888888861402"/>
    <n v="2"/>
    <n v="-2.1888888888861402"/>
    <n v="100.53333333326736"/>
    <n v="48"/>
    <n v="52.533333333267365"/>
    <n v="2.969543147211851"/>
    <m/>
    <m/>
    <m/>
    <m/>
    <m/>
  </r>
  <r>
    <d v="2025-02-15T00:00:00"/>
    <x v="1"/>
    <m/>
    <s v="A20729"/>
    <s v="Manual"/>
    <s v="Sentongo paul"/>
    <s v="UBR 541W"/>
    <s v="Kato Investment Ltd -Kagadi"/>
    <n v="156"/>
    <s v="A20729"/>
    <s v="OM"/>
    <n v="670"/>
    <n v="671"/>
    <n v="1"/>
    <m/>
    <d v="2025-02-14T22:15:00"/>
    <d v="2025-02-14T09:00:00"/>
    <d v="2025-02-14T22:58:00"/>
    <n v="834.12037036735762"/>
    <n v="42.80092592986572"/>
    <m/>
    <d v="2025-02-14T15:56:00"/>
    <d v="2025-02-14T19:14:00"/>
    <n v="193.87499999589636"/>
    <s v="First offloaded their route sale trucks"/>
    <d v="2025-02-15T07:52:00"/>
    <d v="2025-02-15T08:48:00"/>
    <n v="54.833333337664953"/>
    <m/>
    <n v="0.37083333333430346"/>
    <n v="2"/>
    <n v="1.6291666666656965"/>
    <n v="8.9000000000232831"/>
    <n v="0"/>
    <n v="8.9000000000232831"/>
    <n v="17.528089887594593"/>
    <m/>
    <m/>
    <m/>
    <m/>
    <m/>
  </r>
  <r>
    <d v="2025-02-15T00:00:00"/>
    <x v="1"/>
    <m/>
    <s v="OM1QUZPRR"/>
    <s v="DJ"/>
    <s v="Isaac Tumuhimbise"/>
    <s v="UBE 287X"/>
    <s v="KATO INVESTMENTS LIMITED-MASAK "/>
    <n v="153.6"/>
    <s v="OM1QUZPRR"/>
    <s v="OM"/>
    <n v="298"/>
    <n v="300"/>
    <n v="2"/>
    <m/>
    <d v="2025-02-15T10:10:00"/>
    <d v="2025-02-15T08:52:00"/>
    <d v="2025-02-15T10:53:00"/>
    <n v="120.43981482153565"/>
    <n v="42.80092592986572"/>
    <m/>
    <d v="2025-02-17T16:57:00"/>
    <d v="2025-02-17T19:12:00"/>
    <n v="132.1875"/>
    <m/>
    <d v="2025-02-20T19:16:00"/>
    <d v="2025-02-20T20:14:00"/>
    <n v="56.791666667122627"/>
    <m/>
    <n v="5.3493055555518367"/>
    <n v="2"/>
    <n v="-3.3493055555518367"/>
    <n v="128.38333333324408"/>
    <n v="60"/>
    <n v="68.383333333244082"/>
    <n v="2.2461613453599871"/>
    <m/>
    <m/>
    <m/>
    <m/>
    <m/>
  </r>
  <r>
    <d v="2025-02-15T00:00:00"/>
    <x v="1"/>
    <m/>
    <s v="OMD3RE6RR"/>
    <s v="DJ"/>
    <s v="Benon Ssempijja"/>
    <s v="UAY 526V"/>
    <s v="Rugoma Traders-Kanungu/Kihihi"/>
    <n v="153.6"/>
    <s v="OMD3RE6RR"/>
    <s v="OM"/>
    <n v="414"/>
    <n v="413"/>
    <n v="-1"/>
    <m/>
    <d v="2025-02-15T09:01:00"/>
    <d v="2025-02-15T09:23:00"/>
    <d v="2025-02-15T10:04:00"/>
    <n v="40.810185182635905"/>
    <n v="62.708333329161782"/>
    <s v="DJ failures "/>
    <d v="2025-02-15T12:40:00"/>
    <d v="2025-02-15T16:15:00"/>
    <n v="210.52083333219343"/>
    <s v="found another truck at RD"/>
    <d v="2025-02-16T09:41:00"/>
    <d v="2025-02-16T10:38:00"/>
    <n v="55.81249999726424"/>
    <m/>
    <n v="0.98402777777664596"/>
    <n v="2"/>
    <n v="1.015972222223354"/>
    <n v="23.616666666639503"/>
    <n v="0"/>
    <n v="23.616666666639503"/>
    <n v="6.5038814396687368"/>
    <m/>
    <m/>
    <m/>
    <m/>
    <m/>
  </r>
  <r>
    <d v="2025-02-15T00:00:00"/>
    <x v="1"/>
    <m/>
    <s v="OM117K8RR"/>
    <s v="DJ"/>
    <s v="Stephen Musoke "/>
    <s v="UBJ 375N"/>
    <s v="Rugoma Traders-Kanungu/Kihihi"/>
    <n v="153.6"/>
    <s v="OM117K8RR"/>
    <s v="OM"/>
    <n v="414"/>
    <n v="412"/>
    <n v="-2"/>
    <m/>
    <d v="2025-02-15T14:13:00"/>
    <d v="2025-02-15T13:37:00"/>
    <d v="2025-02-15T14:57:00"/>
    <n v="79.629629628470866"/>
    <n v="43.796296293051761"/>
    <m/>
    <d v="2025-02-16T09:23:00"/>
    <d v="2025-02-16T11:25:00"/>
    <n v="119.45833333287737"/>
    <m/>
    <d v="2025-02-16T06:58:00"/>
    <d v="2025-02-16T07:54:00"/>
    <n v="54.833333337664953"/>
    <m/>
    <n v="0.66736111111094942"/>
    <n v="2"/>
    <n v="1.3326388888890506"/>
    <n v="16.016666666662786"/>
    <n v="0"/>
    <n v="16.016666666662786"/>
    <n v="9.5900104058295863"/>
    <m/>
    <m/>
    <m/>
    <m/>
    <m/>
  </r>
  <r>
    <d v="2025-02-15T00:00:00"/>
    <x v="1"/>
    <m/>
    <s v="OMK83DARR"/>
    <s v="DJ"/>
    <s v="Jacob Oneka"/>
    <s v="UBE 422T"/>
    <s v="KATO INVESTMENTS LIMITED-MASAK "/>
    <n v="153.6"/>
    <s v="OMK83DARR"/>
    <s v="OM"/>
    <n v="298"/>
    <n v="300"/>
    <n v="2"/>
    <m/>
    <d v="2025-02-15T16:10:00"/>
    <d v="2025-02-15T16:11:00"/>
    <d v="2025-02-15T16:52:00"/>
    <n v="40.810185182635905"/>
    <n v="41.805555556250816"/>
    <m/>
    <d v="2025-02-16T09:39:00"/>
    <d v="2025-02-16T12:00:00"/>
    <n v="138.06249999863212"/>
    <m/>
    <d v="2025-02-16T13:29:00"/>
    <d v="2025-02-16T14:27:00"/>
    <n v="56.791666667122627"/>
    <m/>
    <n v="0.85902777777664596"/>
    <n v="2"/>
    <n v="1.140972222223354"/>
    <n v="20.616666666639503"/>
    <n v="0"/>
    <n v="20.616666666639503"/>
    <n v="7.4502829426128878"/>
    <m/>
    <m/>
    <m/>
    <m/>
    <m/>
  </r>
  <r>
    <d v="2025-02-15T00:00:00"/>
    <x v="1"/>
    <m/>
    <s v="OMG1H0FRR"/>
    <s v="DJ"/>
    <s v="Jacob Oneka"/>
    <s v="UBE 422T"/>
    <s v="Kabaco U Ltd "/>
    <n v="153.6"/>
    <s v="OMG1H0FRR"/>
    <s v="OM"/>
    <n v="320"/>
    <n v="60"/>
    <n v="-260"/>
    <m/>
    <d v="2025-02-15T15:50:00"/>
    <d v="2025-02-15T15:43:00"/>
    <d v="2025-02-15T16:34:00"/>
    <n v="50.763888887498375"/>
    <n v="43.796296293051761"/>
    <m/>
    <d v="2025-02-15T10:05:00"/>
    <d v="2025-02-15T12:06:00"/>
    <n v="118.47916666301899"/>
    <m/>
    <d v="2025-02-16T15:14:00"/>
    <d v="2025-02-16T16:14:00"/>
    <n v="58.7499999965803"/>
    <m/>
    <n v="0.94444444444525288"/>
    <n v="2"/>
    <n v="1.0555555555547471"/>
    <n v="22.666666666686069"/>
    <n v="0"/>
    <n v="22.666666666686069"/>
    <n v="6.7764705882294933"/>
    <m/>
    <m/>
    <m/>
    <m/>
    <m/>
  </r>
  <r>
    <d v="2025-02-15T00:00:00"/>
    <x v="1"/>
    <m/>
    <s v="OMRKN18RR"/>
    <s v="DJ"/>
    <s v="Kabene John"/>
    <s v="UBA 523T"/>
    <s v="KATO INVESTMENTS LIMITED-MASAK"/>
    <n v="153.6"/>
    <s v="OMRKN18RR"/>
    <s v="OM"/>
    <n v="298"/>
    <n v="299"/>
    <n v="1"/>
    <m/>
    <d v="2025-02-15T10:17:00"/>
    <d v="2025-02-15T09:44:00"/>
    <d v="2025-02-15T11:01:00"/>
    <n v="76.643518518055018"/>
    <n v="43.796296293051761"/>
    <m/>
    <d v="2025-02-17T11:39:00"/>
    <d v="2025-02-17T17:36:00"/>
    <n v="349.56249999042484"/>
    <s v="found another truck at the RD"/>
    <d v="2025-02-16T06:55:00"/>
    <d v="2025-02-16T07:55:00"/>
    <n v="58.7499999965803"/>
    <m/>
    <n v="0.82916666667006211"/>
    <n v="2"/>
    <n v="1.1708333333299379"/>
    <n v="19.900000000081491"/>
    <n v="0"/>
    <n v="19.900000000081491"/>
    <n v="7.7185929647925127"/>
    <m/>
    <m/>
    <m/>
    <m/>
    <m/>
  </r>
  <r>
    <d v="2025-02-16T00:00:00"/>
    <x v="1"/>
    <m/>
    <s v="Z82644"/>
    <s v="Manual"/>
    <s v="Mudunga Musa"/>
    <s v="UBE 678K"/>
    <s v="Kobusinge Steven-Kamwenge"/>
    <n v="156"/>
    <s v="Z82644"/>
    <s v="OM"/>
    <n v="288"/>
    <n v="290"/>
    <n v="2"/>
    <m/>
    <d v="2025-02-15T09:17:00"/>
    <d v="2025-02-15T08:50:00"/>
    <d v="2025-02-15T10:00:00"/>
    <n v="69.675925923608403"/>
    <n v="42.80092592986572"/>
    <m/>
    <d v="2025-02-15T07:23:00"/>
    <d v="2025-02-15T16:12:00"/>
    <n v="517.97916667259415"/>
    <s v="space consquents"/>
    <d v="2025-02-17T11:06:00"/>
    <d v="2025-02-17T12:00:00"/>
    <n v="52.87499999794818"/>
    <m/>
    <n v="2.0458333333372138"/>
    <n v="2"/>
    <n v="-4.5833333337213844E-2"/>
    <n v="49.100000000093132"/>
    <n v="24"/>
    <n v="25.100000000093132"/>
    <n v="6.2151394422080148"/>
    <m/>
    <m/>
    <m/>
    <m/>
    <m/>
  </r>
  <r>
    <d v="2025-02-16T00:00:00"/>
    <x v="1"/>
    <m/>
    <s v="A20741"/>
    <s v="Manual"/>
    <s v="Ngobi Fred"/>
    <s v="UBK 866R"/>
    <s v="KATO INVESTMENTS LTD-KATIKARA"/>
    <n v="156"/>
    <s v="A20741"/>
    <s v="OM"/>
    <n v="790"/>
    <n v="788"/>
    <n v="-2"/>
    <m/>
    <d v="2025-02-15T10:00:00"/>
    <d v="2025-02-15T10:32:00"/>
    <d v="2025-02-15T10:44:00"/>
    <n v="11.944444441663412"/>
    <n v="43.796296293051761"/>
    <m/>
    <d v="2025-02-15T16:44:00"/>
    <d v="2025-02-15T18:32:00"/>
    <n v="105.74999999589636"/>
    <m/>
    <d v="2025-02-17T11:06:00"/>
    <d v="2025-02-17T12:04:00"/>
    <n v="56.791666667122627"/>
    <m/>
    <n v="2.015277777776646"/>
    <n v="3"/>
    <n v="0.98472222222335404"/>
    <n v="48.366666666639503"/>
    <n v="24"/>
    <n v="24.366666666639503"/>
    <n v="6.4021887824968768"/>
    <m/>
    <m/>
    <m/>
    <m/>
    <m/>
  </r>
  <r>
    <d v="2025-02-16T00:00:00"/>
    <x v="1"/>
    <m/>
    <s v="Z82645"/>
    <s v="Manual"/>
    <s v="Tsaale Hassan"/>
    <s v="UBJ 703D"/>
    <s v="Kabaco U Ltd "/>
    <n v="156"/>
    <s v="Z82645"/>
    <s v="OM"/>
    <n v="320"/>
    <n v="322"/>
    <n v="2"/>
    <m/>
    <d v="2025-02-15T06:49:00"/>
    <d v="2025-02-15T05:59:00"/>
    <d v="2025-02-15T07:30:00"/>
    <n v="90.578703706948247"/>
    <n v="40.810185182635905"/>
    <m/>
    <d v="2025-02-16T11:14:00"/>
    <d v="2025-02-16T14:33:00"/>
    <n v="194.85416666575475"/>
    <s v="Not enough casuals to offload"/>
    <d v="2025-02-15T15:48:00"/>
    <d v="2025-02-15T16:44:00"/>
    <n v="54.833333337664953"/>
    <m/>
    <n v="0.34583333333284827"/>
    <n v="2"/>
    <n v="1.6541666666671517"/>
    <n v="8.2999999999883585"/>
    <n v="0"/>
    <n v="8.2999999999883585"/>
    <n v="18.795180722917927"/>
    <m/>
    <m/>
    <m/>
    <m/>
    <m/>
  </r>
  <r>
    <d v="2025-02-16T00:00:00"/>
    <x v="1"/>
    <m/>
    <s v="A20740"/>
    <s v="Manual"/>
    <s v="Taimwa Alex"/>
    <s v="UBJ 705D"/>
    <s v="Kato Investments Ltd-Bulenga"/>
    <n v="156"/>
    <s v="A20740"/>
    <s v="OM"/>
    <n v="560"/>
    <n v="562"/>
    <n v="2"/>
    <m/>
    <d v="2025-02-15T16:50:00"/>
    <d v="2025-02-15T16:42:00"/>
    <d v="2025-02-15T17:33:00"/>
    <n v="50.763888887498375"/>
    <n v="42.80092592986572"/>
    <m/>
    <d v="2025-02-16T12:17:00"/>
    <d v="2025-02-16T15:57:00"/>
    <n v="215.41666666096717"/>
    <s v="Waited for empties from trade"/>
    <d v="2025-02-16T19:27:00"/>
    <d v="2025-02-16T20:22:00"/>
    <n v="53.854166667806567"/>
    <m/>
    <n v="1.0791666666700621"/>
    <n v="2"/>
    <n v="0.92083333332993789"/>
    <n v="25.900000000081491"/>
    <n v="12"/>
    <n v="13.900000000081491"/>
    <n v="11.223021582668016"/>
    <m/>
    <m/>
    <m/>
    <m/>
    <m/>
  </r>
  <r>
    <d v="2025-02-16T00:00:00"/>
    <x v="1"/>
    <m/>
    <s v="F15906"/>
    <s v="Manual"/>
    <s v="Nakalya John"/>
    <s v="UBM 648D"/>
    <s v="Boniface Harera"/>
    <n v="156"/>
    <s v="F15906"/>
    <s v="OM"/>
    <n v="448"/>
    <n v="450"/>
    <n v="2"/>
    <m/>
    <d v="2025-02-14T11:39:00"/>
    <d v="2025-02-14T12:18:00"/>
    <d v="2025-02-14T12:22:00"/>
    <n v="3.9814814840307613"/>
    <n v="42.80092592986572"/>
    <m/>
    <d v="2025-02-15T20:06:00"/>
    <d v="2025-02-15T23:00:00"/>
    <n v="170.37500000136788"/>
    <m/>
    <d v="2025-02-16T18:18:00"/>
    <d v="2025-02-16T19:18:00"/>
    <n v="58.7499999965803"/>
    <m/>
    <n v="2.2472222222204437"/>
    <n v="2"/>
    <n v="-0.24722222222044365"/>
    <n v="53.933333333290648"/>
    <n v="24"/>
    <n v="29.933333333290648"/>
    <n v="5.2115812917668976"/>
    <m/>
    <m/>
    <m/>
    <m/>
    <m/>
  </r>
  <r>
    <d v="2025-02-16T00:00:00"/>
    <x v="1"/>
    <m/>
    <s v="Z82649"/>
    <s v="Manual"/>
    <s v="Lule Fred"/>
    <s v=" UBP 310H"/>
    <s v="Kobusinge Acaali- Kyenjojo"/>
    <n v="156"/>
    <s v="Z82649"/>
    <s v="OM"/>
    <n v="580"/>
    <n v="579"/>
    <n v="-1"/>
    <m/>
    <d v="2025-02-14T21:38:00"/>
    <d v="2025-02-14T22:09:00"/>
    <d v="2025-02-14T22:21:00"/>
    <n v="11.944444441663412"/>
    <n v="42.80092592986572"/>
    <m/>
    <d v="2025-02-16T17:28:00"/>
    <d v="2025-02-16T20:22:00"/>
    <n v="170.37500000136788"/>
    <m/>
    <d v="2025-02-16T19:22:00"/>
    <d v="2025-02-16T20:20:00"/>
    <n v="56.791666667122627"/>
    <m/>
    <n v="1.8756944444394321"/>
    <n v="2"/>
    <n v="0.12430555556056788"/>
    <n v="45.016666666546371"/>
    <n v="12"/>
    <n v="33.016666666546371"/>
    <n v="4.7248864210167101"/>
    <m/>
    <m/>
    <m/>
    <m/>
    <m/>
  </r>
  <r>
    <d v="2025-02-16T00:00:00"/>
    <x v="1"/>
    <m/>
    <s v="OMLX6IURR"/>
    <s v="DJ"/>
    <s v="Kabene John"/>
    <s v="UBA 523T"/>
    <s v="Kabaco U Ltd "/>
    <n v="153.6"/>
    <s v="OMLX6IURR"/>
    <s v="OM"/>
    <n v="320"/>
    <n v="322"/>
    <n v="2"/>
    <m/>
    <d v="2025-02-14T19:24:00"/>
    <d v="2025-02-14T18:38:00"/>
    <d v="2025-02-14T20:07:00"/>
    <n v="88.587962959718425"/>
    <n v="42.80092592986572"/>
    <m/>
    <d v="2025-02-15T11:26:00"/>
    <d v="2025-02-15T14:32:00"/>
    <n v="182.12499999863212"/>
    <s v="found another truck to be offloaded"/>
    <d v="2025-02-15T14:59:00"/>
    <d v="2025-02-15T15:59:00"/>
    <n v="58.7499999965803"/>
    <m/>
    <n v="0.78611111111240461"/>
    <n v="2"/>
    <n v="1.2138888888875954"/>
    <n v="18.866666666697711"/>
    <n v="0"/>
    <n v="18.866666666697711"/>
    <n v="8.1413427561703493"/>
    <m/>
    <m/>
    <m/>
    <m/>
    <m/>
  </r>
  <r>
    <d v="2025-02-16T00:00:00"/>
    <x v="1"/>
    <m/>
    <s v="OMSILIWRR"/>
    <s v="DJ"/>
    <s v="Kilabila Ismail"/>
    <s v="UBE 419T"/>
    <s v="KATO INVESTMENTS LIMITED-MASAK"/>
    <n v="153.6"/>
    <s v="OMSILIWRR"/>
    <s v="OM"/>
    <n v="298"/>
    <n v="300"/>
    <n v="2"/>
    <m/>
    <d v="2025-02-14T18:44:00"/>
    <d v="2025-02-14T18:08:00"/>
    <d v="2025-02-14T19:28:00"/>
    <n v="79.629629628470866"/>
    <n v="43.796296293051761"/>
    <m/>
    <d v="2025-02-15T09:41:00"/>
    <d v="2025-02-15T11:40:00"/>
    <n v="116.52083333356131"/>
    <m/>
    <d v="2025-02-15T16:39:00"/>
    <d v="2025-02-15T17:37:00"/>
    <n v="56.791666667122627"/>
    <m/>
    <n v="0.882638888884685"/>
    <n v="2"/>
    <n v="1.117361111115315"/>
    <n v="21.18333333323244"/>
    <n v="0"/>
    <n v="21.18333333323244"/>
    <n v="7.2509834776112463"/>
    <m/>
    <m/>
    <m/>
    <m/>
    <m/>
  </r>
  <r>
    <d v="2025-02-16T00:00:00"/>
    <x v="1"/>
    <m/>
    <s v="OMHUBMXRR"/>
    <s v="DJ"/>
    <s v="SENTONG DAVID"/>
    <s v="UBP 298H"/>
    <s v="KATO INVESTMENTS LIMITED-MASAK"/>
    <n v="153.6"/>
    <s v="OMHUBMXRR"/>
    <s v="OM"/>
    <n v="298"/>
    <n v="297"/>
    <n v="-1"/>
    <s v="Delievered to kalangala"/>
    <d v="2025-02-15T14:13:00"/>
    <d v="2025-02-15T01:59:00"/>
    <d v="2025-02-15T14:57:00"/>
    <n v="774.39814814861165"/>
    <n v="43.796296293051761"/>
    <m/>
    <d v="2025-02-15T20:06:00"/>
    <d v="2025-02-15T23:00:00"/>
    <n v="170.37500000136788"/>
    <m/>
    <d v="2025-02-16T19:22:00"/>
    <d v="2025-02-16T20:16:00"/>
    <n v="52.87499999794818"/>
    <m/>
    <n v="1.1840277777737356"/>
    <n v="2"/>
    <n v="0.81597222222626442"/>
    <n v="28.416666666569654"/>
    <n v="12"/>
    <n v="16.416666666569654"/>
    <n v="9.3563451777202644"/>
    <m/>
    <m/>
    <m/>
    <m/>
    <m/>
  </r>
  <r>
    <d v="2025-02-17T00:00:00"/>
    <x v="1"/>
    <m/>
    <s v="A20752"/>
    <s v="Manual"/>
    <m/>
    <s v="UBR 535W"/>
    <s v="KATO INVESTMENTS LTD-KATIKARA"/>
    <n v="156"/>
    <s v="A20752"/>
    <s v="OM"/>
    <n v="790"/>
    <n v="792"/>
    <n v="2"/>
    <m/>
    <d v="2025-02-15T16:11:00"/>
    <d v="2025-02-15T10:00:00"/>
    <d v="2025-02-15T16:52:00"/>
    <n v="410.09259259444661"/>
    <n v="40.810185182635905"/>
    <m/>
    <d v="2025-02-16T11:14:00"/>
    <d v="2025-02-16T14:33:00"/>
    <n v="194.85416666575475"/>
    <s v="found another truck at RD"/>
    <d v="2025-02-16T19:27:00"/>
    <d v="2025-02-16T20:21:00"/>
    <n v="52.87499999794818"/>
    <m/>
    <n v="1.1076388888905058"/>
    <n v="3"/>
    <n v="1.8923611111094942"/>
    <n v="26.583333333372138"/>
    <n v="12"/>
    <n v="14.583333333372138"/>
    <n v="10.697142857114393"/>
    <m/>
    <m/>
    <m/>
    <m/>
    <m/>
  </r>
  <r>
    <d v="2025-02-17T00:00:00"/>
    <x v="1"/>
    <m/>
    <s v="Z82655"/>
    <s v="Manual"/>
    <m/>
    <s v="UBR 537W"/>
    <s v="Rugoma Traders-Rukungiri"/>
    <n v="156"/>
    <s v="Z82655"/>
    <s v="OM"/>
    <n v="256"/>
    <n v="258"/>
    <n v="2"/>
    <m/>
    <d v="2025-02-15T15:51:00"/>
    <d v="2025-02-15T11:00:00"/>
    <d v="2025-02-15T16:34:00"/>
    <n v="332.45370370277669"/>
    <n v="42.80092592986572"/>
    <m/>
    <d v="2025-02-16T12:17:00"/>
    <d v="2025-02-16T15:57:00"/>
    <n v="215.41666666096717"/>
    <s v="Not enough casuals to offload"/>
    <d v="2025-02-16T18:18:00"/>
    <d v="2025-02-16T19:16:00"/>
    <n v="56.791666667122627"/>
    <m/>
    <n v="1.0722222222175333"/>
    <n v="2"/>
    <n v="0.92777777778246673"/>
    <n v="25.733333333220799"/>
    <n v="12"/>
    <n v="13.733333333220799"/>
    <n v="11.359223301063954"/>
    <m/>
    <m/>
    <m/>
    <m/>
    <m/>
  </r>
  <r>
    <d v="2025-02-17T00:00:00"/>
    <x v="1"/>
    <m/>
    <s v="A20758"/>
    <s v="Manual"/>
    <m/>
    <s v="UBR 868Y"/>
    <s v="Kato Investment Ltd -Mityana"/>
    <n v="156"/>
    <s v="A20758"/>
    <s v="OM"/>
    <n v="690"/>
    <n v="692"/>
    <n v="2"/>
    <m/>
    <d v="2025-02-15T10:02:00"/>
    <d v="2025-02-15T09:00:00"/>
    <d v="2025-02-15T10:44:00"/>
    <n v="103.51851852222656"/>
    <n v="41.805555556250816"/>
    <m/>
    <d v="2025-02-16T17:28:00"/>
    <d v="2025-02-16T20:06:00"/>
    <n v="154.70833333492919"/>
    <m/>
    <d v="2025-02-15T14:59:00"/>
    <d v="2025-02-15T15:57:00"/>
    <n v="56.791666667122627"/>
    <m/>
    <n v="0.17708333332848269"/>
    <n v="3"/>
    <n v="2.8229166666715173"/>
    <n v="4.2499999998835847"/>
    <n v="0"/>
    <n v="4.2499999998835847"/>
    <n v="36.70588235394662"/>
    <m/>
    <m/>
    <m/>
    <m/>
    <m/>
  </r>
  <r>
    <d v="2025-02-17T00:00:00"/>
    <x v="1"/>
    <m/>
    <s v="A20759"/>
    <s v="Manual"/>
    <m/>
    <s v="UBR 533W"/>
    <s v="Kato Investments Ltd- Kyegegwa"/>
    <n v="156"/>
    <s v="A20759"/>
    <s v="OM"/>
    <n v="600"/>
    <n v="602"/>
    <n v="2"/>
    <m/>
    <d v="2025-02-15T14:11:00"/>
    <d v="2025-02-15T04:14:00"/>
    <d v="2025-02-15T14:54:00"/>
    <n v="637.03703703819576"/>
    <n v="42.80092592986572"/>
    <m/>
    <d v="2025-02-15T09:41:00"/>
    <d v="2025-02-15T11:40:00"/>
    <n v="116.52083333356131"/>
    <m/>
    <d v="2025-02-15T16:39:00"/>
    <d v="2025-02-15T17:35:00"/>
    <n v="54.833333337664953"/>
    <m/>
    <n v="7.2916666664241347E-2"/>
    <n v="3"/>
    <n v="2.9270833333357587"/>
    <n v="1.7499999999417923"/>
    <n v="0"/>
    <n v="1.7499999999417923"/>
    <n v="89.142857145822177"/>
    <m/>
    <m/>
    <m/>
    <m/>
    <m/>
  </r>
  <r>
    <d v="2025-02-17T00:00:00"/>
    <x v="1"/>
    <m/>
    <s v="A20767"/>
    <s v="Manual"/>
    <s v="Matovu Musa"/>
    <s v="UBR 538W"/>
    <s v="Sawan Distributors Ltd-Nabingo"/>
    <n v="156"/>
    <s v="A20767"/>
    <s v="OM"/>
    <n v="560"/>
    <n v="558"/>
    <n v="-2"/>
    <m/>
    <d v="2025-02-14T14:13:00"/>
    <d v="2025-02-14T14:43:00"/>
    <d v="2025-02-14T14:54:00"/>
    <n v="10.949074078477375"/>
    <n v="40.810185182635905"/>
    <m/>
    <d v="2025-02-17T09:34:00"/>
    <d v="2025-02-17T12:26:00"/>
    <n v="168.41666666165111"/>
    <m/>
    <d v="2025-02-18T20:49:00"/>
    <d v="2025-02-18T21:47:00"/>
    <n v="56.791666667122627"/>
    <m/>
    <n v="4.2465277777737356"/>
    <n v="2"/>
    <n v="-2.2465277777737356"/>
    <n v="101.91666666656965"/>
    <n v="48"/>
    <n v="53.916666666569654"/>
    <n v="2.8933539412725939"/>
    <m/>
    <m/>
    <m/>
    <m/>
    <m/>
  </r>
  <r>
    <d v="2025-02-17T00:00:00"/>
    <x v="1"/>
    <m/>
    <s v="A20754"/>
    <s v="Manual"/>
    <s v="Kyakulaga James"/>
    <s v="UBJ 419C"/>
    <s v="Kato Investment Ltd -Mubende"/>
    <n v="156"/>
    <s v="A20754"/>
    <s v="OM"/>
    <n v="680"/>
    <n v="679"/>
    <n v="-1"/>
    <m/>
    <d v="2025-02-17T11:13:00"/>
    <d v="2025-02-17T11:38:00"/>
    <d v="2025-02-17T11:57:00"/>
    <n v="18.912037036110025"/>
    <n v="43.796296293051761"/>
    <m/>
    <d v="2025-02-17T17:04:00"/>
    <d v="2025-02-17T19:23:00"/>
    <n v="136.10416666917445"/>
    <m/>
    <d v="2025-02-19T12:25:00"/>
    <d v="2025-02-19T13:15:00"/>
    <n v="48.958333328773733"/>
    <m/>
    <n v="2.0194444444423425"/>
    <n v="3"/>
    <n v="0.9805555555576575"/>
    <n v="48.46666666661622"/>
    <n v="24"/>
    <n v="24.46666666661622"/>
    <n v="6.376021798378269"/>
    <m/>
    <m/>
    <m/>
    <m/>
    <m/>
  </r>
  <r>
    <d v="2025-02-17T00:00:00"/>
    <x v="1"/>
    <m/>
    <s v="A20753"/>
    <s v="Manual"/>
    <m/>
    <s v="UBR 903Y"/>
    <s v="KATO INVESTMENTS LTD-KATIKARA"/>
    <n v="156"/>
    <s v="A20753"/>
    <s v="OM"/>
    <n v="790"/>
    <n v="792"/>
    <n v="2"/>
    <m/>
    <d v="2025-02-16T09:54:00"/>
    <d v="2025-02-16T09:44:00"/>
    <d v="2025-02-16T10:38:00"/>
    <n v="53.749999997914223"/>
    <n v="43.796296293051761"/>
    <m/>
    <d v="2025-02-16T08:42:00"/>
    <d v="2025-02-16T14:22:00"/>
    <n v="332.91666666438687"/>
    <s v="slept at the RD and offloaded the next day"/>
    <d v="2025-02-17T09:40:00"/>
    <d v="2025-02-17T10:40:00"/>
    <n v="58.7499999965803"/>
    <m/>
    <n v="0.95972222222189885"/>
    <n v="2"/>
    <n v="1.0402777777781012"/>
    <n v="23.033333333325572"/>
    <n v="0"/>
    <n v="23.033333333325572"/>
    <n v="6.7727930535478684"/>
    <m/>
    <m/>
    <m/>
    <m/>
    <m/>
  </r>
  <r>
    <d v="2025-02-17T00:00:00"/>
    <x v="1"/>
    <m/>
    <s v="A20755"/>
    <s v="Manual"/>
    <s v="Faruk Abel"/>
    <s v="UBR 539W"/>
    <s v="Kato Investment Ltd -Mityana"/>
    <n v="156"/>
    <s v="A20755"/>
    <s v="OM"/>
    <n v="690"/>
    <n v="689"/>
    <n v="-1"/>
    <m/>
    <d v="2025-02-16T09:44:00"/>
    <d v="2025-02-16T10:13:00"/>
    <d v="2025-02-16T10:25:00"/>
    <n v="11.944444441663412"/>
    <n v="40.810185182635905"/>
    <m/>
    <d v="2025-02-16T15:30:00"/>
    <d v="2025-02-16T17:35:00"/>
    <n v="122.39583333219343"/>
    <m/>
    <d v="2025-02-17T21:47:00"/>
    <d v="2025-02-17T22:47:00"/>
    <n v="58.7499999965803"/>
    <m/>
    <n v="1.4736111111051287"/>
    <n v="3"/>
    <n v="1.5263888888948713"/>
    <n v="35.366666666523088"/>
    <n v="12"/>
    <n v="23.366666666523088"/>
    <n v="6.676176890197941"/>
    <m/>
    <m/>
    <m/>
    <m/>
    <m/>
  </r>
  <r>
    <d v="2025-02-17T00:00:00"/>
    <x v="1"/>
    <m/>
    <s v="A20770"/>
    <s v="Manual"/>
    <m/>
    <s v="UBG 084B"/>
    <s v="Kato Investment Ltd -Mityana"/>
    <n v="156"/>
    <s v="A20770"/>
    <s v="OM"/>
    <n v="690"/>
    <n v="688"/>
    <n v="-2"/>
    <m/>
    <d v="2025-02-16T08:31:00"/>
    <d v="2025-02-16T07:59:00"/>
    <d v="2025-02-16T09:34:00"/>
    <n v="94.560185180550135"/>
    <n v="62.708333329161782"/>
    <s v="Pre-Trip inspection defect closure"/>
    <d v="2025-02-18T10:12:00"/>
    <d v="2025-02-18T12:44:00"/>
    <n v="148.83333332603797"/>
    <m/>
    <d v="2025-02-17T10:58:00"/>
    <d v="2025-02-17T11:54:00"/>
    <n v="54.833333337664953"/>
    <m/>
    <n v="1.0583333333343035"/>
    <n v="2"/>
    <n v="0.94166666666569654"/>
    <n v="25.400000000023283"/>
    <n v="12"/>
    <n v="13.400000000023283"/>
    <n v="11.641791044755891"/>
    <m/>
    <m/>
    <m/>
    <m/>
    <m/>
  </r>
  <r>
    <d v="2025-02-17T00:00:00"/>
    <x v="1"/>
    <m/>
    <s v="A20757"/>
    <s v="Manual"/>
    <s v="kayanja Sam"/>
    <s v="UBF 379L"/>
    <s v="Kato Investment Ltd -Mubende"/>
    <n v="156"/>
    <s v="A20757"/>
    <s v="OM"/>
    <n v="680"/>
    <n v="678"/>
    <n v="-2"/>
    <m/>
    <d v="2025-02-15T11:52:00"/>
    <d v="2025-02-15T12:13:00"/>
    <d v="2025-02-15T12:36:00"/>
    <n v="22.893518520140788"/>
    <n v="43.796296293051761"/>
    <m/>
    <d v="2025-02-17T13:02:00"/>
    <d v="2025-02-17T16:11:00"/>
    <n v="185.06249999794818"/>
    <s v="Waited for empties from trade"/>
    <d v="2025-02-19T12:32:00"/>
    <d v="2025-02-19T13:25:00"/>
    <n v="51.895833338348893"/>
    <m/>
    <n v="3.9972222222204437"/>
    <n v="2"/>
    <n v="-1.9972222222204437"/>
    <n v="95.933333333290648"/>
    <n v="36"/>
    <n v="59.933333333290648"/>
    <n v="2.6028921023377825"/>
    <m/>
    <m/>
    <m/>
    <m/>
    <m/>
  </r>
  <r>
    <d v="2025-02-17T00:00:00"/>
    <x v="1"/>
    <m/>
    <s v="A20773"/>
    <s v="Manual"/>
    <s v="Mulumba Kasim"/>
    <s v="UBE 680K"/>
    <s v="Ntale and Sons Ltd-Kakiri"/>
    <n v="156"/>
    <s v="A20773"/>
    <s v="OM"/>
    <n v="620"/>
    <n v="622"/>
    <n v="2"/>
    <m/>
    <d v="2025-02-17T11:13:00"/>
    <d v="2025-02-16T02:22:00"/>
    <d v="2025-02-17T11:57:00"/>
    <n v="2005.6712962951376"/>
    <n v="43.796296293051761"/>
    <m/>
    <d v="2025-02-17T12:01:00"/>
    <d v="2025-02-17T15:50:00"/>
    <n v="224.22916665891535"/>
    <s v="Reached late and offloaded the next day"/>
    <d v="2025-02-17T18:38:00"/>
    <d v="2025-02-17T19:38:00"/>
    <n v="58.7499999965803"/>
    <m/>
    <n v="0.27847222222044365"/>
    <n v="3"/>
    <n v="2.7215277777795563"/>
    <n v="6.6833333332906477"/>
    <n v="0"/>
    <n v="6.6833333332906477"/>
    <n v="23.341645885435863"/>
    <m/>
    <m/>
    <m/>
    <m/>
    <m/>
  </r>
  <r>
    <d v="2025-02-17T00:00:00"/>
    <x v="1"/>
    <m/>
    <s v="Z82657"/>
    <s v="Manual"/>
    <s v="Byanshala Stoney"/>
    <s v="UBP 312H"/>
    <s v="Kobusinge Acaali- Kyenjojo"/>
    <n v="156"/>
    <s v="Z82657"/>
    <s v="OM"/>
    <n v="580"/>
    <n v="581"/>
    <n v="1"/>
    <m/>
    <d v="2025-02-16T21:08:00"/>
    <d v="2025-02-16T16:14:00"/>
    <d v="2025-02-16T21:51:00"/>
    <n v="335.43981481319253"/>
    <n v="42.80092592986572"/>
    <m/>
    <d v="2025-02-16T12:13:00"/>
    <d v="2025-02-16T16:38:00"/>
    <n v="259.47916667122627"/>
    <s v="Waited for empties from trade"/>
    <d v="2025-02-17T11:53:00"/>
    <d v="2025-02-17T12:51:00"/>
    <n v="56.791666667122627"/>
    <m/>
    <n v="0.58472222222189885"/>
    <n v="2"/>
    <n v="1.4152777777781012"/>
    <n v="14.033333333325572"/>
    <n v="0"/>
    <n v="14.033333333325572"/>
    <n v="11.116389548699734"/>
    <m/>
    <m/>
    <m/>
    <m/>
    <m/>
  </r>
  <r>
    <d v="2025-02-17T00:00:00"/>
    <x v="1"/>
    <m/>
    <s v="OMBA7HPRR"/>
    <s v="DJ"/>
    <s v="Bisaso  Ronald"/>
    <s v="UBK 875R"/>
    <s v="Rugoma Traders-Kanungu/Kihihi "/>
    <n v="153.6"/>
    <s v="OMBA7HPRR"/>
    <s v="OM"/>
    <n v="414"/>
    <n v="413"/>
    <n v="-1"/>
    <m/>
    <d v="2025-02-19T10:48:00"/>
    <d v="2025-02-19T11:16:00"/>
    <d v="2025-02-19T11:32:00"/>
    <n v="15.925925925694173"/>
    <n v="43.796296293051761"/>
    <m/>
    <d v="2025-02-17T19:05:00"/>
    <d v="2025-02-18T10:21:00"/>
    <n v="896.91666666643869"/>
    <s v="Waited for empties from trade"/>
    <d v="2025-02-20T07:09:00"/>
    <d v="2025-02-20T08:06:00"/>
    <n v="55.81249999726424"/>
    <m/>
    <n v="0.81736111111240461"/>
    <n v="2"/>
    <n v="1.1826388888875954"/>
    <n v="19.616666666697711"/>
    <n v="0"/>
    <n v="19.616666666697711"/>
    <n v="7.8300764655780926"/>
    <m/>
    <m/>
    <m/>
    <m/>
    <m/>
  </r>
  <r>
    <d v="2025-02-17T00:00:00"/>
    <x v="1"/>
    <m/>
    <s v="OMUK22WRR"/>
    <s v="DJ"/>
    <s v="Luyaga Isaac"/>
    <s v="UAY 265V"/>
    <s v="Ntale and Sons"/>
    <n v="153.6"/>
    <s v="OMUK22WRR"/>
    <s v="OM"/>
    <n v="810"/>
    <n v="812"/>
    <n v="2"/>
    <m/>
    <d v="2025-02-16T13:10:00"/>
    <d v="2025-02-16T13:19:00"/>
    <d v="2025-02-16T13:53:00"/>
    <n v="33.842592588189291"/>
    <n v="42.80092592986572"/>
    <m/>
    <d v="2025-02-17T14:40:00"/>
    <d v="2025-02-17T17:53:00"/>
    <n v="188.97916666712263"/>
    <s v="Waited for empties from trade"/>
    <d v="2025-02-18T16:14:00"/>
    <d v="2025-02-18T17:02:00"/>
    <n v="46.99999999931606"/>
    <m/>
    <n v="2.0979166666656965"/>
    <n v="3"/>
    <n v="0.90208333333430346"/>
    <n v="50.349999999976717"/>
    <n v="24"/>
    <n v="26.349999999976717"/>
    <n v="5.8292220113903497"/>
    <m/>
    <m/>
    <m/>
    <m/>
    <m/>
  </r>
  <r>
    <d v="2025-02-17T00:00:00"/>
    <x v="1"/>
    <m/>
    <s v="OMCBKQ0RR"/>
    <s v="DJ"/>
    <s v="Benon Ssempijja"/>
    <s v="UAY 526V"/>
    <s v="KATO INVESTMENTS LIMITED-MASAK"/>
    <n v="153.6"/>
    <s v="OMCBKQ0RR"/>
    <s v="OM"/>
    <n v="298"/>
    <n v="300"/>
    <n v="2"/>
    <m/>
    <d v="2025-02-17T06:44:00"/>
    <d v="2025-02-17T06:34:00"/>
    <d v="2025-02-17T07:25:00"/>
    <n v="50.763888887498375"/>
    <n v="40.810185182635905"/>
    <m/>
    <d v="2025-02-18T11:05:00"/>
    <d v="2025-02-18T13:06:00"/>
    <n v="118.47916666301899"/>
    <m/>
    <d v="2025-02-18T14:03:00"/>
    <d v="2025-02-18T15:00:00"/>
    <n v="55.81249999726424"/>
    <m/>
    <n v="1.2763888888875954"/>
    <n v="2"/>
    <n v="0.72361111111240461"/>
    <n v="30.633333333302289"/>
    <n v="12"/>
    <n v="18.633333333302289"/>
    <n v="8.2432915921425352"/>
    <m/>
    <m/>
    <m/>
    <m/>
    <m/>
  </r>
  <r>
    <d v="2025-02-17T00:00:00"/>
    <x v="1"/>
    <m/>
    <s v="OMFVAXKRR"/>
    <s v="DJ"/>
    <s v="Stephen Musoke "/>
    <s v="UBJ 375N"/>
    <s v="Ntale and Sons"/>
    <n v="153.6"/>
    <s v="OMFVAXKRR"/>
    <s v="OM"/>
    <n v="810"/>
    <n v="807"/>
    <n v="-3"/>
    <m/>
    <d v="2025-02-16T21:30:00"/>
    <d v="2025-02-16T21:18:00"/>
    <d v="2025-02-16T22:13:00"/>
    <n v="54.745370371529134"/>
    <n v="42.80092592986572"/>
    <m/>
    <d v="2025-02-17T15:35:00"/>
    <d v="2025-02-17T19:50:00"/>
    <n v="249.6875000034197"/>
    <s v="slept at the RD and offloaded the next day"/>
    <d v="2025-02-17T15:37:00"/>
    <d v="2025-02-17T16:28:00"/>
    <n v="49.93749999863212"/>
    <m/>
    <n v="0.72499999999854481"/>
    <n v="2"/>
    <n v="1.2750000000014552"/>
    <n v="17.399999999965075"/>
    <n v="0"/>
    <n v="17.399999999965075"/>
    <n v="8.827586206914269"/>
    <m/>
    <m/>
    <m/>
    <m/>
    <m/>
  </r>
  <r>
    <d v="2025-02-17T00:00:00"/>
    <x v="1"/>
    <m/>
    <s v="OMLLIGXRR"/>
    <s v="DJ"/>
    <s v="Isaac Tumuhimbise"/>
    <s v="UBE 287X"/>
    <s v="Kato Investment Ltd -Mubende "/>
    <n v="153.6"/>
    <s v="OMLLIGXRR"/>
    <s v="OM"/>
    <n v="680"/>
    <n v="682"/>
    <n v="2"/>
    <m/>
    <d v="2025-02-16T21:13:00"/>
    <d v="2025-02-16T20:25:00"/>
    <d v="2025-02-16T21:56:00"/>
    <n v="90.578703706948247"/>
    <n v="42.80092592986572"/>
    <m/>
    <d v="2025-02-19T13:23:00"/>
    <d v="2025-02-19T15:27:00"/>
    <n v="121.41666667259415"/>
    <m/>
    <d v="2025-02-19T16:24:00"/>
    <d v="2025-02-19T17:34:00"/>
    <n v="68.541666664386867"/>
    <s v="pre trip inspections"/>
    <n v="2.7694444444423425"/>
    <n v="2"/>
    <n v="-0.7694444444423425"/>
    <n v="66.46666666661622"/>
    <n v="24"/>
    <n v="42.46666666661622"/>
    <n v="3.6169544741016275"/>
    <m/>
    <m/>
    <m/>
    <m/>
    <m/>
  </r>
  <r>
    <d v="2025-02-18T00:00:00"/>
    <x v="1"/>
    <m/>
    <s v="Z82674"/>
    <s v="Manual"/>
    <m/>
    <s v="UBR 534W"/>
    <s v="Kabaco U Ltd "/>
    <n v="148.80000000000001"/>
    <s v="Z82674"/>
    <s v="OM"/>
    <n v="320"/>
    <n v="319"/>
    <n v="-1"/>
    <m/>
    <d v="2025-02-16T17:42:00"/>
    <d v="2025-02-16T18:00:00"/>
    <d v="2025-02-16T18:23:00"/>
    <n v="22.893518520140788"/>
    <n v="40.810185182635905"/>
    <m/>
    <d v="2025-02-17T08:54:00"/>
    <d v="2025-02-17T12:57:00"/>
    <n v="237.93749999589636"/>
    <s v="found another truck to be offloaded"/>
    <d v="2025-02-19T16:24:00"/>
    <d v="2025-02-19T17:21:00"/>
    <n v="55.81249999726424"/>
    <m/>
    <n v="2.9173611111109494"/>
    <n v="2"/>
    <n v="-0.91736111111094942"/>
    <n v="70.016666666662786"/>
    <n v="24"/>
    <n v="46.016666666662786"/>
    <n v="3.2336110105037137"/>
    <m/>
    <m/>
    <m/>
    <m/>
    <m/>
  </r>
  <r>
    <d v="2025-02-18T00:00:00"/>
    <x v="1"/>
    <m/>
    <s v="A20806"/>
    <s v="Manual"/>
    <s v="Eriku Alipa"/>
    <s v="UBK 858R"/>
    <s v="Kato Investments Ltd- Kakumiro"/>
    <n v="43.2"/>
    <s v="A20806"/>
    <s v="OM"/>
    <n v="790"/>
    <n v="792"/>
    <n v="2"/>
    <m/>
    <d v="2025-02-16T20:05:00"/>
    <d v="2025-02-16T20:30:00"/>
    <d v="2025-02-16T20:49:00"/>
    <n v="18.912037036110025"/>
    <n v="43.796296293051761"/>
    <m/>
    <d v="2025-02-17T14:46:00"/>
    <d v="2025-02-17T16:53:00"/>
    <n v="124.35416667191021"/>
    <m/>
    <d v="2025-02-19T11:43:00"/>
    <d v="2025-02-19T12:39:00"/>
    <n v="54.833333337664953"/>
    <m/>
    <n v="2.6208333333343035"/>
    <n v="3"/>
    <n v="0.37916666666569654"/>
    <n v="62.900000000023283"/>
    <n v="24"/>
    <n v="38.900000000023283"/>
    <n v="1.11053984575769"/>
    <m/>
    <m/>
    <m/>
    <m/>
    <m/>
  </r>
  <r>
    <d v="2025-02-18T00:00:00"/>
    <x v="1"/>
    <m/>
    <s v="A20804"/>
    <s v="Manual"/>
    <m/>
    <s v="UBR 903Y"/>
    <s v="KATO INVESTMENTS LTD-KATIKARA"/>
    <n v="156"/>
    <s v="A20804"/>
    <s v="OM"/>
    <n v="790"/>
    <n v="792"/>
    <n v="2"/>
    <m/>
    <d v="2025-02-16T20:30:00"/>
    <d v="2025-02-16T21:02:00"/>
    <d v="2025-02-16T21:13:00"/>
    <n v="10.949074078477375"/>
    <n v="42.80092592986572"/>
    <m/>
    <d v="2025-02-18T12:28:00"/>
    <d v="2025-02-18T14:35:00"/>
    <n v="124.35416667191021"/>
    <m/>
    <d v="2025-02-17T16:17:00"/>
    <d v="2025-02-17T17:08:00"/>
    <n v="49.93749999863212"/>
    <m/>
    <n v="0.79444444444379769"/>
    <n v="3"/>
    <n v="2.2055555555562023"/>
    <n v="19.066666666651145"/>
    <n v="0"/>
    <n v="19.066666666651145"/>
    <n v="8.181818181824843"/>
    <m/>
    <m/>
    <m/>
    <m/>
    <m/>
  </r>
  <r>
    <d v="2025-02-18T00:00:00"/>
    <x v="1"/>
    <m/>
    <s v="A20807"/>
    <s v="Manual"/>
    <s v="Ngobi Fred"/>
    <s v="UBK 866R"/>
    <s v="Kato Investment Ltd -Mityana"/>
    <n v="156"/>
    <s v="A20807"/>
    <s v="OM"/>
    <n v="690"/>
    <n v="692"/>
    <n v="2"/>
    <m/>
    <d v="2025-02-17T10:22:00"/>
    <d v="2025-02-17T09:44:00"/>
    <d v="2025-02-17T11:06:00"/>
    <n v="81.62037036527181"/>
    <n v="43.796296293051761"/>
    <m/>
    <d v="2025-02-18T09:57:00"/>
    <d v="2025-02-18T14:44:00"/>
    <n v="281.02083333629707"/>
    <s v="Waited for empties from trade"/>
    <d v="2025-02-19T09:47:00"/>
    <d v="2025-02-19T10:44:00"/>
    <n v="55.81249999726424"/>
    <m/>
    <n v="1.945138888884685"/>
    <n v="3"/>
    <n v="1.054861111115315"/>
    <n v="46.68333333323244"/>
    <n v="12"/>
    <n v="34.68333333323244"/>
    <n v="4.4978375781005422"/>
    <m/>
    <m/>
    <m/>
    <m/>
    <m/>
  </r>
  <r>
    <d v="2025-02-18T00:00:00"/>
    <x v="1"/>
    <m/>
    <s v="Z82676"/>
    <s v="Manual"/>
    <s v="Tsaale Hassan"/>
    <s v="UBJ 703D"/>
    <s v="Kobusinge Steven-FPortal"/>
    <n v="148.80000000000001"/>
    <s v="Z82676"/>
    <s v="OM"/>
    <n v="304"/>
    <n v="302"/>
    <n v="-2"/>
    <m/>
    <d v="2025-02-17T08:00:00"/>
    <d v="2025-02-17T08:53:00"/>
    <d v="2025-02-17T09:01:00"/>
    <n v="7.9629629680615226"/>
    <n v="60.717592592360838"/>
    <s v="Pre-Trip inspection defect closure"/>
    <d v="2025-02-17T08:38:00"/>
    <d v="2025-02-17T13:38:00"/>
    <n v="293.7500000034197"/>
    <s v="Waited for empties from trade"/>
    <d v="2025-02-20T07:09:00"/>
    <d v="2025-02-20T08:05:00"/>
    <n v="54.833333337664953"/>
    <m/>
    <n v="2.922222222223354"/>
    <n v="2"/>
    <n v="-0.92222222222335404"/>
    <n v="70.133333333360497"/>
    <n v="24"/>
    <n v="46.133333333360497"/>
    <n v="3.2254335260096618"/>
    <m/>
    <m/>
    <m/>
    <m/>
    <m/>
  </r>
  <r>
    <d v="2025-02-18T00:00:00"/>
    <x v="1"/>
    <m/>
    <s v="Z82677"/>
    <s v="Manual"/>
    <s v="ZIWA ABASI"/>
    <s v="UBJ 420C"/>
    <s v="Bates Enterprises Ltd-Ntoroko"/>
    <n v="56"/>
    <s v="Z82677"/>
    <s v="OM"/>
    <n v="464"/>
    <n v="463"/>
    <n v="-1"/>
    <m/>
    <d v="2025-02-16T22:08:00"/>
    <d v="2025-02-16T22:29:00"/>
    <d v="2025-02-16T22:52:00"/>
    <n v="22.893518520140788"/>
    <n v="43.796296293051761"/>
    <m/>
    <d v="2025-02-17T16:57:00"/>
    <d v="2025-02-17T19:51:00"/>
    <n v="170.37500000136788"/>
    <m/>
    <d v="2025-02-20T07:09:00"/>
    <d v="2025-02-20T08:25:00"/>
    <n v="74.416666663018987"/>
    <s v="fueling delays"/>
    <n v="3.3451388888934162"/>
    <n v="3"/>
    <n v="-0.34513888889341615"/>
    <n v="80.283333333441988"/>
    <n v="36"/>
    <n v="44.283333333441988"/>
    <n v="1.2645841174225652"/>
    <m/>
    <m/>
    <m/>
    <m/>
    <m/>
  </r>
  <r>
    <d v="2025-02-18T00:00:00"/>
    <x v="1"/>
    <m/>
    <s v="A20808"/>
    <s v="Manual"/>
    <s v="Ikwalikwa Yusuf"/>
    <s v="UBP 311H"/>
    <s v="Ntale and Sons Ltd-Kakiri"/>
    <n v="156"/>
    <s v="A20808"/>
    <s v="OM"/>
    <n v="620"/>
    <n v="619"/>
    <n v="-1"/>
    <m/>
    <d v="2025-02-18T09:46:00"/>
    <d v="2025-02-18T10:06:00"/>
    <d v="2025-02-18T10:29:00"/>
    <n v="22.893518520140788"/>
    <n v="42.80092592986572"/>
    <m/>
    <d v="2025-02-17T09:23:00"/>
    <d v="2025-02-17T12:12:00"/>
    <n v="165.47916666233505"/>
    <m/>
    <d v="2025-02-18T14:03:00"/>
    <d v="2025-02-18T14:54:00"/>
    <n v="49.93749999863212"/>
    <m/>
    <n v="0.148611111115315"/>
    <n v="2"/>
    <n v="1.851388888884685"/>
    <n v="3.5666666667675599"/>
    <n v="0"/>
    <n v="3.5666666667675599"/>
    <n v="43.73831775577208"/>
    <m/>
    <m/>
    <m/>
    <m/>
    <m/>
  </r>
  <r>
    <d v="2025-02-18T00:00:00"/>
    <x v="1"/>
    <m/>
    <s v="A20799"/>
    <s v="Manual"/>
    <s v="Ntumwa Solomon"/>
    <s v="UBR 540W"/>
    <s v="Ntale and Sons Ltd-Kakiri"/>
    <n v="156"/>
    <s v="A20799"/>
    <s v="OM"/>
    <n v="620"/>
    <n v="617"/>
    <n v="-3"/>
    <m/>
    <d v="2025-02-18T07:44:00"/>
    <d v="2025-02-18T08:05:00"/>
    <d v="2025-02-18T08:28:00"/>
    <n v="22.893518520140788"/>
    <n v="43.796296293051761"/>
    <m/>
    <d v="2025-02-17T19:05:00"/>
    <d v="2025-02-18T10:21:00"/>
    <n v="896.91666666643869"/>
    <s v="less casuals and offloaded the next day"/>
    <d v="2025-02-18T15:37:00"/>
    <d v="2025-02-18T16:28:00"/>
    <n v="49.93749999863212"/>
    <m/>
    <n v="0.29791666666278616"/>
    <n v="3"/>
    <n v="2.7020833333372138"/>
    <n v="7.1499999999068677"/>
    <n v="0"/>
    <n v="7.1499999999068677"/>
    <n v="21.818181818466012"/>
    <m/>
    <m/>
    <m/>
    <m/>
    <m/>
  </r>
  <r>
    <d v="2025-02-18T00:00:00"/>
    <x v="1"/>
    <m/>
    <s v="A20798"/>
    <s v="Manual"/>
    <s v="kakembo Masudi"/>
    <s v="UBM 644D"/>
    <s v="Sawan Distributors Ltd-Nabingo"/>
    <n v="148.80000000000001"/>
    <s v="A20798"/>
    <s v="OM"/>
    <n v="560"/>
    <n v="562"/>
    <n v="2"/>
    <m/>
    <d v="2025-02-18T08:27:00"/>
    <d v="2025-02-18T08:35:00"/>
    <d v="2025-02-18T09:10:00"/>
    <n v="34.837962961804202"/>
    <n v="42.80092592986572"/>
    <m/>
    <d v="2025-02-18T10:10:00"/>
    <d v="2025-02-18T12:57:00"/>
    <n v="163.52083333287737"/>
    <m/>
    <d v="2025-02-19T16:24:00"/>
    <d v="2025-02-19T17:12:00"/>
    <n v="46.99999999931606"/>
    <m/>
    <n v="1.3013888888890506"/>
    <n v="2"/>
    <n v="0.69861111111094942"/>
    <n v="31.233333333337214"/>
    <n v="12"/>
    <n v="19.233333333337214"/>
    <n v="7.7365684575374347"/>
    <m/>
    <m/>
    <m/>
    <m/>
    <m/>
  </r>
  <r>
    <d v="2025-02-18T00:00:00"/>
    <x v="1"/>
    <m/>
    <s v="A20778"/>
    <s v="Manual"/>
    <s v="Mudunga Musa"/>
    <s v="UBE 678K"/>
    <s v="Sawan Distributors Ltd-Kayabwe"/>
    <n v="148.80000000000001"/>
    <s v="A20778"/>
    <s v="OM"/>
    <n v="382"/>
    <n v="384"/>
    <n v="2"/>
    <m/>
    <d v="2025-02-18T10:06:00"/>
    <d v="2025-02-18T10:27:00"/>
    <d v="2025-02-18T10:48:00"/>
    <n v="20.902777772910969"/>
    <n v="41.805555556250816"/>
    <m/>
    <d v="2025-02-18T11:05:00"/>
    <d v="2025-02-18T13:06:00"/>
    <n v="118.47916666301899"/>
    <m/>
    <d v="2025-02-19T11:43:00"/>
    <d v="2025-02-19T12:40:00"/>
    <n v="55.81249999726424"/>
    <m/>
    <n v="1.0381944444452529"/>
    <n v="2"/>
    <n v="0.96180555555474712"/>
    <n v="24.916666666686069"/>
    <n v="12"/>
    <n v="12.916666666686069"/>
    <n v="11.519999999982696"/>
    <m/>
    <m/>
    <m/>
    <m/>
    <m/>
  </r>
  <r>
    <d v="2025-02-18T00:00:00"/>
    <x v="1"/>
    <m/>
    <s v="OM5OK06RR"/>
    <s v="DJ"/>
    <s v="Jacob Oneka"/>
    <s v="UBE 422T"/>
    <s v="Kabaco U Ltd-Mbarara "/>
    <n v="153.6"/>
    <s v="OM5OK06RR"/>
    <s v="OM"/>
    <n v="20"/>
    <n v="21"/>
    <n v="1"/>
    <m/>
    <d v="2025-02-17T14:04:00"/>
    <d v="2025-02-17T13:52:00"/>
    <d v="2025-02-17T14:47:00"/>
    <n v="54.745370371529134"/>
    <n v="42.80092592986572"/>
    <m/>
    <d v="2025-02-17T14:46:00"/>
    <d v="2025-02-17T16:53:00"/>
    <n v="124.35416667191021"/>
    <m/>
    <d v="2025-02-18T14:03:00"/>
    <d v="2025-02-18T14:59:00"/>
    <n v="54.833333337664953"/>
    <m/>
    <n v="0.96944444444670808"/>
    <n v="2"/>
    <n v="1.0305555555532919"/>
    <n v="23.266666666720994"/>
    <n v="0"/>
    <n v="23.266666666720994"/>
    <n v="6.6017191976923213"/>
    <m/>
    <m/>
    <m/>
    <m/>
    <m/>
  </r>
  <r>
    <d v="2025-02-18T00:00:00"/>
    <x v="1"/>
    <m/>
    <s v="OM9TWHKRR"/>
    <s v="DJ"/>
    <s v="Benon Ssempijja"/>
    <s v="UAY 526V"/>
    <s v="Ntale and Sons"/>
    <n v="153.6"/>
    <s v="OM9TWHKRR"/>
    <s v="OM"/>
    <n v="810"/>
    <n v="809"/>
    <n v="-1"/>
    <m/>
    <d v="2025-02-17T12:58:00"/>
    <d v="2025-02-17T13:20:00"/>
    <d v="2025-02-17T13:39:00"/>
    <n v="18.912037036110025"/>
    <n v="40.810185182635905"/>
    <m/>
    <d v="2025-02-18T12:28:00"/>
    <d v="2025-02-18T14:35:00"/>
    <n v="124.35416667191021"/>
    <m/>
    <d v="2025-02-17T15:37:00"/>
    <d v="2025-02-17T16:28:00"/>
    <n v="49.93749999863212"/>
    <m/>
    <n v="8.1944444442342501E-2"/>
    <n v="3"/>
    <n v="2.9180555555576575"/>
    <n v="1.96666666661622"/>
    <n v="0"/>
    <n v="1.96666666661622"/>
    <n v="78.101694917257603"/>
    <m/>
    <m/>
    <m/>
    <m/>
    <m/>
  </r>
  <r>
    <d v="2025-02-18T00:00:00"/>
    <x v="1"/>
    <m/>
    <s v="OMBHUVNRR"/>
    <s v="DJ"/>
    <s v="Kabene John"/>
    <s v="UBA 523T"/>
    <s v="Ntale and Sons"/>
    <n v="153.6"/>
    <s v="OMBHUVNRR"/>
    <s v="OM"/>
    <n v="810"/>
    <n v="809"/>
    <n v="-1"/>
    <m/>
    <d v="2025-02-17T13:19:00"/>
    <d v="2025-02-17T13:46:00"/>
    <d v="2025-02-17T14:00:00"/>
    <n v="13.935185188893229"/>
    <n v="40.810185182635905"/>
    <m/>
    <d v="2025-02-18T09:57:00"/>
    <d v="2025-02-18T14:44:00"/>
    <n v="281.02083333629707"/>
    <s v="space consquents"/>
    <d v="2025-02-19T16:24:00"/>
    <d v="2025-02-19T17:21:00"/>
    <n v="55.81249999726424"/>
    <m/>
    <n v="2.0999999999985448"/>
    <n v="2"/>
    <n v="-9.9999999998544808E-2"/>
    <n v="50.399999999965075"/>
    <n v="24"/>
    <n v="26.399999999965075"/>
    <n v="5.8181818181895144"/>
    <m/>
    <m/>
    <m/>
    <m/>
    <m/>
  </r>
  <r>
    <d v="2025-02-18T00:00:00"/>
    <x v="1"/>
    <m/>
    <s v="OMFNWCZRR"/>
    <s v="DJ"/>
    <s v="SENTONG DAVID"/>
    <s v="UBP 298H"/>
    <s v="Kato Investment Ltd -Mubende "/>
    <n v="156"/>
    <s v="OMFNWCZRR"/>
    <s v="OM"/>
    <n v="680"/>
    <n v="679"/>
    <n v="-1"/>
    <m/>
    <d v="2025-02-18T18:14:00"/>
    <d v="2025-02-18T18:27:00"/>
    <d v="2025-02-18T18:55:00"/>
    <n v="27.870370367357584"/>
    <n v="40.810185182635905"/>
    <m/>
    <d v="2025-02-19T11:40:00"/>
    <d v="2025-02-19T14:41:00"/>
    <n v="177.22916666985839"/>
    <m/>
    <d v="2025-02-19T16:24:00"/>
    <d v="2025-02-19T17:21:00"/>
    <n v="55.81249999726424"/>
    <m/>
    <n v="0.89513888888905058"/>
    <n v="3"/>
    <n v="2.1048611111109494"/>
    <n v="21.483333333337214"/>
    <n v="0"/>
    <n v="21.483333333337214"/>
    <n v="7.2614429790522186"/>
    <m/>
    <m/>
    <m/>
    <m/>
    <m/>
  </r>
  <r>
    <d v="2025-02-18T00:00:00"/>
    <x v="1"/>
    <m/>
    <s v="OMV95IBRR"/>
    <s v="DJ"/>
    <s v="Kilabila Ismail"/>
    <s v="UBE 419T"/>
    <s v="KATO INVESTMENTS LIMITED-MASAK "/>
    <n v="153.6"/>
    <s v="OMV95IBRR"/>
    <s v="OM"/>
    <n v="298"/>
    <n v="295"/>
    <n v="-3"/>
    <m/>
    <d v="2025-02-18T17:23:00"/>
    <d v="2025-02-18T17:45:00"/>
    <d v="2025-02-18T18:06:00"/>
    <n v="20.902777772910969"/>
    <n v="42.80092592986572"/>
    <m/>
    <d v="2025-02-17T08:38:00"/>
    <d v="2025-02-17T13:38:00"/>
    <n v="293.7500000034197"/>
    <s v="less casuals and offloaded the next day"/>
    <d v="2025-02-19T11:43:00"/>
    <d v="2025-02-19T12:37:00"/>
    <n v="52.87499999794818"/>
    <m/>
    <n v="0.73402777777664596"/>
    <n v="2"/>
    <n v="1.265972222223354"/>
    <n v="17.616666666639503"/>
    <n v="0"/>
    <n v="17.616666666639503"/>
    <n v="8.7190160832679382"/>
    <m/>
    <m/>
    <m/>
    <m/>
    <m/>
  </r>
  <r>
    <d v="2025-02-18T00:00:00"/>
    <x v="1"/>
    <m/>
    <s v="OMAIDXSRR"/>
    <s v="DJ"/>
    <s v="Luyaga Isaac"/>
    <s v="UAY 265V"/>
    <s v="KATO INVESTMENTS LTD- KALISIZO "/>
    <n v="153.6"/>
    <s v="OMAIDXSRR"/>
    <s v="OM"/>
    <n v="350"/>
    <n v="351"/>
    <n v="1"/>
    <m/>
    <d v="2025-02-17T20:32:00"/>
    <d v="2025-02-17T10:00:00"/>
    <d v="2025-02-17T21:13:00"/>
    <n v="669.88425926319906"/>
    <n v="40.810185182635905"/>
    <m/>
    <d v="2025-02-17T08:38:00"/>
    <d v="2025-02-17T13:38:00"/>
    <n v="293.7500000034197"/>
    <s v="found another truck at the RD and offloaded the next day"/>
    <d v="2025-02-18T16:17:00"/>
    <d v="2025-02-18T17:33:00"/>
    <n v="74.416666663018987"/>
    <s v="pre trip inspections"/>
    <n v="0.79444444444379769"/>
    <n v="2"/>
    <n v="1.2055555555562023"/>
    <n v="19.066666666651145"/>
    <n v="0"/>
    <n v="19.066666666651145"/>
    <n v="8.0559440559506132"/>
    <m/>
    <m/>
    <m/>
    <m/>
    <m/>
  </r>
  <r>
    <d v="2025-02-19T00:00:00"/>
    <x v="1"/>
    <m/>
    <s v="A20819"/>
    <s v="Manual"/>
    <s v="Lule Fred"/>
    <s v="UBP 310H"/>
    <s v="Kato Investment Ltd -Mubende"/>
    <n v="156"/>
    <s v="A20819"/>
    <s v="OM"/>
    <n v="680"/>
    <n v="682"/>
    <n v="2"/>
    <m/>
    <d v="2025-02-17T17:35:00"/>
    <d v="2025-02-17T18:07:00"/>
    <d v="2025-02-17T18:19:00"/>
    <n v="11.944444441663412"/>
    <n v="43.796296293051761"/>
    <m/>
    <d v="2025-02-18T09:26:00"/>
    <d v="2025-02-18T13:02:00"/>
    <n v="211.50000000205182"/>
    <s v="Reached late and offloaded the next day"/>
    <d v="2025-02-19T07:26:00"/>
    <d v="2025-02-19T08:17:00"/>
    <n v="49.93749999863212"/>
    <m/>
    <n v="1.546527777776646"/>
    <n v="2"/>
    <n v="0.45347222222335404"/>
    <n v="37.116666666639503"/>
    <n v="12"/>
    <n v="25.116666666639503"/>
    <n v="6.2110152621168702"/>
    <m/>
    <m/>
    <m/>
    <m/>
    <m/>
  </r>
  <r>
    <d v="2025-02-19T00:00:00"/>
    <x v="1"/>
    <m/>
    <s v="Z82686"/>
    <s v="Manual"/>
    <m/>
    <s v="UBR 533W"/>
    <s v="Kobusinge Steven-FPortal"/>
    <n v="156"/>
    <s v="Z82686"/>
    <s v="OM"/>
    <n v="304"/>
    <n v="302"/>
    <n v="-2"/>
    <m/>
    <d v="2025-02-17T20:28:00"/>
    <d v="2025-02-17T20:50:00"/>
    <d v="2025-02-17T21:11:00"/>
    <n v="20.902777772910969"/>
    <n v="42.80092592986572"/>
    <m/>
    <d v="2025-02-18T11:43:00"/>
    <d v="2025-02-18T14:53:00"/>
    <n v="186.04166666780657"/>
    <s v="truck faulty"/>
    <d v="2025-02-21T13:00:00"/>
    <d v="2025-02-21T13:48:00"/>
    <n v="46.99999999931606"/>
    <m/>
    <n v="3.6590277777722804"/>
    <n v="2"/>
    <n v="-1.6590277777722804"/>
    <n v="87.816666666534729"/>
    <n v="36"/>
    <n v="51.816666666534729"/>
    <n v="3.010614345456363"/>
    <m/>
    <m/>
    <m/>
    <m/>
    <m/>
  </r>
  <r>
    <d v="2025-02-19T00:00:00"/>
    <x v="1"/>
    <m/>
    <s v="A20816"/>
    <s v="Manual"/>
    <s v="Nakalya John"/>
    <s v="UBM 648D"/>
    <s v="Sawan Distributors Ltd-Kayabwe"/>
    <n v="156"/>
    <s v="A20816"/>
    <s v="OM"/>
    <n v="382"/>
    <n v="379"/>
    <n v="-3"/>
    <m/>
    <d v="2025-02-17T16:16:00"/>
    <d v="2025-02-17T16:29:00"/>
    <d v="2025-02-17T16:57:00"/>
    <n v="27.870370367357584"/>
    <n v="40.810185182635905"/>
    <m/>
    <d v="2025-02-18T16:15:00"/>
    <d v="2025-02-18T18:20:00"/>
    <n v="122.39583333219343"/>
    <m/>
    <d v="2025-02-18T13:40:00"/>
    <d v="2025-02-18T14:36:00"/>
    <n v="54.833333337664953"/>
    <m/>
    <n v="0.8631944444423425"/>
    <n v="2"/>
    <n v="1.1368055555576575"/>
    <n v="20.71666666661622"/>
    <n v="0"/>
    <n v="20.71666666661622"/>
    <n v="7.5301689461164862"/>
    <m/>
    <m/>
    <m/>
    <m/>
    <m/>
  </r>
  <r>
    <d v="2025-02-19T00:00:00"/>
    <x v="1"/>
    <m/>
    <s v="F15920"/>
    <s v="Manual"/>
    <s v="Faruk Abel"/>
    <s v="UBR 539W"/>
    <s v="Boniface Harera"/>
    <n v="156"/>
    <s v="F15920"/>
    <s v="OM"/>
    <n v="448"/>
    <n v="449"/>
    <n v="1"/>
    <m/>
    <d v="2025-02-17T17:11:00"/>
    <d v="2025-02-17T17:48:00"/>
    <d v="2025-02-17T17:52:00"/>
    <n v="3.9814814840307613"/>
    <n v="40.810185182635905"/>
    <m/>
    <d v="2025-02-19T18:06:00"/>
    <d v="2025-02-19T20:17:00"/>
    <n v="128.27083333082555"/>
    <m/>
    <d v="2025-02-22T14:19:00"/>
    <d v="2025-02-22T15:16:00"/>
    <n v="55.81249999726424"/>
    <m/>
    <n v="4.852083333338669"/>
    <n v="2"/>
    <n v="-2.852083333338669"/>
    <n v="116.45000000012806"/>
    <n v="48"/>
    <n v="68.450000000128057"/>
    <n v="2.2790357925450424"/>
    <m/>
    <m/>
    <m/>
    <m/>
    <m/>
  </r>
  <r>
    <d v="2025-02-19T00:00:00"/>
    <x v="1"/>
    <m/>
    <s v="A20822"/>
    <s v="Manual"/>
    <s v="Bwanga Gilbert"/>
    <s v="UBK 862R"/>
    <s v="Kato Investment Ltd -Kagadi"/>
    <n v="156"/>
    <s v="A20822"/>
    <s v="OM"/>
    <n v="670"/>
    <n v="671"/>
    <n v="1"/>
    <m/>
    <d v="2025-02-18T21:44:00"/>
    <d v="2025-02-18T22:06:00"/>
    <d v="2025-02-18T22:27:00"/>
    <n v="20.902777772910969"/>
    <n v="42.80092592986572"/>
    <m/>
    <d v="2025-02-17T14:20:00"/>
    <d v="2025-02-17T16:48:00"/>
    <n v="144.91666666712263"/>
    <m/>
    <d v="2025-02-20T17:22:00"/>
    <d v="2025-02-20T18:18:00"/>
    <n v="54.833333337664953"/>
    <m/>
    <n v="1.7881944444452529"/>
    <n v="2"/>
    <n v="0.21180555555474712"/>
    <n v="42.916666666686069"/>
    <n v="12"/>
    <n v="30.916666666686069"/>
    <n v="5.0458221024227097"/>
    <m/>
    <m/>
    <m/>
    <m/>
    <m/>
  </r>
  <r>
    <d v="2025-02-19T00:00:00"/>
    <x v="1"/>
    <m/>
    <s v="Z82685"/>
    <s v="Manual"/>
    <m/>
    <s v="UBR 537W"/>
    <s v="Bates Enterprises U Ltd"/>
    <n v="156"/>
    <s v="Z82685"/>
    <s v="OM"/>
    <n v="414"/>
    <n v="416"/>
    <n v="2"/>
    <m/>
    <d v="2025-02-18T15:01:00"/>
    <d v="2025-02-18T14:54:00"/>
    <d v="2025-02-18T15:44:00"/>
    <n v="49.768518513883464"/>
    <n v="42.80092592986572"/>
    <m/>
    <d v="2025-02-18T21:42:00"/>
    <d v="2025-02-19T00:42:00"/>
    <n v="176.25"/>
    <m/>
    <d v="2025-02-22T19:20:00"/>
    <d v="2025-02-22T20:16:00"/>
    <n v="54.833333337664953"/>
    <m/>
    <n v="4.1500000000014552"/>
    <n v="3"/>
    <n v="-1.1500000000014552"/>
    <n v="99.600000000034925"/>
    <n v="48"/>
    <n v="51.600000000034925"/>
    <n v="3.0232558139514421"/>
    <m/>
    <m/>
    <m/>
    <m/>
    <m/>
  </r>
  <r>
    <d v="2025-02-19T00:00:00"/>
    <x v="1"/>
    <m/>
    <s v="Z82687"/>
    <s v="Manual"/>
    <s v="Matovu Musa"/>
    <s v="UBR 538W"/>
    <s v="Kobusinge Acaali- Kyenjojo"/>
    <n v="156"/>
    <s v="Z82687"/>
    <s v="OM"/>
    <n v="580"/>
    <n v="582"/>
    <n v="2"/>
    <m/>
    <d v="2025-02-18T19:10:00"/>
    <d v="2025-02-18T19:26:00"/>
    <d v="2025-02-18T19:54:00"/>
    <n v="27.870370367357584"/>
    <n v="43.796296293051761"/>
    <m/>
    <d v="2025-02-18T13:35:00"/>
    <d v="2025-02-18T16:07:00"/>
    <n v="148.83333333629707"/>
    <m/>
    <d v="2025-02-19T16:37:00"/>
    <d v="2025-02-19T17:34:00"/>
    <n v="55.81249999726424"/>
    <m/>
    <n v="0.8631944444423425"/>
    <n v="2"/>
    <n v="1.1368055555576575"/>
    <n v="20.71666666661622"/>
    <n v="0"/>
    <n v="20.71666666661622"/>
    <n v="7.5301689461164862"/>
    <m/>
    <m/>
    <m/>
    <m/>
    <m/>
  </r>
  <r>
    <d v="2025-02-19T00:00:00"/>
    <x v="1"/>
    <m/>
    <s v="A20820"/>
    <s v="Manual"/>
    <s v="Sentongo paul"/>
    <s v="UBR 541W"/>
    <s v="Kato Investments Ltd- Kyegegwa"/>
    <n v="156"/>
    <s v="A20820"/>
    <s v="OM"/>
    <n v="600"/>
    <n v="602"/>
    <n v="2"/>
    <m/>
    <d v="2025-02-18T17:23:00"/>
    <d v="2025-02-18T17:45:00"/>
    <d v="2025-02-18T18:06:00"/>
    <n v="20.902777772910969"/>
    <n v="42.80092592986572"/>
    <m/>
    <d v="2025-02-18T10:46:00"/>
    <d v="2025-02-18T13:18:00"/>
    <n v="148.83333333629707"/>
    <m/>
    <d v="2025-02-19T17:24:00"/>
    <d v="2025-02-19T18:19:00"/>
    <n v="53.854166667806567"/>
    <m/>
    <n v="0.97083333333284827"/>
    <n v="3"/>
    <n v="2.0291666666671517"/>
    <n v="23.299999999988358"/>
    <n v="0"/>
    <n v="23.299999999988358"/>
    <n v="6.6952789699604267"/>
    <m/>
    <m/>
    <m/>
    <m/>
    <m/>
  </r>
  <r>
    <d v="2025-02-19T00:00:00"/>
    <x v="1"/>
    <m/>
    <s v="A20821"/>
    <s v="Manual"/>
    <s v="Mulumba Kasim"/>
    <s v="UBE 680K"/>
    <s v="KATO INVESTMENTS LTD-KATIKARA"/>
    <n v="148.80000000000001"/>
    <s v="A20821"/>
    <s v="OM"/>
    <n v="790"/>
    <n v="788"/>
    <n v="-2"/>
    <m/>
    <d v="2025-02-18T12:59:00"/>
    <d v="2025-02-18T13:21:00"/>
    <d v="2025-02-18T13:42:00"/>
    <n v="20.902777772910969"/>
    <n v="42.80092592986572"/>
    <m/>
    <d v="2025-02-18T15:26:00"/>
    <d v="2025-02-18T19:59:00"/>
    <n v="267.31249999931606"/>
    <s v="Waited for empties from trade"/>
    <d v="2025-02-19T10:20:00"/>
    <d v="2025-02-19T11:13:00"/>
    <n v="51.895833338348893"/>
    <m/>
    <n v="0.85972222222335404"/>
    <n v="3"/>
    <n v="2.140277777776646"/>
    <n v="20.633333333360497"/>
    <n v="0"/>
    <n v="20.633333333360497"/>
    <n v="7.211631663964658"/>
    <m/>
    <m/>
    <m/>
    <m/>
    <m/>
  </r>
  <r>
    <d v="2025-02-19T00:00:00"/>
    <x v="1"/>
    <m/>
    <s v="A20828"/>
    <s v="Manual"/>
    <s v="Byanshala Stoney"/>
    <s v="UBP 312H"/>
    <s v="Ntale and Sons Ltd-Kakiri"/>
    <n v="156"/>
    <s v="A20828"/>
    <s v="OM"/>
    <n v="620"/>
    <n v="622"/>
    <n v="2"/>
    <m/>
    <d v="2025-02-18T19:45:00"/>
    <d v="2025-02-18T20:23:00"/>
    <d v="2025-02-18T20:27:00"/>
    <n v="3.9814814840307613"/>
    <n v="41.805555556250816"/>
    <m/>
    <d v="2025-02-19T09:55:00"/>
    <d v="2025-02-19T12:26:00"/>
    <n v="147.85416666643869"/>
    <m/>
    <d v="2025-02-19T14:55:00"/>
    <d v="2025-02-19T16:05:00"/>
    <n v="68.541666664386867"/>
    <s v="pre trip inspections"/>
    <n v="0.76944444444961846"/>
    <n v="2"/>
    <n v="1.2305555555503815"/>
    <n v="18.466666666790843"/>
    <n v="0"/>
    <n v="18.466666666790843"/>
    <n v="8.447653429546083"/>
    <m/>
    <m/>
    <m/>
    <m/>
    <m/>
  </r>
  <r>
    <d v="2025-02-19T00:00:00"/>
    <x v="1"/>
    <m/>
    <s v="OMPBEA7RR"/>
    <s v="DJ"/>
    <s v="Isaac Tumuhimbise"/>
    <s v="UBE 287X"/>
    <s v="RUGOMA TRADERS CO. LTD NTUNGAM "/>
    <n v="153.6"/>
    <s v="OMPBEA7RR"/>
    <s v="OM"/>
    <n v="150"/>
    <n v="149"/>
    <n v="-1"/>
    <m/>
    <d v="2025-02-18T21:05:00"/>
    <d v="2025-02-18T21:15:00"/>
    <d v="2025-02-18T21:49:00"/>
    <n v="33.842592588189291"/>
    <n v="43.796296293051761"/>
    <m/>
    <d v="2025-02-19T10:57:00"/>
    <d v="2025-02-19T16:34:00"/>
    <n v="329.97916666507081"/>
    <s v="found another truck at RD"/>
    <d v="2025-02-19T13:02:00"/>
    <d v="2025-02-19T13:59:00"/>
    <n v="55.81249999726424"/>
    <m/>
    <n v="0.63402777777810115"/>
    <n v="1"/>
    <n v="0.36597222222189885"/>
    <n v="15.216666666674428"/>
    <n v="0"/>
    <n v="15.216666666674428"/>
    <n v="10.094194961659692"/>
    <m/>
    <m/>
    <m/>
    <m/>
    <m/>
  </r>
  <r>
    <d v="2025-02-20T00:00:00"/>
    <x v="1"/>
    <m/>
    <s v="A20840"/>
    <s v="Manual"/>
    <s v="Kabanda Ronald"/>
    <s v="UBE 684K"/>
    <s v="KATO INVESTMENTS LTD-KATIKARA"/>
    <n v="148.80000000000001"/>
    <s v="A20840"/>
    <s v="OM"/>
    <n v="790"/>
    <n v="792"/>
    <n v="2"/>
    <m/>
    <d v="2025-02-18T15:01:00"/>
    <d v="2025-02-18T14:23:00"/>
    <d v="2025-02-18T15:45:00"/>
    <n v="81.62037036527181"/>
    <n v="43.796296293051761"/>
    <m/>
    <d v="2025-02-19T10:40:00"/>
    <d v="2025-02-19T16:08:00"/>
    <n v="321.16666666712263"/>
    <s v="Waited for empties from trade"/>
    <d v="2025-02-19T12:11:00"/>
    <d v="2025-02-19T13:04:00"/>
    <n v="51.895833338348893"/>
    <m/>
    <n v="0.85138888889196096"/>
    <n v="2"/>
    <n v="1.148611111108039"/>
    <n v="20.433333333407063"/>
    <n v="0"/>
    <n v="20.433333333407063"/>
    <n v="7.2822185970373452"/>
    <m/>
    <m/>
    <m/>
    <m/>
    <m/>
  </r>
  <r>
    <d v="2025-02-20T00:00:00"/>
    <x v="1"/>
    <m/>
    <s v="Z82694"/>
    <s v="Manual"/>
    <m/>
    <s v="UBJ 421C"/>
    <s v="Kabaco U Ltd "/>
    <n v="156"/>
    <s v="Z82694"/>
    <s v="OM"/>
    <n v="320"/>
    <n v="317"/>
    <n v="-3"/>
    <m/>
    <d v="2025-02-19T15:39:00"/>
    <d v="2025-02-19T15:09:00"/>
    <d v="2025-02-19T16:22:00"/>
    <n v="72.662037034024252"/>
    <n v="42.80092592986572"/>
    <m/>
    <d v="2025-02-19T17:23:00"/>
    <d v="2025-02-19T20:16:00"/>
    <n v="169.39583333150949"/>
    <m/>
    <d v="2025-02-20T17:09:00"/>
    <d v="2025-02-20T18:02:00"/>
    <n v="51.895833338348893"/>
    <m/>
    <n v="1.0326388888934162"/>
    <n v="2"/>
    <n v="0.96736111110658385"/>
    <n v="24.783333333441988"/>
    <n v="12"/>
    <n v="12.783333333441988"/>
    <n v="12.203389830404749"/>
    <m/>
    <m/>
    <m/>
    <m/>
    <m/>
  </r>
  <r>
    <d v="2025-02-20T00:00:00"/>
    <x v="1"/>
    <m/>
    <s v="A20847"/>
    <s v="Manual"/>
    <m/>
    <s v="UBR 868Y"/>
    <s v="Kato Investments Ltd- Kakumiro"/>
    <n v="156"/>
    <s v="A20847"/>
    <s v="OM"/>
    <n v="790"/>
    <n v="788"/>
    <n v="-2"/>
    <m/>
    <d v="2025-02-18T14:27:00"/>
    <d v="2025-02-18T13:41:00"/>
    <d v="2025-02-18T15:10:00"/>
    <n v="88.587962959718425"/>
    <n v="42.80092592986572"/>
    <m/>
    <d v="2025-02-17T21:03:00"/>
    <d v="2025-02-18T12:38:00"/>
    <n v="915.52083333219343"/>
    <s v="Reached late and offloaded the next day"/>
    <d v="2025-02-19T15:17:00"/>
    <d v="2025-02-19T16:05:00"/>
    <n v="46.99999999931606"/>
    <m/>
    <n v="1.0048611111124046"/>
    <n v="2"/>
    <n v="0.99513888888759539"/>
    <n v="24.116666666697711"/>
    <n v="12"/>
    <n v="12.116666666697711"/>
    <n v="12.87482806048971"/>
    <m/>
    <m/>
    <m/>
    <m/>
    <m/>
  </r>
  <r>
    <d v="2025-02-20T00:00:00"/>
    <x v="1"/>
    <m/>
    <s v="Z82692"/>
    <s v="Manual"/>
    <s v="Taimwa Alex"/>
    <s v="UBJ 705D"/>
    <s v="Kabaco U Ltd "/>
    <n v="156"/>
    <s v="Z82692"/>
    <s v="OM"/>
    <n v="320"/>
    <n v="55"/>
    <n v="-265"/>
    <m/>
    <d v="2025-02-20T08:33:00"/>
    <d v="2025-02-19T15:09:00"/>
    <d v="2025-02-20T09:14:00"/>
    <n v="1079.9768518576457"/>
    <n v="40.810185182635905"/>
    <m/>
    <d v="2025-02-18T09:26:00"/>
    <d v="2025-02-18T13:02:00"/>
    <n v="211.50000000205182"/>
    <s v="First offloaded their route sale trucks"/>
    <d v="2025-02-20T11:43:00"/>
    <d v="2025-02-20T12:36:00"/>
    <n v="51.895833338348893"/>
    <m/>
    <n v="0.10347222221753327"/>
    <n v="2"/>
    <n v="1.8965277777824667"/>
    <n v="2.4833333332207985"/>
    <n v="0"/>
    <n v="2.4833333332207985"/>
    <n v="62.818791949155425"/>
    <m/>
    <m/>
    <m/>
    <m/>
    <m/>
  </r>
  <r>
    <d v="2025-02-20T00:00:00"/>
    <x v="1"/>
    <m/>
    <s v="F15922"/>
    <s v="Manual"/>
    <s v="Ntumwa Solomon"/>
    <s v="UBR 540W"/>
    <s v="Boniface Harera"/>
    <n v="134.4"/>
    <s v="F15922"/>
    <s v="OM"/>
    <n v="448"/>
    <n v="445"/>
    <n v="-3"/>
    <m/>
    <d v="2025-02-18T09:33:00"/>
    <d v="2025-02-17T21:00:00"/>
    <d v="2025-02-18T10:29:00"/>
    <n v="805.25462962638505"/>
    <n v="55.740740745144045"/>
    <m/>
    <d v="2025-02-18T16:15:00"/>
    <d v="2025-02-18T18:20:00"/>
    <n v="122.39583333219343"/>
    <m/>
    <d v="2025-02-19T09:47:00"/>
    <d v="2025-02-19T10:46:00"/>
    <n v="57.770833336981013"/>
    <m/>
    <n v="0.97083333333284827"/>
    <n v="2"/>
    <n v="1.0291666666671517"/>
    <n v="23.299999999988358"/>
    <n v="0"/>
    <n v="23.299999999988358"/>
    <n v="5.7682403433505218"/>
    <m/>
    <m/>
    <m/>
    <m/>
    <m/>
  </r>
  <r>
    <d v="2025-02-20T00:00:00"/>
    <x v="1"/>
    <m/>
    <s v="Z82709"/>
    <s v="Manual"/>
    <s v="Ikwalikwa Yusuf"/>
    <s v="UBP 311H"/>
    <s v="Kobusinge Steven-FPortal"/>
    <n v="156"/>
    <s v="Z82709"/>
    <s v="OM"/>
    <n v="304"/>
    <n v="306"/>
    <n v="2"/>
    <m/>
    <d v="2025-02-19T08:31:00"/>
    <d v="2025-02-18T07:42:00"/>
    <d v="2025-02-19T09:14:00"/>
    <n v="1524.9074074138964"/>
    <n v="42.80092592986572"/>
    <m/>
    <d v="2025-02-17T14:20:00"/>
    <d v="2025-02-17T16:48:00"/>
    <n v="144.91666666712263"/>
    <m/>
    <d v="2025-02-19T13:02:00"/>
    <d v="2025-02-19T13:58:00"/>
    <n v="54.833333337664953"/>
    <m/>
    <n v="0.15833333333284827"/>
    <n v="2"/>
    <n v="1.8416666666671517"/>
    <n v="3.7999999999883585"/>
    <n v="0"/>
    <n v="3.7999999999883585"/>
    <n v="41.052631579073136"/>
    <m/>
    <m/>
    <m/>
    <m/>
    <m/>
  </r>
  <r>
    <d v="2025-02-20T00:00:00"/>
    <x v="1"/>
    <m/>
    <s v="A20842"/>
    <s v="Manual"/>
    <s v="kayanja Sam"/>
    <s v="UBF 379L"/>
    <s v="Kato Investments Ltd- Kyegegwa"/>
    <n v="148.80000000000001"/>
    <s v="A20842"/>
    <s v="OM"/>
    <n v="600"/>
    <n v="597"/>
    <n v="-3"/>
    <m/>
    <d v="2025-02-18T09:47:00"/>
    <d v="2025-02-17T21:00:00"/>
    <d v="2025-02-18T10:29:00"/>
    <n v="805.25462962638505"/>
    <n v="41.805555556250816"/>
    <m/>
    <d v="2025-02-19T10:40:00"/>
    <d v="2025-02-19T13:32:00"/>
    <n v="168.41666666165111"/>
    <m/>
    <d v="2025-02-20T17:09:00"/>
    <d v="2025-02-20T18:06:00"/>
    <n v="55.81249999726424"/>
    <m/>
    <n v="2.2777777777810115"/>
    <n v="3"/>
    <n v="0.72222222221898846"/>
    <n v="54.666666666744277"/>
    <n v="24"/>
    <n v="30.666666666744277"/>
    <n v="4.8521739130311987"/>
    <m/>
    <m/>
    <m/>
    <m/>
    <m/>
  </r>
  <r>
    <d v="2025-02-20T00:00:00"/>
    <x v="1"/>
    <m/>
    <s v="A20845"/>
    <s v="Manual"/>
    <s v="Nakalya John"/>
    <s v="UBM 648D"/>
    <s v="Sawan Distributors Ltd-Nabingo"/>
    <n v="156"/>
    <s v="A20845"/>
    <s v="OM"/>
    <n v="560"/>
    <n v="558"/>
    <n v="-2"/>
    <m/>
    <d v="2025-02-18T07:47:00"/>
    <d v="2025-02-17T19:30:00"/>
    <d v="2025-02-18T08:28:00"/>
    <n v="774.39814814861165"/>
    <n v="40.810185182635905"/>
    <m/>
    <d v="2025-02-19T10:57:00"/>
    <d v="2025-02-19T16:34:00"/>
    <n v="329.97916666507081"/>
    <s v="slept at the RD and offloaded the next day"/>
    <d v="2025-02-20T17:58:00"/>
    <d v="2025-02-20T18:54:00"/>
    <n v="54.833333337664953"/>
    <m/>
    <n v="2.3958333333357587"/>
    <n v="2"/>
    <n v="-0.39583333333575865"/>
    <n v="57.500000000058208"/>
    <n v="24"/>
    <n v="33.500000000058208"/>
    <n v="4.6567164179023566"/>
    <m/>
    <m/>
    <m/>
    <m/>
    <m/>
  </r>
  <r>
    <d v="2025-02-20T00:00:00"/>
    <x v="1"/>
    <m/>
    <s v="A20854"/>
    <s v="Manual"/>
    <m/>
    <s v="UBR 534W"/>
    <s v="KATO INVESTMENTS LTD-KATIKARA"/>
    <n v="156"/>
    <s v="A20854"/>
    <s v="OM"/>
    <n v="790"/>
    <n v="792"/>
    <n v="2"/>
    <m/>
    <d v="2025-02-19T18:14:00"/>
    <d v="2025-02-18T19:37:00"/>
    <d v="2025-02-19T18:55:00"/>
    <n v="1391.5277777770825"/>
    <n v="40.810185182635905"/>
    <m/>
    <d v="2025-02-19T17:23:00"/>
    <d v="2025-02-19T20:13:00"/>
    <n v="166.45833333219343"/>
    <m/>
    <d v="2025-02-21T13:00:00"/>
    <d v="2025-02-21T13:56:00"/>
    <n v="54.833333337664953"/>
    <m/>
    <n v="1.7534722222189885"/>
    <n v="3"/>
    <n v="1.2465277777810115"/>
    <n v="42.083333333255723"/>
    <n v="12"/>
    <n v="30.083333333255723"/>
    <n v="5.185595567880414"/>
    <m/>
    <m/>
    <m/>
    <m/>
    <m/>
  </r>
  <r>
    <d v="2025-02-20T00:00:00"/>
    <x v="1"/>
    <m/>
    <s v="A20843"/>
    <s v="Manual"/>
    <m/>
    <s v="UBR 535W"/>
    <s v="Kato Investment Ltd -Kagadi"/>
    <n v="148.80000000000001"/>
    <s v="A20843"/>
    <s v="OM"/>
    <n v="670"/>
    <n v="672"/>
    <n v="2"/>
    <m/>
    <d v="2025-02-18T17:35:00"/>
    <d v="2025-02-18T04:14:00"/>
    <d v="2025-02-18T18:19:00"/>
    <n v="841.08796296180424"/>
    <n v="43.796296293051761"/>
    <m/>
    <d v="2025-02-18T11:50:00"/>
    <d v="2025-02-18T17:17:00"/>
    <n v="320.18749999726424"/>
    <s v="found another truck at the RD and offloaded the next day"/>
    <d v="2025-02-19T12:11:00"/>
    <d v="2025-02-19T13:27:00"/>
    <n v="74.416666663018987"/>
    <s v="fueling delays"/>
    <n v="0.74444444444816327"/>
    <n v="2"/>
    <n v="1.2555555555518367"/>
    <n v="17.866666666755918"/>
    <n v="0"/>
    <n v="17.866666666755918"/>
    <n v="8.3283582089136203"/>
    <m/>
    <m/>
    <m/>
    <m/>
    <m/>
  </r>
  <r>
    <d v="2025-02-20T00:00:00"/>
    <x v="1"/>
    <m/>
    <s v="A20846"/>
    <s v="Manual"/>
    <s v="Kyakulaga James"/>
    <s v="UBJ 419C"/>
    <s v="Sawan Distributors Ltd-Kayabwe"/>
    <n v="156"/>
    <s v="A20846"/>
    <s v="OM"/>
    <n v="382"/>
    <n v="379"/>
    <n v="-3"/>
    <m/>
    <d v="2025-02-18T16:14:00"/>
    <d v="2025-02-18T04:14:00"/>
    <d v="2025-02-18T16:57:00"/>
    <n v="759.46759259653243"/>
    <n v="42.80092592986572"/>
    <m/>
    <d v="2025-02-17T21:03:00"/>
    <d v="2025-02-18T12:38:00"/>
    <n v="915.52083333219343"/>
    <s v="Waited for empties from trade"/>
    <d v="2025-02-19T15:17:00"/>
    <d v="2025-02-19T16:05:00"/>
    <n v="46.99999999931606"/>
    <m/>
    <n v="0.93055555555474712"/>
    <n v="2"/>
    <n v="1.0694444444452529"/>
    <n v="22.333333333313931"/>
    <n v="0"/>
    <n v="22.333333333313931"/>
    <n v="6.9850746268717403"/>
    <m/>
    <m/>
    <m/>
    <m/>
    <m/>
  </r>
  <r>
    <d v="2025-02-20T00:00:00"/>
    <x v="1"/>
    <m/>
    <s v="Z82705"/>
    <s v="Manual"/>
    <m/>
    <s v="UBB 116P"/>
    <s v="Kobusinge Acaali- Kyenjojo"/>
    <n v="156"/>
    <s v="Z82705"/>
    <s v="OM"/>
    <n v="580"/>
    <n v="579"/>
    <n v="-1"/>
    <m/>
    <d v="2025-02-18T15:07:00"/>
    <d v="2025-02-18T14:26:00"/>
    <d v="2025-02-18T15:51:00"/>
    <n v="84.606481486116536"/>
    <n v="43.796296293051761"/>
    <m/>
    <d v="2025-02-20T13:59:00"/>
    <d v="2025-02-20T16:06:00"/>
    <n v="124.35416666165111"/>
    <m/>
    <d v="2025-02-22T08:22:00"/>
    <d v="2025-02-22T09:19:00"/>
    <n v="55.81249999726424"/>
    <m/>
    <n v="3.6881944444467081"/>
    <n v="2"/>
    <n v="-1.6881944444467081"/>
    <n v="88.516666666720994"/>
    <n v="36"/>
    <n v="52.516666666720994"/>
    <n v="2.9704855601365652"/>
    <m/>
    <m/>
    <m/>
    <m/>
    <m/>
  </r>
  <r>
    <d v="2025-02-20T00:00:00"/>
    <x v="1"/>
    <m/>
    <s v="OM6HORERR"/>
    <s v="DJ"/>
    <s v="GODWIN  NIWENSIIMA"/>
    <s v="UAR 731Q"/>
    <s v="Kabaco U Ltd-Mbarara "/>
    <n v="153.6"/>
    <s v="OM6HORERR"/>
    <s v="OM"/>
    <n v="20"/>
    <n v="22"/>
    <n v="2"/>
    <m/>
    <d v="2025-02-20T11:26:00"/>
    <d v="2025-02-20T11:58:00"/>
    <d v="2025-02-20T12:10:00"/>
    <n v="11.944444441663412"/>
    <n v="43.796296293051761"/>
    <m/>
    <d v="2025-02-19T14:46:00"/>
    <d v="2025-02-19T16:55:00"/>
    <n v="126.31250000136788"/>
    <m/>
    <d v="2025-02-20T17:22:00"/>
    <d v="2025-02-20T18:22:00"/>
    <n v="58.7499999965803"/>
    <m/>
    <n v="0.21666666666715173"/>
    <n v="2"/>
    <n v="1.7833333333328483"/>
    <n v="5.2000000000116415"/>
    <n v="0"/>
    <n v="5.2000000000116415"/>
    <n v="29.538461538395406"/>
    <m/>
    <m/>
    <m/>
    <m/>
    <m/>
  </r>
  <r>
    <d v="2025-02-20T00:00:00"/>
    <x v="1"/>
    <m/>
    <s v="OMNQSVFRR"/>
    <s v="DJ"/>
    <s v="Isaac Tumuhimbise"/>
    <s v="UBE 287X"/>
    <s v="KATO INVESTMENTS LTD- KALISIZO "/>
    <n v="153.6"/>
    <s v="OMNQSVFRR"/>
    <s v="OM"/>
    <n v="350"/>
    <n v="352"/>
    <n v="2"/>
    <m/>
    <d v="2025-02-20T09:00:00"/>
    <d v="2025-02-20T09:15:00"/>
    <d v="2025-02-20T09:43:00"/>
    <n v="27.870370367357584"/>
    <n v="42.80092592986572"/>
    <m/>
    <d v="2025-02-19T16:14:00"/>
    <d v="2025-02-19T20:07:00"/>
    <n v="228.14583332808979"/>
    <s v="Reached late and offloaded the next day"/>
    <d v="2025-02-20T17:22:00"/>
    <d v="2025-02-20T18:16:00"/>
    <n v="52.87499999794818"/>
    <m/>
    <n v="0.31874999999854481"/>
    <n v="2"/>
    <n v="1.6812500000014552"/>
    <n v="7.6499999999650754"/>
    <n v="0"/>
    <n v="7.6499999999650754"/>
    <n v="20.078431372640683"/>
    <m/>
    <m/>
    <m/>
    <m/>
    <m/>
  </r>
  <r>
    <d v="2025-02-20T00:00:00"/>
    <x v="1"/>
    <m/>
    <s v="OMSQWKVRR"/>
    <s v="DJ"/>
    <s v="James  Kironde"/>
    <s v="UBK 881R"/>
    <s v="Ntale and Sons"/>
    <n v="153.6"/>
    <s v="OMSQWKVRR"/>
    <s v="OM"/>
    <n v="810"/>
    <n v="809"/>
    <n v="-1"/>
    <m/>
    <d v="2025-02-20T10:12:00"/>
    <d v="2025-02-20T09:31:00"/>
    <d v="2025-02-20T10:52:00"/>
    <n v="80.62500000208577"/>
    <n v="39.814814819449872"/>
    <m/>
    <d v="2025-02-21T11:43:00"/>
    <d v="2025-02-21T13:47:00"/>
    <n v="121.41666667259415"/>
    <m/>
    <d v="2025-02-22T19:20:00"/>
    <d v="2025-02-22T20:17:00"/>
    <n v="55.81249999726424"/>
    <m/>
    <n v="2.3527777777781012"/>
    <n v="2"/>
    <n v="-0.35277777777810115"/>
    <n v="56.466666666674428"/>
    <n v="24"/>
    <n v="32.466666666674428"/>
    <n v="4.7310061601631404"/>
    <m/>
    <m/>
    <m/>
    <m/>
    <m/>
  </r>
  <r>
    <d v="2025-02-20T00:00:00"/>
    <x v="1"/>
    <m/>
    <s v="OMHTPFRRR"/>
    <s v="DJ"/>
    <s v="MUKOSE MUZAMIRU"/>
    <s v="UBJ 417C"/>
    <s v="Ntale and Sons"/>
    <n v="153.6"/>
    <s v="OMHTPFRRR"/>
    <s v="OM"/>
    <n v="810"/>
    <n v="812"/>
    <n v="2"/>
    <m/>
    <d v="2025-02-19T21:00:00"/>
    <d v="2025-02-19T21:15:00"/>
    <d v="2025-02-19T21:43:00"/>
    <n v="27.870370367357584"/>
    <n v="42.80092592986572"/>
    <m/>
    <d v="2025-02-19T08:14:00"/>
    <d v="2025-02-19T16:10:00"/>
    <n v="466.08333333424525"/>
    <s v="Waited for empties from trade"/>
    <d v="2025-02-21T07:43:00"/>
    <d v="2025-02-21T08:37:00"/>
    <n v="52.87499999794818"/>
    <m/>
    <n v="1.4166666666642413"/>
    <n v="2"/>
    <n v="0.58333333333575865"/>
    <n v="33.999999999941792"/>
    <n v="12"/>
    <n v="21.999999999941792"/>
    <n v="6.9818181818366538"/>
    <m/>
    <m/>
    <m/>
    <m/>
    <m/>
  </r>
  <r>
    <d v="2025-02-21T00:00:00"/>
    <x v="1"/>
    <m/>
    <s v="A20874"/>
    <s v="Manual"/>
    <s v="kakembo Masudi"/>
    <s v="UBM 644D"/>
    <s v="Sawan Distributors Ltd-Nabingo"/>
    <n v="156"/>
    <s v="A20874"/>
    <s v="OM"/>
    <n v="560"/>
    <n v="562"/>
    <n v="2"/>
    <m/>
    <d v="2025-02-19T23:34:00"/>
    <d v="2025-02-19T23:59:00"/>
    <d v="2025-02-20T00:18:00"/>
    <n v="18.912037036110025"/>
    <n v="43.796296293051761"/>
    <m/>
    <d v="2025-02-19T12:48:00"/>
    <d v="2025-02-19T16:48:00"/>
    <n v="234.9999999965803"/>
    <s v="less casuals and offloaded the next day"/>
    <d v="2025-02-20T08:01:00"/>
    <d v="2025-02-20T09:17:00"/>
    <n v="74.416666663018987"/>
    <s v="fueling delays"/>
    <n v="0.32152777777810115"/>
    <n v="2"/>
    <n v="1.6784722222218988"/>
    <n v="7.7166666666744277"/>
    <n v="0"/>
    <n v="7.7166666666744277"/>
    <n v="20.215982721361957"/>
    <m/>
    <m/>
    <m/>
    <m/>
    <m/>
  </r>
  <r>
    <d v="2025-02-21T00:00:00"/>
    <x v="1"/>
    <m/>
    <s v="F15929"/>
    <s v="Manual"/>
    <s v="Ngobi Fred"/>
    <s v="UBK 866R"/>
    <s v="Boniface Harera"/>
    <n v="33.6"/>
    <s v="F15929"/>
    <s v="OM"/>
    <n v="448"/>
    <n v="450"/>
    <n v="2"/>
    <m/>
    <d v="2025-02-19T19:18:00"/>
    <d v="2025-02-19T19:37:00"/>
    <d v="2025-02-19T20:00:00"/>
    <n v="22.893518520140788"/>
    <n v="41.805555556250816"/>
    <m/>
    <d v="2025-02-19T10:57:00"/>
    <d v="2025-02-19T13:06:00"/>
    <n v="126.31249999110878"/>
    <m/>
    <d v="2025-02-20T06:57:00"/>
    <d v="2025-02-20T07:53:00"/>
    <n v="54.833333337664953"/>
    <m/>
    <n v="0.45624999999563443"/>
    <n v="2"/>
    <n v="1.5437500000043656"/>
    <n v="10.949999999895226"/>
    <n v="0"/>
    <n v="10.949999999895226"/>
    <n v="3.0684931507142923"/>
    <m/>
    <m/>
    <m/>
    <m/>
    <m/>
  </r>
  <r>
    <d v="2025-02-21T00:00:00"/>
    <x v="1"/>
    <m/>
    <s v="F15928"/>
    <s v="Manual"/>
    <m/>
    <s v="UBP 294H"/>
    <s v="Boniface Harera"/>
    <n v="156"/>
    <s v="F15928"/>
    <s v="OM"/>
    <n v="448"/>
    <n v="449"/>
    <n v="1"/>
    <m/>
    <d v="2025-02-19T20:32:00"/>
    <d v="2025-02-19T20:52:00"/>
    <d v="2025-02-19T21:15:00"/>
    <n v="22.893518520140788"/>
    <n v="42.80092592986572"/>
    <m/>
    <d v="2025-02-19T18:24:00"/>
    <d v="2025-02-19T21:17:00"/>
    <n v="169.39583333150949"/>
    <m/>
    <d v="2025-02-21T08:46:00"/>
    <d v="2025-02-21T09:42:00"/>
    <n v="54.833333337664953"/>
    <m/>
    <n v="1.4798611111109494"/>
    <n v="2"/>
    <n v="0.52013888888905058"/>
    <n v="35.516666666662786"/>
    <n v="12"/>
    <n v="23.516666666662786"/>
    <n v="6.6335931963157648"/>
    <m/>
    <m/>
    <m/>
    <m/>
    <m/>
  </r>
  <r>
    <d v="2025-02-21T00:00:00"/>
    <x v="1"/>
    <m/>
    <s v="Z82720"/>
    <s v="Manual"/>
    <m/>
    <s v="UBF 369L"/>
    <s v="Kabaco U Ltd "/>
    <n v="156"/>
    <s v="Z82720"/>
    <s v="OM"/>
    <n v="320"/>
    <n v="319"/>
    <n v="-1"/>
    <m/>
    <d v="2025-02-19T10:45:00"/>
    <d v="2025-02-19T11:02:00"/>
    <d v="2025-02-19T11:28:00"/>
    <n v="25.879629630556639"/>
    <n v="42.80092592986572"/>
    <m/>
    <d v="2025-02-20T14:56:00"/>
    <d v="2025-02-20T17:53:00"/>
    <n v="173.31250000068394"/>
    <m/>
    <d v="2025-02-21T08:46:00"/>
    <d v="2025-02-21T09:42:00"/>
    <n v="54.833333337664953"/>
    <m/>
    <n v="1.8874999999970896"/>
    <n v="2"/>
    <n v="0.11250000000291038"/>
    <n v="45.299999999930151"/>
    <n v="12"/>
    <n v="33.299999999930151"/>
    <n v="4.6846846846945107"/>
    <m/>
    <m/>
    <m/>
    <m/>
    <m/>
  </r>
  <r>
    <d v="2025-02-21T00:00:00"/>
    <x v="1"/>
    <m/>
    <s v="A20875"/>
    <s v="Manual"/>
    <m/>
    <s v="UBJ 423C"/>
    <s v="Kato Investment Ltd -Mityana"/>
    <n v="156"/>
    <s v="A20875"/>
    <s v="OM"/>
    <n v="690"/>
    <n v="688"/>
    <n v="-2"/>
    <m/>
    <d v="2025-02-19T19:33:00"/>
    <d v="2025-02-19T19:48:00"/>
    <d v="2025-02-19T20:16:00"/>
    <n v="27.870370367357584"/>
    <n v="42.80092592986572"/>
    <m/>
    <d v="2025-02-19T12:27:00"/>
    <d v="2025-02-19T14:05:00"/>
    <n v="95.958333328089793"/>
    <m/>
    <d v="2025-02-20T16:18:00"/>
    <d v="2025-02-20T17:09:00"/>
    <n v="49.93749999863212"/>
    <m/>
    <n v="0.83472222222189885"/>
    <n v="3"/>
    <n v="2.1652777777781012"/>
    <n v="20.033333333325572"/>
    <n v="0"/>
    <n v="20.033333333325572"/>
    <n v="7.787021630618657"/>
    <m/>
    <m/>
    <m/>
    <m/>
    <m/>
  </r>
  <r>
    <d v="2025-02-21T00:00:00"/>
    <x v="1"/>
    <m/>
    <s v="A20879"/>
    <s v="Manual"/>
    <s v="Bwanga Gilbert"/>
    <s v="UBK 862R"/>
    <s v="KATO INVESTMENTS LTD-KATIKARA"/>
    <n v="156"/>
    <s v="A20879"/>
    <s v="OM"/>
    <n v="150"/>
    <n v="152"/>
    <n v="2"/>
    <m/>
    <d v="2025-02-18T21:46:00"/>
    <d v="2025-02-18T17:07:00"/>
    <d v="2025-02-18T22:27:00"/>
    <n v="318.51851852431236"/>
    <n v="40.810185182635905"/>
    <m/>
    <m/>
    <d v="1899-12-30T03:00:00"/>
    <n v="176.25"/>
    <m/>
    <d v="2025-02-20T17:09:00"/>
    <d v="2025-02-20T18:02:00"/>
    <n v="51.895833338348893"/>
    <m/>
    <n v="1.7791666666671517"/>
    <n v="3"/>
    <n v="1.2208333333328483"/>
    <n v="42.700000000011642"/>
    <n v="12"/>
    <n v="30.700000000011642"/>
    <n v="5.0814332247537735"/>
    <m/>
    <m/>
    <m/>
    <m/>
    <m/>
  </r>
  <r>
    <d v="2025-02-21T00:00:00"/>
    <x v="1"/>
    <m/>
    <s v="Z82724"/>
    <s v="Manual"/>
    <s v="Nminya Siraje"/>
    <s v="UBP 301H"/>
    <s v="Kobusinge Steven-Kamwenge"/>
    <n v="156"/>
    <s v="Z82724"/>
    <s v="OM"/>
    <n v="288"/>
    <n v="285"/>
    <n v="-3"/>
    <m/>
    <d v="2025-02-19T13:07:00"/>
    <d v="2025-02-19T13:35:00"/>
    <d v="2025-02-19T13:47:00"/>
    <n v="11.944444441663412"/>
    <n v="39.814814819449872"/>
    <m/>
    <d v="2025-02-21T17:06:00"/>
    <d v="2025-02-21T19:11:00"/>
    <n v="122.39583333219343"/>
    <m/>
    <d v="2025-02-20T13:26:00"/>
    <d v="2025-02-20T14:22:00"/>
    <n v="54.833333337664953"/>
    <m/>
    <n v="0.98541666666278616"/>
    <n v="2"/>
    <n v="1.0145833333372138"/>
    <n v="23.649999999906868"/>
    <n v="0"/>
    <n v="23.649999999906868"/>
    <n v="6.5961945031972231"/>
    <m/>
    <m/>
    <m/>
    <m/>
    <m/>
  </r>
  <r>
    <d v="2025-02-21T00:00:00"/>
    <x v="1"/>
    <m/>
    <s v="A20876"/>
    <s v="Manual"/>
    <s v="Sentongo paul"/>
    <s v="UBR 541W"/>
    <s v="Ntale and Sons Ltd-Kakiri"/>
    <n v="156"/>
    <s v="A20876"/>
    <s v="OM"/>
    <n v="620"/>
    <n v="622"/>
    <n v="2"/>
    <m/>
    <d v="2025-02-21T20:13:00"/>
    <d v="2025-02-21T19:44:00"/>
    <d v="2025-02-21T20:57:00"/>
    <n v="72.662037034024252"/>
    <n v="43.796296293051761"/>
    <m/>
    <d v="2025-02-20T10:53:00"/>
    <d v="2025-02-20T12:25:00"/>
    <n v="90.083333329457673"/>
    <m/>
    <d v="2025-02-22T06:56:00"/>
    <d v="2025-02-22T07:56:00"/>
    <n v="58.7499999965803"/>
    <m/>
    <n v="0.41597222222480923"/>
    <n v="2"/>
    <n v="1.5840277777751908"/>
    <n v="9.9833333333954215"/>
    <n v="0"/>
    <n v="9.9833333333954215"/>
    <n v="15.626043405578946"/>
    <m/>
    <m/>
    <m/>
    <m/>
    <m/>
  </r>
  <r>
    <d v="2025-02-21T00:00:00"/>
    <x v="1"/>
    <m/>
    <s v="F15934"/>
    <s v="Manual"/>
    <s v="Tsaale Hassan"/>
    <s v="UBJ 703D"/>
    <s v="Boniface Harera"/>
    <n v="148.80000000000001"/>
    <s v="F15934"/>
    <s v="OM"/>
    <n v="448"/>
    <n v="450"/>
    <n v="2"/>
    <m/>
    <d v="2025-02-21T12:58:00"/>
    <d v="2025-02-21T12:44:00"/>
    <d v="2025-02-21T13:41:00"/>
    <n v="56.736111108330078"/>
    <n v="42.80092592986572"/>
    <m/>
    <d v="2025-02-20T16:31:00"/>
    <d v="2025-02-20T18:51:00"/>
    <n v="137.08333332877373"/>
    <m/>
    <d v="2025-02-22T08:17:00"/>
    <d v="2025-02-22T09:13:00"/>
    <n v="54.833333337664953"/>
    <m/>
    <n v="0.77499999999417923"/>
    <n v="2"/>
    <n v="1.2250000000058208"/>
    <n v="18.599999999860302"/>
    <n v="0"/>
    <n v="18.599999999860302"/>
    <n v="8.0000000000600853"/>
    <m/>
    <m/>
    <m/>
    <m/>
    <m/>
  </r>
  <r>
    <d v="2025-02-21T00:00:00"/>
    <x v="1"/>
    <m/>
    <s v="F15935"/>
    <s v="Manual"/>
    <s v="Mudunga Musa"/>
    <s v="UBE 678K"/>
    <s v="Boniface Harera"/>
    <n v="156"/>
    <s v="F15935"/>
    <s v="OM"/>
    <n v="448"/>
    <n v="447"/>
    <n v="-1"/>
    <m/>
    <d v="2025-02-21T11:13:00"/>
    <d v="2025-02-21T10:26:00"/>
    <d v="2025-02-21T11:55:00"/>
    <n v="88.587962959718425"/>
    <n v="41.805555556250816"/>
    <m/>
    <d v="2025-02-20T19:58:00"/>
    <d v="2025-02-20T22:52:00"/>
    <n v="170.37500000136788"/>
    <m/>
    <d v="2025-02-23T06:16:00"/>
    <d v="2025-02-23T07:07:00"/>
    <n v="49.93749999863212"/>
    <m/>
    <n v="1.7645833333299379"/>
    <n v="2"/>
    <n v="0.23541666667006211"/>
    <n v="42.349999999918509"/>
    <n v="12"/>
    <n v="30.349999999918509"/>
    <n v="5.1400329489429613"/>
    <m/>
    <m/>
    <m/>
    <m/>
    <m/>
  </r>
  <r>
    <d v="2025-02-21T00:00:00"/>
    <x v="1"/>
    <m/>
    <s v="Z82723"/>
    <s v="Manual"/>
    <s v="Eriku Alipa"/>
    <s v="UBK 858R"/>
    <s v="Kobusinge Steven-FPortal"/>
    <n v="156"/>
    <s v="Z82723"/>
    <s v="OM"/>
    <n v="304"/>
    <n v="306"/>
    <n v="2"/>
    <m/>
    <d v="2025-02-21T13:11:00"/>
    <d v="2025-02-21T13:30:00"/>
    <d v="2025-02-21T13:54:00"/>
    <n v="23.888888893755695"/>
    <n v="42.80092592986572"/>
    <m/>
    <d v="2025-02-20T16:52:00"/>
    <d v="2025-02-20T19:02:00"/>
    <n v="127.29166667122627"/>
    <m/>
    <d v="2025-02-23T06:16:00"/>
    <d v="2025-02-23T07:12:00"/>
    <n v="54.833333337664953"/>
    <m/>
    <n v="1.6819444444408873"/>
    <n v="2"/>
    <n v="0.31805555555911269"/>
    <n v="40.366666666581295"/>
    <n v="12"/>
    <n v="28.366666666581295"/>
    <n v="5.499412455950746"/>
    <m/>
    <m/>
    <m/>
    <m/>
    <m/>
  </r>
  <r>
    <d v="2025-02-21T00:00:00"/>
    <x v="1"/>
    <m/>
    <s v="OM55YD2RR"/>
    <s v="DJ"/>
    <s v="Kabene John"/>
    <s v="UBA 523T"/>
    <s v="Kabaco U Ltd-Mbarara "/>
    <n v="153.6"/>
    <s v="OM55YD2RR"/>
    <s v="OM"/>
    <n v="20"/>
    <n v="19"/>
    <n v="-1"/>
    <m/>
    <d v="2025-02-21T07:53:00"/>
    <d v="2025-02-21T08:32:00"/>
    <d v="2025-02-21T08:36:00"/>
    <n v="3.9814814840307613"/>
    <n v="42.80092592986572"/>
    <m/>
    <d v="2025-02-19T15:53:00"/>
    <d v="2025-02-19T18:07:00"/>
    <n v="131.20833333014161"/>
    <m/>
    <d v="2025-02-22T09:24:00"/>
    <d v="2025-02-22T10:21:00"/>
    <n v="55.81249999726424"/>
    <m/>
    <n v="1.0333333333401242"/>
    <n v="3"/>
    <n v="1.9666666666598758"/>
    <n v="24.800000000162981"/>
    <n v="12"/>
    <n v="12.800000000162981"/>
    <n v="11.999999999847205"/>
    <m/>
    <m/>
    <m/>
    <m/>
    <m/>
  </r>
  <r>
    <d v="2025-02-21T00:00:00"/>
    <x v="1"/>
    <m/>
    <s v="OM6ZFN7RR"/>
    <s v="DJ"/>
    <s v="Bisaso  Ronald"/>
    <s v="UBK 875R"/>
    <s v="Ntale and Sons"/>
    <n v="153.6"/>
    <s v="OM6ZFN7RR"/>
    <s v="OM"/>
    <n v="810"/>
    <n v="807"/>
    <n v="-3"/>
    <m/>
    <d v="2025-02-21T09:22:00"/>
    <d v="2025-02-21T09:39:00"/>
    <d v="2025-02-21T10:03:00"/>
    <n v="23.888888893755695"/>
    <n v="40.810185182635905"/>
    <m/>
    <d v="2025-02-20T15:04:00"/>
    <d v="2025-02-20T17:18:00"/>
    <n v="131.20833333014161"/>
    <m/>
    <d v="2025-02-22T07:36:00"/>
    <d v="2025-02-22T08:26:00"/>
    <n v="48.958333328773733"/>
    <m/>
    <n v="0.89791666666860692"/>
    <n v="2"/>
    <n v="1.1020833333313931"/>
    <n v="21.550000000046566"/>
    <n v="0"/>
    <n v="21.550000000046566"/>
    <n v="7.1276102088013031"/>
    <m/>
    <m/>
    <m/>
    <m/>
    <m/>
  </r>
  <r>
    <d v="2025-02-21T00:00:00"/>
    <x v="1"/>
    <m/>
    <s v="OME9UVIRR"/>
    <s v="DJ"/>
    <s v="Abel Mark naffa"/>
    <s v="UBJ 415C"/>
    <s v="Sawan Distributors Ltd-Kayabwe "/>
    <n v="153.6"/>
    <s v="OME9UVIRR"/>
    <s v="OM"/>
    <n v="382"/>
    <n v="384"/>
    <n v="2"/>
    <m/>
    <d v="2025-02-20T13:45:00"/>
    <d v="2025-02-20T13:58:00"/>
    <d v="2025-02-20T14:26:00"/>
    <n v="27.870370367357584"/>
    <n v="40.810185182635905"/>
    <m/>
    <d v="2025-02-20T14:32:00"/>
    <d v="2025-02-20T16:00:00"/>
    <n v="86.166666660283227"/>
    <m/>
    <d v="2025-02-21T08:44:00"/>
    <d v="2025-02-21T09:38:00"/>
    <n v="52.87499999794818"/>
    <m/>
    <n v="0.76249999999708962"/>
    <n v="2"/>
    <n v="1.2375000000029104"/>
    <n v="18.299999999930151"/>
    <n v="0"/>
    <n v="18.299999999930151"/>
    <n v="8.3934426229828567"/>
    <m/>
    <m/>
    <m/>
    <m/>
    <m/>
  </r>
  <r>
    <d v="2025-02-21T00:00:00"/>
    <x v="1"/>
    <m/>
    <s v="OMEOYKVRR"/>
    <s v="DJ"/>
    <s v="GODWIN  NIWENSIIMA"/>
    <s v="UAR 731Q"/>
    <s v="KATO INVESTMENTS LTD- KALISIZO "/>
    <n v="153.6"/>
    <s v="OMEOYKVRR"/>
    <s v="OM"/>
    <n v="350"/>
    <n v="352"/>
    <n v="2"/>
    <m/>
    <d v="2025-02-20T11:41:00"/>
    <d v="2025-02-20T11:34:00"/>
    <d v="2025-02-20T12:25:00"/>
    <n v="50.763888887498375"/>
    <n v="43.796296293051761"/>
    <m/>
    <d v="2025-02-20T19:05:00"/>
    <d v="2025-02-20T21:58:00"/>
    <n v="169.39583333150949"/>
    <m/>
    <d v="2025-02-21T08:45:00"/>
    <d v="2025-02-21T09:41:00"/>
    <n v="54.833333337664953"/>
    <m/>
    <n v="0.84722222222626442"/>
    <n v="2"/>
    <n v="1.1527777777737356"/>
    <n v="20.333333333430346"/>
    <n v="0"/>
    <n v="20.333333333430346"/>
    <n v="7.5540983606196956"/>
    <m/>
    <m/>
    <m/>
    <m/>
    <m/>
  </r>
  <r>
    <d v="2025-02-21T00:00:00"/>
    <x v="1"/>
    <m/>
    <s v="OMHDVM2RR"/>
    <s v="DJ"/>
    <s v="Isaac Tumuhimbise"/>
    <s v="UBE 287X"/>
    <s v="Rugoma Traders-Kanungu/Kihihi "/>
    <n v="153.6"/>
    <s v="OMHDVM2RR"/>
    <s v="OM"/>
    <n v="414"/>
    <n v="416"/>
    <n v="2"/>
    <m/>
    <d v="2025-02-20T12:47:00"/>
    <d v="2025-02-20T13:09:00"/>
    <d v="2025-02-20T13:28:00"/>
    <n v="18.912037036110025"/>
    <n v="40.810185182635905"/>
    <m/>
    <d v="2025-02-20T13:46:00"/>
    <d v="2025-02-20T20:27:00"/>
    <n v="392.64583333082555"/>
    <s v="less casuals and offloaded the next day"/>
    <d v="2025-02-21T12:54:00"/>
    <d v="2025-02-21T13:50:00"/>
    <n v="54.833333337664953"/>
    <m/>
    <n v="0.976388888884685"/>
    <n v="2"/>
    <n v="1.023611111115315"/>
    <n v="23.43333333323244"/>
    <n v="0"/>
    <n v="23.43333333323244"/>
    <n v="6.5547652916356185"/>
    <m/>
    <m/>
    <m/>
    <m/>
    <m/>
  </r>
  <r>
    <d v="2025-02-21T00:00:00"/>
    <x v="1"/>
    <m/>
    <s v="OMIWDB2RR"/>
    <s v="DJ"/>
    <s v="Jacob Oneka"/>
    <s v="UBE 422T"/>
    <s v="Kabaco U Ltd "/>
    <n v="153.6"/>
    <s v="OMIWDB2RR"/>
    <s v="OM"/>
    <n v="320"/>
    <n v="319"/>
    <n v="-1"/>
    <m/>
    <d v="2025-02-20T12:11:00"/>
    <d v="2025-02-20T11:47:00"/>
    <d v="2025-02-20T12:54:00"/>
    <n v="66.689814813192541"/>
    <n v="42.80092592986572"/>
    <m/>
    <d v="2025-02-21T16:52:00"/>
    <d v="2025-02-21T19:46:00"/>
    <n v="170.37500000136788"/>
    <m/>
    <d v="2025-02-21T16:35:00"/>
    <d v="2025-02-21T17:26:00"/>
    <n v="49.93749999863212"/>
    <m/>
    <n v="1.1534722222204437"/>
    <n v="2"/>
    <n v="0.84652777777955635"/>
    <n v="27.683333333290648"/>
    <n v="12"/>
    <n v="15.683333333290648"/>
    <n v="9.793836344341214"/>
    <m/>
    <m/>
    <m/>
    <m/>
    <m/>
  </r>
  <r>
    <d v="2025-02-21T00:00:00"/>
    <x v="1"/>
    <m/>
    <s v="OMRIVTMRR"/>
    <s v="DJ"/>
    <s v="SENTONG DAVID"/>
    <s v="UBP 298H"/>
    <s v="Kobusinge Steven-Kamwenge "/>
    <n v="156"/>
    <s v="OMRIVTMRR"/>
    <s v="OM"/>
    <n v="288"/>
    <n v="290"/>
    <n v="2"/>
    <m/>
    <d v="2025-02-20T21:41:00"/>
    <d v="2025-02-20T22:14:00"/>
    <d v="2025-02-20T22:22:00"/>
    <n v="7.9629629680615226"/>
    <n v="40.810185182635905"/>
    <m/>
    <d v="2025-02-20T10:57:00"/>
    <d v="2025-02-20T13:30:00"/>
    <n v="149.81249999589636"/>
    <m/>
    <d v="2025-02-23T06:12:00"/>
    <d v="2025-02-23T07:02:00"/>
    <n v="48.958333328773733"/>
    <m/>
    <n v="2.3263888888905058"/>
    <n v="2"/>
    <n v="-0.32638888889050577"/>
    <n v="55.833333333372138"/>
    <n v="24"/>
    <n v="31.833333333372138"/>
    <n v="4.9005235602034505"/>
    <m/>
    <m/>
    <m/>
    <m/>
    <m/>
  </r>
  <r>
    <d v="2025-02-21T00:00:00"/>
    <x v="1"/>
    <m/>
    <s v="OMC7YK7RR"/>
    <s v="DJ"/>
    <s v="Luyaga Isaac"/>
    <s v="UAY 265V"/>
    <s v="Kabaco U Ltd "/>
    <n v="153.6"/>
    <s v="OMC7YK7RR"/>
    <s v="OM"/>
    <n v="320"/>
    <n v="322"/>
    <n v="2"/>
    <m/>
    <d v="2025-02-20T10:09:00"/>
    <d v="2025-02-20T07:42:00"/>
    <d v="2025-02-20T10:52:00"/>
    <n v="189.12037037152913"/>
    <n v="42.80092592986572"/>
    <m/>
    <d v="2025-02-20T14:32:00"/>
    <d v="2025-02-20T16:00:00"/>
    <n v="86.166666660283227"/>
    <m/>
    <d v="2025-02-20T17:58:00"/>
    <d v="2025-02-20T18:51:00"/>
    <n v="51.895833338348893"/>
    <m/>
    <n v="0.29583333333721384"/>
    <n v="2"/>
    <n v="1.7041666666627862"/>
    <n v="7.1000000000931323"/>
    <n v="0"/>
    <n v="7.1000000000931323"/>
    <n v="21.633802816617631"/>
    <m/>
    <m/>
    <m/>
    <m/>
    <m/>
  </r>
  <r>
    <d v="2025-02-21T00:00:00"/>
    <x v="1"/>
    <m/>
    <s v="OM8QX4HRR"/>
    <s v="DJ"/>
    <s v="Kilabila Ismail"/>
    <s v="UBE 419T"/>
    <s v="Jusime Enterprises "/>
    <n v="153.6"/>
    <s v="OM8QX4HRR"/>
    <s v="OM"/>
    <n v="560"/>
    <n v="561"/>
    <n v="1"/>
    <m/>
    <d v="2025-02-20T09:02:00"/>
    <d v="2025-02-20T03:43:00"/>
    <d v="2025-02-20T09:43:00"/>
    <n v="358.33333333333331"/>
    <n v="40.810185182635905"/>
    <m/>
    <d v="2025-02-20T19:05:00"/>
    <d v="2025-02-20T21:59:00"/>
    <n v="170.37500000136788"/>
    <m/>
    <d v="2025-02-21T12:11:00"/>
    <d v="2025-02-21T13:02:00"/>
    <n v="49.93749999863212"/>
    <m/>
    <n v="1.1027777777781012"/>
    <n v="3"/>
    <n v="1.8972222222218988"/>
    <n v="26.466666666674428"/>
    <n v="12"/>
    <n v="14.466666666674428"/>
    <n v="10.617511520731631"/>
    <m/>
    <m/>
    <m/>
    <m/>
    <m/>
  </r>
  <r>
    <d v="2025-02-21T00:00:00"/>
    <x v="1"/>
    <m/>
    <s v="OM02W5MRR"/>
    <s v="DJ"/>
    <s v="Benon Ssempijja"/>
    <s v="UAY 526V"/>
    <s v="KATO INVESTMENTS LTD- KALISIZO "/>
    <n v="153.6"/>
    <s v="OM02W5MRR"/>
    <s v="OM"/>
    <n v="350"/>
    <n v="348"/>
    <n v="-2"/>
    <m/>
    <d v="2025-02-20T09:00:00"/>
    <d v="2025-02-19T20:30:00"/>
    <d v="2025-02-20T09:43:00"/>
    <n v="789.32870371111983"/>
    <n v="42.80092592986572"/>
    <m/>
    <d v="2025-02-20T20:33:00"/>
    <d v="2025-02-20T23:26:00"/>
    <n v="169.39583333150949"/>
    <m/>
    <d v="2025-02-23T15:33:00"/>
    <d v="2025-02-23T16:29:00"/>
    <n v="54.833333337664953"/>
    <m/>
    <n v="3.2430555555547471"/>
    <n v="2"/>
    <n v="-1.2430555555547471"/>
    <n v="77.833333333313931"/>
    <n v="36"/>
    <n v="41.833333333313931"/>
    <n v="3.6717131474120612"/>
    <m/>
    <m/>
    <m/>
    <m/>
    <m/>
  </r>
  <r>
    <d v="2025-02-22T00:00:00"/>
    <x v="1"/>
    <m/>
    <s v="A20905"/>
    <s v="Manual"/>
    <m/>
    <s v="UBR 903Y"/>
    <s v="Kato Investment Ltd -Mubende"/>
    <n v="156"/>
    <s v="A20905"/>
    <s v="OM"/>
    <n v="680"/>
    <n v="679"/>
    <n v="-1"/>
    <m/>
    <d v="2025-02-20T09:02:00"/>
    <d v="2025-02-20T03:43:00"/>
    <d v="2025-02-20T09:43:00"/>
    <n v="358.33333333333331"/>
    <n v="40.810185182635905"/>
    <m/>
    <d v="2025-02-20T17:28:00"/>
    <d v="2025-02-20T19:56:00"/>
    <n v="144.91666666712263"/>
    <m/>
    <d v="2025-02-21T07:43:00"/>
    <d v="2025-02-21T08:39:00"/>
    <n v="54.833333337664953"/>
    <m/>
    <n v="0.91666666666424135"/>
    <n v="3"/>
    <n v="2.0833333333357587"/>
    <n v="21.999999999941792"/>
    <n v="0"/>
    <n v="21.999999999941792"/>
    <n v="7.0909090909278518"/>
    <m/>
    <m/>
    <m/>
    <m/>
    <m/>
  </r>
  <r>
    <d v="2025-02-22T00:00:00"/>
    <x v="1"/>
    <m/>
    <s v="A20900"/>
    <s v="Manual"/>
    <s v="Faruk Abel"/>
    <s v="UBR 539W"/>
    <s v="Kato Investment Ltd -Mityana"/>
    <n v="156"/>
    <s v="A20900"/>
    <s v="OM"/>
    <n v="690"/>
    <n v="689"/>
    <n v="-1"/>
    <m/>
    <d v="2025-02-20T10:09:00"/>
    <d v="2025-02-20T07:42:00"/>
    <d v="2025-02-20T10:52:00"/>
    <n v="189.12037037152913"/>
    <n v="42.80092592986572"/>
    <m/>
    <d v="2025-02-20T11:11:00"/>
    <d v="2025-02-20T19:04:00"/>
    <n v="463.14583333492919"/>
    <s v="found another truck to be offloaded"/>
    <d v="2025-02-20T20:59:00"/>
    <d v="2025-02-20T21:56:00"/>
    <n v="55.81249999726424"/>
    <m/>
    <n v="0.42152777777664596"/>
    <n v="3"/>
    <n v="2.578472222223354"/>
    <n v="10.116666666639503"/>
    <n v="0"/>
    <n v="10.116666666639503"/>
    <n v="15.420098846828882"/>
    <m/>
    <m/>
    <m/>
    <m/>
    <m/>
  </r>
  <r>
    <d v="2025-02-22T00:00:00"/>
    <x v="1"/>
    <m/>
    <s v="Z82738"/>
    <s v="Manual"/>
    <m/>
    <s v="UBR 537W"/>
    <s v="Rugoma Traders-Rukungiri"/>
    <n v="43.2"/>
    <s v="Z82738"/>
    <s v="OM"/>
    <n v="256"/>
    <n v="258"/>
    <n v="2"/>
    <m/>
    <d v="2025-02-20T21:48:00"/>
    <d v="2025-02-20T02:30:00"/>
    <d v="2025-02-20T22:31:00"/>
    <n v="1195.4398148215357"/>
    <n v="42.80092592986572"/>
    <m/>
    <d v="2025-02-20T16:25:00"/>
    <d v="2025-02-20T19:25:00"/>
    <n v="176.25"/>
    <m/>
    <d v="2025-02-21T20:42:00"/>
    <d v="2025-02-21T21:42:00"/>
    <n v="58.7499999965803"/>
    <m/>
    <n v="0.92430555555620231"/>
    <n v="2"/>
    <n v="1.0756944444437977"/>
    <n v="22.183333333348855"/>
    <n v="0"/>
    <n v="22.183333333348855"/>
    <n v="1.9474079639355271"/>
    <m/>
    <m/>
    <m/>
    <m/>
    <m/>
  </r>
  <r>
    <d v="2025-02-22T00:00:00"/>
    <x v="1"/>
    <m/>
    <s v="A20904"/>
    <s v="Manual"/>
    <s v="Mulumba Kasim"/>
    <s v="UBE 680K"/>
    <s v="Kato Investment Ltd -Mityana"/>
    <n v="156"/>
    <s v="A20904"/>
    <s v="OM"/>
    <n v="690"/>
    <n v="688"/>
    <n v="-2"/>
    <m/>
    <d v="2025-02-21T12:05:00"/>
    <d v="2025-02-21T12:26:00"/>
    <d v="2025-02-21T12:45:00"/>
    <n v="18.912037036110025"/>
    <n v="39.814814819449872"/>
    <m/>
    <d v="2025-02-22T12:12:00"/>
    <d v="2025-02-22T20:06:00"/>
    <n v="464.12500000478758"/>
    <s v="Waited for empties from trade"/>
    <d v="2025-02-22T18:07:00"/>
    <d v="2025-02-22T19:00:00"/>
    <n v="51.895833338348893"/>
    <m/>
    <n v="1.2236111111124046"/>
    <n v="2"/>
    <n v="0.77638888888759539"/>
    <n v="29.366666666697711"/>
    <n v="12"/>
    <n v="17.366666666697711"/>
    <n v="8.9827255278150364"/>
    <m/>
    <m/>
    <m/>
    <m/>
    <m/>
  </r>
  <r>
    <d v="2025-02-22T00:00:00"/>
    <x v="1"/>
    <m/>
    <s v="A20907"/>
    <s v="Manual"/>
    <m/>
    <s v="UBR 533W"/>
    <s v="KATO INVESTMENTS LTD-KATIKARA"/>
    <n v="156"/>
    <s v="A20907"/>
    <s v="OM"/>
    <n v="790"/>
    <n v="789"/>
    <n v="-1"/>
    <m/>
    <d v="2025-02-22T07:29:00"/>
    <d v="2025-02-22T08:06:00"/>
    <d v="2025-02-22T08:34:00"/>
    <n v="27.870370367357584"/>
    <n v="64.699074076391597"/>
    <m/>
    <d v="2025-02-21T17:31:00"/>
    <d v="2025-02-21T19:37:00"/>
    <n v="123.37500000205182"/>
    <m/>
    <d v="2025-02-22T11:51:00"/>
    <d v="2025-02-22T12:42:00"/>
    <n v="49.93749999863212"/>
    <m/>
    <n v="0.1368055555576575"/>
    <n v="2"/>
    <n v="1.8631944444423425"/>
    <n v="3.28333333338378"/>
    <n v="0"/>
    <n v="3.28333333338378"/>
    <n v="47.51269035459994"/>
    <m/>
    <m/>
    <m/>
    <m/>
    <m/>
  </r>
  <r>
    <d v="2025-02-22T00:00:00"/>
    <x v="1"/>
    <m/>
    <s v="Z82739"/>
    <s v="Manual"/>
    <s v="Matovu Musa"/>
    <s v="UBR 538W"/>
    <s v="Kabaco U Ltd "/>
    <n v="156"/>
    <s v="Z82739"/>
    <s v="OM"/>
    <n v="320"/>
    <n v="321"/>
    <n v="1"/>
    <m/>
    <d v="2025-02-21T23:02:00"/>
    <d v="2025-02-21T23:34:00"/>
    <d v="2025-02-21T23:46:00"/>
    <n v="11.944444441663412"/>
    <n v="43.796296293051761"/>
    <m/>
    <d v="2025-02-21T13:24:00"/>
    <d v="2025-02-21T16:46:00"/>
    <n v="197.79166666507081"/>
    <s v="Waited for empties from trade"/>
    <d v="2025-02-22T07:38:00"/>
    <d v="2025-02-22T08:35:00"/>
    <n v="55.81249999726424"/>
    <m/>
    <n v="0.32777777778392192"/>
    <n v="2"/>
    <n v="1.6722222222160781"/>
    <n v="7.8666666668141261"/>
    <n v="0"/>
    <n v="7.8666666668141261"/>
    <n v="19.830508474204553"/>
    <m/>
    <m/>
    <m/>
    <m/>
    <m/>
  </r>
  <r>
    <d v="2025-02-22T00:00:00"/>
    <x v="1"/>
    <m/>
    <s v="Z82740"/>
    <s v="Manual"/>
    <s v="Taimwa Alex"/>
    <s v="UBJ 705D"/>
    <s v="Kabaco U Ltd "/>
    <n v="156"/>
    <s v="Z82740"/>
    <s v="OM"/>
    <n v="320"/>
    <n v="319"/>
    <n v="-1"/>
    <m/>
    <d v="2025-02-21T18:55:00"/>
    <d v="2025-02-21T19:15:00"/>
    <d v="2025-02-21T19:36:00"/>
    <n v="20.902777772910969"/>
    <n v="40.810185182635905"/>
    <m/>
    <d v="2025-02-20T21:36:00"/>
    <d v="2025-02-21T10:54:00"/>
    <n v="781.37500000273576"/>
    <s v="slept at the RD and offloaded the next day"/>
    <d v="2025-02-22T15:22:00"/>
    <d v="2025-02-22T16:19:00"/>
    <n v="55.81249999726424"/>
    <m/>
    <n v="0.82361111111094942"/>
    <n v="2"/>
    <n v="1.1763888888890506"/>
    <n v="19.766666666662786"/>
    <n v="0"/>
    <n v="19.766666666662786"/>
    <n v="7.8920741989897447"/>
    <m/>
    <m/>
    <m/>
    <m/>
    <m/>
  </r>
  <r>
    <d v="2025-02-22T00:00:00"/>
    <x v="1"/>
    <m/>
    <s v="Z82744"/>
    <s v="Manual"/>
    <s v="Lule Fred"/>
    <s v="UBP 310H"/>
    <s v="Kobusinge Acaali- Kyenjojo"/>
    <n v="117"/>
    <s v="Z82744"/>
    <s v="OM"/>
    <n v="580"/>
    <n v="581"/>
    <n v="1"/>
    <m/>
    <d v="2025-02-21T21:30:00"/>
    <d v="2025-02-21T20:48:00"/>
    <d v="2025-02-21T22:13:00"/>
    <n v="84.606481486116536"/>
    <n v="42.80092592986572"/>
    <m/>
    <d v="2025-02-21T10:33:00"/>
    <d v="2025-02-21T13:02:00"/>
    <n v="145.89583333698101"/>
    <m/>
    <d v="2025-02-22T11:26:00"/>
    <d v="2025-02-22T12:19:00"/>
    <n v="51.895833338348893"/>
    <m/>
    <n v="0.55069444444961846"/>
    <n v="2"/>
    <n v="1.4493055555503815"/>
    <n v="13.216666666790843"/>
    <n v="0"/>
    <n v="13.216666666790843"/>
    <n v="8.8524590163102701"/>
    <m/>
    <m/>
    <m/>
    <m/>
    <m/>
  </r>
  <r>
    <d v="2025-02-22T00:00:00"/>
    <x v="1"/>
    <m/>
    <s v="F15941"/>
    <s v="Manual"/>
    <s v="Kyakulaga James"/>
    <s v="UBJ 419C"/>
    <s v="KATO INVESTMENTS LIMITED-MASAK"/>
    <n v="156"/>
    <s v="F15941"/>
    <s v="OM"/>
    <n v="298"/>
    <n v="296"/>
    <n v="-2"/>
    <m/>
    <d v="2025-02-21T21:21:00"/>
    <d v="2025-02-21T21:36:00"/>
    <d v="2025-02-21T22:04:00"/>
    <n v="27.870370367357584"/>
    <n v="42.80092592986572"/>
    <m/>
    <d v="2025-02-22T10:47:00"/>
    <d v="2025-02-22T16:52:00"/>
    <n v="357.39583332877373"/>
    <s v="Waited for empties from trade"/>
    <d v="2025-02-22T14:05:00"/>
    <d v="2025-02-22T15:00:00"/>
    <n v="53.854166667806567"/>
    <m/>
    <n v="0.66736111111094942"/>
    <n v="2"/>
    <n v="1.3326388888890506"/>
    <n v="16.016666666662786"/>
    <n v="0"/>
    <n v="16.016666666662786"/>
    <n v="9.7398543184206741"/>
    <m/>
    <m/>
    <m/>
    <m/>
    <m/>
  </r>
  <r>
    <d v="2025-02-22T00:00:00"/>
    <x v="1"/>
    <m/>
    <s v="F15942"/>
    <s v="Manual"/>
    <s v="ZIWA ABASI"/>
    <s v="UBJ 420C"/>
    <s v="Boniface Harera"/>
    <n v="156"/>
    <s v="F15942"/>
    <s v="OM"/>
    <n v="448"/>
    <n v="445"/>
    <n v="-3"/>
    <m/>
    <d v="2025-02-21T20:47:00"/>
    <d v="2025-02-21T21:22:00"/>
    <d v="2025-02-21T21:30:00"/>
    <n v="7.9629629680615226"/>
    <n v="42.80092592986572"/>
    <m/>
    <d v="2025-02-21T10:52:00"/>
    <d v="2025-02-21T19:06:00"/>
    <n v="483.70833333014161"/>
    <s v="found another truck at RD"/>
    <d v="2025-02-24T17:13:00"/>
    <d v="2025-02-24T18:05:00"/>
    <n v="50.916666668490507"/>
    <m/>
    <n v="2.8215277777781012"/>
    <n v="2"/>
    <n v="-0.82152777777810115"/>
    <n v="67.716666666674428"/>
    <n v="24"/>
    <n v="43.716666666674428"/>
    <n v="3.5684330918788936"/>
    <m/>
    <m/>
    <m/>
    <m/>
    <m/>
  </r>
  <r>
    <d v="2025-02-22T00:00:00"/>
    <x v="1"/>
    <m/>
    <s v="A20902"/>
    <s v="Manual"/>
    <m/>
    <s v="UBR 868Y"/>
    <s v="Kato Investments Ltd- Kyegegwa"/>
    <n v="156"/>
    <s v="A20902"/>
    <s v="OM"/>
    <n v="600"/>
    <n v="602"/>
    <n v="2"/>
    <m/>
    <d v="2025-02-21T20:44:00"/>
    <d v="2025-02-21T21:16:00"/>
    <d v="2025-02-21T21:28:00"/>
    <n v="11.944444441663412"/>
    <n v="43.796296293051761"/>
    <m/>
    <d v="2025-02-21T15:53:00"/>
    <d v="2025-02-21T18:47:00"/>
    <n v="170.37500000136788"/>
    <m/>
    <d v="2025-02-22T11:42:00"/>
    <d v="2025-02-22T12:33:00"/>
    <n v="49.93749999863212"/>
    <m/>
    <n v="0.59305555556056788"/>
    <n v="3"/>
    <n v="2.4069444444394321"/>
    <n v="14.233333333453629"/>
    <n v="0"/>
    <n v="14.233333333453629"/>
    <n v="10.960187353537345"/>
    <m/>
    <m/>
    <m/>
    <m/>
    <m/>
  </r>
  <r>
    <d v="2025-02-22T00:00:00"/>
    <x v="1"/>
    <m/>
    <s v="F15938"/>
    <s v="Manual"/>
    <m/>
    <s v="UBR 535W"/>
    <s v="Boniface Harera"/>
    <n v="156"/>
    <s v="F15938"/>
    <s v="OM"/>
    <n v="448"/>
    <n v="445"/>
    <n v="-3"/>
    <m/>
    <d v="2025-02-21T19:07:00"/>
    <d v="2025-02-21T19:30:00"/>
    <d v="2025-02-21T19:51:00"/>
    <n v="20.902777772910969"/>
    <n v="43.796296293051761"/>
    <m/>
    <d v="2025-02-22T15:19:00"/>
    <d v="2025-02-22T17:25:00"/>
    <n v="123.37500000205182"/>
    <m/>
    <d v="2025-02-23T15:52:00"/>
    <d v="2025-02-23T16:46:00"/>
    <n v="52.87499999794818"/>
    <m/>
    <n v="1.8340277777824667"/>
    <n v="2"/>
    <n v="0.16597222221753327"/>
    <n v="44.016666666779201"/>
    <n v="12"/>
    <n v="32.016666666779201"/>
    <n v="4.8724622592228535"/>
    <m/>
    <m/>
    <m/>
    <m/>
    <m/>
  </r>
  <r>
    <d v="2025-02-22T00:00:00"/>
    <x v="1"/>
    <m/>
    <s v="OMUPC2WRR"/>
    <s v="DJ"/>
    <s v="Benon Ssempijja"/>
    <s v="UAY 526V"/>
    <s v="Sawan Distributors "/>
    <n v="153.6"/>
    <s v="OMUPC2WRR"/>
    <s v="OM"/>
    <n v="560"/>
    <n v="562"/>
    <n v="2"/>
    <m/>
    <d v="2025-02-21T13:59:00"/>
    <d v="2025-02-21T14:12:00"/>
    <d v="2025-02-21T14:40:00"/>
    <n v="27.870370367357584"/>
    <n v="40.810185182635905"/>
    <m/>
    <d v="2025-02-22T08:49:00"/>
    <d v="2025-02-22T12:34:00"/>
    <n v="220.3125"/>
    <s v="found another truck at the RD"/>
    <d v="2025-02-22T19:27:00"/>
    <d v="2025-02-22T20:18:00"/>
    <n v="49.93749999863212"/>
    <m/>
    <n v="1.1993055555576575"/>
    <n v="2"/>
    <n v="0.8006944444423425"/>
    <n v="28.78333333338378"/>
    <n v="12"/>
    <n v="16.78333333338378"/>
    <n v="9.1519364448582898"/>
    <m/>
    <m/>
    <m/>
    <m/>
    <m/>
  </r>
  <r>
    <d v="2025-02-22T00:00:00"/>
    <x v="1"/>
    <m/>
    <s v="OMEBZ2HRR"/>
    <s v="DJ"/>
    <s v="Kabene John"/>
    <s v="UBA 523T"/>
    <s v="SAGAR TRADING CO. LTD- MUKONO "/>
    <n v="153.6"/>
    <s v="OMEBZ2HRR"/>
    <s v="OM"/>
    <n v="302"/>
    <n v="304"/>
    <n v="2"/>
    <m/>
    <d v="2025-02-21T21:12:00"/>
    <d v="2025-02-21T21:41:00"/>
    <d v="2025-02-21T21:52:00"/>
    <n v="10.949074078477375"/>
    <n v="39.814814819449872"/>
    <m/>
    <d v="2025-02-21T11:49:00"/>
    <d v="2025-02-21T17:10:00"/>
    <n v="314.31250000889122"/>
    <s v="found another truck at the RD and offloaded the next day"/>
    <d v="2025-02-22T17:58:00"/>
    <d v="2025-02-22T18:58:00"/>
    <n v="58.7499999965803"/>
    <m/>
    <n v="0.83750000000145519"/>
    <n v="2"/>
    <n v="1.1624999999985448"/>
    <n v="20.100000000034925"/>
    <n v="0"/>
    <n v="20.100000000034925"/>
    <n v="7.641791044762841"/>
    <m/>
    <m/>
    <m/>
    <m/>
    <m/>
  </r>
  <r>
    <d v="2025-02-23T00:00:00"/>
    <x v="1"/>
    <m/>
    <s v="A20937"/>
    <s v="Manual"/>
    <s v="kayanja Sam"/>
    <s v="UBF 379L"/>
    <s v="Kato Investment Ltd -Mubende"/>
    <n v="156"/>
    <s v="A20937"/>
    <s v="OM"/>
    <n v="680"/>
    <n v="678"/>
    <n v="-2"/>
    <m/>
    <d v="2025-02-21T18:09:00"/>
    <d v="2025-02-21T18:24:00"/>
    <d v="2025-02-21T18:52:00"/>
    <n v="27.870370367357584"/>
    <n v="42.80092592986572"/>
    <m/>
    <d v="2025-02-22T09:12:00"/>
    <d v="2025-02-22T13:29:00"/>
    <n v="251.64583333287737"/>
    <s v="Waited for empties from trade"/>
    <d v="2025-02-22T10:22:00"/>
    <d v="2025-02-22T11:18:00"/>
    <n v="54.833333337664953"/>
    <m/>
    <n v="0.64583333332848269"/>
    <n v="2"/>
    <n v="1.3541666666715173"/>
    <n v="15.499999999883585"/>
    <n v="0"/>
    <n v="15.499999999883585"/>
    <n v="10.064516129107849"/>
    <m/>
    <m/>
    <m/>
    <m/>
    <m/>
  </r>
  <r>
    <d v="2025-02-23T00:00:00"/>
    <x v="1"/>
    <m/>
    <s v="A20941"/>
    <s v="Manual"/>
    <s v="Nminya Siraje"/>
    <s v="UBP 301H"/>
    <s v="Kato Investments Ltd-Bulenga"/>
    <n v="156"/>
    <s v="A20941"/>
    <s v="OM"/>
    <n v="810"/>
    <n v="812"/>
    <n v="2"/>
    <m/>
    <d v="2025-02-21T13:01:00"/>
    <d v="2025-02-20T21:40:00"/>
    <d v="2025-02-21T13:41:00"/>
    <n v="956.55092592569417"/>
    <n v="39.814814819449872"/>
    <m/>
    <d v="2025-02-21T17:31:00"/>
    <d v="2025-02-21T19:37:00"/>
    <n v="123.37500000205182"/>
    <m/>
    <d v="2025-02-22T07:43:00"/>
    <d v="2025-02-22T08:43:00"/>
    <n v="58.7499999965803"/>
    <m/>
    <n v="0.75138888888614019"/>
    <n v="3"/>
    <n v="2.2486111111138598"/>
    <n v="18.033333333267365"/>
    <n v="0"/>
    <n v="18.033333333267365"/>
    <n v="8.6506469501240666"/>
    <m/>
    <m/>
    <m/>
    <m/>
    <m/>
  </r>
  <r>
    <d v="2025-02-23T00:00:00"/>
    <x v="1"/>
    <m/>
    <s v="Z82767"/>
    <s v="Manual"/>
    <s v="Ntumwa Solomon"/>
    <s v="UBR 540W"/>
    <s v="Rugoma Traders-Rukungiri"/>
    <n v="156"/>
    <s v="Z82767"/>
    <s v="OM"/>
    <n v="256"/>
    <n v="258"/>
    <n v="2"/>
    <m/>
    <d v="2025-02-21T10:54:00"/>
    <d v="2025-02-21T03:43:00"/>
    <d v="2025-02-21T11:37:00"/>
    <n v="471.80555554999347"/>
    <n v="42.80092592986572"/>
    <m/>
    <d v="2025-02-21T13:24:00"/>
    <d v="2025-02-21T16:46:00"/>
    <n v="197.79166666507081"/>
    <s v="Reached late and offloaded the next day"/>
    <d v="2025-02-24T17:13:00"/>
    <d v="2025-02-24T18:13:00"/>
    <n v="58.7499999965803"/>
    <m/>
    <n v="3.2333333333372138"/>
    <n v="2"/>
    <n v="-1.2333333333372138"/>
    <n v="77.600000000093132"/>
    <n v="36"/>
    <n v="41.600000000093132"/>
    <n v="3.7499999999916045"/>
    <m/>
    <m/>
    <m/>
    <m/>
    <m/>
  </r>
  <r>
    <d v="2025-02-23T00:00:00"/>
    <x v="1"/>
    <m/>
    <s v="A20938"/>
    <s v="Manual"/>
    <s v="Ngobi Fred"/>
    <s v="UBK 866R"/>
    <s v="KATO INVESTMENTS LTD-KATIKARA"/>
    <n v="156"/>
    <s v="A20938"/>
    <s v="OM"/>
    <n v="400"/>
    <n v="402"/>
    <n v="2"/>
    <m/>
    <d v="2025-02-21T11:11:00"/>
    <d v="2025-02-21T01:59:00"/>
    <d v="2025-02-21T11:55:00"/>
    <n v="593.24074074514408"/>
    <n v="43.796296293051761"/>
    <m/>
    <d v="2025-02-20T21:36:00"/>
    <d v="2025-02-21T10:54:00"/>
    <n v="781.37500000273576"/>
    <s v="Waited for empties from trade"/>
    <d v="2025-02-22T17:58:00"/>
    <d v="2025-02-22T18:52:00"/>
    <n v="52.87499999794818"/>
    <m/>
    <n v="1.2520833333328483"/>
    <n v="3"/>
    <n v="1.7479166666671517"/>
    <n v="30.049999999988358"/>
    <n v="12"/>
    <n v="18.049999999988358"/>
    <n v="8.6426592797839668"/>
    <m/>
    <m/>
    <m/>
    <m/>
    <m/>
  </r>
  <r>
    <d v="2025-02-23T00:00:00"/>
    <x v="1"/>
    <m/>
    <s v="F15956"/>
    <s v="Manual"/>
    <s v="SENTONG DAVID"/>
    <s v="UBP 298H"/>
    <s v="Boniface Harera"/>
    <n v="156"/>
    <s v="F15956"/>
    <s v="OM"/>
    <n v="448"/>
    <n v="449"/>
    <n v="1"/>
    <m/>
    <d v="2025-02-21T20:14:00"/>
    <d v="2025-02-21T03:17:00"/>
    <d v="2025-02-21T20:57:00"/>
    <n v="1055.092592590275"/>
    <n v="42.80092592986572"/>
    <m/>
    <d v="2025-02-22T17:49:00"/>
    <d v="2025-02-23T10:09:00"/>
    <n v="959.58333334245253"/>
    <s v="Reached late and offloaded the next day"/>
    <d v="2025-02-22T19:27:00"/>
    <d v="2025-02-22T20:18:00"/>
    <n v="49.93749999863212"/>
    <m/>
    <n v="0.9375"/>
    <n v="2"/>
    <n v="1.0625"/>
    <n v="22.5"/>
    <n v="0"/>
    <n v="22.5"/>
    <n v="6.9333333333333336"/>
    <m/>
    <m/>
    <m/>
    <m/>
    <m/>
  </r>
  <r>
    <d v="2025-02-23T00:00:00"/>
    <x v="1"/>
    <m/>
    <s v="Z82769"/>
    <s v="Manual"/>
    <s v="Byanshala Stoney"/>
    <s v="UBP 312H"/>
    <s v="Kobusinge Steven-FPortal"/>
    <n v="156"/>
    <s v="Z82769"/>
    <s v="OM"/>
    <n v="304"/>
    <n v="306"/>
    <n v="2"/>
    <m/>
    <d v="2025-02-21T20:15:00"/>
    <d v="2025-02-21T03:17:00"/>
    <d v="2025-02-21T20:57:00"/>
    <n v="1055.092592590275"/>
    <n v="41.805555556250816"/>
    <m/>
    <d v="2025-02-22T09:12:00"/>
    <d v="2025-02-22T13:29:00"/>
    <n v="251.64583333287737"/>
    <s v="truck faulty"/>
    <d v="2025-02-22T18:07:00"/>
    <d v="2025-02-22T19:04:00"/>
    <n v="55.81249999726424"/>
    <m/>
    <n v="0.88194444444525288"/>
    <n v="2"/>
    <n v="1.1180555555547471"/>
    <n v="21.166666666686069"/>
    <n v="0"/>
    <n v="21.166666666686069"/>
    <n v="7.3700787401507242"/>
    <m/>
    <m/>
    <m/>
    <m/>
    <m/>
  </r>
  <r>
    <d v="2025-02-23T00:00:00"/>
    <x v="1"/>
    <m/>
    <s v="A20942"/>
    <s v="Manual"/>
    <s v="Sentongo paul"/>
    <s v="UBR 541W"/>
    <s v="Kato Investments Ltd- Kyegegwa"/>
    <n v="156"/>
    <s v="A20942"/>
    <s v="OM"/>
    <n v="600"/>
    <n v="602"/>
    <n v="2"/>
    <m/>
    <d v="2025-02-21T12:57:00"/>
    <d v="2025-02-20T21:40:00"/>
    <d v="2025-02-21T13:41:00"/>
    <n v="956.55092592569417"/>
    <n v="43.796296293051761"/>
    <m/>
    <d v="2025-02-22T10:47:00"/>
    <d v="2025-02-22T16:52:00"/>
    <n v="357.39583332877373"/>
    <s v="Waited for empties from trade"/>
    <d v="2025-02-24T17:13:00"/>
    <d v="2025-02-24T18:29:00"/>
    <n v="74.416666663018987"/>
    <s v="pre trip inspections"/>
    <n v="3.1472222222218988"/>
    <n v="3"/>
    <n v="-0.14722222222189885"/>
    <n v="75.533333333325572"/>
    <n v="36"/>
    <n v="39.533333333325572"/>
    <n v="3.9460370994948724"/>
    <m/>
    <m/>
    <m/>
    <m/>
    <m/>
  </r>
  <r>
    <d v="2025-02-23T00:00:00"/>
    <x v="1"/>
    <m/>
    <s v="Z82750"/>
    <s v="Manual"/>
    <m/>
    <s v="UBJ 421C"/>
    <s v="Kobusinge Steven-FPortal"/>
    <n v="156"/>
    <s v="Z82750"/>
    <s v="OM"/>
    <n v="304"/>
    <n v="306"/>
    <n v="2"/>
    <m/>
    <d v="2025-02-21T11:13:00"/>
    <d v="2025-02-21T01:59:00"/>
    <d v="2025-02-21T11:55:00"/>
    <n v="593.24074074514408"/>
    <n v="41.805555556250816"/>
    <m/>
    <d v="2025-02-22T08:49:00"/>
    <d v="2025-02-22T12:34:00"/>
    <n v="220.3125"/>
    <s v="found another truck to be offloaded"/>
    <d v="2025-02-22T17:58:00"/>
    <d v="2025-02-22T18:58:00"/>
    <n v="58.7499999965803"/>
    <m/>
    <n v="1.2520833333328483"/>
    <n v="2"/>
    <n v="0.74791666666715173"/>
    <n v="30.049999999988358"/>
    <n v="12"/>
    <n v="18.049999999988358"/>
    <n v="8.6426592797839668"/>
    <m/>
    <m/>
    <m/>
    <m/>
    <m/>
  </r>
  <r>
    <d v="2025-02-23T00:00:00"/>
    <x v="1"/>
    <m/>
    <s v="Z82752"/>
    <s v="Manual"/>
    <s v="Kabanda Ronald"/>
    <s v="UBE 684K"/>
    <s v="Kobusinge Steven-FPortal"/>
    <n v="156"/>
    <s v="Z82752"/>
    <s v="OM"/>
    <n v="304"/>
    <n v="306"/>
    <n v="2"/>
    <m/>
    <d v="2025-02-21T13:10:00"/>
    <d v="2025-02-21T04:19:00"/>
    <d v="2025-02-21T13:54:00"/>
    <n v="572.33796297223307"/>
    <n v="43.796296293051761"/>
    <m/>
    <d v="2025-02-22T15:19:00"/>
    <d v="2025-02-22T17:25:00"/>
    <n v="123.37500000205182"/>
    <m/>
    <d v="2025-02-23T12:38:00"/>
    <d v="2025-02-23T13:36:00"/>
    <n v="56.791666667122627"/>
    <m/>
    <n v="1.9472222222175333"/>
    <n v="2"/>
    <n v="5.2777777782466728E-2"/>
    <n v="46.733333333220799"/>
    <n v="12"/>
    <n v="34.733333333220799"/>
    <n v="4.4913627639300993"/>
    <m/>
    <m/>
    <m/>
    <m/>
    <m/>
  </r>
  <r>
    <d v="2025-02-23T00:00:00"/>
    <x v="1"/>
    <m/>
    <s v="F15952"/>
    <s v="Manual"/>
    <s v="Nakalya John"/>
    <s v="UBM 648D"/>
    <s v="Boniface Harera"/>
    <n v="156"/>
    <s v="F15952"/>
    <s v="OM"/>
    <n v="448"/>
    <n v="450"/>
    <n v="2"/>
    <m/>
    <d v="2025-02-21T10:56:00"/>
    <d v="2025-02-21T03:43:00"/>
    <d v="2025-02-21T11:37:00"/>
    <n v="471.80555554999347"/>
    <n v="40.810185182635905"/>
    <m/>
    <d v="2025-02-21T19:02:00"/>
    <d v="2025-02-21T21:54:00"/>
    <n v="168.41666666165111"/>
    <m/>
    <d v="2025-02-22T19:27:00"/>
    <d v="2025-02-22T20:23:00"/>
    <n v="54.833333337664953"/>
    <m/>
    <n v="1.3263888888905058"/>
    <n v="2"/>
    <n v="0.67361111110949423"/>
    <n v="31.833333333372138"/>
    <n v="12"/>
    <n v="19.833333333372138"/>
    <n v="7.865546218472006"/>
    <m/>
    <m/>
    <m/>
    <m/>
    <m/>
  </r>
  <r>
    <d v="2025-02-23T00:00:00"/>
    <x v="1"/>
    <m/>
    <s v="OM0BXO6RR"/>
    <s v="DJ"/>
    <s v="Luyaga Isaac"/>
    <s v="UAY 265V"/>
    <s v="Jusime Enterprises "/>
    <n v="153.6"/>
    <s v="OM0BXO6RR"/>
    <s v="OM"/>
    <n v="560"/>
    <n v="558"/>
    <n v="-2"/>
    <m/>
    <d v="2025-02-21T09:23:00"/>
    <d v="2025-02-21T07:42:00"/>
    <d v="2025-02-21T10:03:00"/>
    <n v="140.3472222208317"/>
    <n v="39.814814819449872"/>
    <m/>
    <d v="2025-02-21T10:33:00"/>
    <d v="2025-02-21T13:02:00"/>
    <n v="145.89583333698101"/>
    <m/>
    <d v="2025-02-21T14:05:00"/>
    <d v="2025-02-21T15:05:00"/>
    <n v="58.7499999965803"/>
    <m/>
    <n v="0.1680555555576575"/>
    <n v="3"/>
    <n v="2.8319444444423425"/>
    <n v="4.03333333338378"/>
    <n v="0"/>
    <n v="4.03333333338378"/>
    <n v="38.082644627622855"/>
    <m/>
    <m/>
    <m/>
    <m/>
    <m/>
  </r>
  <r>
    <d v="2025-02-23T00:00:00"/>
    <x v="1"/>
    <m/>
    <s v="OM0QHSLRR"/>
    <s v="DJ"/>
    <s v="Benon Ssempijja"/>
    <s v="UAY 526V"/>
    <s v="Ssempa Investments Limited"/>
    <n v="153.6"/>
    <s v="OM0QHSLRR"/>
    <s v="OM"/>
    <n v="560"/>
    <n v="558"/>
    <n v="-2"/>
    <m/>
    <d v="2025-02-21T12:12:00"/>
    <d v="2025-02-20T16:40:00"/>
    <d v="2025-02-21T12:54:00"/>
    <n v="1208.3796296263852"/>
    <n v="41.805555556250816"/>
    <m/>
    <d v="2025-02-21T15:53:00"/>
    <d v="2025-02-21T18:41:00"/>
    <n v="164.50000000273576"/>
    <m/>
    <d v="2025-02-23T15:52:00"/>
    <d v="2025-02-23T16:49:00"/>
    <n v="55.81249999726424"/>
    <m/>
    <n v="2.1236111111138598"/>
    <n v="3"/>
    <n v="0.87638888888614019"/>
    <n v="50.966666666732635"/>
    <n v="24"/>
    <n v="26.966666666732635"/>
    <n v="5.6959208899737046"/>
    <m/>
    <m/>
    <m/>
    <m/>
    <m/>
  </r>
  <r>
    <d v="2025-02-23T00:00:00"/>
    <x v="1"/>
    <m/>
    <s v="OM2FUCTRR"/>
    <s v="DJ"/>
    <s v="Isaac Tumuhimbise"/>
    <s v="UBE 287X"/>
    <s v="KATO INVESTMENTS LTD- KALISIZO "/>
    <n v="153.6"/>
    <s v="OM2FUCTRR"/>
    <s v="OM"/>
    <n v="350"/>
    <n v="351"/>
    <n v="1"/>
    <m/>
    <d v="2025-02-21T21:39:00"/>
    <d v="2025-02-21T02:22:00"/>
    <d v="2025-02-21T22:22:00"/>
    <n v="1194.4444444374919"/>
    <n v="42.80092592986572"/>
    <m/>
    <d v="2025-02-21T10:52:00"/>
    <d v="2025-02-21T19:06:00"/>
    <n v="483.70833333014161"/>
    <s v="found another truck at the RD"/>
    <d v="2025-02-22T11:42:00"/>
    <d v="2025-02-22T12:39:00"/>
    <n v="55.81249999726424"/>
    <m/>
    <n v="0.55555555556202307"/>
    <n v="2"/>
    <n v="1.4444444444379769"/>
    <n v="13.333333333488554"/>
    <n v="0"/>
    <n v="13.333333333488554"/>
    <n v="11.51999999986589"/>
    <m/>
    <m/>
    <m/>
    <m/>
    <m/>
  </r>
  <r>
    <d v="2025-02-23T00:00:00"/>
    <x v="1"/>
    <m/>
    <s v="OMF0NLXRR"/>
    <s v="DJ"/>
    <s v="Kilabila Ismail"/>
    <s v="UBE 419T"/>
    <s v="Kabaco U Ltd-Mbarara "/>
    <n v="153.6"/>
    <s v="OMF0NLXRR"/>
    <s v="OM"/>
    <n v="20"/>
    <n v="21"/>
    <n v="1"/>
    <m/>
    <d v="2025-02-25T11:29:00"/>
    <d v="2025-02-25T11:49:00"/>
    <d v="2025-02-25T12:12:00"/>
    <n v="22.893518520140788"/>
    <n v="42.80092592986572"/>
    <m/>
    <d v="2025-02-23T14:31:00"/>
    <d v="2025-02-23T17:04:00"/>
    <n v="149.81249999589636"/>
    <m/>
    <d v="2025-02-26T10:36:00"/>
    <d v="2025-02-26T11:31:00"/>
    <n v="53.854166667806567"/>
    <m/>
    <n v="0.93333333333430346"/>
    <n v="3"/>
    <n v="2.0666666666656965"/>
    <n v="22.400000000023283"/>
    <n v="0"/>
    <n v="22.400000000023283"/>
    <n v="6.8571428571357291"/>
    <m/>
    <m/>
    <m/>
    <m/>
    <m/>
  </r>
  <r>
    <d v="2025-02-23T00:00:00"/>
    <x v="1"/>
    <m/>
    <s v="OME6941RR"/>
    <s v="DJ"/>
    <s v="Jacob Oneka"/>
    <s v="UBE 422T"/>
    <s v="KATO INVESTMENTS LIMITED-MASAK"/>
    <n v="153.6"/>
    <s v="OME6941RR"/>
    <s v="OM"/>
    <n v="298"/>
    <n v="296"/>
    <n v="-2"/>
    <m/>
    <d v="2025-02-24T13:28:00"/>
    <d v="2025-02-24T13:55:00"/>
    <d v="2025-02-24T14:12:00"/>
    <n v="16.921296299309081"/>
    <n v="43.796296293051761"/>
    <m/>
    <d v="2025-02-22T07:10:00"/>
    <d v="2025-02-22T16:18:00"/>
    <n v="536.58333333834889"/>
    <s v="Waited for empties from trade"/>
    <d v="2025-02-25T15:25:00"/>
    <d v="2025-02-25T16:25:00"/>
    <n v="58.7499999965803"/>
    <m/>
    <n v="1.0506944444423425"/>
    <n v="2"/>
    <n v="0.9493055555576575"/>
    <n v="25.21666666661622"/>
    <n v="12"/>
    <n v="13.21666666661622"/>
    <n v="11.62168978566857"/>
    <m/>
    <m/>
    <m/>
    <m/>
    <m/>
  </r>
  <r>
    <d v="2025-02-23T00:00:00"/>
    <x v="1"/>
    <m/>
    <s v="OMR1XSFRR"/>
    <s v="DJ"/>
    <s v="MUKOSE MUZAMIRU"/>
    <s v="UBJ 417C"/>
    <s v="Kachain Logistics Ltd "/>
    <n v="153.6"/>
    <s v="OMR1XSFRR"/>
    <s v="OM"/>
    <n v="560"/>
    <n v="562"/>
    <n v="2"/>
    <m/>
    <d v="2025-02-23T07:09:00"/>
    <d v="2025-02-23T07:23:00"/>
    <d v="2025-02-23T07:51:00"/>
    <n v="27.870370367357584"/>
    <n v="41.805555556250816"/>
    <m/>
    <d v="2025-02-23T19:10:00"/>
    <d v="2025-02-24T11:33:00"/>
    <n v="962.52083333150949"/>
    <s v="Reached late and offloaded the next day"/>
    <d v="2025-02-23T12:39:00"/>
    <d v="2025-02-23T13:55:00"/>
    <n v="74.416666663018987"/>
    <s v="sorting delays"/>
    <n v="0.20000000000436557"/>
    <n v="3"/>
    <n v="2.7999999999956344"/>
    <n v="4.8000000001047738"/>
    <n v="0"/>
    <n v="4.8000000001047738"/>
    <n v="31.999999999301508"/>
    <m/>
    <m/>
    <m/>
    <m/>
    <m/>
  </r>
  <r>
    <d v="2025-02-24T00:00:00"/>
    <x v="1"/>
    <m/>
    <s v="A20952"/>
    <s v="Manual"/>
    <m/>
    <s v="UBE 692K"/>
    <s v="KATO INVESTMENTS LTD-KATIKARA"/>
    <n v="156"/>
    <s v="A20952"/>
    <s v="OM"/>
    <n v="790"/>
    <n v="792"/>
    <n v="2"/>
    <m/>
    <d v="2025-02-22T15:01:00"/>
    <d v="2025-02-22T15:22:00"/>
    <d v="2025-02-22T15:43:00"/>
    <n v="20.902777772910969"/>
    <n v="41.805555556250816"/>
    <m/>
    <d v="2025-02-22T10:43:00"/>
    <d v="2025-02-22T16:03:00"/>
    <n v="313.33333332877373"/>
    <s v="Waited for empties from trade"/>
    <d v="2025-02-23T12:39:00"/>
    <d v="2025-02-23T13:30:00"/>
    <n v="49.93749999863212"/>
    <m/>
    <n v="0.87222222222044365"/>
    <n v="3"/>
    <n v="2.1277777777795563"/>
    <n v="20.933333333290648"/>
    <n v="0"/>
    <n v="20.933333333290648"/>
    <n v="7.4522292993782537"/>
    <m/>
    <m/>
    <m/>
    <m/>
    <m/>
  </r>
  <r>
    <d v="2025-02-24T00:00:00"/>
    <x v="1"/>
    <m/>
    <s v="Z82777"/>
    <s v="Manual"/>
    <m/>
    <s v="UBG 084B"/>
    <s v="Kobusinge Steven-FPortal"/>
    <n v="156"/>
    <s v="Z82777"/>
    <s v="OM"/>
    <n v="304"/>
    <n v="302"/>
    <n v="-2"/>
    <m/>
    <d v="2025-02-22T10:48:00"/>
    <d v="2025-02-22T11:20:00"/>
    <d v="2025-02-22T11:32:00"/>
    <n v="11.944444441663412"/>
    <n v="43.796296293051761"/>
    <m/>
    <d v="2025-02-22T12:45:00"/>
    <d v="2025-02-22T19:32:00"/>
    <n v="398.52083332945767"/>
    <s v="space consquents"/>
    <d v="2025-02-23T20:33:00"/>
    <d v="2025-02-23T21:27:00"/>
    <n v="52.87499999794818"/>
    <m/>
    <n v="1.3756944444394321"/>
    <n v="2"/>
    <n v="0.62430555556056788"/>
    <n v="33.016666666546371"/>
    <n v="12"/>
    <n v="21.016666666546371"/>
    <n v="7.4226804124136203"/>
    <m/>
    <m/>
    <m/>
    <m/>
    <m/>
  </r>
  <r>
    <d v="2025-02-24T00:00:00"/>
    <x v="1"/>
    <m/>
    <s v="A20961"/>
    <s v="Manual"/>
    <s v="Bwanga Gilbert"/>
    <s v="UBK 862R"/>
    <s v="Kato Investment Ltd -Mityana"/>
    <n v="156"/>
    <s v="A20961"/>
    <s v="OM"/>
    <n v="690"/>
    <n v="689"/>
    <n v="-1"/>
    <m/>
    <d v="2025-02-22T11:02:00"/>
    <d v="2025-02-22T11:42:00"/>
    <d v="2025-02-22T11:46:00"/>
    <n v="3.9814814840307613"/>
    <n v="43.796296293051761"/>
    <m/>
    <d v="2025-02-22T16:22:00"/>
    <d v="2025-02-22T21:16:00"/>
    <n v="287.87500000478758"/>
    <s v="Reached late and offloaded the next day"/>
    <d v="2025-02-25T14:33:00"/>
    <d v="2025-02-25T15:24:00"/>
    <n v="49.93749999863212"/>
    <m/>
    <n v="3.1159722222218988"/>
    <n v="2"/>
    <n v="-1.1159722222218988"/>
    <n v="74.783333333325572"/>
    <n v="36"/>
    <n v="38.783333333325572"/>
    <n v="4.0223463687158887"/>
    <m/>
    <m/>
    <m/>
    <m/>
    <m/>
  </r>
  <r>
    <d v="2025-02-24T00:00:00"/>
    <x v="1"/>
    <m/>
    <s v="A20960"/>
    <s v="Manual"/>
    <s v="Mulumba Kasim"/>
    <s v="UBE 680K"/>
    <s v="Kato Investment Ltd -Mubende"/>
    <n v="156"/>
    <s v="A20960"/>
    <s v="OM"/>
    <n v="680"/>
    <n v="682"/>
    <n v="2"/>
    <m/>
    <d v="2025-02-22T12:39:00"/>
    <d v="2025-02-22T12:27:00"/>
    <d v="2025-02-22T13:22:00"/>
    <n v="54.745370371529134"/>
    <n v="42.80092592986572"/>
    <m/>
    <d v="2025-02-22T17:49:00"/>
    <d v="2025-02-23T10:09:00"/>
    <n v="959.58333334245253"/>
    <s v="truck faulty"/>
    <d v="2025-02-25T14:33:00"/>
    <d v="2025-02-25T15:30:00"/>
    <n v="55.81249999726424"/>
    <m/>
    <n v="3.0493055555562023"/>
    <n v="2"/>
    <n v="-1.0493055555562023"/>
    <n v="73.183333333348855"/>
    <n v="36"/>
    <n v="37.183333333348855"/>
    <n v="4.1954280591645414"/>
    <m/>
    <m/>
    <m/>
    <m/>
    <m/>
  </r>
  <r>
    <d v="2025-02-24T00:00:00"/>
    <x v="1"/>
    <m/>
    <s v="A20962"/>
    <s v="Manual"/>
    <s v="Malinzi Awali"/>
    <s v="UBR 536W"/>
    <s v="Kato Investments Ltd- Kakumiro"/>
    <n v="156"/>
    <s v="A20962"/>
    <s v="OM"/>
    <n v="790"/>
    <n v="792"/>
    <n v="2"/>
    <m/>
    <d v="2025-02-23T10:12:00"/>
    <d v="2025-02-23T10:35:00"/>
    <d v="2025-02-23T10:56:00"/>
    <n v="20.902777772910969"/>
    <n v="43.796296293051761"/>
    <m/>
    <d v="2025-02-21T16:41:00"/>
    <d v="2025-02-21T19:35:00"/>
    <n v="170.37500000136788"/>
    <m/>
    <d v="2025-02-23T13:13:00"/>
    <d v="2025-02-23T14:05:00"/>
    <n v="50.916666668490507"/>
    <m/>
    <n v="9.5138888886140194E-2"/>
    <n v="2"/>
    <n v="1.9048611111138598"/>
    <n v="2.2833333332673647"/>
    <n v="0"/>
    <n v="2.2833333332673647"/>
    <n v="68.321167885185574"/>
    <m/>
    <m/>
    <m/>
    <m/>
    <m/>
  </r>
  <r>
    <d v="2025-02-24T00:00:00"/>
    <x v="1"/>
    <m/>
    <s v="Z82783"/>
    <s v="Manual"/>
    <s v="Matovu Musa"/>
    <s v="UBR 538W"/>
    <s v="Kobusinge Steven-FPortal"/>
    <n v="156"/>
    <s v="Z82783"/>
    <s v="OM"/>
    <n v="304"/>
    <n v="306"/>
    <n v="2"/>
    <m/>
    <d v="2025-02-22T11:16:00"/>
    <d v="2025-02-22T11:38:00"/>
    <d v="2025-02-22T11:59:00"/>
    <n v="20.902777772910969"/>
    <n v="42.80092592986572"/>
    <m/>
    <d v="2025-02-24T11:48:00"/>
    <d v="2025-02-24T18:26:00"/>
    <n v="389.70833333150949"/>
    <s v="found another truck to be offloaded"/>
    <d v="2025-02-24T10:16:00"/>
    <d v="2025-02-24T11:13:00"/>
    <n v="55.81249999726424"/>
    <m/>
    <n v="1.9284722222218988"/>
    <n v="2"/>
    <n v="7.1527777778101154E-2"/>
    <n v="46.283333333325572"/>
    <n v="12"/>
    <n v="34.283333333325572"/>
    <n v="4.5503159941672919"/>
    <m/>
    <m/>
    <m/>
    <m/>
    <m/>
  </r>
  <r>
    <d v="2025-02-24T00:00:00"/>
    <x v="1"/>
    <m/>
    <s v="A20954"/>
    <s v="Manual"/>
    <m/>
    <s v="UBR 537W"/>
    <s v="Ntale and Sons Ltd-Kakiri"/>
    <n v="156"/>
    <s v="A20954"/>
    <s v="OM"/>
    <n v="620"/>
    <n v="619"/>
    <n v="-1"/>
    <m/>
    <d v="2025-02-22T14:45:00"/>
    <d v="2025-02-22T15:12:00"/>
    <d v="2025-02-22T15:29:00"/>
    <n v="16.921296299309081"/>
    <n v="43.796296293051761"/>
    <m/>
    <d v="2025-02-23T10:08:00"/>
    <d v="2025-02-23T11:56:00"/>
    <n v="105.74999999589636"/>
    <m/>
    <d v="2025-02-24T12:36:00"/>
    <d v="2025-02-24T13:32:00"/>
    <n v="54.833333337664953"/>
    <m/>
    <n v="1.8798611111124046"/>
    <n v="2"/>
    <n v="0.12013888888759539"/>
    <n v="45.116666666697711"/>
    <n v="12"/>
    <n v="33.116666666697711"/>
    <n v="4.7106190236493335"/>
    <m/>
    <m/>
    <m/>
    <m/>
    <m/>
  </r>
  <r>
    <d v="2025-02-24T00:00:00"/>
    <x v="1"/>
    <m/>
    <s v="A20955"/>
    <s v="Manual"/>
    <s v="Eriku Alipa"/>
    <s v="UBK 858R"/>
    <s v="Kato Investment Ltd -Kagadi"/>
    <n v="156"/>
    <s v="A20955"/>
    <s v="OM"/>
    <n v="670"/>
    <n v="671"/>
    <n v="1"/>
    <m/>
    <d v="2025-02-22T18:18:00"/>
    <d v="2025-02-22T18:58:00"/>
    <d v="2025-02-22T19:02:00"/>
    <n v="3.9814814840307613"/>
    <n v="43.796296293051761"/>
    <m/>
    <d v="2025-02-22T16:44:00"/>
    <d v="2025-02-22T18:53:00"/>
    <n v="126.31250000136788"/>
    <m/>
    <d v="2025-02-24T12:36:00"/>
    <d v="2025-02-24T13:36:00"/>
    <n v="58.7499999965803"/>
    <m/>
    <n v="1.7319444444437977"/>
    <n v="2"/>
    <n v="0.26805555555620231"/>
    <n v="41.566666666651145"/>
    <n v="12"/>
    <n v="29.566666666651145"/>
    <n v="5.2762119503973581"/>
    <m/>
    <m/>
    <m/>
    <m/>
    <m/>
  </r>
  <r>
    <d v="2025-02-24T00:00:00"/>
    <x v="1"/>
    <m/>
    <s v="F15959"/>
    <s v="Manual"/>
    <s v="Nminya Siraje"/>
    <s v="UBP 301H"/>
    <s v="Boniface Harera"/>
    <n v="156"/>
    <s v="F15959"/>
    <s v="OM"/>
    <n v="448"/>
    <n v="450"/>
    <n v="2"/>
    <m/>
    <d v="2025-02-23T08:16:00"/>
    <d v="2025-02-23T08:37:00"/>
    <d v="2025-02-23T09:00:00"/>
    <n v="22.893518520140788"/>
    <n v="43.796296293051761"/>
    <m/>
    <d v="2025-02-22T12:55:00"/>
    <d v="2025-02-22T14:45:00"/>
    <n v="107.70833333561313"/>
    <m/>
    <d v="2025-02-24T09:47:00"/>
    <d v="2025-02-24T10:38:00"/>
    <n v="49.93749999863212"/>
    <m/>
    <n v="1.0326388888861402"/>
    <n v="2"/>
    <n v="0.96736111111385981"/>
    <n v="24.783333333267365"/>
    <n v="12"/>
    <n v="12.783333333267365"/>
    <n v="12.203389830571451"/>
    <m/>
    <m/>
    <m/>
    <m/>
    <m/>
  </r>
  <r>
    <d v="2025-02-24T00:00:00"/>
    <x v="1"/>
    <m/>
    <s v="OM75QECRR"/>
    <s v="DJ"/>
    <s v="GODWIN  NIWENSIIMA"/>
    <s v="UAR 731Q"/>
    <s v="KATO INVESTMENTS LIMITED-MASAK"/>
    <n v="153.6"/>
    <s v="OM75QECRR"/>
    <s v="OM"/>
    <n v="298"/>
    <n v="295"/>
    <n v="-3"/>
    <m/>
    <d v="2025-02-22T17:24:00"/>
    <d v="2025-02-22T17:55:00"/>
    <d v="2025-02-22T18:07:00"/>
    <n v="11.944444441663412"/>
    <n v="42.80092592986572"/>
    <m/>
    <d v="2025-02-21T22:13:00"/>
    <d v="2025-02-22T10:49:00"/>
    <n v="740.25000000205182"/>
    <s v="slept at the RD and offloaded the next day"/>
    <d v="2025-02-23T09:47:00"/>
    <d v="2025-02-23T10:45:00"/>
    <n v="56.791666667122627"/>
    <m/>
    <n v="0.65277777777373558"/>
    <n v="2"/>
    <n v="1.3472222222262644"/>
    <n v="15.666666666569654"/>
    <n v="0"/>
    <n v="15.666666666569654"/>
    <n v="9.8042553192096467"/>
    <m/>
    <m/>
    <m/>
    <m/>
    <m/>
  </r>
  <r>
    <d v="2025-02-24T00:00:00"/>
    <x v="1"/>
    <m/>
    <s v="OM8QHT4RR"/>
    <s v="DJ"/>
    <s v="Kabene John"/>
    <s v="UBA 523T"/>
    <s v="Kabaco U Ltd-Mbarara "/>
    <n v="153.6"/>
    <s v="OM8QHT4RR"/>
    <s v="OM"/>
    <n v="20"/>
    <n v="22"/>
    <n v="2"/>
    <m/>
    <d v="2025-02-22T16:58:00"/>
    <d v="2025-02-22T17:05:00"/>
    <d v="2025-02-22T17:39:00"/>
    <n v="33.842592588189291"/>
    <n v="40.810185182635905"/>
    <m/>
    <d v="2025-02-22T07:19:00"/>
    <d v="2025-02-22T13:10:00"/>
    <n v="343.68750000205182"/>
    <s v="found another truck at the RD"/>
    <d v="2025-02-23T16:25:00"/>
    <d v="2025-02-23T17:16:00"/>
    <n v="49.93749999863212"/>
    <m/>
    <n v="0.94861111111094942"/>
    <n v="2"/>
    <n v="1.0513888888890506"/>
    <n v="22.766666666662786"/>
    <n v="0"/>
    <n v="22.766666666662786"/>
    <n v="6.7467057101036385"/>
    <m/>
    <m/>
    <m/>
    <m/>
    <m/>
  </r>
  <r>
    <d v="2025-02-24T00:00:00"/>
    <x v="1"/>
    <m/>
    <s v="OMBYM1LRR"/>
    <s v="DJ"/>
    <s v="Abel Mark naffa"/>
    <s v="UBJ 415C"/>
    <s v="Kachain Logistics Ltd "/>
    <n v="153.6"/>
    <s v="OMBYM1LRR"/>
    <s v="OM"/>
    <n v="560"/>
    <n v="561"/>
    <n v="1"/>
    <m/>
    <d v="2025-02-22T22:56:00"/>
    <d v="2025-02-22T23:16:00"/>
    <d v="2025-02-22T23:40:00"/>
    <n v="23.888888893755695"/>
    <n v="43.796296293051761"/>
    <m/>
    <d v="2025-02-21T22:27:00"/>
    <d v="2025-02-22T12:48:00"/>
    <n v="843.06249999863212"/>
    <s v="found another truck at the RD and offloaded the next day"/>
    <d v="2025-02-23T14:57:00"/>
    <d v="2025-02-23T15:52:00"/>
    <n v="53.854166667806567"/>
    <m/>
    <n v="0.6368055555576575"/>
    <n v="3"/>
    <n v="2.3631944444423425"/>
    <n v="15.28333333338378"/>
    <n v="0"/>
    <n v="15.28333333338378"/>
    <n v="10.050163576847961"/>
    <m/>
    <m/>
    <m/>
    <m/>
    <m/>
  </r>
  <r>
    <d v="2025-02-24T00:00:00"/>
    <x v="1"/>
    <m/>
    <s v="OMOB9FFRR"/>
    <s v="DJ"/>
    <s v="MUKOSE MUZAMIRU"/>
    <s v="UBJ 417C"/>
    <s v="Kobusinge Acaali- Kyenjojo"/>
    <n v="156"/>
    <s v="OMOB9FFRR"/>
    <s v="OM"/>
    <n v="580"/>
    <n v="582"/>
    <n v="2"/>
    <m/>
    <d v="2025-02-22T18:52:00"/>
    <d v="2025-02-22T02:22:00"/>
    <d v="2025-02-22T19:36:00"/>
    <n v="1029.2129629597184"/>
    <n v="43.796296293051761"/>
    <m/>
    <d v="2025-02-21T22:27:00"/>
    <d v="2025-02-22T12:48:00"/>
    <n v="843.06249999863212"/>
    <s v="Waited for empties from trade"/>
    <d v="2025-02-23T14:57:00"/>
    <d v="2025-02-23T15:53:00"/>
    <n v="54.833333337664953"/>
    <m/>
    <n v="0.80625000000145519"/>
    <n v="2"/>
    <n v="1.1937499999985448"/>
    <n v="19.350000000034925"/>
    <n v="0"/>
    <n v="19.350000000034925"/>
    <n v="8.0620155038614172"/>
    <m/>
    <m/>
    <m/>
    <m/>
    <m/>
  </r>
  <r>
    <d v="2025-02-24T00:00:00"/>
    <x v="1"/>
    <m/>
    <s v="OMSXD6GRR"/>
    <s v="DJ"/>
    <s v="SENTONG DAVID"/>
    <s v="UBP 298H"/>
    <s v="Boniface Harera"/>
    <n v="156"/>
    <s v="OMSXD6GRR"/>
    <s v="OM"/>
    <n v="448"/>
    <n v="450"/>
    <n v="2"/>
    <m/>
    <d v="2025-02-22T09:31:00"/>
    <d v="2025-02-21T19:36:00"/>
    <d v="2025-02-22T10:14:00"/>
    <n v="873.93518518680742"/>
    <n v="42.80092592986572"/>
    <m/>
    <d v="2025-02-22T07:19:00"/>
    <d v="2025-02-22T13:10:00"/>
    <n v="343.68750000205182"/>
    <s v="found another truck at the RD"/>
    <d v="2025-02-22T16:25:00"/>
    <d v="2025-02-22T17:25:00"/>
    <n v="58.7499999965803"/>
    <m/>
    <n v="0.25763888889196096"/>
    <n v="2"/>
    <n v="1.742361111108039"/>
    <n v="6.183333333407063"/>
    <n v="0"/>
    <n v="6.183333333407063"/>
    <n v="25.229110511828548"/>
    <m/>
    <m/>
    <m/>
    <m/>
    <m/>
  </r>
  <r>
    <d v="2025-02-24T00:00:00"/>
    <x v="1"/>
    <m/>
    <s v="OM9KEAKRR"/>
    <s v="DJ"/>
    <s v="James  Kironde"/>
    <s v="UBK 881R"/>
    <s v="Ntale and Sons"/>
    <n v="153.6"/>
    <s v="OM9KEAKRR"/>
    <s v="OM"/>
    <n v="810"/>
    <n v="809"/>
    <n v="-1"/>
    <m/>
    <d v="2025-02-23T08:11:00"/>
    <d v="2025-02-23T07:23:00"/>
    <d v="2025-02-23T08:52:00"/>
    <n v="88.587962959718425"/>
    <n v="40.810185182635905"/>
    <m/>
    <d v="2025-02-22T12:01:00"/>
    <d v="2025-02-22T13:31:00"/>
    <n v="88.125"/>
    <m/>
    <d v="2025-02-25T09:35:00"/>
    <d v="2025-02-25T10:35:00"/>
    <n v="58.7499999965803"/>
    <m/>
    <n v="2.0298611111138598"/>
    <n v="2"/>
    <n v="-2.9861111113859806E-2"/>
    <n v="48.716666666732635"/>
    <n v="24"/>
    <n v="24.716666666732635"/>
    <n v="6.2144302090191514"/>
    <m/>
    <m/>
    <m/>
    <m/>
    <m/>
  </r>
  <r>
    <d v="2025-02-24T00:00:00"/>
    <x v="1"/>
    <m/>
    <s v="OM8PJX9RR"/>
    <s v="DJ"/>
    <s v="GODWIN  NIWENSIIMA"/>
    <s v="UAR 731Q"/>
    <s v="KATO INVESTMENTS LIMITED-MASAK"/>
    <n v="153.6"/>
    <s v="OM8PJX9RR"/>
    <s v="OM"/>
    <n v="298"/>
    <n v="148"/>
    <n v="-150"/>
    <s v="Delievered to Lyantonde"/>
    <d v="2025-02-23T07:39:00"/>
    <d v="2025-02-23T08:06:00"/>
    <d v="2025-02-23T08:23:00"/>
    <n v="16.921296299309081"/>
    <n v="43.796296293051761"/>
    <m/>
    <d v="2025-02-25T08:21:00"/>
    <d v="2025-02-25T12:56:00"/>
    <n v="269.27083333903283"/>
    <s v="truck faulty"/>
    <d v="2025-02-25T15:14:00"/>
    <d v="2025-02-25T16:43:00"/>
    <n v="87.145833330141613"/>
    <s v="fueling delays"/>
    <n v="2.2854166666656965"/>
    <n v="2"/>
    <n v="-0.28541666666569654"/>
    <n v="54.849999999976717"/>
    <n v="24"/>
    <n v="30.849999999976717"/>
    <n v="4.9789303079454106"/>
    <m/>
    <m/>
    <m/>
    <m/>
    <m/>
  </r>
  <r>
    <d v="2025-02-25T00:00:00"/>
    <x v="1"/>
    <m/>
    <s v="A20983"/>
    <s v="Manual"/>
    <s v="Lule Fred"/>
    <s v="UBP 310H"/>
    <s v="Sawan Distributors Ltd-Nabingo"/>
    <n v="156"/>
    <s v="A20983"/>
    <s v="OM"/>
    <n v="560"/>
    <n v="562"/>
    <n v="2"/>
    <m/>
    <d v="2025-02-26T07:20:00"/>
    <d v="2025-02-26T07:45:00"/>
    <d v="2025-02-26T08:04:00"/>
    <n v="18.912037036110025"/>
    <n v="43.796296293051761"/>
    <m/>
    <d v="2025-02-24T08:36:00"/>
    <d v="2025-02-24T10:57:00"/>
    <n v="138.06250000889122"/>
    <m/>
    <d v="2025-02-27T15:14:00"/>
    <d v="2025-02-27T16:11:00"/>
    <n v="55.81249999726424"/>
    <m/>
    <n v="1.2986111111167702"/>
    <n v="2"/>
    <n v="0.70138888888322981"/>
    <n v="31.166666666802485"/>
    <n v="12"/>
    <n v="19.166666666802485"/>
    <n v="8.1391304347249331"/>
    <m/>
    <m/>
    <m/>
    <m/>
    <m/>
  </r>
  <r>
    <d v="2025-02-25T00:00:00"/>
    <x v="1"/>
    <m/>
    <s v="A20985"/>
    <s v="Manual"/>
    <s v="Taimwa Alex"/>
    <s v="UBJ 705D"/>
    <s v="Kato Investments Ltd-Bulenga"/>
    <n v="156"/>
    <s v="A20985"/>
    <s v="OM"/>
    <n v="560"/>
    <n v="558"/>
    <n v="-2"/>
    <m/>
    <d v="2025-02-24T07:02:00"/>
    <d v="2025-02-24T06:24:00"/>
    <d v="2025-02-24T07:44:00"/>
    <n v="79.629629628470866"/>
    <n v="41.805555556250816"/>
    <m/>
    <d v="2025-02-24T10:31:00"/>
    <d v="2025-02-24T13:10:00"/>
    <n v="155.68749999452848"/>
    <m/>
    <d v="2025-02-25T16:42:00"/>
    <d v="2025-02-25T17:36:00"/>
    <n v="52.87499999794818"/>
    <m/>
    <n v="1.3736111111065838"/>
    <n v="3"/>
    <n v="1.6263888888934162"/>
    <n v="32.966666666558012"/>
    <n v="12"/>
    <n v="20.966666666558012"/>
    <n v="7.440381558067175"/>
    <m/>
    <m/>
    <m/>
    <m/>
    <m/>
  </r>
  <r>
    <d v="2025-02-25T00:00:00"/>
    <x v="1"/>
    <m/>
    <s v="Z82786"/>
    <s v="Manual"/>
    <m/>
    <s v="UBP 294H"/>
    <s v="Rugoma Traders-Rukungiri"/>
    <n v="156"/>
    <s v="Z82786"/>
    <s v="OM"/>
    <n v="256"/>
    <n v="255"/>
    <n v="-1"/>
    <m/>
    <d v="2025-02-23T20:49:00"/>
    <d v="2025-02-23T21:02:00"/>
    <d v="2025-02-23T21:30:00"/>
    <n v="27.870370367357584"/>
    <n v="40.810185182635905"/>
    <m/>
    <d v="2025-02-25T10:34:00"/>
    <d v="2025-02-25T12:18:00"/>
    <n v="101.83333332672191"/>
    <m/>
    <d v="2025-02-25T16:42:00"/>
    <d v="2025-02-25T17:58:00"/>
    <n v="74.416666663018987"/>
    <s v="fueling delays"/>
    <n v="1.7999999999956344"/>
    <n v="2"/>
    <n v="0.20000000000436557"/>
    <n v="43.199999999895226"/>
    <n v="12"/>
    <n v="31.199999999895226"/>
    <n v="5.000000000016791"/>
    <m/>
    <m/>
    <m/>
    <m/>
    <m/>
  </r>
  <r>
    <d v="2025-02-25T00:00:00"/>
    <x v="1"/>
    <m/>
    <s v="A20972"/>
    <s v="Manual"/>
    <m/>
    <s v="UBJ 423C"/>
    <s v="Kato Investments Ltd-Bulenga"/>
    <n v="156"/>
    <s v="A20972"/>
    <s v="OM"/>
    <n v="560"/>
    <n v="558"/>
    <n v="-2"/>
    <m/>
    <d v="2025-02-23T14:22:00"/>
    <d v="2025-02-23T14:42:00"/>
    <d v="2025-02-23T15:05:00"/>
    <n v="22.893518520140788"/>
    <n v="42.80092592986572"/>
    <m/>
    <d v="2025-02-25T11:59:00"/>
    <d v="2025-02-25T18:24:00"/>
    <n v="376.97916667464597"/>
    <s v="Waited for empties from trade"/>
    <d v="2025-02-27T09:03:00"/>
    <d v="2025-02-27T09:57:00"/>
    <n v="52.87499999794818"/>
    <m/>
    <n v="3.7486111111138598"/>
    <n v="3"/>
    <n v="-0.74861111111385981"/>
    <n v="89.966666666732635"/>
    <n v="36"/>
    <n v="53.966666666732635"/>
    <n v="2.8906732550922047"/>
    <m/>
    <m/>
    <m/>
    <m/>
    <m/>
  </r>
  <r>
    <d v="2025-02-25T00:00:00"/>
    <x v="1"/>
    <m/>
    <s v="Z82789"/>
    <s v="Manual"/>
    <m/>
    <s v="UBR 533W"/>
    <s v="Kobusinge Steven-Kamwenge"/>
    <n v="156"/>
    <s v="Z82789"/>
    <s v="OM"/>
    <n v="288"/>
    <n v="290"/>
    <n v="2"/>
    <m/>
    <d v="2025-02-23T13:48:00"/>
    <d v="2025-02-23T14:13:00"/>
    <d v="2025-02-23T14:30:00"/>
    <n v="16.921296299309081"/>
    <n v="41.805555556250816"/>
    <m/>
    <d v="2025-02-24T11:33:00"/>
    <d v="2025-02-24T13:37:00"/>
    <n v="121.41666667259415"/>
    <m/>
    <d v="2025-02-27T09:03:00"/>
    <d v="2025-02-27T10:03:00"/>
    <n v="58.7499999965803"/>
    <m/>
    <n v="3.7729166666686069"/>
    <n v="2"/>
    <n v="-1.7729166666686069"/>
    <n v="90.550000000046566"/>
    <n v="36"/>
    <n v="54.550000000046566"/>
    <n v="2.8597616865236817"/>
    <m/>
    <m/>
    <m/>
    <m/>
    <m/>
  </r>
  <r>
    <d v="2025-02-25T00:00:00"/>
    <x v="1"/>
    <m/>
    <s v="Z82787"/>
    <s v="Manual"/>
    <m/>
    <s v="UBR 868Y"/>
    <s v="Bates Enterprises Ltd-Ntoroko"/>
    <n v="156"/>
    <s v="Z82787"/>
    <s v="OM"/>
    <n v="464"/>
    <n v="465"/>
    <n v="1"/>
    <m/>
    <d v="2025-02-23T18:49:00"/>
    <d v="2025-02-23T18:16:00"/>
    <d v="2025-02-23T19:33:00"/>
    <n v="76.643518518055018"/>
    <n v="43.796296293051761"/>
    <m/>
    <d v="2025-02-26T13:19:00"/>
    <d v="2025-02-26T15:24:00"/>
    <n v="122.39583334245253"/>
    <m/>
    <d v="2025-02-27T14:32:00"/>
    <d v="2025-02-27T15:26:00"/>
    <n v="52.87499999794818"/>
    <m/>
    <n v="3.7909722222248092"/>
    <n v="2"/>
    <n v="-1.7909722222248092"/>
    <n v="90.983333333395422"/>
    <n v="36"/>
    <n v="54.983333333395422"/>
    <n v="2.8372234010274116"/>
    <m/>
    <m/>
    <m/>
    <m/>
    <m/>
  </r>
  <r>
    <d v="2025-02-25T00:00:00"/>
    <x v="1"/>
    <m/>
    <s v="Z82791"/>
    <s v="Manual"/>
    <m/>
    <s v="UBR 535W"/>
    <s v="Rugoma Traders-Rukungiri"/>
    <n v="156"/>
    <s v="Z82791"/>
    <s v="OM"/>
    <n v="256"/>
    <n v="258"/>
    <n v="2"/>
    <m/>
    <d v="2025-02-23T13:21:00"/>
    <d v="2025-02-23T13:22:00"/>
    <d v="2025-02-23T14:05:00"/>
    <n v="42.80092592986572"/>
    <n v="43.796296293051761"/>
    <m/>
    <d v="2025-02-23T11:21:00"/>
    <d v="2025-02-23T16:11:00"/>
    <n v="283.95833333561313"/>
    <s v="slept at the RD and offloaded the next day"/>
    <d v="2025-02-25T18:13:00"/>
    <d v="2025-02-25T19:04:00"/>
    <n v="49.93749999863212"/>
    <m/>
    <n v="2.172222222223354"/>
    <n v="2"/>
    <n v="-0.17222222222335404"/>
    <n v="52.133333333360497"/>
    <n v="24"/>
    <n v="28.133333333360497"/>
    <n v="5.5450236966771103"/>
    <m/>
    <m/>
    <m/>
    <m/>
    <m/>
  </r>
  <r>
    <d v="2025-02-25T00:00:00"/>
    <x v="1"/>
    <m/>
    <s v="Z82793"/>
    <s v="Manual"/>
    <s v="ZIWA ABASI"/>
    <s v="UBJ 420C"/>
    <s v="Kobusinge Steven-FPortal"/>
    <n v="156"/>
    <s v="Z82793"/>
    <s v="OM"/>
    <n v="304"/>
    <n v="302"/>
    <n v="-2"/>
    <m/>
    <d v="2025-02-23T16:17:00"/>
    <d v="2025-02-23T15:25:00"/>
    <d v="2025-02-23T17:00:00"/>
    <n v="94.560185180550135"/>
    <n v="42.80092592986572"/>
    <m/>
    <d v="2025-02-23T17:41:00"/>
    <d v="2025-02-23T19:49:00"/>
    <n v="125.33333333150949"/>
    <m/>
    <d v="2025-02-24T15:23:00"/>
    <d v="2025-02-24T16:36:00"/>
    <n v="71.479166663702927"/>
    <s v="dj failures at the gate"/>
    <n v="0.93263888888759539"/>
    <n v="2"/>
    <n v="1.0673611111124046"/>
    <n v="22.383333333302289"/>
    <n v="0"/>
    <n v="22.383333333302289"/>
    <n v="6.9694713328465987"/>
    <m/>
    <m/>
    <m/>
    <m/>
    <m/>
  </r>
  <r>
    <d v="2025-02-25T00:00:00"/>
    <x v="1"/>
    <m/>
    <s v="A20974"/>
    <s v="Manual"/>
    <s v="Faruk Abel"/>
    <s v="UBR 539W"/>
    <s v="Kato Investment Ltd -Mubende"/>
    <n v="156"/>
    <s v="A20974"/>
    <s v="OM"/>
    <n v="680"/>
    <n v="679"/>
    <n v="-1"/>
    <m/>
    <d v="2025-02-23T20:06:00"/>
    <d v="2025-02-23T20:18:00"/>
    <d v="2025-02-23T20:46:00"/>
    <n v="27.870370367357584"/>
    <n v="39.814814819449872"/>
    <m/>
    <d v="2025-02-24T07:12:00"/>
    <d v="2025-02-24T12:37:00"/>
    <n v="318.22916665754747"/>
    <s v="found another truck at the RD and offloaded the next day"/>
    <d v="2025-02-26T10:13:00"/>
    <d v="2025-02-26T11:07:00"/>
    <n v="52.87499999794818"/>
    <m/>
    <n v="2.5604166666671517"/>
    <n v="2"/>
    <n v="-0.56041666666715173"/>
    <n v="61.450000000011642"/>
    <n v="24"/>
    <n v="37.450000000011642"/>
    <n v="4.1655540720948334"/>
    <m/>
    <m/>
    <m/>
    <m/>
    <m/>
  </r>
  <r>
    <d v="2025-02-25T00:00:00"/>
    <x v="1"/>
    <m/>
    <s v="A20975"/>
    <s v="Manual"/>
    <s v="Ntumwa Solomon"/>
    <s v="UBR 540W"/>
    <s v="Kato Investment Ltd -Mityana"/>
    <n v="156"/>
    <s v="A20975"/>
    <s v="OM"/>
    <n v="690"/>
    <n v="692"/>
    <n v="2"/>
    <m/>
    <d v="2025-02-23T17:35:00"/>
    <d v="2025-02-23T17:35:00"/>
    <d v="2025-02-23T18:18:00"/>
    <n v="42.80092592986572"/>
    <n v="42.80092592986572"/>
    <m/>
    <d v="2025-02-23T16:24:00"/>
    <d v="2025-02-23T19:16:00"/>
    <n v="168.41666666165111"/>
    <m/>
    <d v="2025-02-26T16:10:00"/>
    <d v="2025-02-26T17:07:00"/>
    <n v="55.81249999726424"/>
    <m/>
    <n v="2.9111111111124046"/>
    <n v="2"/>
    <n v="-0.91111111111240461"/>
    <n v="69.866666666697711"/>
    <n v="24"/>
    <n v="45.866666666697711"/>
    <n v="3.4011627906953725"/>
    <m/>
    <m/>
    <m/>
    <m/>
    <m/>
  </r>
  <r>
    <d v="2025-02-25T00:00:00"/>
    <x v="1"/>
    <m/>
    <s v="F15963"/>
    <s v="Manual"/>
    <s v="Mudunga Musa"/>
    <s v="UBE 678K"/>
    <s v="Boniface Harera"/>
    <n v="156"/>
    <s v="F15963"/>
    <s v="OM"/>
    <n v="448"/>
    <n v="449"/>
    <n v="1"/>
    <m/>
    <d v="2025-02-23T17:31:00"/>
    <d v="2025-02-23T16:49:00"/>
    <d v="2025-02-23T18:11:00"/>
    <n v="81.62037036527181"/>
    <n v="39.814814819449872"/>
    <m/>
    <d v="2025-02-23T11:03:00"/>
    <d v="2025-02-23T15:47:00"/>
    <n v="278.08333332672191"/>
    <s v="found another truck at the RD"/>
    <d v="2025-02-23T20:13:00"/>
    <d v="2025-02-23T21:09:00"/>
    <n v="54.833333337664953"/>
    <m/>
    <n v="8.4722222221898846E-2"/>
    <n v="2"/>
    <n v="1.9152777777781012"/>
    <n v="2.0333333333255723"/>
    <n v="0"/>
    <n v="2.0333333333255723"/>
    <n v="76.721311475702677"/>
    <m/>
    <m/>
    <m/>
    <m/>
    <m/>
  </r>
  <r>
    <d v="2025-02-25T00:00:00"/>
    <x v="1"/>
    <m/>
    <s v="OMLV1DQRR"/>
    <s v="DJ"/>
    <s v="Stephen Musoke "/>
    <s v="UBJ 375N"/>
    <s v="Kato Investments Ltd-Bulenga"/>
    <n v="153.6"/>
    <s v="OMLV1DQRR"/>
    <s v="OM"/>
    <n v="560"/>
    <n v="562"/>
    <n v="2"/>
    <m/>
    <d v="2025-02-25T11:28:00"/>
    <d v="2025-02-22T22:00:00"/>
    <d v="2025-02-25T12:12:00"/>
    <n v="3714.7222222229175"/>
    <n v="43.796296293051761"/>
    <m/>
    <d v="2025-02-26T08:07:00"/>
    <d v="2025-02-26T09:54:00"/>
    <n v="104.77083333629707"/>
    <m/>
    <d v="2025-02-26T11:42:00"/>
    <d v="2025-02-26T12:41:00"/>
    <n v="57.770833336981013"/>
    <m/>
    <n v="0.97916666667151731"/>
    <n v="3"/>
    <n v="2.0208333333284827"/>
    <n v="23.500000000116415"/>
    <n v="0"/>
    <n v="23.500000000116415"/>
    <n v="6.5361702127335777"/>
    <m/>
    <m/>
    <m/>
    <m/>
    <m/>
  </r>
  <r>
    <d v="2025-02-25T00:00:00"/>
    <x v="1"/>
    <m/>
    <s v="OMKIGUORR"/>
    <s v="DJ"/>
    <s v="Isaac Tumuhimbise"/>
    <s v="UBE 287X"/>
    <s v="KATO INVESTMENTS LTD- KALISIZO"/>
    <n v="153.6"/>
    <s v="OMKIGUORR"/>
    <s v="OM"/>
    <n v="350"/>
    <n v="352"/>
    <n v="2"/>
    <m/>
    <d v="2025-02-25T11:29:00"/>
    <d v="2025-02-22T22:00:00"/>
    <d v="2025-02-25T12:12:00"/>
    <n v="3714.7222222229175"/>
    <n v="42.80092592986572"/>
    <m/>
    <d v="2025-02-26T13:19:00"/>
    <d v="2025-02-26T15:24:00"/>
    <n v="122.39583334245253"/>
    <m/>
    <d v="2025-02-27T14:32:00"/>
    <d v="2025-02-27T15:20:00"/>
    <n v="46.99999999931606"/>
    <m/>
    <n v="2.0972222222262644"/>
    <n v="2"/>
    <n v="-9.7222222226264421E-2"/>
    <n v="50.333333333430346"/>
    <n v="24"/>
    <n v="26.333333333430346"/>
    <n v="5.8329113923835747"/>
    <m/>
    <m/>
    <m/>
    <m/>
    <m/>
  </r>
  <r>
    <d v="2025-02-26T00:00:00"/>
    <x v="1"/>
    <m/>
    <s v="A20999"/>
    <s v="Manual"/>
    <m/>
    <s v="UBK 886R"/>
    <s v="Jusime Enterprises"/>
    <n v="156"/>
    <s v="A20999"/>
    <s v="OM"/>
    <n v="560"/>
    <n v="558"/>
    <n v="-2"/>
    <m/>
    <d v="2025-02-23T18:05:00"/>
    <d v="2025-02-22T19:53:00"/>
    <d v="2025-02-23T19:02:00"/>
    <n v="1382.569444445835"/>
    <n v="56.736111108330078"/>
    <m/>
    <d v="2025-02-23T11:21:00"/>
    <d v="2025-02-23T16:11:00"/>
    <n v="283.95833333561313"/>
    <s v="space consquents"/>
    <d v="2025-02-25T18:13:00"/>
    <d v="2025-02-25T19:09:00"/>
    <n v="54.833333337664953"/>
    <m/>
    <n v="1.9659722222204437"/>
    <n v="3"/>
    <n v="1.0340277777795563"/>
    <n v="47.183333333290648"/>
    <n v="12"/>
    <n v="35.183333333290648"/>
    <n v="4.4339175746145694"/>
    <m/>
    <m/>
    <m/>
    <m/>
    <m/>
  </r>
  <r>
    <d v="2025-02-26T00:00:00"/>
    <x v="1"/>
    <m/>
    <s v="A20998"/>
    <s v="Manual"/>
    <s v="Sentongo paul"/>
    <s v="UBR 541W"/>
    <s v="Nakuya Enterprises Ltd"/>
    <n v="156"/>
    <s v="A20998"/>
    <s v="OM"/>
    <n v="560"/>
    <n v="559"/>
    <n v="-1"/>
    <m/>
    <d v="2025-02-24T08:16:00"/>
    <d v="2025-02-23T10:00:00"/>
    <d v="2025-02-24T09:00:00"/>
    <n v="1373.6111111145874"/>
    <n v="43.796296293051761"/>
    <m/>
    <d v="2025-02-23T17:41:00"/>
    <d v="2025-02-23T19:49:00"/>
    <n v="125.33333333150949"/>
    <m/>
    <d v="2025-02-24T15:23:00"/>
    <d v="2025-02-24T16:20:00"/>
    <n v="55.81249999726424"/>
    <m/>
    <n v="0.26597222222335404"/>
    <n v="3"/>
    <n v="2.734027777776646"/>
    <n v="6.3833333333604969"/>
    <n v="0"/>
    <n v="6.3833333333604969"/>
    <n v="24.438642297546135"/>
    <m/>
    <m/>
    <m/>
    <m/>
    <m/>
  </r>
  <r>
    <d v="2025-02-26T00:00:00"/>
    <x v="1"/>
    <m/>
    <s v="Z82812"/>
    <s v="Manual"/>
    <m/>
    <s v="UBR 534W"/>
    <s v="Kabaco U Ltd "/>
    <n v="156"/>
    <s v="Z82812"/>
    <s v="OM"/>
    <n v="320"/>
    <n v="317"/>
    <n v="-3"/>
    <m/>
    <d v="2025-02-23T17:27:00"/>
    <d v="2025-02-22T19:22:00"/>
    <d v="2025-02-23T18:07:00"/>
    <n v="1358.6805555625081"/>
    <n v="39.814814819449872"/>
    <m/>
    <d v="2025-02-23T16:24:00"/>
    <d v="2025-02-23T19:18:00"/>
    <n v="170.37500000136788"/>
    <m/>
    <d v="2025-02-26T16:10:00"/>
    <d v="2025-02-26T17:09:00"/>
    <n v="57.770833336981013"/>
    <m/>
    <n v="2.9187499999970896"/>
    <n v="2"/>
    <n v="-0.91874999999708962"/>
    <n v="70.049999999930151"/>
    <n v="24"/>
    <n v="46.049999999930151"/>
    <n v="3.3876221498422718"/>
    <m/>
    <m/>
    <m/>
    <m/>
    <m/>
  </r>
  <r>
    <d v="2025-02-26T00:00:00"/>
    <x v="1"/>
    <m/>
    <s v="A21010"/>
    <s v="Manual"/>
    <s v="SENTONG DAVID"/>
    <s v="UBP 298H"/>
    <s v="Sawan Distributors Ltd-Nabingo"/>
    <n v="72.8"/>
    <s v="A21010"/>
    <s v="OM"/>
    <n v="560"/>
    <n v="561"/>
    <n v="1"/>
    <m/>
    <d v="2025-02-23T16:55:00"/>
    <d v="2025-02-22T19:49:00"/>
    <d v="2025-02-23T17:39:00"/>
    <n v="1303.9351851909789"/>
    <n v="43.796296293051761"/>
    <m/>
    <d v="2025-02-24T07:12:00"/>
    <d v="2025-02-24T12:37:00"/>
    <n v="318.22916665754747"/>
    <s v="Waited for empties from trade"/>
    <d v="2025-02-26T10:13:00"/>
    <d v="2025-02-26T11:09:00"/>
    <n v="54.833333337664953"/>
    <m/>
    <n v="2.6902777777722804"/>
    <n v="2"/>
    <n v="-0.69027777777228039"/>
    <n v="64.566666666534729"/>
    <n v="24"/>
    <n v="40.566666666534729"/>
    <n v="1.7945768282720649"/>
    <m/>
    <m/>
    <m/>
    <m/>
    <m/>
  </r>
  <r>
    <d v="2025-02-26T00:00:00"/>
    <x v="1"/>
    <m/>
    <s v="A21014"/>
    <s v="Manual"/>
    <m/>
    <s v="UBR 903Y"/>
    <s v="KATO INVESTMENTS LTD-KATIKARA"/>
    <n v="156"/>
    <s v="A21014"/>
    <s v="OM"/>
    <n v="790"/>
    <n v="788"/>
    <n v="-2"/>
    <m/>
    <d v="2025-02-23T19:01:00"/>
    <d v="2025-02-23T03:17:00"/>
    <d v="2025-02-23T19:45:00"/>
    <n v="983.42592591943685"/>
    <n v="43.796296293051761"/>
    <m/>
    <d v="2025-02-23T11:03:00"/>
    <d v="2025-02-23T15:47:00"/>
    <n v="278.08333332672191"/>
    <s v="found another truck to be offloaded"/>
    <d v="2025-02-24T20:13:00"/>
    <d v="2025-02-24T21:03:00"/>
    <n v="48.958333328773733"/>
    <m/>
    <n v="1.0194444444496185"/>
    <n v="3"/>
    <n v="1.9805555555503815"/>
    <n v="24.466666666790843"/>
    <n v="12"/>
    <n v="12.466666666790843"/>
    <n v="12.513368983832578"/>
    <m/>
    <m/>
    <m/>
    <m/>
    <m/>
  </r>
  <r>
    <d v="2025-02-26T00:00:00"/>
    <x v="1"/>
    <m/>
    <s v="A21013"/>
    <s v="Manual"/>
    <s v="Kabanda Ronald"/>
    <s v="UBE 684K"/>
    <s v="Kato Investment Ltd -Mityana"/>
    <n v="156"/>
    <s v="A21013"/>
    <s v="OM"/>
    <n v="690"/>
    <n v="688"/>
    <n v="-2"/>
    <m/>
    <d v="2025-02-24T17:29:00"/>
    <d v="2025-02-24T17:41:00"/>
    <d v="2025-02-24T18:09:00"/>
    <n v="27.870370367357584"/>
    <n v="39.814814819449872"/>
    <m/>
    <d v="2025-02-24T13:22:00"/>
    <d v="2025-02-24T15:51:00"/>
    <n v="145.89583333698101"/>
    <m/>
    <d v="2025-02-27T12:42:00"/>
    <d v="2025-02-27T13:33:00"/>
    <n v="49.93749999863212"/>
    <m/>
    <n v="2.7729166666686069"/>
    <n v="3"/>
    <n v="0.22708333333139308"/>
    <n v="66.550000000046566"/>
    <n v="24"/>
    <n v="42.550000000046566"/>
    <n v="3.6662749706187845"/>
    <m/>
    <m/>
    <m/>
    <m/>
    <m/>
  </r>
  <r>
    <d v="2025-02-26T00:00:00"/>
    <x v="1"/>
    <m/>
    <s v="Z82815"/>
    <s v="Manual"/>
    <s v="Kyakulaga James"/>
    <s v="UBJ 419C"/>
    <s v="Kabaco U Ltd "/>
    <n v="156"/>
    <s v="Z82815"/>
    <s v="OM"/>
    <n v="320"/>
    <n v="322"/>
    <n v="2"/>
    <m/>
    <d v="2025-02-24T16:09:00"/>
    <d v="2025-02-24T15:38:00"/>
    <d v="2025-02-24T16:49:00"/>
    <n v="70.671296297223307"/>
    <n v="39.814814819449872"/>
    <m/>
    <d v="2025-02-24T07:48:00"/>
    <d v="2025-02-24T09:31:00"/>
    <n v="100.85416666712263"/>
    <m/>
    <d v="2025-02-27T12:42:00"/>
    <d v="2025-02-27T13:39:00"/>
    <n v="55.81249999726424"/>
    <m/>
    <n v="2.828472222223354"/>
    <n v="2"/>
    <n v="-0.82847222222335404"/>
    <n v="67.883333333360497"/>
    <n v="24"/>
    <n v="43.883333333360497"/>
    <n v="3.5548803646009137"/>
    <m/>
    <m/>
    <m/>
    <m/>
    <m/>
  </r>
  <r>
    <d v="2025-02-26T00:00:00"/>
    <x v="1"/>
    <m/>
    <s v="A20995"/>
    <s v="Manual"/>
    <m/>
    <s v="UBR 864Y"/>
    <s v="Jusime Enterprises"/>
    <n v="156"/>
    <s v="A20995"/>
    <s v="OM"/>
    <n v="560"/>
    <n v="558"/>
    <n v="-2"/>
    <m/>
    <d v="2025-02-23T17:15:00"/>
    <d v="2025-02-23T17:31:00"/>
    <d v="2025-02-23T17:59:00"/>
    <n v="27.870370367357584"/>
    <n v="43.796296293051761"/>
    <m/>
    <d v="2025-02-24T09:18:00"/>
    <d v="2025-02-24T16:30:00"/>
    <n v="423.00000000410364"/>
    <s v="less casuals and offloaded the next day"/>
    <d v="2025-02-25T14:53:00"/>
    <d v="2025-02-25T15:47:00"/>
    <n v="52.87499999794818"/>
    <m/>
    <n v="1.8708333333343035"/>
    <n v="3"/>
    <n v="1.1291666666656965"/>
    <n v="44.900000000023283"/>
    <n v="12"/>
    <n v="32.900000000023283"/>
    <n v="4.7416413373826627"/>
    <m/>
    <m/>
    <m/>
    <m/>
    <m/>
  </r>
  <r>
    <d v="2025-02-26T00:00:00"/>
    <x v="1"/>
    <m/>
    <s v="Z82805"/>
    <s v="Manual"/>
    <s v="Tsaale Hassan"/>
    <s v="UBJ 703D"/>
    <s v="Bates Enterprises U Ltd"/>
    <n v="156"/>
    <s v="Z82805"/>
    <s v="OM"/>
    <n v="414"/>
    <n v="413"/>
    <n v="-1"/>
    <m/>
    <d v="2025-02-23T12:43:00"/>
    <d v="2025-02-23T13:09:00"/>
    <d v="2025-02-23T13:26:00"/>
    <n v="16.921296299309081"/>
    <n v="42.80092592986572"/>
    <m/>
    <d v="2025-02-25T14:09:00"/>
    <d v="2025-02-25T18:34:00"/>
    <n v="259.47916666096717"/>
    <s v="slept at the RD and offloaded the next day"/>
    <d v="2025-02-25T14:53:00"/>
    <d v="2025-02-25T15:47:00"/>
    <n v="52.87499999794818"/>
    <m/>
    <n v="2.0604166666671517"/>
    <n v="3"/>
    <n v="0.93958333333284827"/>
    <n v="49.450000000011642"/>
    <n v="24"/>
    <n v="25.450000000011642"/>
    <n v="6.129666011785015"/>
    <m/>
    <m/>
    <m/>
    <m/>
    <m/>
  </r>
  <r>
    <d v="2025-02-26T00:00:00"/>
    <x v="1"/>
    <m/>
    <s v="A21006"/>
    <s v="Manual"/>
    <s v="kayanja Sam"/>
    <s v="UBF 379L"/>
    <s v="Sawan Distributors Ltd-Kayabwe"/>
    <n v="156"/>
    <s v="A21006"/>
    <s v="OM"/>
    <n v="382"/>
    <n v="379"/>
    <n v="-3"/>
    <m/>
    <d v="2025-02-23T14:39:00"/>
    <d v="2025-02-23T14:07:00"/>
    <d v="2025-02-23T15:23:00"/>
    <n v="75.6481481444401"/>
    <n v="43.796296293051761"/>
    <m/>
    <d v="2025-02-23T16:14:00"/>
    <d v="2025-02-23T19:33:00"/>
    <n v="194.85416666575475"/>
    <s v="found another truck at the RD"/>
    <d v="2025-02-26T10:59:00"/>
    <d v="2025-02-26T12:15:00"/>
    <n v="74.416666663018987"/>
    <s v="fueling delays"/>
    <n v="2.8166666666656965"/>
    <n v="2"/>
    <n v="-0.81666666666569654"/>
    <n v="67.599999999976717"/>
    <n v="24"/>
    <n v="43.599999999976717"/>
    <n v="3.5779816513780576"/>
    <m/>
    <m/>
    <m/>
    <m/>
    <m/>
  </r>
  <r>
    <d v="2025-02-26T00:00:00"/>
    <x v="1"/>
    <m/>
    <s v="A21008"/>
    <s v="Manual"/>
    <s v="Nakalya John"/>
    <s v="UBM 648D"/>
    <s v="Ntale and Sons Ltd-Kakiri"/>
    <n v="156"/>
    <s v="A21008"/>
    <s v="OM"/>
    <n v="620"/>
    <n v="617"/>
    <n v="-3"/>
    <m/>
    <d v="2025-02-27T13:03:00"/>
    <d v="2025-02-27T13:30:00"/>
    <d v="2025-02-27T13:46:00"/>
    <n v="15.925925925694173"/>
    <n v="42.80092592986572"/>
    <m/>
    <d v="2025-02-23T15:04:00"/>
    <d v="2025-02-23T17:57:00"/>
    <n v="169.39583333150949"/>
    <m/>
    <d v="2025-02-28T22:05:00"/>
    <d v="2025-02-28T23:04:00"/>
    <n v="57.770833336981013"/>
    <m/>
    <n v="1.3465277777795563"/>
    <n v="2"/>
    <n v="0.65347222222044365"/>
    <n v="32.316666666709352"/>
    <n v="12"/>
    <n v="20.316666666709352"/>
    <n v="7.6784249384580265"/>
    <m/>
    <m/>
    <m/>
    <m/>
    <m/>
  </r>
  <r>
    <d v="2025-02-26T00:00:00"/>
    <x v="1"/>
    <m/>
    <s v="Z82807"/>
    <s v="Manual"/>
    <s v="Kyakulaga James"/>
    <s v="UBJ 419C"/>
    <s v="Kabaco U Ltd-Mbarara"/>
    <n v="156"/>
    <s v="Z82807"/>
    <s v="OM"/>
    <n v="20"/>
    <n v="21"/>
    <n v="1"/>
    <m/>
    <d v="2025-02-25T12:44:00"/>
    <d v="2025-02-25T13:24:00"/>
    <d v="2025-02-25T13:28:00"/>
    <n v="3.9814814840307613"/>
    <n v="43.796296293051761"/>
    <m/>
    <d v="2025-02-24T10:53:00"/>
    <d v="2025-02-24T14:17:00"/>
    <n v="199.74999999452848"/>
    <s v="Waited for empties from trade"/>
    <d v="2025-02-26T10:39:00"/>
    <d v="2025-02-26T11:32:00"/>
    <n v="51.895833338348893"/>
    <m/>
    <n v="0.882638888884685"/>
    <n v="3"/>
    <n v="2.117361111115315"/>
    <n v="21.18333333323244"/>
    <n v="0"/>
    <n v="21.18333333323244"/>
    <n v="7.3642800944489224"/>
    <m/>
    <m/>
    <m/>
    <m/>
    <m/>
  </r>
  <r>
    <d v="2025-02-26T00:00:00"/>
    <x v="1"/>
    <m/>
    <s v="Z12954"/>
    <s v="Manual"/>
    <s v="Kyakulaga James"/>
    <s v="UBJ 419C"/>
    <s v="Kabaco U Ltd-Mbarara"/>
    <n v="-156"/>
    <s v="Z12954"/>
    <s v="OM"/>
    <n v="20"/>
    <n v="19"/>
    <n v="-1"/>
    <m/>
    <d v="2025-02-24T15:20:00"/>
    <d v="2025-02-24T14:34:00"/>
    <d v="2025-02-24T16:03:00"/>
    <n v="88.587962959718425"/>
    <n v="42.80092592986572"/>
    <m/>
    <d v="2025-02-24T15:27:00"/>
    <d v="2025-02-24T17:39:00"/>
    <n v="129.25000000068394"/>
    <m/>
    <d v="2025-02-25T09:54:00"/>
    <d v="2025-02-25T10:48:00"/>
    <n v="52.87499999794818"/>
    <m/>
    <n v="0.74375000000145519"/>
    <n v="2"/>
    <n v="1.2562499999985448"/>
    <n v="17.850000000034925"/>
    <n v="0"/>
    <n v="17.850000000034925"/>
    <n v="-8.7394957983022277"/>
    <m/>
    <m/>
    <m/>
    <m/>
    <m/>
  </r>
  <r>
    <d v="2025-02-26T00:00:00"/>
    <x v="1"/>
    <m/>
    <s v="F15972"/>
    <s v="Manual"/>
    <m/>
    <s v="UBP 998T"/>
    <s v="Boniface Harera"/>
    <n v="156"/>
    <s v="F15972"/>
    <s v="OM"/>
    <n v="448"/>
    <n v="450"/>
    <n v="2"/>
    <m/>
    <d v="2025-02-24T19:40:00"/>
    <d v="2025-02-24T19:12:00"/>
    <d v="2025-02-24T20:23:00"/>
    <n v="70.671296297223307"/>
    <n v="42.80092592986572"/>
    <m/>
    <d v="2025-02-26T08:07:00"/>
    <d v="2025-02-26T09:54:00"/>
    <n v="104.77083333629707"/>
    <m/>
    <d v="2025-02-25T15:46:00"/>
    <d v="2025-02-25T16:36:00"/>
    <n v="48.958333328773733"/>
    <m/>
    <n v="0.80763888888759539"/>
    <n v="2"/>
    <n v="1.1923611111124046"/>
    <n v="19.383333333302289"/>
    <n v="0"/>
    <n v="19.383333333302289"/>
    <n v="8.0481513327729921"/>
    <m/>
    <m/>
    <m/>
    <m/>
    <m/>
  </r>
  <r>
    <d v="2025-02-26T00:00:00"/>
    <x v="1"/>
    <m/>
    <s v="Z82816"/>
    <s v="Manual"/>
    <s v="Ikwalikwa Yusuf"/>
    <s v="UBP 311H"/>
    <s v="Kabaco U Ltd "/>
    <n v="156"/>
    <s v="Z82816"/>
    <s v="OM"/>
    <n v="320"/>
    <n v="319"/>
    <n v="-1"/>
    <m/>
    <d v="2025-02-24T14:41:00"/>
    <d v="2025-02-24T14:18:00"/>
    <d v="2025-02-24T15:25:00"/>
    <n v="66.689814813192541"/>
    <n v="43.796296293051761"/>
    <m/>
    <d v="2025-02-24T18:14:00"/>
    <d v="2025-02-24T21:08:00"/>
    <n v="170.37500000136788"/>
    <m/>
    <d v="2025-02-26T09:06:00"/>
    <d v="2025-02-26T09:56:00"/>
    <n v="48.958333328773733"/>
    <m/>
    <n v="1.7368055555562023"/>
    <n v="2"/>
    <n v="0.26319444444379769"/>
    <n v="41.683333333348855"/>
    <n v="12"/>
    <n v="29.683333333348855"/>
    <n v="5.2554744525519963"/>
    <m/>
    <m/>
    <m/>
    <m/>
    <m/>
  </r>
  <r>
    <d v="2025-02-26T00:00:00"/>
    <x v="1"/>
    <m/>
    <s v="F15971"/>
    <s v="Manual"/>
    <s v="kakembo Masudi"/>
    <s v="UBM 644D"/>
    <s v="Boniface Harera"/>
    <n v="156"/>
    <s v="F15971"/>
    <s v="OM"/>
    <n v="448"/>
    <n v="445"/>
    <n v="-3"/>
    <m/>
    <d v="2025-02-26T07:20:00"/>
    <d v="2025-02-24T03:17:00"/>
    <d v="2025-02-26T08:04:00"/>
    <n v="3152.337962955547"/>
    <n v="43.796296293051761"/>
    <m/>
    <d v="2025-02-24T15:27:00"/>
    <d v="2025-02-24T17:39:00"/>
    <n v="129.25000000068394"/>
    <m/>
    <d v="2025-02-26T09:06:00"/>
    <d v="2025-02-26T10:06:00"/>
    <n v="58.7499999965803"/>
    <m/>
    <n v="4.3055555557657499E-2"/>
    <n v="2"/>
    <n v="1.9569444444423425"/>
    <n v="1.03333333338378"/>
    <n v="0"/>
    <n v="1.03333333338378"/>
    <n v="150.96774192811372"/>
    <m/>
    <m/>
    <m/>
    <m/>
    <m/>
  </r>
  <r>
    <d v="2025-02-26T00:00:00"/>
    <x v="1"/>
    <m/>
    <s v="OM0ZQ3MRR"/>
    <s v="DJ"/>
    <s v="Mugisha  George"/>
    <s v="UAV 203T"/>
    <s v="Ntale and Sons"/>
    <n v="153.6"/>
    <s v="OM0ZQ3MRR"/>
    <s v="OM"/>
    <n v="810"/>
    <n v="812"/>
    <n v="2"/>
    <m/>
    <d v="2025-02-24T07:00:00"/>
    <d v="2025-02-24T01:30:00"/>
    <d v="2025-02-24T07:44:00"/>
    <n v="372.26851852222654"/>
    <n v="43.796296293051761"/>
    <m/>
    <d v="2025-02-26T08:07:00"/>
    <d v="2025-02-26T09:54:00"/>
    <n v="104.77083333629707"/>
    <m/>
    <d v="2025-02-26T11:00:00"/>
    <d v="2025-02-26T11:51:00"/>
    <n v="49.93749999863212"/>
    <m/>
    <n v="2.1361111111109494"/>
    <n v="3"/>
    <n v="0.86388888888905058"/>
    <n v="51.266666666662786"/>
    <n v="24"/>
    <n v="27.266666666662786"/>
    <n v="5.6332518337416326"/>
    <m/>
    <m/>
    <m/>
    <m/>
    <m/>
  </r>
  <r>
    <d v="2025-02-26T00:00:00"/>
    <x v="1"/>
    <m/>
    <s v="OM5H4T5RR"/>
    <s v="DJ"/>
    <s v="Benon Ssempijja"/>
    <s v="UAY 526V"/>
    <s v="Kabaco U Ltd "/>
    <n v="153.6"/>
    <s v="OM5H4T5RR"/>
    <s v="OM"/>
    <n v="320"/>
    <n v="56"/>
    <n v="-264"/>
    <m/>
    <d v="2025-02-26T07:08:00"/>
    <d v="2025-02-24T03:17:00"/>
    <d v="2025-02-26T08:04:00"/>
    <n v="3152.337962955547"/>
    <n v="55.740740745144045"/>
    <m/>
    <d v="2025-02-26T08:07:00"/>
    <d v="2025-02-26T09:54:00"/>
    <n v="104.77083333629707"/>
    <m/>
    <d v="2025-02-26T09:06:00"/>
    <d v="2025-02-26T10:02:00"/>
    <n v="54.833333337664953"/>
    <m/>
    <n v="4.3055555557657499E-2"/>
    <n v="2"/>
    <n v="1.9569444444423425"/>
    <n v="1.03333333338378"/>
    <n v="0"/>
    <n v="1.03333333338378"/>
    <n v="148.64516128306582"/>
    <m/>
    <m/>
    <m/>
    <m/>
    <m/>
  </r>
  <r>
    <d v="2025-02-26T00:00:00"/>
    <x v="1"/>
    <m/>
    <s v="OM7VIDTRR"/>
    <s v="DJ"/>
    <s v="Kabene John"/>
    <s v="UBA 523T"/>
    <s v="KATO INVESTMENTS LIMITED-MASAK "/>
    <n v="153.6"/>
    <s v="OM7VIDTRR"/>
    <s v="OM"/>
    <n v="298"/>
    <n v="299"/>
    <n v="1"/>
    <m/>
    <d v="2025-02-24T07:01:00"/>
    <d v="2025-02-24T01:30:00"/>
    <d v="2025-02-24T07:44:00"/>
    <n v="372.26851852222654"/>
    <n v="42.80092592986572"/>
    <m/>
    <d v="2025-02-24T18:14:00"/>
    <d v="2025-02-24T21:07:00"/>
    <n v="169.39583333150949"/>
    <m/>
    <d v="2025-02-26T11:00:00"/>
    <d v="2025-02-26T11:57:00"/>
    <n v="55.81249999726424"/>
    <m/>
    <n v="2.1361111111109494"/>
    <n v="2"/>
    <n v="-0.13611111111094942"/>
    <n v="51.266666666662786"/>
    <n v="24"/>
    <n v="27.266666666662786"/>
    <n v="5.6332518337416326"/>
    <m/>
    <m/>
    <m/>
    <m/>
    <m/>
  </r>
  <r>
    <d v="2025-02-26T00:00:00"/>
    <x v="1"/>
    <m/>
    <s v="OMB6EOSRR"/>
    <s v="DJ"/>
    <s v="Abel Mark naffa"/>
    <s v="UBJ 415C"/>
    <s v="KATO INVESTMENTS LIMITED-MASAK "/>
    <n v="153.6"/>
    <s v="OMB6EOSRR"/>
    <s v="OM"/>
    <n v="298"/>
    <n v="457"/>
    <n v="159"/>
    <s v="Delievered to kalangala"/>
    <d v="2025-02-23T13:46:00"/>
    <d v="2025-02-23T14:09:00"/>
    <d v="2025-02-23T14:30:00"/>
    <n v="20.902777772910969"/>
    <n v="43.796296293051761"/>
    <m/>
    <d v="2025-02-23T15:04:00"/>
    <d v="2025-02-23T17:56:00"/>
    <n v="168.41666666165111"/>
    <m/>
    <d v="2025-02-24T10:39:00"/>
    <d v="2025-02-24T11:31:00"/>
    <n v="50.916666668490507"/>
    <m/>
    <n v="0.83958333333430346"/>
    <n v="2"/>
    <n v="1.1604166666656965"/>
    <n v="20.150000000023283"/>
    <n v="0"/>
    <n v="20.150000000023283"/>
    <n v="7.6228287841102986"/>
    <m/>
    <m/>
    <m/>
    <m/>
    <m/>
  </r>
  <r>
    <d v="2025-02-26T00:00:00"/>
    <x v="1"/>
    <m/>
    <s v="OMWT7WERR"/>
    <s v="DJ"/>
    <s v="Kilabila Ismail"/>
    <s v="UBE 419T"/>
    <s v="KATO INVESTMENTS LTD- KALISIZO"/>
    <n v="153.6"/>
    <s v="OMWT7WERR"/>
    <s v="OM"/>
    <n v="350"/>
    <n v="352"/>
    <n v="2"/>
    <m/>
    <d v="2025-02-24T16:20:00"/>
    <d v="2025-02-23T19:37:00"/>
    <d v="2025-02-24T17:00:00"/>
    <n v="1277.0601851868075"/>
    <n v="39.814814819449872"/>
    <m/>
    <d v="2025-02-24T15:27:00"/>
    <d v="2025-02-24T17:39:00"/>
    <n v="129.25000000068394"/>
    <m/>
    <d v="2025-02-25T15:46:00"/>
    <d v="2025-02-25T16:37:00"/>
    <n v="49.93749999863212"/>
    <m/>
    <n v="0.94861111111094942"/>
    <n v="2"/>
    <n v="1.0513888888890506"/>
    <n v="22.766666666662786"/>
    <n v="0"/>
    <n v="22.766666666662786"/>
    <n v="6.7467057101036385"/>
    <m/>
    <m/>
    <m/>
    <m/>
    <m/>
  </r>
  <r>
    <d v="2025-02-26T00:00:00"/>
    <x v="1"/>
    <m/>
    <s v="OMZY0AVRR"/>
    <s v="DJ"/>
    <s v="GODWIN  NIWENSIIMA"/>
    <s v="UAR 731Q"/>
    <s v="Kabaco U Ltd-Mbarara "/>
    <n v="153.6"/>
    <s v="OMZY0AVRR"/>
    <s v="OM"/>
    <n v="20"/>
    <n v="22"/>
    <n v="2"/>
    <m/>
    <d v="2025-02-24T17:34:00"/>
    <d v="2025-02-24T04:14:00"/>
    <d v="2025-02-24T18:18:00"/>
    <n v="840.09259258818929"/>
    <n v="43.796296293051761"/>
    <m/>
    <d v="2025-02-24T10:53:00"/>
    <d v="2025-02-24T14:17:00"/>
    <n v="199.74999999452848"/>
    <s v="less casuals and offloaded the next day"/>
    <d v="2025-02-25T09:54:00"/>
    <d v="2025-02-25T10:54:00"/>
    <n v="58.7499999965803"/>
    <m/>
    <n v="0.65000000000145519"/>
    <n v="3"/>
    <n v="2.3499999999985448"/>
    <n v="15.600000000034925"/>
    <n v="0"/>
    <n v="15.600000000034925"/>
    <n v="9.8461538461318021"/>
    <m/>
    <m/>
    <m/>
    <m/>
    <m/>
  </r>
  <r>
    <d v="2025-02-26T00:00:00"/>
    <x v="1"/>
    <m/>
    <s v="OMK91NURR"/>
    <s v="DJ"/>
    <s v="James  Kironde"/>
    <s v="UBK 881R"/>
    <s v="Kabaco U Ltd-Mbarara "/>
    <n v="153.6"/>
    <s v="OMK91NURR"/>
    <s v="OM"/>
    <n v="20"/>
    <n v="22"/>
    <n v="2"/>
    <m/>
    <d v="2025-02-24T18:12:00"/>
    <d v="2025-02-24T18:44:00"/>
    <d v="2025-02-24T19:08:00"/>
    <n v="23.888888893755695"/>
    <n v="55.740740745144045"/>
    <m/>
    <d v="2025-02-25T10:36:00"/>
    <d v="2025-02-25T15:02:00"/>
    <n v="260.45833333082555"/>
    <s v="Waited for empties from trade"/>
    <d v="2025-02-25T12:34:00"/>
    <d v="2025-02-25T13:28:00"/>
    <n v="52.87499999794818"/>
    <m/>
    <n v="0.726388888884685"/>
    <n v="3"/>
    <n v="2.273611111115315"/>
    <n v="17.43333333323244"/>
    <n v="0"/>
    <n v="17.43333333323244"/>
    <n v="8.8107074570299577"/>
    <m/>
    <m/>
    <m/>
    <m/>
    <m/>
  </r>
  <r>
    <d v="2025-02-27T00:00:00"/>
    <x v="1"/>
    <m/>
    <s v="A21056"/>
    <s v="Manual"/>
    <m/>
    <s v="UBP 294H"/>
    <s v="Kato Investments Ltd-Bulenga"/>
    <n v="156"/>
    <s v="A21056"/>
    <s v="OM"/>
    <n v="560"/>
    <n v="562"/>
    <n v="2"/>
    <m/>
    <d v="2025-02-24T17:25:00"/>
    <d v="2025-02-24T16:53:00"/>
    <d v="2025-02-24T18:09:00"/>
    <n v="75.6481481444401"/>
    <n v="43.796296293051761"/>
    <m/>
    <d v="2025-02-25T19:30:00"/>
    <d v="2025-02-25T22:24:00"/>
    <n v="170.37500000136788"/>
    <m/>
    <d v="2025-02-27T12:34:00"/>
    <d v="2025-02-27T13:25:00"/>
    <n v="49.93749999863212"/>
    <m/>
    <n v="2.7673611111094942"/>
    <n v="2"/>
    <n v="-0.76736111110949423"/>
    <n v="66.416666666627862"/>
    <n v="24"/>
    <n v="42.416666666627862"/>
    <n v="3.6777996070760564"/>
    <m/>
    <m/>
    <m/>
    <m/>
    <m/>
  </r>
  <r>
    <d v="2025-02-27T00:00:00"/>
    <x v="1"/>
    <m/>
    <s v="A21057"/>
    <s v="Manual"/>
    <s v="Ntumwa Solomon"/>
    <s v="UBR 540W"/>
    <s v="Kato Investment Ltd -Mubende"/>
    <n v="156"/>
    <s v="A21057"/>
    <s v="OM"/>
    <n v="680"/>
    <n v="679"/>
    <n v="-1"/>
    <m/>
    <d v="2025-02-24T16:47:00"/>
    <d v="2025-02-24T16:36:00"/>
    <d v="2025-02-24T17:30:00"/>
    <n v="53.749999997914223"/>
    <n v="42.80092592986572"/>
    <m/>
    <d v="2025-02-26T13:06:00"/>
    <d v="2025-02-26T15:12:00"/>
    <n v="123.37500000205182"/>
    <m/>
    <d v="2025-02-27T12:34:00"/>
    <d v="2025-02-27T13:28:00"/>
    <n v="52.87499999794818"/>
    <m/>
    <n v="2.7944444444437977"/>
    <n v="3"/>
    <n v="0.20555555555620231"/>
    <n v="67.066666666651145"/>
    <n v="24"/>
    <n v="43.066666666651145"/>
    <n v="3.6222910216731323"/>
    <m/>
    <m/>
    <m/>
    <m/>
    <m/>
  </r>
  <r>
    <d v="2025-02-27T00:00:00"/>
    <x v="1"/>
    <m/>
    <s v="A21055"/>
    <s v="Manual"/>
    <m/>
    <s v="UBR 535W"/>
    <s v="Sawan Distributors Ltd-Nabingo"/>
    <n v="70.2"/>
    <s v="A21055"/>
    <s v="OM"/>
    <n v="560"/>
    <n v="561"/>
    <n v="1"/>
    <m/>
    <d v="2025-02-27T13:03:00"/>
    <d v="2025-02-27T12:17:00"/>
    <d v="2025-02-27T13:46:00"/>
    <n v="88.587962959718425"/>
    <n v="42.80092592986572"/>
    <m/>
    <d v="2025-02-25T06:28:00"/>
    <d v="2025-02-25T10:25:00"/>
    <n v="232.06250000752334"/>
    <s v="space consquents"/>
    <d v="2025-02-28T12:33:00"/>
    <d v="2025-02-28T13:32:00"/>
    <n v="57.770833336981013"/>
    <m/>
    <n v="0.9493055555576575"/>
    <n v="2"/>
    <n v="1.0506944444423425"/>
    <n v="22.78333333338378"/>
    <n v="0"/>
    <n v="22.78333333338378"/>
    <n v="3.0811997073816197"/>
    <m/>
    <m/>
    <m/>
    <m/>
    <m/>
  </r>
  <r>
    <d v="2025-02-27T00:00:00"/>
    <x v="1"/>
    <m/>
    <s v="A21059"/>
    <s v="Manual"/>
    <s v="Mulumba Kasim"/>
    <s v="UBE 680K"/>
    <s v="Kato Investments Ltd- Kakumiro"/>
    <n v="156"/>
    <s v="A21059"/>
    <s v="OM"/>
    <n v="790"/>
    <n v="788"/>
    <n v="-2"/>
    <m/>
    <d v="2025-02-26T18:25:00"/>
    <d v="2025-02-26T18:41:00"/>
    <d v="2025-02-26T19:09:00"/>
    <n v="27.870370367357584"/>
    <n v="43.796296293051761"/>
    <m/>
    <d v="2025-02-25T18:02:00"/>
    <d v="2025-02-26T11:06:00"/>
    <n v="1002.6666666725941"/>
    <s v="Reached late and offloaded the next day"/>
    <d v="2025-02-28T12:33:00"/>
    <d v="2025-02-28T13:24:00"/>
    <n v="49.93749999863212"/>
    <m/>
    <n v="1.7249999999985448"/>
    <n v="2"/>
    <n v="0.27500000000145519"/>
    <n v="41.399999999965075"/>
    <n v="12"/>
    <n v="29.399999999965075"/>
    <n v="5.3061224489858949"/>
    <m/>
    <m/>
    <m/>
    <m/>
    <m/>
  </r>
  <r>
    <d v="2025-02-27T00:00:00"/>
    <x v="1"/>
    <m/>
    <s v="F15981"/>
    <s v="Manual"/>
    <s v="Malinzi Awali"/>
    <s v="UBR 536W"/>
    <s v="Boniface Harera"/>
    <n v="156"/>
    <s v="F15981"/>
    <s v="OM"/>
    <n v="448"/>
    <n v="449"/>
    <n v="1"/>
    <m/>
    <d v="2025-02-26T08:52:00"/>
    <d v="2025-02-26T08:06:00"/>
    <d v="2025-02-26T09:35:00"/>
    <n v="88.587962959718425"/>
    <n v="42.80092592986572"/>
    <m/>
    <d v="2025-02-25T15:41:00"/>
    <d v="2025-02-25T17:48:00"/>
    <n v="124.35416667191021"/>
    <m/>
    <d v="2025-02-26T13:02:00"/>
    <d v="2025-02-26T14:02:00"/>
    <n v="58.7499999965803"/>
    <m/>
    <n v="0.14375000000291038"/>
    <n v="2"/>
    <n v="1.8562499999970896"/>
    <n v="3.4500000000698492"/>
    <n v="0"/>
    <n v="3.4500000000698492"/>
    <n v="45.21739130343235"/>
    <m/>
    <m/>
    <m/>
    <m/>
    <m/>
  </r>
  <r>
    <d v="2025-02-27T00:00:00"/>
    <x v="1"/>
    <m/>
    <s v="A21074"/>
    <s v="Manual"/>
    <s v="Eriku Alipa"/>
    <s v="UBK 858R"/>
    <s v="KATO INVESTMENTS LTD-KATIKARA"/>
    <n v="156"/>
    <s v="A21074"/>
    <s v="OM"/>
    <n v="790"/>
    <n v="789"/>
    <n v="-1"/>
    <m/>
    <d v="2025-02-26T08:23:00"/>
    <d v="2025-02-26T08:45:00"/>
    <d v="2025-02-26T09:06:00"/>
    <n v="20.902777772910969"/>
    <n v="42.80092592986572"/>
    <m/>
    <d v="2025-02-25T09:12:00"/>
    <d v="2025-02-25T11:38:00"/>
    <n v="142.95833333766495"/>
    <m/>
    <d v="2025-02-26T13:02:00"/>
    <d v="2025-02-26T14:02:00"/>
    <n v="58.7499999965803"/>
    <m/>
    <n v="0.16388888889196096"/>
    <n v="3"/>
    <n v="2.836111111108039"/>
    <n v="3.933333333407063"/>
    <n v="0"/>
    <n v="3.933333333407063"/>
    <n v="39.661016948409106"/>
    <m/>
    <m/>
    <m/>
    <m/>
    <m/>
  </r>
  <r>
    <d v="2025-02-27T00:00:00"/>
    <x v="1"/>
    <m/>
    <s v="A21076"/>
    <s v="Manual"/>
    <s v="Faruk Abel"/>
    <s v="UBR 539W"/>
    <s v="Kato Investment Ltd -Mityana"/>
    <n v="156"/>
    <s v="A21076"/>
    <s v="OM"/>
    <n v="690"/>
    <n v="692"/>
    <n v="2"/>
    <m/>
    <d v="2025-02-26T13:43:00"/>
    <d v="2025-02-26T14:01:00"/>
    <d v="2025-02-26T14:27:00"/>
    <n v="25.879629630556639"/>
    <n v="43.796296293051761"/>
    <m/>
    <d v="2025-02-25T11:21:00"/>
    <d v="2025-02-25T15:41:00"/>
    <n v="254.58333333219343"/>
    <s v="found another truck to be offloaded"/>
    <d v="2025-03-02T15:22:00"/>
    <d v="2025-03-02T16:13:00"/>
    <n v="49.93749999863212"/>
    <m/>
    <n v="4.0381944444452529"/>
    <n v="2"/>
    <n v="-2.0381944444452529"/>
    <n v="96.916666666686069"/>
    <n v="48"/>
    <n v="48.916666666686069"/>
    <n v="3.1890971039169633"/>
    <m/>
    <m/>
    <m/>
    <m/>
    <m/>
  </r>
  <r>
    <d v="2025-02-27T00:00:00"/>
    <x v="1"/>
    <m/>
    <s v="Z82846"/>
    <s v="Manual"/>
    <m/>
    <s v="UBF 367L"/>
    <s v="Kobusinge Steven-FPortal"/>
    <n v="6.3"/>
    <s v="Z82846"/>
    <s v="OM"/>
    <n v="304"/>
    <n v="302"/>
    <n v="-2"/>
    <m/>
    <d v="2025-02-25T21:27:00"/>
    <d v="2025-02-25T20:36:00"/>
    <d v="2025-02-25T22:11:00"/>
    <n v="94.560185180550135"/>
    <n v="43.796296293051761"/>
    <m/>
    <d v="2025-02-26T12:17:00"/>
    <d v="2025-02-26T20:40:00"/>
    <n v="492.52083332808979"/>
    <s v="Waited for empties from trade"/>
    <d v="2025-02-27T16:32:00"/>
    <d v="2025-02-27T17:32:00"/>
    <n v="58.7499999965803"/>
    <m/>
    <n v="1.7645833333299379"/>
    <n v="2"/>
    <n v="0.23541666667006211"/>
    <n v="42.349999999918509"/>
    <n v="12"/>
    <n v="30.349999999918509"/>
    <n v="0.20757825370731187"/>
    <m/>
    <m/>
    <m/>
    <m/>
    <m/>
  </r>
  <r>
    <d v="2025-02-27T00:00:00"/>
    <x v="1"/>
    <m/>
    <s v="Z82845"/>
    <s v="Manual"/>
    <m/>
    <s v="UBR 537W"/>
    <s v="Kobusinge Steven-Kamwenge"/>
    <n v="156"/>
    <s v="Z82845"/>
    <s v="OM"/>
    <n v="288"/>
    <n v="290"/>
    <n v="2"/>
    <m/>
    <d v="2025-02-27T12:41:00"/>
    <d v="2025-02-25T16:40:00"/>
    <d v="2025-02-27T13:46:00"/>
    <n v="2693.4722222208316"/>
    <n v="64.699074076391597"/>
    <m/>
    <d v="2025-02-26T13:06:00"/>
    <d v="2025-02-26T15:12:00"/>
    <n v="123.37500000205182"/>
    <m/>
    <d v="2025-03-02T15:22:00"/>
    <d v="2025-03-02T16:21:00"/>
    <n v="57.770833336981013"/>
    <m/>
    <n v="3.0666666666656965"/>
    <n v="2"/>
    <n v="-1.0666666666656965"/>
    <n v="73.599999999976717"/>
    <n v="36"/>
    <n v="37.599999999976717"/>
    <n v="4.1489361702153351"/>
    <m/>
    <m/>
    <m/>
    <m/>
    <m/>
  </r>
  <r>
    <d v="2025-02-27T00:00:00"/>
    <x v="1"/>
    <m/>
    <s v="A21061"/>
    <s v="Manual"/>
    <s v="Bwanga Gilbert"/>
    <s v="UBK 862R"/>
    <s v="KATO INVESTMENTS LTD-KATIKARA"/>
    <n v="148.80000000000001"/>
    <s v="A21061"/>
    <s v="OM"/>
    <n v="790"/>
    <n v="792"/>
    <n v="2"/>
    <m/>
    <d v="2025-02-26T13:38:00"/>
    <d v="2025-02-25T20:13:00"/>
    <d v="2025-02-26T14:20:00"/>
    <n v="1081.9675925840177"/>
    <n v="41.805555556250816"/>
    <m/>
    <d v="2025-02-26T12:17:00"/>
    <d v="2025-02-26T20:40:00"/>
    <n v="492.52083332808979"/>
    <s v="slept at the RD and offloaded the next day"/>
    <d v="2025-02-27T15:21:00"/>
    <d v="2025-02-27T16:21:00"/>
    <n v="58.7499999965803"/>
    <m/>
    <n v="1.0423611111109494"/>
    <n v="3"/>
    <n v="1.9576388888890506"/>
    <n v="25.016666666662786"/>
    <n v="12"/>
    <n v="13.016666666662786"/>
    <n v="11.431498079388811"/>
    <m/>
    <m/>
    <m/>
    <m/>
    <m/>
  </r>
  <r>
    <d v="2025-02-27T00:00:00"/>
    <x v="1"/>
    <m/>
    <s v="Z82850"/>
    <s v="Manual"/>
    <s v="Byanshala Stoney"/>
    <s v="UBP 312H"/>
    <s v="Kabaco U Ltd "/>
    <n v="156"/>
    <s v="Z82850"/>
    <s v="OM"/>
    <n v="320"/>
    <n v="321"/>
    <n v="1"/>
    <m/>
    <d v="2025-02-26T08:44:00"/>
    <d v="2025-02-26T08:59:00"/>
    <d v="2025-02-26T09:27:00"/>
    <n v="27.870370367357584"/>
    <n v="42.80092592986572"/>
    <m/>
    <d v="2025-02-27T11:43:00"/>
    <d v="2025-02-27T14:21:00"/>
    <n v="154.70833333492919"/>
    <m/>
    <d v="2025-02-27T06:10:00"/>
    <d v="2025-02-27T07:10:00"/>
    <n v="58.7499999965803"/>
    <m/>
    <n v="0.8631944444423425"/>
    <n v="2"/>
    <n v="1.1368055555576575"/>
    <n v="20.71666666661622"/>
    <n v="0"/>
    <n v="20.71666666661622"/>
    <n v="7.5301689461164862"/>
    <m/>
    <m/>
    <m/>
    <m/>
    <m/>
  </r>
  <r>
    <d v="2025-02-27T00:00:00"/>
    <x v="1"/>
    <m/>
    <s v="A21079"/>
    <s v="Manual"/>
    <m/>
    <s v="UBR 900Y"/>
    <s v="Kato Investment Ltd -Mityana"/>
    <n v="156"/>
    <s v="A21079"/>
    <s v="OM"/>
    <n v="690"/>
    <n v="689"/>
    <n v="-1"/>
    <m/>
    <d v="2025-02-25T21:42:00"/>
    <d v="2025-02-25T22:13:00"/>
    <d v="2025-02-25T22:26:00"/>
    <n v="12.93981481527832"/>
    <n v="43.796296293051761"/>
    <m/>
    <d v="2025-02-26T09:08:00"/>
    <d v="2025-02-26T15:00:00"/>
    <n v="344.66666666165111"/>
    <s v="Waited for empties from trade"/>
    <d v="2025-02-26T15:57:00"/>
    <d v="2025-02-26T16:55:00"/>
    <n v="56.791666667122627"/>
    <m/>
    <n v="0.72986111111094942"/>
    <n v="3"/>
    <n v="2.2701388888890506"/>
    <n v="17.516666666662786"/>
    <n v="0"/>
    <n v="17.516666666662786"/>
    <n v="8.9058039961960738"/>
    <m/>
    <m/>
    <m/>
    <m/>
    <m/>
  </r>
  <r>
    <d v="2025-02-27T00:00:00"/>
    <x v="1"/>
    <m/>
    <s v="A21077"/>
    <s v="Manual"/>
    <m/>
    <s v="UBJ 421C"/>
    <s v="Kato Investments Ltd- Kyegegwa"/>
    <n v="156"/>
    <s v="A21077"/>
    <s v="OM"/>
    <n v="600"/>
    <n v="599"/>
    <n v="-1"/>
    <m/>
    <d v="2025-02-25T19:53:00"/>
    <d v="2025-02-25T20:26:00"/>
    <d v="2025-02-25T20:36:00"/>
    <n v="9.9537037048624679"/>
    <n v="42.80092592986572"/>
    <m/>
    <d v="2025-02-26T08:30:00"/>
    <d v="2025-02-26T12:41:00"/>
    <n v="245.77083333424525"/>
    <s v="Waited for empties from trade"/>
    <d v="2025-02-26T13:39:00"/>
    <d v="2025-02-26T14:55:00"/>
    <n v="74.416666663018987"/>
    <s v="sorting delays"/>
    <n v="0.71041666666860692"/>
    <n v="2"/>
    <n v="1.2895833333313931"/>
    <n v="17.050000000046566"/>
    <n v="0"/>
    <n v="17.050000000046566"/>
    <n v="9.1495601172770638"/>
    <m/>
    <m/>
    <m/>
    <m/>
    <m/>
  </r>
  <r>
    <d v="2025-02-27T00:00:00"/>
    <x v="1"/>
    <m/>
    <s v="Z82849"/>
    <s v="Manual"/>
    <s v="Nminya Siraje"/>
    <s v="UBP 301H"/>
    <s v="Kobusinge Steven-FPortal"/>
    <n v="156"/>
    <s v="Z82849"/>
    <s v="OM"/>
    <n v="304"/>
    <n v="302"/>
    <n v="-2"/>
    <m/>
    <d v="2025-02-25T20:45:00"/>
    <d v="2025-02-25T21:08:00"/>
    <d v="2025-02-25T21:29:00"/>
    <n v="20.902777772910969"/>
    <n v="43.796296293051761"/>
    <m/>
    <d v="2025-02-26T17:37:00"/>
    <d v="2025-02-27T10:24:00"/>
    <n v="986.02083333629707"/>
    <s v="Waited for empties from trade"/>
    <d v="2025-03-08T16:18:00"/>
    <d v="2025-03-08T17:12:00"/>
    <n v="52.87499999794818"/>
    <m/>
    <n v="10.784027777779556"/>
    <n v="2"/>
    <n v="-8.7840277777795563"/>
    <n v="258.81666666670935"/>
    <n v="120"/>
    <n v="138.81666666670935"/>
    <n v="1.1237843678709476"/>
    <m/>
    <m/>
    <m/>
    <m/>
    <m/>
  </r>
  <r>
    <d v="2025-02-27T00:00:00"/>
    <x v="1"/>
    <m/>
    <s v="A21070"/>
    <s v="Manual"/>
    <s v="kayanja Sam"/>
    <s v="UBF 379L"/>
    <s v="Sawan Distributors Ltd-Kayabwe"/>
    <n v="70.2"/>
    <s v="A21070"/>
    <s v="OM"/>
    <n v="382"/>
    <n v="381"/>
    <n v="-1"/>
    <m/>
    <d v="2025-02-25T18:19:00"/>
    <d v="2025-02-25T17:47:00"/>
    <d v="2025-02-25T19:03:00"/>
    <n v="75.6481481444401"/>
    <n v="43.796296293051761"/>
    <m/>
    <d v="2025-02-26T10:22:00"/>
    <d v="2025-02-26T12:27:00"/>
    <n v="122.39583334245253"/>
    <m/>
    <d v="2025-02-27T10:22:00"/>
    <d v="2025-02-27T11:16:00"/>
    <n v="52.87499999794818"/>
    <m/>
    <n v="1.6381944444437977"/>
    <n v="2"/>
    <n v="0.36180555555620231"/>
    <n v="39.316666666651145"/>
    <n v="12"/>
    <n v="27.316666666651145"/>
    <n v="2.569859670532272"/>
    <m/>
    <m/>
    <m/>
    <m/>
    <m/>
  </r>
  <r>
    <d v="2025-02-27T00:00:00"/>
    <x v="1"/>
    <m/>
    <s v="A21075"/>
    <s v="Manual"/>
    <m/>
    <s v="UBR 534W"/>
    <s v="Kato Investment Ltd -Kagadi"/>
    <n v="156"/>
    <s v="A21075"/>
    <s v="OM"/>
    <n v="670"/>
    <n v="668"/>
    <n v="-2"/>
    <m/>
    <d v="2025-02-25T18:02:00"/>
    <d v="2025-02-25T18:34:00"/>
    <d v="2025-02-25T18:45:00"/>
    <n v="10.949074078477375"/>
    <n v="42.80092592986572"/>
    <m/>
    <d v="2025-02-26T16:29:00"/>
    <d v="2025-02-26T19:57:00"/>
    <n v="203.66666667396203"/>
    <s v="Waited for empties from trade"/>
    <d v="2025-02-28T09:37:00"/>
    <d v="2025-02-28T10:31:00"/>
    <n v="52.87499999794818"/>
    <m/>
    <n v="2.6194444444408873"/>
    <n v="2"/>
    <n v="-0.61944444444088731"/>
    <n v="62.866666666581295"/>
    <n v="24"/>
    <n v="38.866666666581295"/>
    <n v="4.0137221269384904"/>
    <m/>
    <m/>
    <m/>
    <m/>
    <m/>
  </r>
  <r>
    <d v="2025-02-27T00:00:00"/>
    <x v="1"/>
    <m/>
    <s v="Z82848"/>
    <s v="Manual"/>
    <m/>
    <s v="UBP 998T"/>
    <s v="Kobusinge Acaali- Kyenjojo"/>
    <n v="156"/>
    <s v="Z82848"/>
    <s v="OM"/>
    <n v="580"/>
    <n v="579"/>
    <n v="-1"/>
    <m/>
    <d v="2025-02-25T16:24:00"/>
    <d v="2025-02-25T15:51:00"/>
    <d v="2025-02-25T17:08:00"/>
    <n v="76.643518518055018"/>
    <n v="43.796296293051761"/>
    <m/>
    <d v="2025-02-26T14:31:00"/>
    <d v="2025-02-27T08:24:00"/>
    <n v="1050.6458333315095"/>
    <s v="slept at the RD and offloaded the next day"/>
    <d v="2025-02-27T20:54:00"/>
    <d v="2025-02-27T21:48:00"/>
    <n v="52.87499999794818"/>
    <m/>
    <n v="2.1569444444467081"/>
    <n v="2"/>
    <n v="-0.15694444444670808"/>
    <n v="51.766666666720994"/>
    <n v="24"/>
    <n v="27.766666666720994"/>
    <n v="5.6182472989085754"/>
    <m/>
    <m/>
    <m/>
    <m/>
    <m/>
  </r>
  <r>
    <d v="2025-02-27T00:00:00"/>
    <x v="1"/>
    <m/>
    <s v="Z82847"/>
    <s v="Manual"/>
    <m/>
    <s v="UBG 082B"/>
    <s v="Bates Enterprises U Ltd"/>
    <n v="156"/>
    <s v="Z82847"/>
    <s v="OM"/>
    <n v="414"/>
    <n v="413"/>
    <n v="-1"/>
    <m/>
    <d v="2025-02-27T04:49:00"/>
    <d v="2025-02-27T05:09:00"/>
    <d v="2025-02-27T05:32:00"/>
    <n v="22.893518520140788"/>
    <n v="42.80092592986572"/>
    <m/>
    <d v="2025-02-26T16:03:00"/>
    <d v="2025-02-27T12:33:00"/>
    <n v="1204.3750000068394"/>
    <s v="Reached late and offloaded the next day"/>
    <d v="2025-02-27T20:54:00"/>
    <d v="2025-02-27T21:54:00"/>
    <n v="58.7499999965803"/>
    <m/>
    <n v="0.64027777777664596"/>
    <n v="3"/>
    <n v="2.359722222223354"/>
    <n v="15.366666666639503"/>
    <n v="0"/>
    <n v="15.366666666639503"/>
    <n v="10.151843817805364"/>
    <m/>
    <m/>
    <m/>
    <m/>
    <m/>
  </r>
  <r>
    <d v="2025-02-27T00:00:00"/>
    <x v="1"/>
    <m/>
    <s v="A21081"/>
    <s v="Manual"/>
    <s v="Matovu Musa"/>
    <s v="UBR 538W"/>
    <s v="Ntale and Sons Ltd-Kakiri"/>
    <n v="156"/>
    <s v="A21081"/>
    <s v="OM"/>
    <n v="620"/>
    <n v="622"/>
    <n v="2"/>
    <m/>
    <d v="2025-02-25T16:17:00"/>
    <d v="2025-02-25T16:50:00"/>
    <d v="2025-02-25T17:00:00"/>
    <n v="9.9537037048624679"/>
    <n v="42.80092592986572"/>
    <m/>
    <d v="2025-02-26T08:05:00"/>
    <d v="2025-02-26T09:55:00"/>
    <n v="107.70833333561313"/>
    <m/>
    <d v="2025-02-28T08:38:00"/>
    <d v="2025-02-28T09:35:00"/>
    <n v="55.81249999726424"/>
    <m/>
    <n v="2.6513888888875954"/>
    <n v="3"/>
    <n v="0.34861111111240461"/>
    <n v="63.633333333302289"/>
    <n v="24"/>
    <n v="39.633333333302289"/>
    <n v="3.9360807401208291"/>
    <m/>
    <m/>
    <m/>
    <m/>
    <m/>
  </r>
  <r>
    <d v="2025-02-27T00:00:00"/>
    <x v="1"/>
    <m/>
    <s v="F15998"/>
    <s v="Manual"/>
    <s v="Taimwa Alex"/>
    <s v="UBJ 705D"/>
    <s v="Boniface Harera"/>
    <n v="156"/>
    <s v="F15998"/>
    <s v="OM"/>
    <n v="448"/>
    <n v="449"/>
    <n v="1"/>
    <m/>
    <d v="2025-02-26T08:16:00"/>
    <d v="2025-02-26T08:41:00"/>
    <d v="2025-02-26T09:00:00"/>
    <n v="18.912037036110025"/>
    <n v="43.796296293051761"/>
    <m/>
    <d v="2025-02-28T09:02:00"/>
    <d v="2025-02-28T11:35:00"/>
    <n v="149.81250000615546"/>
    <m/>
    <d v="2025-02-26T10:33:00"/>
    <d v="2025-02-26T11:27:00"/>
    <n v="52.87499999794818"/>
    <m/>
    <n v="6.4583333332848269E-2"/>
    <n v="2"/>
    <n v="1.9354166666671517"/>
    <n v="1.5499999999883585"/>
    <n v="0"/>
    <n v="1.5499999999883585"/>
    <n v="100.64516129107849"/>
    <m/>
    <m/>
    <m/>
    <m/>
    <m/>
  </r>
  <r>
    <d v="2025-02-27T00:00:00"/>
    <x v="1"/>
    <m/>
    <s v="OM9RS70RR"/>
    <s v="DJ"/>
    <s v="SENTONG DAVID"/>
    <s v="UBP 298H"/>
    <s v="Sawan Distributors Ltd-Nabingo "/>
    <n v="156"/>
    <s v="OM9RS70RR"/>
    <s v="OM"/>
    <n v="560"/>
    <n v="562"/>
    <n v="2"/>
    <m/>
    <d v="2025-02-28T18:19:00"/>
    <d v="2025-02-28T18:20:00"/>
    <d v="2025-02-28T19:03:00"/>
    <n v="42.80092592986572"/>
    <n v="43.796296293051761"/>
    <m/>
    <d v="2025-02-26T11:18:00"/>
    <d v="2025-02-26T13:39:00"/>
    <n v="138.06249999863212"/>
    <m/>
    <d v="2025-03-01T11:13:00"/>
    <d v="2025-03-01T12:06:00"/>
    <n v="51.895833338348893"/>
    <m/>
    <n v="0.67361111111677019"/>
    <n v="2"/>
    <n v="1.3263888888832298"/>
    <n v="16.166666666802485"/>
    <n v="0"/>
    <n v="16.166666666802485"/>
    <n v="9.6494845360014079"/>
    <m/>
    <m/>
    <m/>
    <m/>
    <m/>
  </r>
  <r>
    <d v="2025-02-27T00:00:00"/>
    <x v="1"/>
    <m/>
    <s v="OMNP0AERR"/>
    <s v="DJ"/>
    <s v="Benon Ssempijja"/>
    <s v="UAY 526V"/>
    <s v="Ntale and Sons"/>
    <n v="153.6"/>
    <s v="OMNP0AERR"/>
    <s v="OM"/>
    <n v="810"/>
    <n v="809"/>
    <n v="-1"/>
    <m/>
    <d v="2025-03-12T14:10:00"/>
    <d v="2025-03-12T14:29:00"/>
    <d v="2025-03-12T14:52:00"/>
    <n v="22.893518520140788"/>
    <n v="41.805555556250816"/>
    <m/>
    <d v="2025-02-26T17:19:00"/>
    <d v="2025-02-27T09:39:00"/>
    <n v="959.58333333219343"/>
    <s v="Waited for empties from trade"/>
    <d v="2025-03-27T11:13:00"/>
    <d v="2025-03-27T12:12:00"/>
    <n v="57.770833336981013"/>
    <m/>
    <n v="14.847916666672972"/>
    <n v="2"/>
    <n v="-12.847916666672972"/>
    <n v="356.35000000015134"/>
    <n v="168"/>
    <n v="188.35000000015134"/>
    <n v="0.81550305282652813"/>
    <m/>
    <m/>
    <m/>
    <m/>
    <m/>
  </r>
  <r>
    <d v="2025-02-27T00:00:00"/>
    <x v="1"/>
    <m/>
    <s v="OMUB5G2RR"/>
    <s v="DJ"/>
    <s v="Stephen Musoke "/>
    <s v="UBJ 375N"/>
    <s v="Kabaco U Ltd "/>
    <n v="153.6"/>
    <s v="OMUB5G2RR"/>
    <s v="OM"/>
    <n v="320"/>
    <n v="317"/>
    <n v="-3"/>
    <m/>
    <d v="2025-02-26T11:44:00"/>
    <d v="2025-02-26T12:04:00"/>
    <d v="2025-02-26T12:28:00"/>
    <n v="23.888888893755695"/>
    <n v="43.796296293051761"/>
    <m/>
    <d v="2025-02-27T13:33:00"/>
    <d v="2025-02-27T17:51:00"/>
    <n v="252.62500000273576"/>
    <s v="less casuals and offloaded the next day"/>
    <d v="2025-02-27T15:50:00"/>
    <d v="2025-02-27T16:44:00"/>
    <n v="52.87499999794818"/>
    <m/>
    <n v="1.140277777776646"/>
    <n v="2"/>
    <n v="0.85972222222335404"/>
    <n v="27.366666666639503"/>
    <n v="12"/>
    <n v="15.366666666639503"/>
    <n v="9.9956616052237433"/>
    <m/>
    <m/>
    <m/>
    <m/>
    <m/>
  </r>
  <r>
    <d v="2025-02-27T00:00:00"/>
    <x v="1"/>
    <m/>
    <s v="OMPYKSHRR"/>
    <s v="DJ"/>
    <s v="Jacob Oneka"/>
    <s v="UBE 422T"/>
    <s v="Kato Investment Ltd -Mityana"/>
    <n v="153.6"/>
    <s v="OMPYKSHRR"/>
    <s v="OM"/>
    <n v="690"/>
    <n v="689"/>
    <n v="-1"/>
    <m/>
    <d v="2025-02-26T12:29:00"/>
    <d v="2025-02-26T12:49:00"/>
    <d v="2025-02-26T13:12:00"/>
    <n v="22.893518520140788"/>
    <n v="42.80092592986572"/>
    <m/>
    <d v="2025-02-26T16:15:00"/>
    <d v="2025-02-26T20:15:00"/>
    <n v="234.9999999965803"/>
    <s v="Waited for empties from trade"/>
    <d v="2025-02-26T18:27:00"/>
    <d v="2025-02-26T19:24:00"/>
    <n v="55.81249999726424"/>
    <m/>
    <n v="0.21875"/>
    <n v="2"/>
    <n v="1.78125"/>
    <n v="5.25"/>
    <n v="0"/>
    <n v="5.25"/>
    <n v="29.257142857142856"/>
    <m/>
    <m/>
    <m/>
    <m/>
    <m/>
  </r>
  <r>
    <d v="2025-02-28T00:00:00"/>
    <x v="1"/>
    <m/>
    <s v="Z82866"/>
    <s v="Manual"/>
    <m/>
    <s v="UBR 533W"/>
    <s v="Kabaco U Ltd "/>
    <n v="156"/>
    <s v="Z82866"/>
    <s v="OM"/>
    <n v="320"/>
    <n v="321"/>
    <n v="1"/>
    <m/>
    <d v="2025-02-27T13:02:00"/>
    <d v="2025-02-25T16:40:00"/>
    <d v="2025-02-27T13:46:00"/>
    <n v="2693.4722222208316"/>
    <n v="43.796296293051761"/>
    <m/>
    <d v="2025-02-26T08:30:00"/>
    <d v="2025-02-26T12:41:00"/>
    <n v="245.77083333424525"/>
    <s v="Not enough casuals to offload"/>
    <d v="2025-02-28T09:54:00"/>
    <d v="2025-02-28T10:52:00"/>
    <n v="56.791666667122627"/>
    <m/>
    <n v="0.83888888888759539"/>
    <n v="2"/>
    <n v="1.1611111111124046"/>
    <n v="20.133333333302289"/>
    <n v="0"/>
    <n v="20.133333333302289"/>
    <n v="7.7483443708728741"/>
    <m/>
    <m/>
    <m/>
    <m/>
    <m/>
  </r>
  <r>
    <d v="2025-02-28T00:00:00"/>
    <x v="1"/>
    <m/>
    <s v="Z82873"/>
    <s v="Manual"/>
    <s v="Ngobi Fred"/>
    <s v="UBK 866R"/>
    <s v="Kobusinge Steven-FPortal"/>
    <n v="156"/>
    <s v="Z82873"/>
    <s v="OM"/>
    <n v="300"/>
    <n v="302"/>
    <n v="2"/>
    <m/>
    <d v="2025-02-26T08:11:00"/>
    <d v="2025-02-26T02:22:00"/>
    <d v="2025-02-26T09:06:00"/>
    <n v="402.12962962638511"/>
    <n v="54.745370371529134"/>
    <m/>
    <d v="2025-02-26T17:37:00"/>
    <d v="2025-02-27T10:24:00"/>
    <n v="986.02083333629707"/>
    <s v="Waited for empties from trade"/>
    <d v="2025-02-27T22:05:00"/>
    <d v="2025-02-27T22:55:00"/>
    <n v="48.958333328773733"/>
    <m/>
    <n v="1.5409722222248092"/>
    <n v="2"/>
    <n v="0.45902777777519077"/>
    <n v="36.983333333395422"/>
    <n v="12"/>
    <n v="24.983333333395422"/>
    <n v="6.2441627751679381"/>
    <m/>
    <m/>
    <m/>
    <m/>
    <m/>
  </r>
  <r>
    <d v="2025-02-28T00:00:00"/>
    <x v="1"/>
    <m/>
    <s v="Z82867"/>
    <s v="Manual"/>
    <s v="ZIWA ABASI"/>
    <s v="UBJ 420C"/>
    <s v="Kobusinge Steven-Kamwenge"/>
    <n v="156"/>
    <s v="Z82867"/>
    <s v="OM"/>
    <n v="288"/>
    <n v="287"/>
    <n v="-1"/>
    <m/>
    <d v="2025-02-26T08:43:00"/>
    <d v="2025-02-26T09:00:00"/>
    <d v="2025-02-26T09:27:00"/>
    <n v="26.87500000417155"/>
    <n v="43.796296293051761"/>
    <m/>
    <d v="2025-02-26T10:22:00"/>
    <d v="2025-02-26T12:27:00"/>
    <n v="122.39583334245253"/>
    <m/>
    <d v="2025-02-26T10:59:00"/>
    <d v="2025-02-26T11:56:00"/>
    <n v="55.81249999726424"/>
    <m/>
    <n v="6.3888888886140194E-2"/>
    <n v="2"/>
    <n v="1.9361111111138598"/>
    <n v="1.5333333332673647"/>
    <n v="0"/>
    <n v="1.5333333332673647"/>
    <n v="101.73913043915974"/>
    <m/>
    <m/>
    <m/>
    <m/>
    <m/>
  </r>
  <r>
    <d v="2025-02-28T00:00:00"/>
    <x v="1"/>
    <m/>
    <s v="Z82872"/>
    <s v="Manual"/>
    <s v="Kabanda Ronald"/>
    <s v="UBE 684K"/>
    <s v="Kabaco U Ltd "/>
    <n v="156"/>
    <s v="Z82872"/>
    <s v="OM"/>
    <n v="320"/>
    <n v="321"/>
    <n v="1"/>
    <m/>
    <d v="2025-02-26T08:36:00"/>
    <d v="2025-02-26T04:14:00"/>
    <d v="2025-02-26T09:20:00"/>
    <n v="304.58333333541913"/>
    <n v="43.796296293051761"/>
    <m/>
    <d v="2025-02-26T16:29:00"/>
    <d v="2025-02-26T19:57:00"/>
    <n v="203.66666667396203"/>
    <s v="found another truck to be offloaded"/>
    <d v="2025-03-02T15:22:00"/>
    <d v="2025-03-02T16:20:00"/>
    <n v="56.791666667122627"/>
    <m/>
    <n v="4.2513888888861402"/>
    <n v="2"/>
    <n v="-2.2513888888861402"/>
    <n v="102.03333333326736"/>
    <n v="48"/>
    <n v="54.033333333267365"/>
    <n v="2.8871067242478183"/>
    <m/>
    <m/>
    <m/>
    <m/>
    <m/>
  </r>
  <r>
    <d v="2025-02-28T00:00:00"/>
    <x v="1"/>
    <m/>
    <s v="A21105"/>
    <s v="Manual"/>
    <s v="Sentongo paul"/>
    <s v="UBR 541W"/>
    <s v="Kato Investment Ltd -Kagadi"/>
    <n v="156"/>
    <s v="A21105"/>
    <s v="OM"/>
    <n v="670"/>
    <n v="672"/>
    <n v="2"/>
    <m/>
    <d v="2025-02-26T13:43:00"/>
    <d v="2025-02-26T08:00:00"/>
    <d v="2025-02-26T14:27:00"/>
    <n v="385.20833332707599"/>
    <n v="43.796296293051761"/>
    <m/>
    <d v="2025-02-26T17:37:00"/>
    <d v="2025-02-27T10:24:00"/>
    <n v="986.02083333629707"/>
    <s v="found another truck at the RD"/>
    <d v="2025-03-02T15:22:00"/>
    <d v="2025-03-02T16:21:00"/>
    <n v="57.770833336981013"/>
    <m/>
    <n v="4.0381944444452529"/>
    <n v="2"/>
    <n v="-2.0381944444452529"/>
    <n v="96.916666666686069"/>
    <n v="48"/>
    <n v="48.916666666686069"/>
    <n v="3.1890971039169633"/>
    <m/>
    <m/>
    <m/>
    <m/>
    <m/>
  </r>
  <r>
    <d v="2025-02-28T00:00:00"/>
    <x v="1"/>
    <m/>
    <s v="Z82868"/>
    <s v="Manual"/>
    <s v="Nakalya John"/>
    <s v="UBM 648D"/>
    <s v="Kobusinge Acaali- Kyenjojo"/>
    <n v="156"/>
    <s v="Z82868"/>
    <s v="OM"/>
    <n v="580"/>
    <n v="582"/>
    <n v="2"/>
    <m/>
    <d v="2025-02-27T13:03:00"/>
    <d v="2025-02-25T16:40:00"/>
    <d v="2025-02-27T13:46:00"/>
    <n v="2693.4722222208316"/>
    <n v="42.80092592986572"/>
    <m/>
    <d v="2025-02-26T10:22:00"/>
    <d v="2025-02-26T12:27:00"/>
    <n v="122.39583334245253"/>
    <m/>
    <d v="2025-03-02T15:22:00"/>
    <d v="2025-03-02T16:18:00"/>
    <n v="54.833333337664953"/>
    <m/>
    <n v="3.0666666666656965"/>
    <n v="2"/>
    <n v="-1.0666666666656965"/>
    <n v="73.599999999976717"/>
    <n v="36"/>
    <n v="37.599999999976717"/>
    <n v="4.1489361702153351"/>
    <m/>
    <m/>
    <m/>
    <m/>
    <m/>
  </r>
  <r>
    <d v="2025-02-28T00:00:00"/>
    <x v="1"/>
    <m/>
    <s v="Z82869"/>
    <s v="Manual"/>
    <s v="kakembo Masudi"/>
    <s v="UBM 644D"/>
    <s v="Kobusinge Steven-FPortal"/>
    <n v="156"/>
    <s v="Z82869"/>
    <s v="OM"/>
    <n v="304"/>
    <n v="306"/>
    <n v="2"/>
    <m/>
    <d v="2025-02-26T18:26:00"/>
    <d v="2025-02-26T10:00:00"/>
    <d v="2025-02-26T19:09:00"/>
    <n v="546.45833334167639"/>
    <n v="42.80092592986572"/>
    <m/>
    <d v="2025-02-26T16:29:00"/>
    <d v="2025-02-26T19:57:00"/>
    <n v="203.66666667396203"/>
    <s v="Waited for empties from trade"/>
    <d v="2025-02-28T12:59:00"/>
    <d v="2025-02-28T13:56:00"/>
    <n v="55.81249999726424"/>
    <m/>
    <n v="1.7430555555547471"/>
    <n v="2"/>
    <n v="0.25694444444525288"/>
    <n v="41.833333333313931"/>
    <n v="12"/>
    <n v="29.833333333313931"/>
    <n v="5.22905027933301"/>
    <m/>
    <m/>
    <m/>
    <m/>
    <m/>
  </r>
  <r>
    <d v="2025-02-28T00:00:00"/>
    <x v="1"/>
    <m/>
    <s v="OMATP0LRR"/>
    <s v="DJ"/>
    <s v="Kabene John"/>
    <s v="UBA 523T"/>
    <s v="RUGOMA TRADERS CO. LTD NTUNGAM "/>
    <n v="153.6"/>
    <s v="OMATP0LRR"/>
    <s v="OM"/>
    <n v="150"/>
    <n v="149"/>
    <n v="-1"/>
    <m/>
    <d v="2025-02-26T08:23:00"/>
    <d v="2025-02-26T02:22:00"/>
    <d v="2025-02-26T09:06:00"/>
    <n v="402.12962962638511"/>
    <n v="42.80092592986572"/>
    <m/>
    <d v="2025-02-26T11:18:00"/>
    <d v="2025-02-26T13:39:00"/>
    <n v="138.06249999863212"/>
    <m/>
    <d v="2025-02-26T18:43:00"/>
    <d v="2025-02-26T19:59:00"/>
    <n v="74.416666663018987"/>
    <s v="fueling delays"/>
    <n v="0.40069444444816327"/>
    <n v="1"/>
    <n v="0.59930555555183673"/>
    <n v="9.6166666667559184"/>
    <n v="0"/>
    <n v="9.6166666667559184"/>
    <n v="15.972270363803235"/>
    <m/>
    <m/>
    <m/>
    <m/>
    <m/>
  </r>
  <r>
    <d v="2025-02-28T00:00:00"/>
    <x v="1"/>
    <m/>
    <s v="OMGVHG4RR"/>
    <s v="DJ"/>
    <s v="Tumusiime Robert"/>
    <s v="UBJ 988D"/>
    <s v="Kabaco U Ltd-Mbarara "/>
    <n v="153.6"/>
    <s v="OMGVHG4RR"/>
    <s v="OM"/>
    <n v="20"/>
    <n v="19"/>
    <n v="-1"/>
    <m/>
    <d v="2025-02-26T13:43:00"/>
    <d v="2025-02-26T08:00:00"/>
    <d v="2025-02-26T14:27:00"/>
    <n v="385.20833332707599"/>
    <n v="43.796296293051761"/>
    <m/>
    <d v="2025-02-26T16:15:00"/>
    <d v="2025-02-26T20:15:00"/>
    <n v="234.9999999965803"/>
    <s v="Waited for empties from trade"/>
    <d v="2025-02-27T10:46:00"/>
    <d v="2025-02-27T11:44:00"/>
    <n v="56.791666667122627"/>
    <m/>
    <n v="0.84652777777955635"/>
    <n v="3"/>
    <n v="2.1534722222204437"/>
    <n v="20.316666666709352"/>
    <n v="0"/>
    <n v="20.316666666709352"/>
    <n v="7.5602953240202106"/>
    <m/>
    <m/>
    <m/>
    <m/>
    <m/>
  </r>
  <r>
    <d v="2025-02-28T00:00:00"/>
    <x v="1"/>
    <m/>
    <s v="OM17TH5RR"/>
    <s v="DJ"/>
    <s v="Isaac Tumuhimbise"/>
    <s v="UBE 287X"/>
    <s v="Kabaco U Ltd "/>
    <n v="153.6"/>
    <s v="OM17TH5RR"/>
    <s v="OM"/>
    <n v="320"/>
    <n v="60"/>
    <n v="-260"/>
    <m/>
    <d v="2025-02-26T12:30:00"/>
    <d v="2025-02-26T12:19:00"/>
    <d v="2025-02-26T13:13:00"/>
    <n v="53.749999997914223"/>
    <n v="42.80092592986572"/>
    <m/>
    <d v="2025-02-27T05:52:00"/>
    <d v="2025-02-27T09:20:00"/>
    <n v="203.66666667396203"/>
    <s v="Dj failure at customer"/>
    <d v="2025-02-28T12:59:00"/>
    <d v="2025-02-28T13:49:00"/>
    <n v="48.958333328773733"/>
    <m/>
    <n v="1.9902777777824667"/>
    <n v="2"/>
    <n v="9.7222222175332718E-3"/>
    <n v="47.766666666779201"/>
    <n v="12"/>
    <n v="35.766666666779201"/>
    <n v="4.2945013979361617"/>
    <m/>
    <m/>
    <m/>
    <m/>
    <m/>
  </r>
  <r>
    <d v="2025-03-01T00:00:00"/>
    <x v="2"/>
    <s v="KESH"/>
    <s v="Z82875"/>
    <s v="Manual"/>
    <s v="SENTONG DAVID"/>
    <s v="UBP 298H"/>
    <s v="Kobusinge Steven-Kamwenge"/>
    <n v="78"/>
    <s v="Z82875"/>
    <s v="OM"/>
    <n v="288"/>
    <n v="290"/>
    <n v="2"/>
    <m/>
    <d v="2025-03-01T09:42:00"/>
    <d v="2025-03-01T07:00:00"/>
    <d v="2025-03-01T10:11:00"/>
    <n v="190.11574074514405"/>
    <n v="28.865740740972495"/>
    <m/>
    <d v="2025-02-26T10:22:00"/>
    <d v="2025-02-26T12:27:00"/>
    <n v="122.39583334245253"/>
    <m/>
    <d v="2025-03-04T09:37:00"/>
    <d v="2025-03-04T10:18:00"/>
    <n v="40.145833330825553"/>
    <m/>
    <n v="2.976388888884685"/>
    <n v="2"/>
    <n v="-0.976388888884685"/>
    <n v="71.43333333323244"/>
    <n v="24"/>
    <n v="47.43333333323244"/>
    <n v="1.6444132115284451"/>
    <m/>
    <m/>
    <m/>
    <m/>
    <m/>
  </r>
  <r>
    <d v="2025-03-01T00:00:00"/>
    <x v="2"/>
    <s v="KESH"/>
    <s v="A21137"/>
    <s v="Manual"/>
    <m/>
    <s v="UBR 864Y"/>
    <s v="Kato Investments Ltd- Kakumiro"/>
    <n v="93.6"/>
    <s v="A21137"/>
    <s v="OM"/>
    <n v="790"/>
    <n v="786"/>
    <n v="-4"/>
    <m/>
    <d v="2025-02-28T10:58:00"/>
    <d v="2025-02-28T11:25:00"/>
    <d v="2025-02-28T11:27:00"/>
    <n v="1.9907407368009444"/>
    <n v="28.865740740972495"/>
    <m/>
    <d v="2025-02-26T16:29:00"/>
    <d v="2025-02-26T19:57:00"/>
    <n v="203.66666667396203"/>
    <m/>
    <d v="2025-03-02T08:50:00"/>
    <d v="2025-03-02T09:34:00"/>
    <n v="43.083333330141613"/>
    <m/>
    <n v="1.890972222223354"/>
    <n v="3"/>
    <n v="1.109027777776646"/>
    <n v="45.383333333360497"/>
    <n v="12"/>
    <n v="33.383333333360497"/>
    <n v="2.8037943085349126"/>
    <m/>
    <m/>
    <m/>
    <m/>
    <m/>
  </r>
  <r>
    <d v="2025-03-01T00:00:00"/>
    <x v="2"/>
    <s v="KESH"/>
    <s v="A21138"/>
    <s v="Manual"/>
    <m/>
    <s v="UBR 903Y"/>
    <s v="KATO INVESTMENTS LTD-KATIKARA"/>
    <n v="78"/>
    <s v="A21138"/>
    <s v="OM"/>
    <n v="790"/>
    <n v="787"/>
    <n v="-3"/>
    <m/>
    <d v="2025-03-01T11:18:00"/>
    <d v="2025-03-01T14:52:00"/>
    <d v="2025-03-01T12:11:00"/>
    <n v="-160.25462962012776"/>
    <n v="52.75462963472819"/>
    <s v="pressure balancing"/>
    <d v="2025-03-03T08:07:00"/>
    <d v="2025-03-03T11:55:00"/>
    <n v="223.25000000957516"/>
    <m/>
    <d v="2025-03-02T08:50:00"/>
    <d v="2025-03-02T09:34:00"/>
    <n v="43.083333330141613"/>
    <m/>
    <n v="0.86041666666278616"/>
    <n v="3"/>
    <n v="2.1395833333372138"/>
    <n v="20.649999999906868"/>
    <n v="0"/>
    <n v="20.649999999906868"/>
    <n v="3.7772397094601349"/>
    <m/>
    <m/>
    <m/>
    <m/>
    <m/>
  </r>
  <r>
    <d v="2025-03-01T00:00:00"/>
    <x v="2"/>
    <s v="KESH"/>
    <s v="F16011"/>
    <s v="Manual"/>
    <s v="Mudunga Musa"/>
    <s v="UBE 678K"/>
    <s v="Boniface Harera"/>
    <n v="156"/>
    <s v="F16011"/>
    <s v="OM"/>
    <n v="448"/>
    <n v="452"/>
    <n v="4"/>
    <m/>
    <d v="2025-02-28T16:21:00"/>
    <d v="2025-03-01T02:46:00"/>
    <d v="2025-02-28T16:48:00"/>
    <n v="-595.23148148194502"/>
    <n v="26.87500000417155"/>
    <m/>
    <d v="2025-03-01T10:47:00"/>
    <d v="2025-03-01T13:48:00"/>
    <n v="177.22916665959929"/>
    <m/>
    <d v="2025-03-03T10:07:00"/>
    <d v="2025-03-03T11:01:00"/>
    <n v="52.87499999794818"/>
    <m/>
    <n v="2.7215277777795563"/>
    <n v="2"/>
    <n v="-0.72152777777955635"/>
    <n v="65.316666666709352"/>
    <n v="24"/>
    <n v="41.316666666709352"/>
    <n v="3.7757160145180837"/>
    <m/>
    <m/>
    <m/>
    <m/>
    <m/>
  </r>
  <r>
    <d v="2025-03-01T00:00:00"/>
    <x v="2"/>
    <s v="KESH"/>
    <s v="F16012"/>
    <s v="Manual"/>
    <m/>
    <s v="UBG 084B"/>
    <s v="Boniface Harera"/>
    <n v="156"/>
    <s v="F16012"/>
    <s v="OM"/>
    <n v="448"/>
    <n v="449"/>
    <n v="1"/>
    <m/>
    <d v="2025-02-28T15:47:00"/>
    <d v="2025-03-01T02:46:00"/>
    <d v="2025-02-28T16:15:00"/>
    <n v="-628.07870369651937"/>
    <n v="27.870370367357584"/>
    <m/>
    <d v="2025-03-01T16:42:00"/>
    <d v="2025-03-01T18:42:00"/>
    <n v="117.5000000034197"/>
    <m/>
    <d v="2025-03-02T08:24:00"/>
    <d v="2025-03-02T09:05:00"/>
    <n v="40.145833330825553"/>
    <m/>
    <n v="1.6729166666627862"/>
    <n v="2"/>
    <n v="0.32708333333721384"/>
    <n v="40.149999999906868"/>
    <n v="12"/>
    <n v="28.149999999906868"/>
    <n v="5.5417406749739291"/>
    <m/>
    <m/>
    <m/>
    <m/>
    <m/>
  </r>
  <r>
    <d v="2025-03-02T00:00:00"/>
    <x v="2"/>
    <s v="KESH"/>
    <s v="A21157"/>
    <s v="Manual"/>
    <m/>
    <s v="UBE 692K"/>
    <s v="KATO INVESTMENTS LTD-KATIKARA"/>
    <n v="156"/>
    <s v="A21157"/>
    <s v="OM"/>
    <n v="790"/>
    <n v="794"/>
    <n v="4"/>
    <m/>
    <d v="2025-02-28T18:50:00"/>
    <d v="2025-03-01T07:00:00"/>
    <d v="2025-02-28T19:42:00"/>
    <n v="-674.86111111041589"/>
    <n v="51.759259261113279"/>
    <s v="pressure balancing"/>
    <d v="2025-03-03T10:31:00"/>
    <d v="2025-03-04T14:37:00"/>
    <n v="1650.8749999952124"/>
    <m/>
    <d v="2025-03-01T13:44:00"/>
    <d v="2025-03-01T14:27:00"/>
    <n v="42.104166670542327"/>
    <m/>
    <n v="0.75138888889341615"/>
    <n v="3"/>
    <n v="2.2486111111065838"/>
    <n v="18.033333333441988"/>
    <n v="0"/>
    <n v="18.033333333441988"/>
    <n v="8.6506469500402989"/>
    <m/>
    <m/>
    <m/>
    <m/>
    <m/>
  </r>
  <r>
    <d v="2025-03-02T00:00:00"/>
    <x v="2"/>
    <s v="KESH"/>
    <s v="Z82879"/>
    <s v="Manual"/>
    <m/>
    <s v="UBP 294H"/>
    <s v="Kobusinge Steven-FPortal"/>
    <n v="156"/>
    <s v="Z82879"/>
    <s v="OM"/>
    <n v="304"/>
    <n v="308"/>
    <n v="4"/>
    <m/>
    <d v="2025-02-28T17:19:00"/>
    <d v="2025-03-01T07:00:00"/>
    <d v="2025-02-28T17:48:00"/>
    <n v="-788.33333332707605"/>
    <n v="28.865740740972495"/>
    <m/>
    <d v="2025-03-02T13:10:00"/>
    <d v="2025-03-02T17:19:00"/>
    <n v="243.81250000478758"/>
    <m/>
    <d v="2025-03-03T13:03:00"/>
    <d v="2025-03-03T13:47:00"/>
    <n v="43.083333330141613"/>
    <s v="sorting delays"/>
    <n v="2.8020833333284827"/>
    <n v="2"/>
    <n v="-0.80208333332848269"/>
    <n v="67.249999999883585"/>
    <n v="24"/>
    <n v="43.249999999883585"/>
    <n v="3.6069364161946798"/>
    <m/>
    <m/>
    <m/>
    <m/>
    <m/>
  </r>
  <r>
    <d v="2025-03-02T00:00:00"/>
    <x v="2"/>
    <s v="NBL"/>
    <s v="OMY4VRCRR"/>
    <s v="DJ"/>
    <s v="Luyaga Isaac"/>
    <s v="UAY 265V"/>
    <s v="Kato Investment Ltd -Mityana"/>
    <n v="153.6"/>
    <s v="OMY4VRCRR"/>
    <s v="OM"/>
    <n v="690"/>
    <n v="694"/>
    <n v="4"/>
    <m/>
    <d v="2025-03-02T12:07:00"/>
    <d v="2025-03-01T21:30:00"/>
    <d v="2025-03-02T12:59:00"/>
    <n v="924.69907407430583"/>
    <n v="51.759259261113279"/>
    <s v="stock recon delays"/>
    <d v="2025-03-03T10:31:00"/>
    <d v="2025-03-04T14:37:00"/>
    <n v="1650.8749999952124"/>
    <m/>
    <d v="2025-03-04T13:44:00"/>
    <d v="2025-03-04T14:28:00"/>
    <n v="43.083333330141613"/>
    <m/>
    <n v="2.03125"/>
    <n v="3"/>
    <n v="0.96875"/>
    <n v="48.75"/>
    <n v="24"/>
    <n v="24.75"/>
    <n v="6.2060606060606061"/>
    <m/>
    <m/>
    <m/>
    <m/>
    <m/>
  </r>
  <r>
    <d v="2025-03-02T00:00:00"/>
    <x v="2"/>
    <s v="NBL"/>
    <s v="OMEZ1JZRR"/>
    <s v="DJ"/>
    <s v="Kabene John"/>
    <s v="UBA 523T"/>
    <s v="Kato Investments Ltd-Bulenga"/>
    <n v="153.6"/>
    <s v="OMEZ1JZRR"/>
    <s v="OM"/>
    <n v="560"/>
    <n v="564"/>
    <n v="4"/>
    <m/>
    <d v="2025-03-02T12:06:00"/>
    <d v="2025-03-01T21:30:00"/>
    <d v="2025-03-02T12:33:00"/>
    <n v="898.81944444374915"/>
    <n v="26.87500000417155"/>
    <m/>
    <d v="2025-03-03T11:15:00"/>
    <d v="2025-03-04T12:16:00"/>
    <n v="1469.7291666664387"/>
    <s v="less casuals and offloaded the next day"/>
    <d v="2025-03-03T13:01:00"/>
    <d v="2025-03-03T14:23:00"/>
    <n v="80.291666661651107"/>
    <s v="dj failures at the gate"/>
    <n v="1.0194444444423425"/>
    <n v="3"/>
    <n v="1.9805555555576575"/>
    <n v="24.46666666661622"/>
    <n v="12"/>
    <n v="12.46666666661622"/>
    <n v="12.320855615023119"/>
    <m/>
    <m/>
    <m/>
    <m/>
    <m/>
  </r>
  <r>
    <d v="2025-03-02T00:00:00"/>
    <x v="2"/>
    <s v="NBL"/>
    <s v="OMOK60URR"/>
    <s v="DJ"/>
    <s v="Isaac Tumuhimbise"/>
    <s v="UBE 287X"/>
    <s v="Kabaco U Ltd "/>
    <n v="153.6"/>
    <s v="OMOK60URR"/>
    <s v="OM"/>
    <n v="320"/>
    <n v="324"/>
    <n v="4"/>
    <m/>
    <d v="2025-03-02T11:58:00"/>
    <d v="2025-03-02T02:22:00"/>
    <d v="2025-03-02T12:23:00"/>
    <n v="598.2175925923608"/>
    <n v="24.884259256941732"/>
    <m/>
    <d v="2025-03-03T11:05:00"/>
    <d v="2025-03-03T14:51:00"/>
    <n v="221.29166666985839"/>
    <m/>
    <d v="2025-03-03T17:12:00"/>
    <d v="2025-03-03T17:56:00"/>
    <n v="43.083333330141613"/>
    <m/>
    <n v="1.2006944444437977"/>
    <n v="2"/>
    <n v="0.79930555555620231"/>
    <n v="28.816666666651145"/>
    <n v="12"/>
    <n v="16.816666666651145"/>
    <n v="9.1337958374712649"/>
    <m/>
    <m/>
    <m/>
    <m/>
    <m/>
  </r>
  <r>
    <d v="2025-03-02T00:00:00"/>
    <x v="2"/>
    <s v="NBL"/>
    <s v="OMZH3MWRR"/>
    <s v="DJ"/>
    <s v="Stephen Musoke "/>
    <s v="UBJ 375N"/>
    <s v="KATO INVESTMENTS LIMITED-MASAK "/>
    <n v="153.6"/>
    <s v="OMZH3MWRR"/>
    <s v="OM"/>
    <n v="298"/>
    <n v="302"/>
    <n v="4"/>
    <m/>
    <d v="2025-03-02T08:38:00"/>
    <d v="2025-03-02T04:14:00"/>
    <d v="2025-03-02T09:07:00"/>
    <n v="291.64351852014079"/>
    <n v="28.865740740972495"/>
    <m/>
    <d v="2025-03-02T13:10:00"/>
    <d v="2025-03-02T17:19:00"/>
    <n v="243.81250000478758"/>
    <m/>
    <d v="2025-03-03T13:03:00"/>
    <d v="2025-03-03T13:47:00"/>
    <n v="43.083333330141613"/>
    <m/>
    <n v="1.163888888884685"/>
    <n v="2"/>
    <n v="0.836111111115315"/>
    <n v="27.93333333323244"/>
    <n v="12"/>
    <n v="15.93333333323244"/>
    <n v="9.6401673640777794"/>
    <m/>
    <m/>
    <m/>
    <m/>
    <m/>
  </r>
  <r>
    <d v="2025-03-03T00:00:00"/>
    <x v="2"/>
    <s v="KESH"/>
    <s v="A21167"/>
    <s v="Manual"/>
    <m/>
    <s v="UBR 537W"/>
    <s v="Sawan Distributors Ltd-Nabingo"/>
    <n v="78"/>
    <s v="A21167"/>
    <s v="OM"/>
    <n v="560"/>
    <n v="562"/>
    <n v="2"/>
    <m/>
    <d v="2025-02-28T15:24:00"/>
    <d v="2025-03-01T07:40:00"/>
    <d v="2025-02-28T15:53:00"/>
    <n v="-942.61574073680094"/>
    <n v="28.865740740972495"/>
    <m/>
    <d v="2025-03-03T10:06:00"/>
    <d v="2025-03-03T13:46:00"/>
    <n v="215.41666667122627"/>
    <s v="found another truck at the RD and offloaded the next day"/>
    <d v="2025-03-01T22:50:00"/>
    <d v="2025-03-01T23:41:00"/>
    <n v="49.93749999863212"/>
    <m/>
    <n v="1.2895833333313931"/>
    <n v="2"/>
    <n v="0.71041666666860692"/>
    <n v="30.949999999953434"/>
    <n v="12"/>
    <n v="18.949999999953434"/>
    <n v="4.1160949868175027"/>
    <m/>
    <m/>
    <m/>
    <m/>
    <m/>
  </r>
  <r>
    <d v="2025-03-03T00:00:00"/>
    <x v="2"/>
    <s v="KESH"/>
    <s v="Z82900"/>
    <s v="Manual"/>
    <s v="Byanshala Stoney"/>
    <s v="UBP 312H"/>
    <s v="Kobusinge Steven-FPortal"/>
    <n v="156"/>
    <s v="Z82900"/>
    <s v="OM"/>
    <n v="304"/>
    <n v="307"/>
    <n v="3"/>
    <m/>
    <d v="2025-02-28T12:15:00"/>
    <d v="2025-02-28T11:46:00"/>
    <d v="2025-02-28T12:44:00"/>
    <n v="57.731481481944989"/>
    <n v="28.865740740972495"/>
    <m/>
    <d v="2025-03-03T10:41:00"/>
    <d v="2025-03-03T13:48:00"/>
    <n v="183.10416665823141"/>
    <s v="found another truck at the RD"/>
    <d v="2025-03-02T07:57:00"/>
    <d v="2025-03-02T08:56:00"/>
    <n v="57.770833336981013"/>
    <m/>
    <n v="1.8006944444496185"/>
    <n v="2"/>
    <n v="0.19930555555038154"/>
    <n v="43.216666666790843"/>
    <n v="12"/>
    <n v="31.216666666790843"/>
    <n v="4.9973304858316965"/>
    <m/>
    <m/>
    <m/>
    <m/>
    <m/>
  </r>
  <r>
    <d v="2025-03-03T00:00:00"/>
    <x v="2"/>
    <s v="KESH"/>
    <s v="Z82902"/>
    <s v="Manual"/>
    <s v="Taimwa Alex"/>
    <s v="UBJ 705D"/>
    <s v="Kobusinge Steven-FPortal"/>
    <n v="156"/>
    <s v="Z82902"/>
    <s v="OM"/>
    <n v="304"/>
    <n v="307"/>
    <n v="3"/>
    <m/>
    <d v="2025-02-28T15:01:00"/>
    <d v="2025-02-28T13:09:00"/>
    <d v="2025-02-28T15:54:00"/>
    <n v="164.23611110415854"/>
    <n v="52.75462963472819"/>
    <s v="pressure balancing"/>
    <d v="2025-03-03T16:31:00"/>
    <d v="2025-03-03T18:42:00"/>
    <n v="128.27083333082555"/>
    <m/>
    <d v="2025-03-01T16:25:00"/>
    <d v="2025-03-01T17:22:00"/>
    <n v="55.81249999726424"/>
    <m/>
    <n v="1.0215277777824667"/>
    <n v="2"/>
    <n v="0.97847222221753327"/>
    <n v="24.516666666779201"/>
    <n v="12"/>
    <n v="12.516666666779201"/>
    <n v="12.463382157011779"/>
    <m/>
    <m/>
    <m/>
    <m/>
    <m/>
  </r>
  <r>
    <d v="2025-03-03T00:00:00"/>
    <x v="2"/>
    <s v="KESH"/>
    <s v="A21166"/>
    <s v="Manual"/>
    <s v="Malinzi Awali"/>
    <s v="UBR 536W"/>
    <s v="Sawan Distributors Ltd-Kayabwe"/>
    <n v="78"/>
    <s v="A21166"/>
    <s v="OM"/>
    <n v="382"/>
    <n v="381"/>
    <n v="-1"/>
    <m/>
    <d v="2025-03-02T12:29:00"/>
    <d v="2025-03-01T21:30:00"/>
    <d v="2025-03-02T12:59:00"/>
    <n v="924.69907407430583"/>
    <n v="29.861111114587402"/>
    <m/>
    <d v="2025-03-03T20:25:00"/>
    <d v="2025-03-04T11:12:00"/>
    <n v="868.52083333287737"/>
    <m/>
    <d v="2025-03-04T13:29:00"/>
    <d v="2025-03-04T14:13:00"/>
    <n v="43.083333330141613"/>
    <m/>
    <n v="2.0208333333284827"/>
    <n v="2"/>
    <n v="-2.0833333328482695E-2"/>
    <n v="48.499999999883585"/>
    <n v="24"/>
    <n v="24.499999999883585"/>
    <n v="3.183673469402883"/>
    <m/>
    <m/>
    <m/>
    <m/>
    <m/>
  </r>
  <r>
    <d v="2025-03-03T00:00:00"/>
    <x v="2"/>
    <s v="KESH"/>
    <s v="Z82903"/>
    <s v="Manual"/>
    <s v="Bwanga Gilbert"/>
    <s v="UBK 862R"/>
    <s v="Kobusinge Steven-Kamwenge"/>
    <n v="156"/>
    <s v="Z82903"/>
    <s v="OM"/>
    <n v="288"/>
    <n v="289"/>
    <n v="1"/>
    <m/>
    <d v="2025-03-02T11:55:00"/>
    <d v="2025-03-02T02:22:00"/>
    <d v="2025-03-02T12:23:00"/>
    <n v="598.2175925923608"/>
    <n v="27.870370367357584"/>
    <m/>
    <d v="2025-03-03T17:08:00"/>
    <d v="2025-03-04T15:18:00"/>
    <n v="1302.2916666643869"/>
    <m/>
    <d v="2025-03-05T14:55:00"/>
    <d v="2025-03-05T15:39:00"/>
    <n v="43.083333330141613"/>
    <m/>
    <n v="3.1055555555576575"/>
    <n v="2"/>
    <n v="-1.1055555555576575"/>
    <n v="74.53333333338378"/>
    <n v="36"/>
    <n v="38.53333333338378"/>
    <n v="4.0484429065690941"/>
    <m/>
    <m/>
    <m/>
    <m/>
    <m/>
  </r>
  <r>
    <d v="2025-03-03T00:00:00"/>
    <x v="2"/>
    <s v="KESH"/>
    <s v="Z82901"/>
    <s v="Manual"/>
    <m/>
    <s v="UBR 534W"/>
    <s v="Kobusinge Acaali- Kyenjojo"/>
    <n v="156"/>
    <s v="Z82901"/>
    <s v="OM"/>
    <n v="580"/>
    <n v="576"/>
    <n v="-4"/>
    <m/>
    <d v="2025-03-02T08:38:00"/>
    <d v="2025-03-02T04:14:00"/>
    <d v="2025-03-02T09:07:00"/>
    <n v="291.64351852014079"/>
    <n v="28.865740740972495"/>
    <m/>
    <d v="2025-03-03T09:15:00"/>
    <d v="2025-03-03T12:05:00"/>
    <n v="166.45833333219343"/>
    <m/>
    <d v="2025-03-03T13:24:00"/>
    <d v="2025-03-03T14:08:00"/>
    <n v="43.083333330141613"/>
    <m/>
    <n v="1.1784722222218988"/>
    <n v="2"/>
    <n v="0.82152777777810115"/>
    <n v="28.283333333325572"/>
    <n v="12"/>
    <n v="16.283333333325572"/>
    <n v="9.5803480040987328"/>
    <m/>
    <m/>
    <m/>
    <m/>
    <m/>
  </r>
  <r>
    <d v="2025-03-03T00:00:00"/>
    <x v="2"/>
    <s v="KESH"/>
    <s v="Z82888"/>
    <s v="Manual"/>
    <s v="kayanja Sam"/>
    <s v="UBF 379L"/>
    <s v="Kobusinge Steven-Kamwenge"/>
    <n v="156"/>
    <s v="Z82888"/>
    <s v="OM"/>
    <n v="288"/>
    <n v="285"/>
    <n v="-3"/>
    <m/>
    <d v="2025-03-01T21:27:00"/>
    <d v="2025-03-01T22:00:00"/>
    <d v="2025-03-01T22:20:00"/>
    <n v="19.907407409724936"/>
    <n v="52.75462963472819"/>
    <s v="pressure balancing"/>
    <d v="2025-03-03T13:05:00"/>
    <d v="2025-03-03T16:36:00"/>
    <n v="206.60416666301899"/>
    <s v="Reached late and offloaded the next day"/>
    <d v="2025-03-04T13:22:00"/>
    <d v="2025-03-04T14:44:00"/>
    <n v="80.291666661651107"/>
    <s v="fueling delays"/>
    <n v="2.6263888888861402"/>
    <n v="2"/>
    <n v="-0.62638888888614019"/>
    <n v="63.033333333267365"/>
    <n v="24"/>
    <n v="39.033333333267365"/>
    <n v="3.9965841161468059"/>
    <m/>
    <m/>
    <m/>
    <m/>
    <m/>
  </r>
  <r>
    <d v="2025-03-03T00:00:00"/>
    <x v="2"/>
    <s v="KESH"/>
    <s v="Z82887"/>
    <s v="Manual"/>
    <m/>
    <s v="UBR 533W"/>
    <s v="Kobusinge Steven-FPortal"/>
    <n v="156"/>
    <s v="Z82887"/>
    <s v="OM"/>
    <n v="304"/>
    <n v="306"/>
    <n v="2"/>
    <m/>
    <d v="2025-03-01T22:07:00"/>
    <d v="2025-03-02T02:46:00"/>
    <d v="2025-03-01T22:36:00"/>
    <n v="-248.84259259027507"/>
    <n v="28.865740740972495"/>
    <m/>
    <d v="2025-03-03T11:11:00"/>
    <d v="2025-03-03T14:32:00"/>
    <n v="196.81250000547152"/>
    <m/>
    <d v="2025-03-04T17:28:00"/>
    <d v="2025-03-04T18:12:00"/>
    <n v="43.083333330141613"/>
    <m/>
    <n v="2.7861111111124046"/>
    <n v="2"/>
    <n v="-0.78611111111240461"/>
    <n v="66.866666666697711"/>
    <n v="24"/>
    <n v="42.866666666697711"/>
    <n v="3.6391912908216257"/>
    <m/>
    <m/>
    <m/>
    <m/>
    <m/>
  </r>
  <r>
    <d v="2025-03-03T00:00:00"/>
    <x v="2"/>
    <s v="KESH"/>
    <s v="F16015"/>
    <s v="Manual"/>
    <s v="Lule Fred"/>
    <s v="UBP 310H"/>
    <s v="Boniface Harera"/>
    <n v="156"/>
    <s v="F16015"/>
    <s v="OM"/>
    <n v="448"/>
    <n v="445"/>
    <n v="-3"/>
    <m/>
    <d v="2025-03-01T21:22:00"/>
    <d v="2025-03-02T05:52:00"/>
    <d v="2025-03-01T21:50:00"/>
    <n v="-479.76851851805503"/>
    <n v="27.870370367357584"/>
    <m/>
    <d v="2025-03-03T14:49:00"/>
    <d v="2025-03-04T10:58:00"/>
    <n v="1183.8125000013679"/>
    <s v="Waited for empties from trade"/>
    <d v="2025-03-03T18:52:00"/>
    <d v="2025-03-03T19:42:00"/>
    <n v="48.958333328773733"/>
    <m/>
    <n v="1.8763888888934162"/>
    <n v="2"/>
    <n v="0.12361111110658385"/>
    <n v="45.033333333441988"/>
    <n v="12"/>
    <n v="33.033333333441988"/>
    <n v="4.7225025226888055"/>
    <m/>
    <m/>
    <m/>
    <m/>
    <m/>
  </r>
  <r>
    <d v="2025-03-03T00:00:00"/>
    <x v="2"/>
    <s v="NBL"/>
    <s v="OMPNM07RR"/>
    <s v="DJ"/>
    <s v="Abel Mark naffa"/>
    <s v="UBJ 415C"/>
    <s v="Kabaco U Ltd "/>
    <n v="153.6"/>
    <s v="OMPNM07RR"/>
    <s v="OM"/>
    <n v="320"/>
    <n v="302"/>
    <n v="-18"/>
    <m/>
    <d v="2025-03-03T07:56:00"/>
    <d v="2025-03-03T02:22:00"/>
    <d v="2025-03-03T08:24:00"/>
    <n v="360.32407407013426"/>
    <n v="27.870370367357584"/>
    <m/>
    <d v="2025-03-03T11:11:00"/>
    <d v="2025-03-03T14:32:00"/>
    <n v="196.81250000547152"/>
    <m/>
    <d v="2025-03-04T17:28:00"/>
    <d v="2025-03-04T18:12:00"/>
    <n v="43.083333330141613"/>
    <m/>
    <n v="1.3777777777795563"/>
    <n v="2"/>
    <n v="0.62222222222044365"/>
    <n v="33.066666666709352"/>
    <n v="12"/>
    <n v="21.066666666709352"/>
    <n v="7.2911392404915558"/>
    <m/>
    <m/>
    <m/>
    <m/>
    <m/>
  </r>
  <r>
    <d v="2025-03-03T00:00:00"/>
    <x v="2"/>
    <s v="NBL"/>
    <s v="OM2MDORRR"/>
    <s v="DJ"/>
    <s v="Tumusiime Robert"/>
    <s v="UBJ 988D"/>
    <s v="Kabaco U Ltd-Mbarara "/>
    <n v="153.6"/>
    <s v="OM2MDORRR"/>
    <s v="OM"/>
    <n v="20"/>
    <n v="17"/>
    <n v="-3"/>
    <m/>
    <d v="2025-03-03T06:31:00"/>
    <d v="2025-03-03T07:42:00"/>
    <d v="2025-03-03T07:00:00"/>
    <n v="-41.805555556250816"/>
    <n v="28.865740740972495"/>
    <m/>
    <d v="2025-03-03T09:15:00"/>
    <d v="2025-03-03T11:58:00"/>
    <n v="159.60416666370293"/>
    <m/>
    <d v="2025-03-03T13:24:00"/>
    <d v="2025-03-03T14:14:00"/>
    <n v="48.958333328773733"/>
    <m/>
    <n v="0.26666666667006211"/>
    <n v="3"/>
    <n v="2.7333333333299379"/>
    <n v="6.4000000000814907"/>
    <n v="0"/>
    <n v="6.4000000000814907"/>
    <n v="23.99999999969441"/>
    <m/>
    <m/>
    <m/>
    <m/>
    <m/>
  </r>
  <r>
    <d v="2025-03-03T00:00:00"/>
    <x v="2"/>
    <s v="NBL"/>
    <s v="OMVRA7NRR"/>
    <s v="DJ"/>
    <s v="Benon Ssempijja"/>
    <s v="UAY 526V"/>
    <s v="Ntale and Sons"/>
    <n v="153.6"/>
    <s v="OMVRA7NRR"/>
    <s v="OM"/>
    <n v="810"/>
    <n v="812"/>
    <n v="2"/>
    <m/>
    <d v="2025-03-02T19:04:00"/>
    <d v="2025-03-02T22:00:00"/>
    <d v="2025-03-02T19:33:00"/>
    <n v="-146.31944444166342"/>
    <n v="28.865740740972495"/>
    <m/>
    <d v="2025-03-03T14:49:00"/>
    <d v="2025-03-04T10:58:00"/>
    <n v="1183.8125000013679"/>
    <m/>
    <d v="2025-03-03T18:52:00"/>
    <d v="2025-03-03T19:36:00"/>
    <n v="43.083333330141613"/>
    <m/>
    <n v="0.97152777777955635"/>
    <n v="3"/>
    <n v="2.0284722222204437"/>
    <n v="23.316666666709352"/>
    <n v="0"/>
    <n v="23.316666666709352"/>
    <n v="6.587562544662708"/>
    <m/>
    <m/>
    <m/>
    <m/>
    <m/>
  </r>
  <r>
    <d v="2025-03-03T00:00:00"/>
    <x v="2"/>
    <s v="NBL"/>
    <s v="OMGDQSGRR"/>
    <s v="DJ"/>
    <s v="Bisaso  Ronald"/>
    <s v="UBK 875R"/>
    <s v="KATO INVESTMENTS LIMITED-MASAK "/>
    <n v="153.6"/>
    <s v="OMGDQSGRR"/>
    <s v="OM"/>
    <n v="298"/>
    <n v="295"/>
    <n v="-3"/>
    <m/>
    <d v="2025-03-02T19:44:00"/>
    <d v="2025-03-03T04:14:00"/>
    <d v="2025-03-02T20:11:00"/>
    <n v="-480.76388889166992"/>
    <n v="26.87500000417155"/>
    <m/>
    <d v="2025-03-03T13:05:00"/>
    <d v="2025-03-03T16:36:00"/>
    <n v="206.60416666301899"/>
    <s v="found another truck at the RD"/>
    <d v="2025-03-04T13:22:00"/>
    <d v="2025-03-04T14:12:00"/>
    <n v="48.958333328773733"/>
    <m/>
    <n v="1.7159722222204437"/>
    <n v="2"/>
    <n v="0.28402777777955635"/>
    <n v="41.183333333290648"/>
    <n v="12"/>
    <n v="29.183333333290648"/>
    <n v="5.2632781267923932"/>
    <m/>
    <m/>
    <m/>
    <m/>
    <m/>
  </r>
  <r>
    <d v="2025-03-04T00:00:00"/>
    <x v="2"/>
    <s v="KESH"/>
    <s v="A21198"/>
    <s v="Manual"/>
    <s v="Kabanda Ronald"/>
    <s v="UBE 684K"/>
    <s v="KATO INVESTMENTS LTD-KATIKARA"/>
    <n v="156"/>
    <s v="A21198"/>
    <s v="OM"/>
    <n v="790"/>
    <n v="792"/>
    <n v="2"/>
    <m/>
    <d v="2025-03-03T09:02:00"/>
    <d v="2025-03-02T14:52:00"/>
    <d v="2025-03-03T09:54:00"/>
    <n v="1136.7129629659757"/>
    <n v="51.759259261113279"/>
    <s v="DJ failures "/>
    <d v="2025-03-04T15:18:00"/>
    <d v="2025-03-04T17:47:00"/>
    <n v="145.89583333698101"/>
    <m/>
    <d v="2025-03-05T09:40:00"/>
    <d v="2025-03-05T10:24:00"/>
    <n v="43.083333330141613"/>
    <m/>
    <n v="1.9902777777824667"/>
    <n v="3"/>
    <n v="1.0097222222175333"/>
    <n v="47.766666666779201"/>
    <n v="12"/>
    <n v="35.766666666779201"/>
    <n v="4.3616029822789146"/>
    <m/>
    <m/>
    <m/>
    <m/>
    <m/>
  </r>
  <r>
    <d v="2025-03-04T00:00:00"/>
    <x v="2"/>
    <s v="KESH"/>
    <s v="A21204"/>
    <s v="Manual"/>
    <s v="Mulumba Kasim"/>
    <s v="UBE 680K"/>
    <s v="Kato Investment Ltd -Mityana"/>
    <n v="156"/>
    <s v="A21204"/>
    <s v="OM"/>
    <n v="690"/>
    <n v="692"/>
    <n v="2"/>
    <m/>
    <d v="2025-03-04T12:08:00"/>
    <d v="2025-03-04T03:42:00"/>
    <d v="2025-03-04T12:37:00"/>
    <n v="532.52314814235433"/>
    <n v="28.865740740972495"/>
    <m/>
    <d v="2025-03-05T09:22:00"/>
    <d v="2025-03-05T16:05:00"/>
    <n v="394.60416667054233"/>
    <m/>
    <d v="2025-03-05T11:09:00"/>
    <d v="2025-03-05T11:53:00"/>
    <n v="43.083333330141613"/>
    <s v="pre trip inspections"/>
    <n v="0.93888888889341615"/>
    <n v="3"/>
    <n v="2.0611111111065838"/>
    <n v="22.533333333441988"/>
    <n v="0"/>
    <n v="22.533333333441988"/>
    <n v="6.9230769230435403"/>
    <m/>
    <m/>
    <m/>
    <m/>
    <m/>
  </r>
  <r>
    <d v="2025-03-04T00:00:00"/>
    <x v="2"/>
    <s v="KESH"/>
    <s v="A21195"/>
    <s v="Manual"/>
    <m/>
    <s v="UBR 868Y"/>
    <s v="Kato Investment Ltd -Mityana"/>
    <n v="156"/>
    <s v="A21195"/>
    <s v="OM"/>
    <n v="690"/>
    <n v="686"/>
    <n v="-4"/>
    <m/>
    <d v="2025-03-03T07:56:00"/>
    <d v="2025-03-03T02:22:00"/>
    <d v="2025-03-03T08:24:00"/>
    <n v="360.32407407013426"/>
    <n v="27.870370367357584"/>
    <m/>
    <d v="2025-03-04T07:12:00"/>
    <d v="2025-03-04T11:47:00"/>
    <n v="269.27083332877373"/>
    <s v="found another truck at the RD"/>
    <d v="2025-03-05T11:09:00"/>
    <d v="2025-03-05T11:59:00"/>
    <n v="48.958333328773733"/>
    <m/>
    <n v="2.1145833333357587"/>
    <n v="3"/>
    <n v="0.88541666666424135"/>
    <n v="50.750000000058208"/>
    <n v="24"/>
    <n v="26.750000000058208"/>
    <n v="5.8317757009218898"/>
    <m/>
    <m/>
    <m/>
    <m/>
    <m/>
  </r>
  <r>
    <d v="2025-03-04T00:00:00"/>
    <x v="2"/>
    <s v="KESH"/>
    <s v="A21196"/>
    <s v="Manual"/>
    <m/>
    <s v="UBJ 423C"/>
    <s v="KATO INVESTMENTS LTD-KATIKARA"/>
    <n v="156"/>
    <s v="A21196"/>
    <s v="OM"/>
    <n v="790"/>
    <n v="787"/>
    <n v="-3"/>
    <m/>
    <d v="2025-03-02T13:27:00"/>
    <d v="2025-03-02T13:00:00"/>
    <d v="2025-03-02T13:55:00"/>
    <n v="54.745370371529134"/>
    <n v="27.870370367357584"/>
    <m/>
    <d v="2025-03-05T17:38:00"/>
    <d v="2025-03-05T19:47:00"/>
    <n v="126.31250000136788"/>
    <m/>
    <d v="2025-03-03T12:13:00"/>
    <d v="2025-03-03T13:10:00"/>
    <n v="55.81249999726424"/>
    <m/>
    <n v="0.92916666666860692"/>
    <n v="3"/>
    <n v="2.0708333333313931"/>
    <n v="22.300000000046566"/>
    <n v="0"/>
    <n v="22.300000000046566"/>
    <n v="6.9955156950526565"/>
    <m/>
    <m/>
    <m/>
    <m/>
    <m/>
  </r>
  <r>
    <d v="2025-03-04T00:00:00"/>
    <x v="2"/>
    <s v="KESH"/>
    <s v="A21194"/>
    <s v="Manual"/>
    <s v="Tsaale Hassan"/>
    <s v="UBJ 703D"/>
    <s v="Sawan Distributors Ltd-Nabingo"/>
    <n v="2.1779999999999999"/>
    <s v="A21194"/>
    <s v="OM"/>
    <n v="560"/>
    <n v="557"/>
    <n v="-3"/>
    <m/>
    <d v="2025-03-03T06:07:00"/>
    <d v="2025-03-03T07:42:00"/>
    <d v="2025-03-03T07:00:00"/>
    <n v="-41.805555556250816"/>
    <n v="52.75462963472819"/>
    <s v="pressure balancing"/>
    <d v="2025-03-04T10:07:00"/>
    <d v="2025-03-04T12:09:00"/>
    <n v="119.45833333287737"/>
    <m/>
    <d v="2025-03-05T12:13:00"/>
    <d v="2025-03-05T12:57:00"/>
    <n v="43.083333330141613"/>
    <m/>
    <n v="2.2173611111138598"/>
    <n v="2"/>
    <n v="-0.21736111111385981"/>
    <n v="53.216666666732635"/>
    <n v="24"/>
    <n v="29.216666666732635"/>
    <n v="7.4546491728297165E-2"/>
    <m/>
    <m/>
    <m/>
    <m/>
    <m/>
  </r>
  <r>
    <d v="2025-03-04T00:00:00"/>
    <x v="2"/>
    <s v="KESH"/>
    <s v="A21202"/>
    <s v="Manual"/>
    <s v="Ntumwa Solomon"/>
    <s v="UBR 540W"/>
    <s v="Kato Investments Ltd- Kyegegwa"/>
    <n v="78"/>
    <s v="A21202"/>
    <s v="OM"/>
    <n v="600"/>
    <n v="597"/>
    <n v="-3"/>
    <m/>
    <d v="2025-03-02T16:41:00"/>
    <d v="2025-03-02T19:13:00"/>
    <d v="2025-03-02T17:10:00"/>
    <n v="-122.43055554790772"/>
    <n v="28.865740740972495"/>
    <m/>
    <d v="2025-03-04T12:13:00"/>
    <d v="2025-03-04T14:07:00"/>
    <n v="111.62499999452848"/>
    <m/>
    <d v="2025-03-04T08:58:00"/>
    <d v="2025-03-04T09:58:00"/>
    <n v="58.7499999965803"/>
    <m/>
    <n v="1.6583333333328483"/>
    <n v="2"/>
    <n v="0.34166666666715173"/>
    <n v="39.799999999988358"/>
    <n v="12"/>
    <n v="27.799999999988358"/>
    <n v="2.8057553956846282"/>
    <m/>
    <m/>
    <m/>
    <m/>
    <m/>
  </r>
  <r>
    <d v="2025-03-04T00:00:00"/>
    <x v="2"/>
    <s v="KESH"/>
    <s v="A21201"/>
    <s v="Manual"/>
    <s v="Nminya Siraje"/>
    <s v="UBP 301H"/>
    <s v="Kato Investments Ltd- Kakumiro"/>
    <n v="156"/>
    <s v="A21201"/>
    <s v="OM"/>
    <n v="790"/>
    <n v="788"/>
    <n v="-2"/>
    <m/>
    <d v="2025-03-02T19:04:00"/>
    <d v="2025-03-02T22:00:00"/>
    <d v="2025-03-02T19:33:00"/>
    <n v="-146.31944444166342"/>
    <n v="28.865740740972495"/>
    <m/>
    <d v="2025-03-04T14:40:00"/>
    <d v="2025-03-04T18:47:00"/>
    <n v="241.85416666507081"/>
    <m/>
    <d v="2025-03-04T08:58:00"/>
    <d v="2025-03-04T09:39:00"/>
    <n v="40.145833330825553"/>
    <m/>
    <n v="1.5590277777810115"/>
    <n v="3"/>
    <n v="1.4409722222189885"/>
    <n v="37.416666666744277"/>
    <n v="12"/>
    <n v="25.416666666744277"/>
    <n v="6.1377049180140455"/>
    <m/>
    <m/>
    <m/>
    <m/>
    <m/>
  </r>
  <r>
    <d v="2025-03-04T00:00:00"/>
    <x v="2"/>
    <s v="KESH"/>
    <s v="Z82922"/>
    <s v="Manual"/>
    <s v="Matovu Musa"/>
    <s v="UBR 538W"/>
    <s v="Kobusinge Steven-FPortal"/>
    <n v="156"/>
    <s v="Z82922"/>
    <s v="OM"/>
    <n v="304"/>
    <n v="301"/>
    <n v="-3"/>
    <m/>
    <d v="2025-03-03T20:36:00"/>
    <d v="2025-03-03T16:57:00"/>
    <d v="2025-03-03T21:05:00"/>
    <n v="246.85185184304524"/>
    <n v="28.865740740972495"/>
    <m/>
    <d v="2025-03-04T08:20:00"/>
    <d v="2025-03-04T12:09:00"/>
    <n v="224.22916666917445"/>
    <s v="Waited for empties from trade"/>
    <d v="2025-03-04T15:44:00"/>
    <d v="2025-03-04T16:31:00"/>
    <n v="46.020833329457673"/>
    <m/>
    <n v="0.77708333333430346"/>
    <n v="2"/>
    <n v="1.2229166666656965"/>
    <n v="18.650000000023283"/>
    <n v="0"/>
    <n v="18.650000000023283"/>
    <n v="8.3646112600431763"/>
    <m/>
    <m/>
    <m/>
    <m/>
    <m/>
  </r>
  <r>
    <d v="2025-03-04T00:00:00"/>
    <x v="2"/>
    <s v="KESH"/>
    <s v="A21200"/>
    <s v="Manual"/>
    <s v="ZIWA ABASI"/>
    <s v="UBJ 420C"/>
    <s v="Kato Investment Ltd -Kagadi"/>
    <n v="156"/>
    <s v="A21200"/>
    <s v="OM"/>
    <n v="670"/>
    <n v="669"/>
    <n v="-1"/>
    <m/>
    <d v="2025-03-03T19:22:00"/>
    <d v="2025-03-03T17:51:00"/>
    <d v="2025-03-03T19:44:00"/>
    <n v="112.47685185347412"/>
    <n v="21.89814814652588"/>
    <m/>
    <d v="2025-03-03T22:33:00"/>
    <d v="2025-03-04T16:00:00"/>
    <n v="1025.1874999972642"/>
    <m/>
    <d v="2025-03-04T18:14:00"/>
    <d v="2025-03-04T18:57:00"/>
    <n v="42.104166670542327"/>
    <m/>
    <n v="0.9375"/>
    <n v="2"/>
    <n v="1.0625"/>
    <n v="22.5"/>
    <n v="0"/>
    <n v="22.5"/>
    <n v="6.9333333333333336"/>
    <m/>
    <m/>
    <m/>
    <m/>
    <m/>
  </r>
  <r>
    <d v="2025-03-04T00:00:00"/>
    <x v="2"/>
    <s v="KESH"/>
    <s v="Z82923"/>
    <s v="Manual"/>
    <s v="Sentongo paul"/>
    <s v="UBR 541W"/>
    <s v="Kobusinge Acaali- Kyenjojo"/>
    <n v="156"/>
    <s v="Z82923"/>
    <s v="OM"/>
    <n v="580"/>
    <n v="577"/>
    <n v="-3"/>
    <m/>
    <d v="2025-03-03T20:05:00"/>
    <d v="2025-03-03T18:43:00"/>
    <d v="2025-03-03T20:57:00"/>
    <n v="133.37962962638508"/>
    <n v="51.759259261113279"/>
    <s v="stock recon delays"/>
    <d v="2025-03-04T14:41:00"/>
    <d v="2025-03-04T17:24:00"/>
    <n v="159.60416666370293"/>
    <m/>
    <d v="2025-03-05T09:44:00"/>
    <d v="2025-03-05T10:37:00"/>
    <n v="51.895833338348893"/>
    <m/>
    <n v="1.5326388888861402"/>
    <n v="2"/>
    <n v="0.46736111111385981"/>
    <n v="36.783333333267365"/>
    <n v="12"/>
    <n v="24.783333333267365"/>
    <n v="6.2945527908708234"/>
    <m/>
    <m/>
    <m/>
    <m/>
    <m/>
  </r>
  <r>
    <d v="2025-03-04T00:00:00"/>
    <x v="2"/>
    <s v="KESH"/>
    <s v="F16033"/>
    <s v="Manual"/>
    <s v="Nakalya John"/>
    <s v="UBM 648D"/>
    <s v="Boniface Harera"/>
    <n v="156"/>
    <s v="F16033"/>
    <s v="OM"/>
    <n v="448"/>
    <n v="450"/>
    <n v="2"/>
    <m/>
    <d v="2025-03-04T16:27:00"/>
    <d v="2025-03-04T15:42:00"/>
    <d v="2025-03-04T16:56:00"/>
    <n v="73.657407407639155"/>
    <n v="28.865740740972495"/>
    <m/>
    <d v="2025-03-04T17:22:00"/>
    <d v="2025-03-05T13:01:00"/>
    <n v="1154.4374999979482"/>
    <m/>
    <d v="2025-03-05T17:18:00"/>
    <d v="2025-03-05T17:59:00"/>
    <n v="40.145833330825553"/>
    <m/>
    <n v="1.015277777776646"/>
    <n v="2"/>
    <n v="0.98472222222335404"/>
    <n v="24.366666666639503"/>
    <n v="12"/>
    <n v="12.366666666639503"/>
    <n v="12.614555256092398"/>
    <m/>
    <m/>
    <m/>
    <m/>
    <m/>
  </r>
  <r>
    <d v="2025-03-04T00:00:00"/>
    <x v="2"/>
    <s v="NBL"/>
    <s v="OMDIOAFRR"/>
    <s v="DJ"/>
    <s v="Mugisha  George"/>
    <s v="UAV 203T"/>
    <s v="Kabaco U Ltd-Mbarara "/>
    <n v="153.6"/>
    <s v="OMDIOAFRR"/>
    <s v="OM"/>
    <n v="20"/>
    <n v="17"/>
    <n v="-3"/>
    <m/>
    <d v="2025-03-04T20:53:00"/>
    <d v="2025-03-04T07:42:00"/>
    <d v="2025-03-04T21:15:00"/>
    <n v="809.23611111041589"/>
    <n v="21.89814814652588"/>
    <m/>
    <d v="2025-03-06T08:47:00"/>
    <d v="2025-03-06T12:57:00"/>
    <n v="244.79166666438687"/>
    <m/>
    <d v="2025-03-05T11:08:00"/>
    <d v="2025-03-05T11:51:00"/>
    <n v="42.104166670542327"/>
    <m/>
    <n v="0.57847222222335404"/>
    <n v="3"/>
    <n v="2.421527777776646"/>
    <n v="13.883333333360497"/>
    <n v="0"/>
    <n v="13.883333333360497"/>
    <n v="11.063625450158424"/>
    <m/>
    <m/>
    <m/>
    <m/>
    <m/>
  </r>
  <r>
    <d v="2025-03-04T00:00:00"/>
    <x v="2"/>
    <s v="NBL"/>
    <s v="OMR2MRVRR"/>
    <s v="DJ"/>
    <s v="Jacob Oneka"/>
    <s v="UBE 422T"/>
    <s v="Rugoma Traders-Kanungu/Kihihi "/>
    <n v="153.6"/>
    <s v="OMR2MRVRR"/>
    <s v="OM"/>
    <n v="414"/>
    <n v="412"/>
    <n v="-2"/>
    <m/>
    <d v="2025-03-04T11:09:00"/>
    <d v="2025-03-04T01:59:00"/>
    <d v="2025-03-04T11:38:00"/>
    <n v="576.31944444583496"/>
    <n v="28.865740740972495"/>
    <m/>
    <d v="2025-03-05T16:44:00"/>
    <d v="2025-03-05T20:14:00"/>
    <n v="205.6249999931606"/>
    <s v="found another truck at the RD"/>
    <d v="2025-03-05T17:18:00"/>
    <d v="2025-03-05T18:16:00"/>
    <n v="56.791666667122627"/>
    <m/>
    <n v="1.2361111111094942"/>
    <n v="2"/>
    <n v="0.76388888889050577"/>
    <n v="29.666666666627862"/>
    <n v="12"/>
    <n v="17.666666666627862"/>
    <n v="8.6943396226606069"/>
    <m/>
    <m/>
    <m/>
    <m/>
    <m/>
  </r>
  <r>
    <d v="2025-03-04T00:00:00"/>
    <x v="2"/>
    <s v="NBL"/>
    <s v="OM496R1RR"/>
    <s v="DJ"/>
    <s v="Stephen Musoke "/>
    <s v="UBJ 375N"/>
    <s v="Kabaco U Ltd "/>
    <n v="153.6"/>
    <s v="OM496R1RR"/>
    <s v="OM"/>
    <n v="320"/>
    <n v="318"/>
    <n v="-2"/>
    <m/>
    <d v="2025-03-04T11:24:00"/>
    <d v="2025-03-04T02:22:00"/>
    <d v="2025-03-04T11:54:00"/>
    <n v="569.35185185138835"/>
    <n v="29.861111114587402"/>
    <m/>
    <d v="2025-03-04T17:59:00"/>
    <d v="2025-03-05T13:11:00"/>
    <n v="1128.0000000041036"/>
    <m/>
    <d v="2025-03-05T18:03:00"/>
    <d v="2025-03-05T18:44:00"/>
    <n v="40.145833330825553"/>
    <m/>
    <n v="1.2562499999985448"/>
    <n v="2"/>
    <n v="0.74375000000145519"/>
    <n v="30.149999999965075"/>
    <n v="12"/>
    <n v="18.149999999965075"/>
    <n v="8.462809917371656"/>
    <m/>
    <m/>
    <m/>
    <m/>
    <m/>
  </r>
  <r>
    <d v="2025-03-04T00:00:00"/>
    <x v="2"/>
    <s v="NBL"/>
    <s v="OMNBE1MRR"/>
    <s v="DJ"/>
    <s v="GODWIN  NIWENSIIMA"/>
    <s v="UAR 731Q"/>
    <s v="Kabaco U Ltd "/>
    <n v="153.6"/>
    <s v="OMNBE1MRR"/>
    <s v="OM"/>
    <n v="320"/>
    <n v="317"/>
    <n v="-3"/>
    <m/>
    <d v="2025-03-03T18:51:00"/>
    <d v="2025-03-04T02:22:00"/>
    <d v="2025-03-03T19:20:00"/>
    <n v="-420.04629629930906"/>
    <n v="28.865740740972495"/>
    <m/>
    <d v="2025-03-03T22:33:00"/>
    <d v="2025-03-04T16:00:00"/>
    <n v="1025.1874999972642"/>
    <s v="Waited for empties from trade"/>
    <d v="2025-03-04T18:14:00"/>
    <d v="2025-03-04T19:04:00"/>
    <n v="48.958333328773733"/>
    <m/>
    <n v="0.95416666667006211"/>
    <n v="2"/>
    <n v="1.0458333333299379"/>
    <n v="22.900000000081491"/>
    <n v="0"/>
    <n v="22.900000000081491"/>
    <n v="6.7074235807621569"/>
    <m/>
    <m/>
    <m/>
    <m/>
    <m/>
  </r>
  <r>
    <d v="2025-03-04T00:00:00"/>
    <x v="2"/>
    <s v="NBL"/>
    <s v="OMOPQ4TRR"/>
    <s v="DJ"/>
    <s v="Isaac Tumuhimbise"/>
    <s v="UBE 287X"/>
    <s v="Rugoma Traders-Rukungiri"/>
    <n v="153.6"/>
    <s v="OMOPQ4TRR"/>
    <s v="OM"/>
    <n v="256"/>
    <n v="258"/>
    <n v="2"/>
    <m/>
    <d v="2025-03-03T19:58:00"/>
    <d v="2025-03-04T04:04:00"/>
    <d v="2025-03-03T20:51:00"/>
    <n v="-430.99537036735757"/>
    <n v="52.75462963472819"/>
    <m/>
    <d v="2025-03-04T14:41:00"/>
    <d v="2025-03-04T19:24:00"/>
    <n v="277.10416666712263"/>
    <s v="Reached late and offloaded the next day"/>
    <d v="2025-03-05T09:44:00"/>
    <d v="2025-03-05T10:32:00"/>
    <n v="46.99999999931606"/>
    <m/>
    <n v="1.5368055555518367"/>
    <n v="2"/>
    <n v="0.46319444444816327"/>
    <n v="36.883333333244082"/>
    <n v="12"/>
    <n v="24.883333333244082"/>
    <n v="6.1728064300288388"/>
    <m/>
    <m/>
    <m/>
    <m/>
    <m/>
  </r>
  <r>
    <d v="2025-03-04T00:00:00"/>
    <x v="2"/>
    <s v="NBL"/>
    <s v="OMF5K3MRR"/>
    <s v="DJ"/>
    <s v="Kilabila Ismail"/>
    <s v="UBE 419T"/>
    <s v="Kobusinge Steven-Kamwenge"/>
    <n v="153.6"/>
    <s v="OMF5K3MRR"/>
    <s v="OM"/>
    <n v="288"/>
    <n v="290"/>
    <n v="2"/>
    <m/>
    <d v="2025-03-03T19:24:00"/>
    <d v="2025-03-04T03:17:00"/>
    <d v="2025-03-03T19:51:00"/>
    <n v="-443.9351851930648"/>
    <n v="26.87500000417155"/>
    <m/>
    <d v="2025-03-04T08:20:00"/>
    <d v="2025-03-04T12:09:00"/>
    <n v="224.22916666917445"/>
    <s v="Waited for empties from trade"/>
    <d v="2025-03-04T15:44:00"/>
    <d v="2025-03-04T16:32:00"/>
    <n v="46.99999999931606"/>
    <m/>
    <n v="0.82847222222335404"/>
    <n v="2"/>
    <n v="1.171527777776646"/>
    <n v="19.883333333360497"/>
    <n v="0"/>
    <n v="19.883333333360497"/>
    <n v="7.725062866711994"/>
    <m/>
    <m/>
    <m/>
    <m/>
    <m/>
  </r>
  <r>
    <d v="2025-03-05T00:00:00"/>
    <x v="2"/>
    <s v="KESH"/>
    <s v="Z82928"/>
    <s v="Manual"/>
    <m/>
    <s v="UBJ 421C"/>
    <s v="Kabaco U Ltd "/>
    <n v="156"/>
    <s v="Z82928"/>
    <s v="OM"/>
    <n v="320"/>
    <n v="319"/>
    <n v="-1"/>
    <m/>
    <d v="2025-03-02T22:09:00"/>
    <d v="2025-03-02T17:32:00"/>
    <d v="2025-03-02T22:36:00"/>
    <n v="302.59259258818929"/>
    <n v="26.87500000417155"/>
    <m/>
    <d v="2025-03-05T15:11:00"/>
    <d v="2025-03-05T17:54:00"/>
    <n v="159.60416666370293"/>
    <m/>
    <d v="2025-03-05T12:45:00"/>
    <d v="2025-03-05T13:27:00"/>
    <n v="41.12500000068394"/>
    <m/>
    <n v="2.5895833333343035"/>
    <n v="2"/>
    <n v="-0.58958333333430346"/>
    <n v="62.150000000023283"/>
    <n v="24"/>
    <n v="38.150000000023283"/>
    <n v="4.089121887284529"/>
    <m/>
    <m/>
    <m/>
    <m/>
    <m/>
  </r>
  <r>
    <d v="2025-03-05T00:00:00"/>
    <x v="2"/>
    <s v="KESH"/>
    <s v="A21222"/>
    <s v="Manual"/>
    <s v="Ngobi Fred"/>
    <s v="UBK 866R"/>
    <s v="KATO INVESTMENTS LTD-KATIKARA"/>
    <n v="6.3"/>
    <s v="A21222"/>
    <s v="OM"/>
    <n v="790"/>
    <n v="789"/>
    <n v="-1"/>
    <m/>
    <d v="2025-03-02T19:58:00"/>
    <d v="2025-03-02T17:52:00"/>
    <d v="2025-03-02T20:26:00"/>
    <n v="153.2870370465389"/>
    <n v="27.870370367357584"/>
    <m/>
    <d v="2025-03-05T18:44:00"/>
    <d v="2025-03-05T20:47:00"/>
    <n v="120.43750000273576"/>
    <m/>
    <d v="2025-03-03T12:45:00"/>
    <d v="2025-03-03T13:27:00"/>
    <n v="41.12500000068394"/>
    <m/>
    <n v="0.67986111110803904"/>
    <n v="3"/>
    <n v="2.320138888891961"/>
    <n v="16.316666666592937"/>
    <n v="0"/>
    <n v="16.316666666592937"/>
    <n v="0.38610827375046786"/>
    <m/>
    <m/>
    <m/>
    <m/>
    <m/>
  </r>
  <r>
    <d v="2025-03-05T00:00:00"/>
    <x v="2"/>
    <s v="KESH"/>
    <s v="Z82939"/>
    <s v="Manual"/>
    <s v="Kyakulaga James"/>
    <s v="UBJ 419C"/>
    <s v="Kobusinge Steven-Kamwenge"/>
    <n v="156"/>
    <s v="Z82939"/>
    <s v="OM"/>
    <n v="288"/>
    <n v="285"/>
    <n v="-3"/>
    <m/>
    <d v="2025-03-04T11:10:00"/>
    <d v="2025-03-04T01:59:00"/>
    <d v="2025-03-04T11:38:00"/>
    <n v="576.31944444583496"/>
    <n v="27.870370367357584"/>
    <m/>
    <d v="2025-03-05T11:39:00"/>
    <d v="2025-03-05T13:30:00"/>
    <n v="108.68749999521242"/>
    <m/>
    <d v="2025-03-05T12:32:00"/>
    <d v="2025-03-05T13:15:00"/>
    <n v="42.104166670542327"/>
    <m/>
    <n v="1.0374999999985448"/>
    <n v="2"/>
    <n v="0.96250000000145519"/>
    <n v="24.899999999965075"/>
    <n v="12"/>
    <n v="12.899999999965075"/>
    <n v="12.093023255846694"/>
    <m/>
    <m/>
    <m/>
    <m/>
    <m/>
  </r>
  <r>
    <d v="2025-03-05T00:00:00"/>
    <x v="2"/>
    <s v="KESH"/>
    <s v="A21223"/>
    <s v="Manual"/>
    <s v="kakembo Masudi"/>
    <s v="UBM 644D"/>
    <s v="Kato Investment Ltd -Mubende"/>
    <n v="156"/>
    <s v="A21223"/>
    <s v="OM"/>
    <n v="680"/>
    <n v="679"/>
    <n v="-1"/>
    <m/>
    <d v="2025-03-04T11:25:00"/>
    <d v="2025-03-04T02:22:00"/>
    <d v="2025-03-04T11:54:00"/>
    <n v="569.35185185138835"/>
    <n v="28.865740740972495"/>
    <m/>
    <d v="2025-03-06T20:49:00"/>
    <d v="2025-03-07T14:19:00"/>
    <n v="1028.1250000068394"/>
    <m/>
    <d v="2025-03-05T12:05:00"/>
    <d v="2025-03-05T12:46:00"/>
    <n v="40.145833330825553"/>
    <m/>
    <n v="1.007638888884685"/>
    <n v="3"/>
    <n v="1.992361111115315"/>
    <n v="24.18333333323244"/>
    <n v="12"/>
    <n v="12.18333333323244"/>
    <n v="12.804377565085517"/>
    <m/>
    <m/>
    <m/>
    <m/>
    <m/>
  </r>
  <r>
    <d v="2025-03-05T00:00:00"/>
    <x v="2"/>
    <s v="KESH"/>
    <s v="A21218"/>
    <s v="Manual"/>
    <m/>
    <s v="UBR 903Y"/>
    <s v="KATO INVESTMENTS LTD-KATIKARA"/>
    <n v="78"/>
    <s v="A21218"/>
    <s v="OM"/>
    <n v="790"/>
    <n v="791"/>
    <n v="1"/>
    <m/>
    <d v="2025-03-03T16:23:00"/>
    <d v="2025-03-03T11:00:00"/>
    <d v="2025-03-03T17:15:00"/>
    <n v="373.2638888854126"/>
    <n v="51.759259261113279"/>
    <m/>
    <d v="2025-03-06T09:16:00"/>
    <d v="2025-03-06T11:47:00"/>
    <n v="147.85416666643869"/>
    <m/>
    <d v="2025-03-04T12:05:00"/>
    <d v="2025-03-04T12:54:00"/>
    <n v="47.979166669174447"/>
    <m/>
    <n v="0.78472222221898846"/>
    <n v="3"/>
    <n v="2.2152777777810115"/>
    <n v="18.833333333255723"/>
    <n v="0"/>
    <n v="18.833333333255723"/>
    <n v="4.1415929203710498"/>
    <m/>
    <m/>
    <m/>
    <m/>
    <m/>
  </r>
  <r>
    <d v="2025-03-05T00:00:00"/>
    <x v="2"/>
    <s v="KESH"/>
    <s v="Z82938"/>
    <s v="Manual"/>
    <m/>
    <s v="UBR 864Y"/>
    <s v="Kobusinge Steven-FPortal"/>
    <n v="156"/>
    <s v="Z82938"/>
    <s v="OM"/>
    <n v="304"/>
    <n v="301"/>
    <n v="-3"/>
    <m/>
    <d v="2025-03-03T13:38:00"/>
    <d v="2025-03-03T13:00:00"/>
    <d v="2025-03-03T14:07:00"/>
    <n v="66.689814813192541"/>
    <n v="28.865740740972495"/>
    <m/>
    <d v="2025-03-05T15:46:00"/>
    <d v="2025-03-05T17:50:00"/>
    <n v="121.41666666233505"/>
    <m/>
    <d v="2025-03-06T07:26:00"/>
    <d v="2025-03-06T08:08:00"/>
    <n v="41.12500000068394"/>
    <m/>
    <n v="2.7215277777795563"/>
    <n v="2"/>
    <n v="-0.72152777777955635"/>
    <n v="65.316666666709352"/>
    <n v="24"/>
    <n v="41.316666666709352"/>
    <n v="3.7757160145180837"/>
    <m/>
    <m/>
    <m/>
    <m/>
    <m/>
  </r>
  <r>
    <d v="2025-03-05T00:00:00"/>
    <x v="2"/>
    <s v="KESH"/>
    <s v="A21220"/>
    <s v="Manual"/>
    <s v="Faruk Abel"/>
    <s v="UBR 539W"/>
    <s v="Kato Investment Ltd -Mityana"/>
    <n v="156"/>
    <s v="A21220"/>
    <s v="OM"/>
    <n v="690"/>
    <n v="689"/>
    <n v="-1"/>
    <m/>
    <d v="2025-03-03T13:34:00"/>
    <d v="2025-03-03T13:00:00"/>
    <d v="2025-03-03T13:56:00"/>
    <n v="55.740740745144045"/>
    <n v="21.89814814652588"/>
    <m/>
    <d v="2025-03-05T19:04:00"/>
    <d v="2025-03-06T09:26:00"/>
    <n v="844.04166666849051"/>
    <m/>
    <d v="2025-03-05T21:07:00"/>
    <d v="2025-03-05T21:50:00"/>
    <n v="42.104166670542327"/>
    <m/>
    <n v="2.2993055555562023"/>
    <n v="3"/>
    <n v="0.70069444444379769"/>
    <n v="55.183333333348855"/>
    <n v="24"/>
    <n v="31.183333333348855"/>
    <n v="5.0026723677153075"/>
    <m/>
    <m/>
    <m/>
    <m/>
    <m/>
  </r>
  <r>
    <d v="2025-03-05T00:00:00"/>
    <x v="2"/>
    <s v="KESH"/>
    <s v="A21219"/>
    <s v="Manual"/>
    <s v="Eriku Alipa"/>
    <s v="UBK 858R"/>
    <s v="Kato Investment Ltd -Kagadi"/>
    <n v="156"/>
    <s v="A21219"/>
    <s v="OM"/>
    <n v="670"/>
    <n v="675"/>
    <n v="5"/>
    <m/>
    <d v="2025-03-03T13:57:00"/>
    <d v="2025-03-03T14:52:00"/>
    <d v="2025-03-03T14:50:00"/>
    <n v="-1.9907407368009444"/>
    <n v="52.75462963472819"/>
    <m/>
    <d v="2025-03-06T12:20:00"/>
    <d v="2025-03-06T14:40:00"/>
    <n v="137.08333332877373"/>
    <m/>
    <d v="2025-03-05T12:06:00"/>
    <d v="2025-03-05T12:48:00"/>
    <n v="41.12500000068394"/>
    <m/>
    <n v="1.8861111111109494"/>
    <n v="2"/>
    <n v="0.11388888888905058"/>
    <n v="45.266666666662786"/>
    <n v="12"/>
    <n v="33.266666666662786"/>
    <n v="4.689378757515577"/>
    <m/>
    <m/>
    <m/>
    <m/>
    <m/>
  </r>
  <r>
    <d v="2025-03-05T00:00:00"/>
    <x v="2"/>
    <s v="KESH"/>
    <s v="F16037"/>
    <s v="Manual"/>
    <s v="Ikwalikwa Yusuf"/>
    <s v="UBP 311H"/>
    <s v="Boniface Harera"/>
    <n v="156"/>
    <s v="F16037"/>
    <s v="OM"/>
    <n v="448"/>
    <n v="446"/>
    <n v="-2"/>
    <m/>
    <d v="2025-03-04T23:09:00"/>
    <d v="2025-03-05T05:52:00"/>
    <d v="2025-03-04T23:38:00"/>
    <n v="-372.26851851179771"/>
    <n v="28.865740740972495"/>
    <m/>
    <d v="2025-03-05T13:04:00"/>
    <d v="2025-03-05T15:56:00"/>
    <n v="168.41666667191021"/>
    <m/>
    <d v="2025-03-05T20:09:00"/>
    <d v="2025-03-05T20:50:00"/>
    <n v="40.145833330825553"/>
    <m/>
    <n v="0.85486111111094942"/>
    <n v="2"/>
    <n v="1.1451388888890506"/>
    <n v="20.516666666662786"/>
    <n v="0"/>
    <n v="20.516666666662786"/>
    <n v="7.6035743298145979"/>
    <m/>
    <m/>
    <m/>
    <m/>
    <m/>
  </r>
  <r>
    <d v="2025-03-05T00:00:00"/>
    <x v="2"/>
    <s v="KESH"/>
    <s v="A21216"/>
    <s v="Manual"/>
    <s v="SENTONG DAVID"/>
    <s v="UBP 298H"/>
    <s v="Kato Investment Ltd -Kagadi"/>
    <n v="156"/>
    <s v="A21216"/>
    <s v="OM"/>
    <n v="670"/>
    <n v="669"/>
    <n v="-1"/>
    <m/>
    <d v="2025-03-04T19:45:00"/>
    <d v="2025-03-05T03:13:00"/>
    <d v="2025-03-04T20:14:00"/>
    <n v="-417.06018518889323"/>
    <n v="28.865740740972495"/>
    <m/>
    <d v="2025-03-06T12:01:00"/>
    <d v="2025-03-07T11:46:00"/>
    <n v="1395.3124999931606"/>
    <m/>
    <d v="2025-03-07T09:30:00"/>
    <d v="2025-03-07T10:13:00"/>
    <n v="42.104166670542327"/>
    <m/>
    <n v="2.5527777777824667"/>
    <n v="2"/>
    <n v="-0.55277777778246673"/>
    <n v="61.266666666779201"/>
    <n v="24"/>
    <n v="37.266666666779201"/>
    <n v="4.1860465116152659"/>
    <m/>
    <m/>
    <m/>
    <m/>
    <m/>
  </r>
  <r>
    <d v="2025-03-05T00:00:00"/>
    <x v="2"/>
    <s v="NBL"/>
    <s v="OMXD6KGRR"/>
    <s v="DJ"/>
    <s v="Mugisha  George"/>
    <s v="UAV 203T"/>
    <s v="Kabaco U Ltd "/>
    <n v="153.6"/>
    <s v="OMXD6KGRR"/>
    <s v="OM"/>
    <n v="320"/>
    <n v="319"/>
    <n v="-1"/>
    <m/>
    <d v="2025-03-05T18:14:00"/>
    <d v="2025-03-05T02:22:00"/>
    <d v="2025-03-05T18:43:00"/>
    <n v="976.45833333541907"/>
    <n v="28.865740740972495"/>
    <m/>
    <d v="2025-03-06T12:01:00"/>
    <d v="2025-03-07T11:46:00"/>
    <n v="1395.3124999931606"/>
    <s v="Waited for empties from trade"/>
    <d v="2025-03-08T12:05:00"/>
    <d v="2025-03-08T13:14:00"/>
    <n v="67.56250000478758"/>
    <s v="Failed batteries at the gate"/>
    <n v="2.7236111111051287"/>
    <n v="2"/>
    <n v="-0.72361111110512866"/>
    <n v="65.366666666523088"/>
    <n v="24"/>
    <n v="41.366666666523088"/>
    <n v="3.7131345689089392"/>
    <m/>
    <m/>
    <m/>
    <m/>
    <m/>
  </r>
  <r>
    <d v="2025-03-05T00:00:00"/>
    <x v="2"/>
    <s v="NBL"/>
    <s v="OM7NW09RR"/>
    <s v="DJ"/>
    <s v="Abel Mark naffa"/>
    <s v="UBJ 415C"/>
    <s v="Kabaco U Ltd "/>
    <n v="153.6"/>
    <s v="OM7NW09RR"/>
    <s v="OM"/>
    <n v="320"/>
    <n v="319"/>
    <n v="-1"/>
    <m/>
    <d v="2025-03-05T11:26:00"/>
    <d v="2025-03-05T02:22:00"/>
    <d v="2025-03-05T11:56:00"/>
    <n v="571.34259258818929"/>
    <n v="29.861111114587402"/>
    <m/>
    <d v="2025-03-06T12:20:00"/>
    <d v="2025-03-06T14:40:00"/>
    <n v="137.08333332877373"/>
    <m/>
    <d v="2025-03-08T12:05:00"/>
    <d v="2025-03-08T13:02:00"/>
    <n v="55.81249999726424"/>
    <m/>
    <n v="3.0062499999985448"/>
    <n v="2"/>
    <n v="-1.0062499999985448"/>
    <n v="72.149999999965075"/>
    <n v="36"/>
    <n v="36.149999999965075"/>
    <n v="4.2489626556057649"/>
    <m/>
    <m/>
    <m/>
    <m/>
    <m/>
  </r>
  <r>
    <d v="2025-03-06T00:00:00"/>
    <x v="2"/>
    <s v="KESH"/>
    <s v="A21244"/>
    <s v="Manual"/>
    <s v="Sentongo paul"/>
    <s v="UBR 541W"/>
    <s v="KATO INVESTMENTS LTD-KATIKARA"/>
    <n v="78"/>
    <s v="A21244"/>
    <s v="OM"/>
    <n v="790"/>
    <n v="786"/>
    <n v="-4"/>
    <m/>
    <d v="2025-03-03T18:28:00"/>
    <d v="2025-03-04T02:22:00"/>
    <d v="2025-03-03T19:20:00"/>
    <n v="-420.04629629930906"/>
    <n v="51.759259261113279"/>
    <m/>
    <d v="2025-03-07T14:16:00"/>
    <d v="2025-03-07T16:04:00"/>
    <n v="105.74999999589636"/>
    <m/>
    <d v="2025-03-04T17:56:00"/>
    <d v="2025-03-04T18:37:00"/>
    <n v="40.145833330825553"/>
    <m/>
    <n v="0.94166666666569654"/>
    <n v="3"/>
    <n v="2.0583333333343035"/>
    <n v="22.599999999976717"/>
    <n v="0"/>
    <n v="22.599999999976717"/>
    <n v="3.4513274336318744"/>
    <m/>
    <m/>
    <m/>
    <m/>
    <m/>
  </r>
  <r>
    <d v="2025-03-06T00:00:00"/>
    <x v="2"/>
    <s v="KESH"/>
    <s v="A21241"/>
    <s v="Manual"/>
    <s v="kayanja Sam"/>
    <s v="UBF 379L"/>
    <s v="Kato Investment Ltd -Mityana"/>
    <n v="141.6"/>
    <s v="A21241"/>
    <s v="OM"/>
    <n v="690"/>
    <n v="687"/>
    <n v="-3"/>
    <m/>
    <d v="2025-03-06T20:23:00"/>
    <d v="2025-03-06T04:04:00"/>
    <d v="2025-03-06T20:51:00"/>
    <n v="1002.3379629659757"/>
    <n v="27.870370367357584"/>
    <m/>
    <d v="2025-03-07T11:48:00"/>
    <d v="2025-03-07T14:08:00"/>
    <n v="137.08333332877373"/>
    <m/>
    <d v="2025-03-08T10:56:00"/>
    <d v="2025-03-08T11:53:00"/>
    <n v="55.81249999726424"/>
    <m/>
    <n v="1.5868055555547471"/>
    <n v="3"/>
    <n v="1.4131944444452529"/>
    <n v="38.083333333313931"/>
    <n v="12"/>
    <n v="26.083333333313931"/>
    <n v="5.4287539936142615"/>
    <m/>
    <m/>
    <m/>
    <m/>
    <m/>
  </r>
  <r>
    <d v="2025-03-06T00:00:00"/>
    <x v="2"/>
    <s v="KESH"/>
    <s v="A21243"/>
    <s v="Manual"/>
    <s v="Taimwa Alex"/>
    <s v="UBJ 705D"/>
    <s v="Kato Investment Ltd -Mubende"/>
    <n v="78"/>
    <s v="A21243"/>
    <s v="OM"/>
    <n v="680"/>
    <n v="683"/>
    <n v="3"/>
    <m/>
    <d v="2025-03-03T18:09:00"/>
    <d v="2025-03-04T02:46:00"/>
    <d v="2025-03-03T18:37:00"/>
    <n v="-486.73611111250165"/>
    <n v="27.870370367357584"/>
    <m/>
    <d v="2025-03-06T11:37:00"/>
    <d v="2025-03-06T13:56:00"/>
    <n v="136.10416666917445"/>
    <m/>
    <d v="2025-03-05T08:50:00"/>
    <d v="2025-03-05T09:47:00"/>
    <n v="55.81249999726424"/>
    <m/>
    <n v="1.5923611111138598"/>
    <n v="3"/>
    <n v="1.4076388888861402"/>
    <n v="38.216666666732635"/>
    <n v="12"/>
    <n v="26.216666666732635"/>
    <n v="2.9752066115627613"/>
    <m/>
    <m/>
    <m/>
    <m/>
    <m/>
  </r>
  <r>
    <d v="2025-03-06T00:00:00"/>
    <x v="2"/>
    <s v="KESH"/>
    <s v="Z82949"/>
    <s v="Manual"/>
    <s v="Tsaale Hassan"/>
    <s v="UBJ 703D"/>
    <s v="Bates Enterprises U Ltd"/>
    <n v="156"/>
    <s v="Z82949"/>
    <s v="OM"/>
    <n v="464"/>
    <n v="462"/>
    <n v="-2"/>
    <m/>
    <d v="2025-03-03T18:20:00"/>
    <d v="2025-03-04T06:34:00"/>
    <d v="2025-03-03T18:47:00"/>
    <n v="-703.72685185138835"/>
    <n v="26.87500000417155"/>
    <m/>
    <d v="2025-03-06T08:47:00"/>
    <d v="2025-03-06T10:42:00"/>
    <n v="112.60416666438687"/>
    <m/>
    <d v="2025-03-06T09:24:00"/>
    <d v="2025-03-06T10:06:00"/>
    <n v="41.12500000068394"/>
    <m/>
    <n v="2.6090277777839219"/>
    <n v="3"/>
    <n v="0.39097222221607808"/>
    <n v="62.616666666814126"/>
    <n v="24"/>
    <n v="38.616666666814126"/>
    <n v="4.0397065170324806"/>
    <m/>
    <m/>
    <m/>
    <m/>
    <m/>
  </r>
  <r>
    <d v="2025-03-06T00:00:00"/>
    <x v="2"/>
    <s v="KESH"/>
    <s v="Z82951"/>
    <s v="Manual"/>
    <s v="Malinzi Awali"/>
    <s v="UBR 536W"/>
    <s v="Kobusinge Acaali- Kyenjojo"/>
    <n v="78"/>
    <s v="Z82951"/>
    <s v="OM"/>
    <n v="580"/>
    <n v="577"/>
    <n v="-3"/>
    <m/>
    <d v="2025-03-03T06:34:00"/>
    <d v="2025-03-03T19:50:00"/>
    <d v="2025-03-03T07:03:00"/>
    <n v="-763.44907408056315"/>
    <n v="28.865740740972495"/>
    <m/>
    <d v="2025-03-06T08:47:00"/>
    <d v="2025-03-06T12:57:00"/>
    <n v="244.79166666438687"/>
    <s v="Waited for empties from trade"/>
    <d v="2025-03-06T09:24:00"/>
    <d v="2025-03-06T10:20:00"/>
    <n v="54.833333337664953"/>
    <m/>
    <n v="3.0979166666729725"/>
    <n v="2"/>
    <n v="-1.0979166666729725"/>
    <n v="74.35000000015134"/>
    <n v="36"/>
    <n v="38.35000000015134"/>
    <n v="2.0338983050767196"/>
    <m/>
    <m/>
    <m/>
    <m/>
    <m/>
  </r>
  <r>
    <d v="2025-03-06T00:00:00"/>
    <x v="2"/>
    <s v="KESH"/>
    <s v="A21240"/>
    <s v="Manual"/>
    <s v="Byanshala Stoney"/>
    <s v="UBP 312H"/>
    <s v="Kato Investment Ltd -Kagadi"/>
    <n v="78"/>
    <s v="A21240"/>
    <s v="OM"/>
    <n v="670"/>
    <n v="671"/>
    <n v="1"/>
    <m/>
    <d v="2025-03-05T18:14:00"/>
    <d v="2025-03-05T02:22:00"/>
    <d v="2025-03-05T18:43:00"/>
    <n v="976.45833333541907"/>
    <n v="28.865740740972495"/>
    <m/>
    <d v="2025-03-05T16:44:00"/>
    <d v="2025-03-05T20:14:00"/>
    <n v="205.6249999931606"/>
    <s v="Not enough casuals to offload"/>
    <d v="2025-03-05T21:55:00"/>
    <d v="2025-03-05T22:36:00"/>
    <n v="40.145833330825553"/>
    <m/>
    <n v="0.13333333333139308"/>
    <n v="2"/>
    <n v="1.8666666666686069"/>
    <n v="3.1999999999534339"/>
    <n v="0"/>
    <n v="3.1999999999534339"/>
    <n v="24.375000000354703"/>
    <m/>
    <m/>
    <m/>
    <m/>
    <m/>
  </r>
  <r>
    <d v="2025-03-06T00:00:00"/>
    <x v="2"/>
    <s v="KESH"/>
    <s v="Z82950"/>
    <s v="Manual"/>
    <m/>
    <s v="UBR 533W"/>
    <s v="Bates Enterprises U Ltd"/>
    <n v="156"/>
    <s v="Z82950"/>
    <s v="OM"/>
    <n v="464"/>
    <n v="462"/>
    <n v="-2"/>
    <m/>
    <d v="2025-03-05T11:27:00"/>
    <d v="2025-03-05T02:22:00"/>
    <d v="2025-03-05T11:56:00"/>
    <n v="571.34259258818929"/>
    <n v="28.865740740972495"/>
    <m/>
    <d v="2025-03-05T16:21:00"/>
    <d v="2025-03-05T18:26:00"/>
    <n v="122.39583333219343"/>
    <m/>
    <d v="2025-03-07T18:31:00"/>
    <d v="2025-03-07T19:25:00"/>
    <n v="52.87499999794818"/>
    <m/>
    <n v="2.2743055555547471"/>
    <n v="3"/>
    <n v="0.72569444444525288"/>
    <n v="54.583333333313931"/>
    <n v="24"/>
    <n v="30.583333333313931"/>
    <n v="5.1008174386953344"/>
    <m/>
    <m/>
    <m/>
    <m/>
    <m/>
  </r>
  <r>
    <d v="2025-03-06T00:00:00"/>
    <x v="2"/>
    <s v="KESH"/>
    <s v="A21233"/>
    <s v="Manual"/>
    <s v="Bwanga Gilbert"/>
    <s v="UBK 862R"/>
    <s v="Sawan Distributors Ltd-Nabingo"/>
    <n v="156"/>
    <s v="A21233"/>
    <s v="OM"/>
    <n v="560"/>
    <n v="556"/>
    <n v="-4"/>
    <m/>
    <d v="2025-03-04T17:55:00"/>
    <d v="2025-03-04T18:00:00"/>
    <d v="2025-03-04T18:24:00"/>
    <n v="23.888888893755695"/>
    <n v="28.865740740972495"/>
    <m/>
    <d v="2025-03-06T11:55:00"/>
    <d v="2025-03-06T13:45:00"/>
    <n v="107.70833332535403"/>
    <m/>
    <d v="2025-03-06T12:14:00"/>
    <d v="2025-03-06T13:36:00"/>
    <n v="80.291666661651107"/>
    <s v="dj failures"/>
    <n v="1.7430555555547471"/>
    <n v="2"/>
    <n v="0.25694444444525288"/>
    <n v="41.833333333313931"/>
    <n v="12"/>
    <n v="29.833333333313931"/>
    <n v="5.22905027933301"/>
    <m/>
    <m/>
    <m/>
    <m/>
    <m/>
  </r>
  <r>
    <d v="2025-03-06T00:00:00"/>
    <x v="2"/>
    <s v="KESH"/>
    <s v="A21236"/>
    <s v="Manual"/>
    <s v="Lule Fred"/>
    <s v="UBP 310H"/>
    <s v="Kato Investment Ltd -Mityana"/>
    <n v="156"/>
    <s v="A21236"/>
    <s v="OM"/>
    <n v="690"/>
    <n v="688"/>
    <n v="-2"/>
    <m/>
    <d v="2025-03-04T19:14:00"/>
    <d v="2025-03-04T19:46:00"/>
    <d v="2025-03-04T19:43:00"/>
    <n v="-2.9861111104158531"/>
    <n v="28.865740740972495"/>
    <m/>
    <d v="2025-03-05T21:03:00"/>
    <d v="2025-03-06T11:25:00"/>
    <n v="844.04166666849051"/>
    <s v="slept at the RD and offloaded the next day"/>
    <d v="2025-03-06T15:00:00"/>
    <d v="2025-03-06T15:59:00"/>
    <n v="57.770833336981013"/>
    <m/>
    <n v="1.8034722222218988"/>
    <n v="3"/>
    <n v="1.1965277777781012"/>
    <n v="43.283333333325572"/>
    <n v="12"/>
    <n v="31.283333333325572"/>
    <n v="4.9866808737359198"/>
    <m/>
    <m/>
    <m/>
    <m/>
    <m/>
  </r>
  <r>
    <d v="2025-03-06T00:00:00"/>
    <x v="2"/>
    <s v="KESH"/>
    <s v="A21234"/>
    <s v="Manual"/>
    <s v="Kyapa Hakim"/>
    <s v="UBR 535W"/>
    <s v="Kato Investment Ltd -Kagadi"/>
    <n v="156"/>
    <s v="A21234"/>
    <s v="OM"/>
    <n v="670"/>
    <n v="666"/>
    <n v="-4"/>
    <m/>
    <d v="2025-03-04T23:11:00"/>
    <d v="2025-03-05T05:52:00"/>
    <d v="2025-03-04T23:38:00"/>
    <n v="-372.26851851179771"/>
    <n v="26.87500000417155"/>
    <m/>
    <d v="2025-03-06T16:29:00"/>
    <d v="2025-03-07T10:37:00"/>
    <n v="1065.3333333383489"/>
    <s v="Waited for empties from trade"/>
    <d v="2025-03-07T16:17:00"/>
    <d v="2025-03-07T17:32:00"/>
    <n v="73.4375000034197"/>
    <s v="fueling delays"/>
    <n v="2.6937499999985448"/>
    <n v="2"/>
    <n v="-0.69374999999854481"/>
    <n v="64.649999999965075"/>
    <n v="24"/>
    <n v="40.649999999965075"/>
    <n v="3.8376383763870612"/>
    <m/>
    <m/>
    <m/>
    <m/>
    <m/>
  </r>
  <r>
    <d v="2025-03-06T00:00:00"/>
    <x v="2"/>
    <s v="KESH"/>
    <s v="Z82952"/>
    <s v="Manual"/>
    <m/>
    <s v="UBR 534W"/>
    <s v="Kobusinge Steven-FPortal"/>
    <n v="5.5439999999999996"/>
    <s v="Z82952"/>
    <s v="OM"/>
    <n v="304"/>
    <n v="307"/>
    <n v="3"/>
    <m/>
    <d v="2025-03-04T20:22:00"/>
    <d v="2025-03-05T04:14:00"/>
    <d v="2025-03-04T20:50:00"/>
    <n v="-441.94444444583496"/>
    <n v="27.870370367357584"/>
    <m/>
    <d v="2025-03-07T09:31:00"/>
    <d v="2025-03-07T13:59:00"/>
    <n v="262.41666667054233"/>
    <s v="Waited for empties from trade"/>
    <d v="2025-03-07T15:00:00"/>
    <d v="2025-03-07T15:42:00"/>
    <n v="41.12500000068394"/>
    <m/>
    <n v="2.7569444444452529"/>
    <n v="2"/>
    <n v="-0.75694444444525288"/>
    <n v="66.166666666686069"/>
    <n v="24"/>
    <n v="42.166666666686069"/>
    <n v="0.1314782608695047"/>
    <m/>
    <m/>
    <m/>
    <m/>
    <m/>
  </r>
  <r>
    <d v="2025-03-06T00:00:00"/>
    <x v="2"/>
    <s v="NBL"/>
    <s v="OMM9KJSRR"/>
    <s v="DJ"/>
    <s v="Stephen Musoke "/>
    <s v="UBJ 375N"/>
    <s v="RUGOMA TRADERS CO. LTD NTUNGAM "/>
    <n v="153.6"/>
    <s v="OMM9KJSRR"/>
    <s v="OM"/>
    <n v="150"/>
    <n v="152"/>
    <n v="2"/>
    <m/>
    <d v="2025-03-06T17:56:00"/>
    <d v="2025-03-06T06:15:00"/>
    <d v="2025-03-06T18:24:00"/>
    <n v="725.62500000834314"/>
    <n v="27.870370367357584"/>
    <m/>
    <d v="2025-03-07T09:31:00"/>
    <d v="2025-03-07T13:59:00"/>
    <n v="262.41666667054233"/>
    <s v="Reached late and offloaded the next day"/>
    <d v="2025-03-07T16:17:00"/>
    <d v="2025-03-07T17:00:00"/>
    <n v="42.104166670542327"/>
    <m/>
    <n v="0.91180555555183673"/>
    <n v="1"/>
    <n v="8.8194444448163267E-2"/>
    <n v="21.883333333244082"/>
    <n v="0"/>
    <n v="21.883333333244082"/>
    <n v="7.0190403656036464"/>
    <m/>
    <m/>
    <m/>
    <m/>
    <m/>
  </r>
  <r>
    <d v="2025-03-06T00:00:00"/>
    <x v="2"/>
    <s v="NBL"/>
    <s v="OMJM25LRR"/>
    <s v="DJ"/>
    <s v="Jacob Oneka"/>
    <s v="UBE 422T"/>
    <s v="Kabaco U Ltd "/>
    <n v="153.6"/>
    <s v="OMJM25LRR"/>
    <s v="OM"/>
    <n v="320"/>
    <n v="322"/>
    <n v="2"/>
    <m/>
    <d v="2025-03-06T10:09:00"/>
    <d v="2025-03-06T02:22:00"/>
    <d v="2025-03-06T11:02:00"/>
    <n v="517.5925925902751"/>
    <n v="52.75462963472819"/>
    <m/>
    <d v="2025-03-07T08:11:00"/>
    <d v="2025-03-07T13:06:00"/>
    <n v="288.85416666438687"/>
    <s v="Waited for empties from trade"/>
    <d v="2025-03-08T09:16:00"/>
    <d v="2025-03-08T10:15:00"/>
    <n v="57.770833336981013"/>
    <m/>
    <n v="1.9263888888890506"/>
    <n v="2"/>
    <n v="7.3611111110949423E-2"/>
    <n v="46.233333333337214"/>
    <n v="12"/>
    <n v="34.233333333337214"/>
    <n v="4.4868549172341554"/>
    <m/>
    <m/>
    <m/>
    <m/>
    <m/>
  </r>
  <r>
    <d v="2025-03-06T00:00:00"/>
    <x v="2"/>
    <s v="NBL"/>
    <s v="OMB1R5JRR"/>
    <s v="DJ"/>
    <s v="Isaac Tumuhimbise"/>
    <s v="UBE 287X"/>
    <s v="RUGOMA TRADERS CO. LTD NTUNGAM "/>
    <n v="153.6"/>
    <s v="OMB1R5JRR"/>
    <s v="OM"/>
    <n v="150"/>
    <n v="152"/>
    <n v="2"/>
    <m/>
    <d v="2025-03-06T13:09:00"/>
    <d v="2025-03-06T06:15:00"/>
    <d v="2025-03-06T13:35:00"/>
    <n v="437.96296296180418"/>
    <n v="25.879629630556639"/>
    <m/>
    <d v="2025-03-07T11:50:00"/>
    <d v="2025-03-07T14:25:00"/>
    <n v="151.77083333561313"/>
    <m/>
    <d v="2025-03-07T15:00:00"/>
    <d v="2025-03-07T15:57:00"/>
    <n v="55.81249999726424"/>
    <m/>
    <n v="1.0590277777810115"/>
    <n v="1"/>
    <n v="-5.9027777781011537E-2"/>
    <n v="25.416666666744277"/>
    <n v="12"/>
    <n v="13.416666666744277"/>
    <n v="11.448447204902719"/>
    <m/>
    <m/>
    <m/>
    <m/>
    <m/>
  </r>
  <r>
    <d v="2025-03-06T00:00:00"/>
    <x v="2"/>
    <s v="NBL"/>
    <s v="OMXJO6NRR"/>
    <s v="DJ"/>
    <s v="Kabene John"/>
    <s v="UBA 523T"/>
    <s v="Kabaco U Ltd "/>
    <n v="153.6"/>
    <s v="OMXJO6NRR"/>
    <s v="OM"/>
    <n v="320"/>
    <n v="322"/>
    <n v="2"/>
    <m/>
    <d v="2025-03-06T08:18:00"/>
    <d v="2025-03-06T02:22:00"/>
    <d v="2025-03-06T08:46:00"/>
    <n v="382.22222221666016"/>
    <n v="27.870370367357584"/>
    <m/>
    <d v="2025-03-07T14:10:00"/>
    <d v="2025-03-07T17:54:00"/>
    <n v="219.33333333014161"/>
    <s v="Reached late and offloaded the next day"/>
    <d v="2025-03-08T10:43:00"/>
    <d v="2025-03-08T11:26:00"/>
    <n v="42.104166670542327"/>
    <m/>
    <n v="2.0812500000029104"/>
    <n v="2"/>
    <n v="-8.1250000002910383E-2"/>
    <n v="49.950000000069849"/>
    <n v="24"/>
    <n v="25.950000000069849"/>
    <n v="5.9190751444927381"/>
    <m/>
    <m/>
    <m/>
    <m/>
    <m/>
  </r>
  <r>
    <d v="2025-03-06T00:00:00"/>
    <x v="2"/>
    <s v="KESH"/>
    <s v="OMFLUW9RR"/>
    <s v="DJ"/>
    <s v="SENTONG DAVID"/>
    <s v="UBP 298H"/>
    <s v="Kato Investment Ltd -Kagadi"/>
    <n v="156"/>
    <s v="OMFLUW9RR"/>
    <s v="OM"/>
    <n v="670"/>
    <n v="672"/>
    <n v="2"/>
    <m/>
    <d v="2025-03-05T21:59:00"/>
    <d v="2025-03-05T22:30:00"/>
    <d v="2025-03-05T22:27:00"/>
    <n v="-2.9861111104158531"/>
    <n v="27.870370367357584"/>
    <m/>
    <d v="2025-03-06T16:29:00"/>
    <d v="2025-03-07T10:37:00"/>
    <n v="1065.3333333383489"/>
    <s v="truck faulty"/>
    <d v="2025-03-07T20:48:00"/>
    <d v="2025-03-07T21:36:00"/>
    <n v="46.99999999931606"/>
    <m/>
    <n v="1.9312500000014552"/>
    <n v="2"/>
    <n v="6.8749999998544808E-2"/>
    <n v="46.350000000034925"/>
    <n v="12"/>
    <n v="34.350000000034925"/>
    <n v="4.5414847161525875"/>
    <m/>
    <m/>
    <m/>
    <m/>
    <m/>
  </r>
  <r>
    <d v="2025-03-06T00:00:00"/>
    <x v="2"/>
    <s v="NBL"/>
    <s v="OM6CFFURR"/>
    <s v="DJ"/>
    <s v="James  Kironde"/>
    <s v="UBK 881R"/>
    <s v="Kabaco U Ltd-Mbarara "/>
    <n v="153.6"/>
    <s v="OM6CFFURR"/>
    <s v="OM"/>
    <n v="20"/>
    <n v="17"/>
    <n v="-3"/>
    <m/>
    <d v="2025-03-05T20:09:00"/>
    <d v="2025-03-06T07:42:00"/>
    <d v="2025-03-05T20:38:00"/>
    <n v="-660.92592592152266"/>
    <n v="28.865740740972495"/>
    <m/>
    <d v="2025-03-05T21:03:00"/>
    <d v="2025-03-06T11:25:00"/>
    <n v="844.04166666849051"/>
    <s v="Waited for empties from trade"/>
    <d v="2025-03-06T12:14:00"/>
    <d v="2025-03-06T13:12:00"/>
    <n v="56.791666667122627"/>
    <m/>
    <n v="0.65000000000145519"/>
    <n v="3"/>
    <n v="2.3499999999985448"/>
    <n v="15.600000000034925"/>
    <n v="0"/>
    <n v="15.600000000034925"/>
    <n v="9.8461538461318021"/>
    <m/>
    <m/>
    <m/>
    <m/>
    <m/>
  </r>
  <r>
    <d v="2025-03-07T00:00:00"/>
    <x v="2"/>
    <s v="KESH"/>
    <s v="A21262"/>
    <s v="Manual"/>
    <s v="ZIWA ABASI"/>
    <s v="UBJ 420C"/>
    <s v="KATO INVESTMENTS LTD-KATIKARA"/>
    <n v="78"/>
    <s v="A21262"/>
    <s v="OM"/>
    <n v="790"/>
    <n v="786"/>
    <n v="-4"/>
    <m/>
    <d v="2025-03-04T18:32:00"/>
    <d v="2025-03-05T03:13:00"/>
    <d v="2025-03-04T19:01:00"/>
    <n v="-489.72222222291748"/>
    <n v="28.865740740972495"/>
    <m/>
    <d v="2025-03-08T18:43:00"/>
    <d v="2025-03-08T20:55:00"/>
    <n v="129.25000000068394"/>
    <m/>
    <d v="2025-03-05T18:06:00"/>
    <d v="2025-03-05T18:49:00"/>
    <n v="42.104166670542327"/>
    <m/>
    <n v="0.96180555555474712"/>
    <n v="3"/>
    <n v="2.0381944444452529"/>
    <n v="23.083333333313931"/>
    <n v="0"/>
    <n v="23.083333333313931"/>
    <n v="3.3790613718439957"/>
    <m/>
    <m/>
    <m/>
    <m/>
    <m/>
  </r>
  <r>
    <d v="2025-03-07T00:00:00"/>
    <x v="2"/>
    <s v="KESH"/>
    <s v="A21267"/>
    <s v="Manual"/>
    <s v="Nminya Siraje"/>
    <s v="UBP 301H"/>
    <s v="Kato Investments Ltd-Bulenga"/>
    <n v="156"/>
    <s v="A21267"/>
    <s v="OM"/>
    <n v="560"/>
    <n v="559"/>
    <n v="-1"/>
    <m/>
    <d v="2025-03-04T19:58:00"/>
    <d v="2025-03-05T05:46:00"/>
    <d v="2025-03-04T20:20:00"/>
    <n v="-563.37962963055668"/>
    <n v="21.89814814652588"/>
    <m/>
    <d v="2025-03-08T07:51:00"/>
    <d v="2025-03-08T09:49:00"/>
    <n v="115.54166667396203"/>
    <m/>
    <d v="2025-03-05T13:08:00"/>
    <d v="2025-03-05T14:05:00"/>
    <n v="55.81249999726424"/>
    <m/>
    <n v="0.70000000000436557"/>
    <n v="3"/>
    <n v="2.2999999999956344"/>
    <n v="16.800000000104774"/>
    <n v="0"/>
    <n v="16.800000000104774"/>
    <n v="9.2857142856563755"/>
    <m/>
    <m/>
    <m/>
    <m/>
    <m/>
  </r>
  <r>
    <d v="2025-03-07T00:00:00"/>
    <x v="2"/>
    <s v="KESH"/>
    <s v="A21257"/>
    <s v="Manual"/>
    <m/>
    <s v="UBR 864Y"/>
    <s v="Kato Investment Ltd -Mityana"/>
    <n v="156"/>
    <s v="A21257"/>
    <s v="OM"/>
    <n v="690"/>
    <n v="687"/>
    <n v="-3"/>
    <m/>
    <d v="2025-03-04T19:26:00"/>
    <d v="2025-03-05T05:52:00"/>
    <d v="2025-03-04T19:53:00"/>
    <n v="-596.22685184513102"/>
    <n v="26.87500000417155"/>
    <m/>
    <d v="2025-03-07T07:06:00"/>
    <d v="2025-03-07T16:03:00"/>
    <n v="525.81250000068394"/>
    <s v="Waited for empties from trade"/>
    <d v="2025-03-06T13:08:00"/>
    <d v="2025-03-06T14:05:00"/>
    <n v="55.81249999726424"/>
    <m/>
    <n v="1.71875"/>
    <n v="3"/>
    <n v="1.28125"/>
    <n v="41.25"/>
    <n v="12"/>
    <n v="29.25"/>
    <n v="5.333333333333333"/>
    <m/>
    <m/>
    <m/>
    <m/>
    <m/>
  </r>
  <r>
    <d v="2025-03-07T00:00:00"/>
    <x v="2"/>
    <s v="KESH"/>
    <s v="Z82960"/>
    <s v="Manual"/>
    <m/>
    <s v="UBR 537W"/>
    <s v="Kabaco U Ltd "/>
    <n v="112.2"/>
    <s v="Z82960"/>
    <s v="OM"/>
    <n v="320"/>
    <n v="317"/>
    <n v="-3"/>
    <m/>
    <d v="2025-03-06T19:22:00"/>
    <d v="2025-03-06T02:22:00"/>
    <d v="2025-03-06T19:49:00"/>
    <n v="1042.1527777749968"/>
    <n v="26.87500000417155"/>
    <m/>
    <d v="2025-03-06T18:20:00"/>
    <d v="2025-03-07T12:03:00"/>
    <n v="1040.8541666637029"/>
    <s v="less casuals and offloaded the next day"/>
    <d v="2025-03-09T10:35:00"/>
    <d v="2025-03-09T11:18:00"/>
    <n v="42.104166670542327"/>
    <m/>
    <n v="2.6152777777751908"/>
    <n v="2"/>
    <n v="-0.61527777777519077"/>
    <n v="62.766666666604578"/>
    <n v="24"/>
    <n v="38.766666666604578"/>
    <n v="2.8942390369779805"/>
    <m/>
    <m/>
    <m/>
    <m/>
    <m/>
  </r>
  <r>
    <d v="2025-03-07T00:00:00"/>
    <x v="2"/>
    <s v="KESH"/>
    <s v="Z82961"/>
    <s v="Manual"/>
    <s v="Nakalya John"/>
    <s v="UBM 648D"/>
    <s v="Kobusinge Steven-FPortal"/>
    <n v="6.3"/>
    <s v="Z82961"/>
    <s v="OM"/>
    <n v="304"/>
    <n v="305"/>
    <n v="1"/>
    <m/>
    <d v="2025-03-06T17:54:00"/>
    <d v="2025-03-06T06:15:00"/>
    <d v="2025-03-06T18:24:00"/>
    <n v="725.62500000834314"/>
    <n v="29.861111114587402"/>
    <m/>
    <d v="2025-03-07T10:22:00"/>
    <d v="2025-03-07T11:50:00"/>
    <n v="86.166666670542327"/>
    <m/>
    <d v="2025-03-09T10:35:00"/>
    <d v="2025-03-09T11:33:00"/>
    <n v="56.791666667122627"/>
    <m/>
    <n v="2.6743055555489263"/>
    <n v="2"/>
    <n v="-0.67430555554892635"/>
    <n v="64.183333333174232"/>
    <n v="24"/>
    <n v="40.183333333174232"/>
    <n v="0.15678141849916907"/>
    <m/>
    <m/>
    <m/>
    <m/>
    <m/>
  </r>
  <r>
    <d v="2025-03-07T00:00:00"/>
    <x v="2"/>
    <s v="KESH"/>
    <s v="A21259"/>
    <s v="Manual"/>
    <s v="Matovu Musa"/>
    <s v="UBR 538W"/>
    <s v="Kato Investments Ltd- Kyegegwa"/>
    <n v="78"/>
    <s v="A21259"/>
    <s v="OM"/>
    <n v="600"/>
    <n v="597"/>
    <n v="-3"/>
    <m/>
    <d v="2025-03-06T13:08:00"/>
    <d v="2025-03-06T06:15:00"/>
    <d v="2025-03-06T13:35:00"/>
    <n v="437.96296296180418"/>
    <n v="26.87500000417155"/>
    <m/>
    <d v="2025-03-07T17:45:00"/>
    <d v="2025-03-07T21:02:00"/>
    <n v="192.89583332603797"/>
    <s v="Dj failure at customer"/>
    <d v="2025-03-08T09:03:00"/>
    <d v="2025-03-08T09:51:00"/>
    <n v="46.99999999931606"/>
    <m/>
    <n v="1.8111111111138598"/>
    <n v="2"/>
    <n v="0.18888888888614019"/>
    <n v="43.466666666732635"/>
    <n v="12"/>
    <n v="31.466666666732635"/>
    <n v="2.478813559316837"/>
    <m/>
    <m/>
    <m/>
    <m/>
    <m/>
  </r>
  <r>
    <d v="2025-03-07T00:00:00"/>
    <x v="2"/>
    <s v="KESH"/>
    <s v="A21258"/>
    <s v="Manual"/>
    <m/>
    <s v="UBJ 421C"/>
    <s v="Kato Investment Ltd -Mityana"/>
    <n v="156"/>
    <s v="A21258"/>
    <s v="OM"/>
    <n v="690"/>
    <n v="688"/>
    <n v="-2"/>
    <m/>
    <d v="2025-03-05T12:58:00"/>
    <d v="2025-03-05T12:26:00"/>
    <d v="2025-03-05T13:24:00"/>
    <n v="57.731481481944989"/>
    <n v="25.879629630556639"/>
    <m/>
    <d v="2025-03-07T19:54:00"/>
    <d v="2025-03-08T14:32:00"/>
    <n v="1094.7083333315095"/>
    <s v="Waited for empties from trade"/>
    <d v="2025-03-07T18:06:00"/>
    <d v="2025-03-07T18:56:00"/>
    <n v="48.958333328773733"/>
    <m/>
    <n v="2.1958333333313931"/>
    <n v="3"/>
    <n v="0.80416666666860692"/>
    <n v="52.699999999953434"/>
    <n v="24"/>
    <n v="28.699999999953434"/>
    <n v="5.4355400696952305"/>
    <m/>
    <m/>
    <m/>
    <m/>
    <m/>
  </r>
  <r>
    <d v="2025-03-07T00:00:00"/>
    <x v="2"/>
    <s v="KESH"/>
    <s v="A21261"/>
    <s v="Manual"/>
    <s v="Ntumwa Solomon"/>
    <s v="UBR 540W"/>
    <s v="Kato Investment Ltd -Kagadi"/>
    <n v="156"/>
    <s v="A21261"/>
    <s v="OM"/>
    <n v="670"/>
    <n v="667"/>
    <n v="-3"/>
    <m/>
    <d v="2025-03-05T21:59:00"/>
    <d v="2025-03-05T22:30:00"/>
    <d v="2025-03-05T22:27:00"/>
    <n v="-2.9861111104158531"/>
    <n v="27.870370367357584"/>
    <m/>
    <d v="2025-03-07T09:23:00"/>
    <d v="2025-03-07T15:06:00"/>
    <n v="335.85416666370293"/>
    <s v="Waited for empties from trade"/>
    <d v="2025-03-07T17:32:00"/>
    <d v="2025-03-07T18:15:00"/>
    <n v="42.104166670542327"/>
    <m/>
    <n v="1.7951388888905058"/>
    <n v="2"/>
    <n v="0.20486111110949423"/>
    <n v="43.083333333372138"/>
    <n v="12"/>
    <n v="31.083333333372138"/>
    <n v="5.0187667560259062"/>
    <m/>
    <m/>
    <m/>
    <m/>
    <m/>
  </r>
  <r>
    <d v="2025-03-07T00:00:00"/>
    <x v="2"/>
    <s v="NBL"/>
    <s v="OMHTHKORR"/>
    <s v="DJ"/>
    <s v="Isaac Tumuhimbise"/>
    <s v="UBE 287X"/>
    <s v="Kabaco U Ltd "/>
    <n v="153.6"/>
    <s v="OMJNRQ6RR"/>
    <s v="OM"/>
    <n v="320"/>
    <n v="317"/>
    <n v="-3"/>
    <m/>
    <d v="2025-03-07T18:25:00"/>
    <d v="2025-03-07T02:22:00"/>
    <d v="2025-03-07T18:53:00"/>
    <n v="986.41203704028158"/>
    <n v="27.870370367357584"/>
    <m/>
    <d v="2025-03-08T11:26:00"/>
    <d v="2025-03-08T16:01:00"/>
    <n v="269.27083332877373"/>
    <s v="Waited for empties from trade"/>
    <d v="2025-03-10T10:02:00"/>
    <d v="2025-03-10T10:45:00"/>
    <n v="42.104166670542327"/>
    <m/>
    <n v="2.6312499999985448"/>
    <n v="2"/>
    <n v="-0.63124999999854481"/>
    <n v="63.149999999965075"/>
    <n v="24"/>
    <n v="39.149999999965075"/>
    <n v="3.9233716475130782"/>
    <m/>
    <m/>
    <m/>
    <m/>
    <m/>
  </r>
  <r>
    <d v="2025-03-07T00:00:00"/>
    <x v="2"/>
    <s v="NBL"/>
    <s v="OM2VQCMRR"/>
    <s v="DJ"/>
    <s v="Abel Mark naffa"/>
    <s v="UBJ 415C"/>
    <s v="Kabaco U Ltd-Mbarara "/>
    <n v="153.6"/>
    <s v="OM14WBURR"/>
    <s v="OM"/>
    <n v="20"/>
    <n v="17"/>
    <n v="-3"/>
    <m/>
    <d v="2025-03-07T16:34:00"/>
    <d v="2025-03-07T07:42:00"/>
    <d v="2025-03-07T17:02:00"/>
    <n v="557.4074074097249"/>
    <n v="27.870370367357584"/>
    <m/>
    <d v="2025-03-07T17:45:00"/>
    <d v="2025-03-07T21:02:00"/>
    <n v="192.89583332603797"/>
    <s v="found another truck at the RD"/>
    <d v="2025-03-09T09:03:00"/>
    <d v="2025-03-09T09:45:00"/>
    <n v="41.12500000068394"/>
    <m/>
    <n v="1.6673611111109494"/>
    <n v="2"/>
    <n v="0.33263888888905058"/>
    <n v="40.016666666662786"/>
    <n v="12"/>
    <n v="28.016666666662786"/>
    <n v="5.4824509220709556"/>
    <m/>
    <m/>
    <m/>
    <m/>
    <m/>
  </r>
  <r>
    <d v="2025-03-07T00:00:00"/>
    <x v="2"/>
    <s v="NBL"/>
    <s v="OMIE8WWRR"/>
    <s v="DJ"/>
    <s v="Tumusiime Robert"/>
    <s v="UBJ 988D"/>
    <s v="Sawan Distributors Ltd-Kayabwe"/>
    <n v="153.6"/>
    <s v="OMZZIPQRR"/>
    <s v="OM"/>
    <n v="382"/>
    <n v="379"/>
    <n v="-3"/>
    <m/>
    <d v="2025-03-07T09:56:00"/>
    <d v="2025-03-07T04:19:00"/>
    <d v="2025-03-07T10:48:00"/>
    <n v="387.19907407430583"/>
    <n v="51.759259261113279"/>
    <m/>
    <d v="2025-03-07T18:46:00"/>
    <d v="2025-03-08T12:16:00"/>
    <n v="1028.1249999965803"/>
    <s v="Waited for empties from trade"/>
    <d v="2025-03-09T18:45:00"/>
    <d v="2025-03-09T19:41:00"/>
    <n v="54.833333337664953"/>
    <m/>
    <n v="2.3312500000029104"/>
    <n v="2"/>
    <n v="-0.33125000000291038"/>
    <n v="55.950000000069849"/>
    <n v="24"/>
    <n v="31.950000000069849"/>
    <n v="4.8075117370786913"/>
    <m/>
    <m/>
    <m/>
    <m/>
    <m/>
  </r>
  <r>
    <d v="2025-03-07T00:00:00"/>
    <x v="2"/>
    <s v="NBL"/>
    <s v="OM3KEC6RR"/>
    <s v="DJ"/>
    <s v="Luyaga Isaac"/>
    <s v="UAY 265V"/>
    <s v="RUGOMA TRADERS CO. LTD NTUNGAM "/>
    <n v="153.6"/>
    <s v="OMKY5Y8RR"/>
    <s v="OM"/>
    <n v="150"/>
    <n v="148"/>
    <n v="-2"/>
    <m/>
    <d v="2025-03-07T11:41:00"/>
    <d v="2025-03-07T06:15:00"/>
    <d v="2025-03-07T12:09:00"/>
    <n v="352.36111111250165"/>
    <n v="27.870370367357584"/>
    <m/>
    <d v="2025-03-07T18:27:00"/>
    <d v="2025-03-07T20:37:00"/>
    <n v="127.29166666096717"/>
    <m/>
    <d v="2025-03-09T09:59:00"/>
    <d v="2025-03-09T10:55:00"/>
    <n v="54.833333337664953"/>
    <m/>
    <n v="1.9097222222262644"/>
    <n v="1"/>
    <n v="-0.90972222222626442"/>
    <n v="45.833333333430346"/>
    <n v="12"/>
    <n v="33.833333333430346"/>
    <n v="4.5399014778194946"/>
    <m/>
    <m/>
    <m/>
    <m/>
    <m/>
  </r>
  <r>
    <d v="2025-03-07T00:00:00"/>
    <x v="2"/>
    <s v="NBL"/>
    <s v="OM7NTMURR"/>
    <s v="DJ"/>
    <s v="Kilabila Ismail"/>
    <s v="UBE 419T"/>
    <s v="Ntale and Sons"/>
    <n v="153.6"/>
    <s v="OM2U5PIRR"/>
    <s v="OM"/>
    <n v="810"/>
    <n v="809"/>
    <n v="-1"/>
    <m/>
    <d v="2025-03-06T20:50:00"/>
    <d v="2025-03-06T21:30:00"/>
    <d v="2025-03-06T21:42:00"/>
    <n v="11.944444441663412"/>
    <n v="51.759259261113279"/>
    <m/>
    <d v="2025-03-07T19:54:00"/>
    <d v="2025-03-08T14:32:00"/>
    <n v="1094.7083333315095"/>
    <s v="Reached late and offloaded the next day"/>
    <d v="2025-03-08T18:06:00"/>
    <d v="2025-03-08T18:49:00"/>
    <n v="42.104166670542327"/>
    <m/>
    <n v="1.8499999999985448"/>
    <n v="3"/>
    <n v="1.1500000000014552"/>
    <n v="44.399999999965075"/>
    <n v="12"/>
    <n v="32.399999999965075"/>
    <n v="4.7407407407458511"/>
    <m/>
    <m/>
    <m/>
    <m/>
    <m/>
  </r>
  <r>
    <d v="2025-03-07T00:00:00"/>
    <x v="2"/>
    <s v="NBL"/>
    <s v="OMJNRQ6RR"/>
    <s v="DJ"/>
    <s v="James  Kironde"/>
    <s v="UBK 881R"/>
    <s v="KATO INVESTMENTS LIMITED-MASAK "/>
    <n v="153.6"/>
    <s v="OMQ9CV1RR"/>
    <s v="OM"/>
    <n v="298"/>
    <n v="295"/>
    <n v="-3"/>
    <m/>
    <d v="2025-03-06T20:02:00"/>
    <d v="2025-03-07T04:14:00"/>
    <d v="2025-03-06T20:55:00"/>
    <n v="-436.96759258818929"/>
    <n v="52.75462963472819"/>
    <m/>
    <d v="2025-03-07T09:23:00"/>
    <d v="2025-03-07T15:06:00"/>
    <n v="335.85416666370293"/>
    <s v="Waited for empties from trade"/>
    <d v="2025-03-07T17:32:00"/>
    <d v="2025-03-07T18:29:00"/>
    <n v="55.81249999726424"/>
    <m/>
    <n v="0.85902777777664596"/>
    <n v="2"/>
    <n v="1.140972222223354"/>
    <n v="20.616666666639503"/>
    <n v="0"/>
    <n v="20.616666666639503"/>
    <n v="7.4502829426128878"/>
    <m/>
    <m/>
    <m/>
    <m/>
    <m/>
  </r>
  <r>
    <d v="2025-03-08T00:00:00"/>
    <x v="2"/>
    <s v="KESH"/>
    <s v="Z82968"/>
    <s v="Manual"/>
    <s v="SENTONG DAVID"/>
    <s v="UBP 298H"/>
    <s v="Kobusinge Steven-FPortal"/>
    <n v="5.04"/>
    <s v="Z82968"/>
    <s v="OM"/>
    <n v="304"/>
    <n v="301"/>
    <n v="-3"/>
    <m/>
    <d v="2025-03-05T13:47:00"/>
    <d v="2025-03-05T19:03:00"/>
    <d v="2025-03-05T14:39:00"/>
    <n v="-262.77777776873944"/>
    <n v="51.759259261113279"/>
    <m/>
    <d v="2025-03-08T17:51:00"/>
    <d v="2025-03-08T20:04:00"/>
    <n v="130.22916666028323"/>
    <m/>
    <d v="2025-03-07T08:56:00"/>
    <d v="2025-03-07T09:54:00"/>
    <n v="56.791666667122627"/>
    <m/>
    <n v="1.7618055555503815"/>
    <n v="2"/>
    <n v="0.23819444444961846"/>
    <n v="42.283333333209157"/>
    <n v="12"/>
    <n v="30.283333333209157"/>
    <n v="0.16642817831658777"/>
    <m/>
    <m/>
    <m/>
    <m/>
    <m/>
  </r>
  <r>
    <d v="2025-03-08T00:00:00"/>
    <x v="2"/>
    <s v="KESH"/>
    <s v="A21275"/>
    <s v="Manual"/>
    <s v="kakembo Masudi"/>
    <s v="UBM 644D"/>
    <s v="Kato Investment Ltd -Mubende"/>
    <n v="156"/>
    <s v="A21275"/>
    <s v="OM"/>
    <n v="680"/>
    <n v="678"/>
    <n v="-2"/>
    <m/>
    <d v="2025-03-05T19:58:00"/>
    <d v="2025-03-06T07:00:00"/>
    <d v="2025-03-05T20:26:00"/>
    <n v="-631.06481480693526"/>
    <n v="27.870370367357584"/>
    <m/>
    <d v="2025-03-09T08:27:00"/>
    <d v="2025-03-09T17:34:00"/>
    <n v="535.60416666849051"/>
    <s v="Reached late and offloaded the next day"/>
    <d v="2025-03-07T18:21:00"/>
    <d v="2025-03-07T19:10:00"/>
    <n v="47.979166669174447"/>
    <m/>
    <n v="1.9131944444379769"/>
    <n v="3"/>
    <n v="1.0868055555620231"/>
    <n v="45.916666666511446"/>
    <n v="12"/>
    <n v="33.916666666511446"/>
    <n v="4.5995085995296492"/>
    <m/>
    <m/>
    <m/>
    <m/>
    <m/>
  </r>
  <r>
    <d v="2025-03-08T00:00:00"/>
    <x v="2"/>
    <s v="KESH"/>
    <s v="A21276"/>
    <s v="Manual"/>
    <s v="Kabanda Ronald"/>
    <s v="UBE 684K"/>
    <s v="KATO INVESTMENTS LTD-KATIKARA"/>
    <n v="156"/>
    <s v="A21276"/>
    <s v="OM"/>
    <n v="790"/>
    <n v="791"/>
    <n v="1"/>
    <m/>
    <d v="2025-03-05T20:09:00"/>
    <d v="2025-03-06T07:42:00"/>
    <d v="2025-03-05T20:38:00"/>
    <n v="-660.92592592152266"/>
    <n v="28.865740740972495"/>
    <m/>
    <d v="2025-03-10T08:49:00"/>
    <d v="2025-03-10T14:02:00"/>
    <n v="306.47916667054233"/>
    <s v="truck faulty"/>
    <d v="2025-03-06T15:34:00"/>
    <d v="2025-03-06T16:30:00"/>
    <n v="54.833333337664953"/>
    <m/>
    <n v="0.788888888884685"/>
    <n v="3"/>
    <n v="2.211111111115315"/>
    <n v="18.93333333323244"/>
    <n v="0"/>
    <n v="18.93333333323244"/>
    <n v="8.2394366197622162"/>
    <m/>
    <m/>
    <m/>
    <m/>
    <m/>
  </r>
  <r>
    <d v="2025-03-08T00:00:00"/>
    <x v="2"/>
    <s v="KESH"/>
    <s v="Z82966"/>
    <s v="Manual"/>
    <s v="Ikwalikwa Yusuf"/>
    <s v="UBP 311H"/>
    <s v="Rugoma Traders-Rukungiri"/>
    <n v="5.04"/>
    <s v="Z82966"/>
    <s v="OM"/>
    <n v="256"/>
    <n v="255"/>
    <n v="-1"/>
    <m/>
    <d v="2025-03-05T15:43:00"/>
    <d v="2025-03-06T05:52:00"/>
    <d v="2025-03-05T16:11:00"/>
    <n v="-817.1990740680485"/>
    <n v="27.870370367357584"/>
    <m/>
    <d v="2025-03-08T18:58:00"/>
    <d v="2025-03-09T12:32:00"/>
    <n v="1032.0416666657547"/>
    <s v="found another truck to be offloaded"/>
    <d v="2025-03-07T16:28:00"/>
    <d v="2025-03-07T17:25:00"/>
    <n v="55.81249999726424"/>
    <m/>
    <n v="2.0118055555576575"/>
    <n v="2"/>
    <n v="-1.1805555557657499E-2"/>
    <n v="48.28333333338378"/>
    <n v="24"/>
    <n v="24.28333333338378"/>
    <n v="0.20754975977993945"/>
    <m/>
    <m/>
    <m/>
    <m/>
    <m/>
  </r>
  <r>
    <d v="2025-03-08T00:00:00"/>
    <x v="2"/>
    <s v="NBL"/>
    <s v="OM14WBURR"/>
    <s v="DJ"/>
    <s v="Kabene John"/>
    <s v="UBA 523T"/>
    <s v="KATO INVESTMENTS LIMITED-MASAK "/>
    <n v="153.6"/>
    <s v="OM3SDLVRR"/>
    <s v="OM"/>
    <n v="298"/>
    <n v="297"/>
    <n v="-1"/>
    <m/>
    <d v="2025-03-08T16:52:00"/>
    <d v="2025-03-08T04:14:00"/>
    <d v="2025-03-08T17:20:00"/>
    <n v="782.36111110624427"/>
    <n v="27.870370367357584"/>
    <m/>
    <d v="2025-03-11T09:24:00"/>
    <d v="2025-03-11T12:40:00"/>
    <n v="191.91666666643869"/>
    <s v="slept at the RD and offloaded the next day"/>
    <d v="2025-03-09T18:21:00"/>
    <d v="2025-03-09T19:04:00"/>
    <n v="42.104166670542327"/>
    <s v="fueling delays"/>
    <n v="1.0423611111109494"/>
    <n v="2"/>
    <n v="0.95763888888905058"/>
    <n v="25.016666666662786"/>
    <n v="12"/>
    <n v="13.016666666662786"/>
    <n v="11.80025608194974"/>
    <m/>
    <m/>
    <m/>
    <m/>
    <m/>
  </r>
  <r>
    <d v="2025-03-08T00:00:00"/>
    <x v="2"/>
    <s v="NBL"/>
    <s v="OMZZIPQRR"/>
    <s v="DJ"/>
    <s v="Jacob Oneka"/>
    <s v="UBE 422T"/>
    <s v="Sawan Distributors Ltd-Kayabwe"/>
    <n v="153.6"/>
    <s v="OM8QNZMRR"/>
    <s v="OM"/>
    <n v="382"/>
    <n v="381"/>
    <n v="-1"/>
    <m/>
    <d v="2025-03-08T14:04:00"/>
    <d v="2025-03-08T04:19:00"/>
    <d v="2025-03-08T14:57:00"/>
    <n v="635.04629630139482"/>
    <n v="52.75462963472819"/>
    <m/>
    <d v="2025-03-09T09:09:00"/>
    <d v="2025-03-12T16:38:00"/>
    <n v="4669.6458333404007"/>
    <s v="found another truck at the RD"/>
    <d v="2025-03-09T15:20:00"/>
    <d v="2025-03-09T16:19:00"/>
    <n v="57.770833336981013"/>
    <m/>
    <n v="1.015972222223354"/>
    <n v="2"/>
    <n v="0.98402777777664596"/>
    <n v="24.383333333360497"/>
    <n v="12"/>
    <n v="12.383333333360497"/>
    <n v="12.403768506029319"/>
    <m/>
    <m/>
    <m/>
    <m/>
    <m/>
  </r>
  <r>
    <d v="2025-03-08T00:00:00"/>
    <x v="2"/>
    <s v="NBL"/>
    <s v="OMKY5Y8RR"/>
    <s v="DJ"/>
    <s v="Stephen Musoke "/>
    <s v="UBJ 375N"/>
    <s v="KATO INVESTMENTS LTD- KALISIZO"/>
    <n v="153.6"/>
    <s v="OM2IOKSRR"/>
    <s v="OM"/>
    <n v="350"/>
    <n v="351"/>
    <n v="1"/>
    <m/>
    <d v="2025-03-08T09:32:00"/>
    <d v="2025-03-08T03:43:00"/>
    <d v="2025-03-08T10:01:00"/>
    <n v="376.24999999582843"/>
    <n v="28.865740740972495"/>
    <m/>
    <d v="2025-03-09T12:06:00"/>
    <d v="2025-03-09T19:27:00"/>
    <n v="431.81250000205182"/>
    <s v="found another truck at the RD and offloaded the next day"/>
    <d v="2025-03-10T16:57:00"/>
    <d v="2025-03-10T17:54:00"/>
    <n v="55.81249999726424"/>
    <m/>
    <n v="2.288888888891961"/>
    <n v="2"/>
    <n v="-0.28888888889196096"/>
    <n v="54.933333333407063"/>
    <n v="24"/>
    <n v="30.933333333407063"/>
    <n v="4.9655172413674746"/>
    <m/>
    <m/>
    <m/>
    <m/>
    <m/>
  </r>
  <r>
    <d v="2025-03-08T00:00:00"/>
    <x v="2"/>
    <s v="NBL"/>
    <s v="OM2U5PIRR"/>
    <s v="DJ"/>
    <s v="James  Kironde"/>
    <s v="UBK 881R"/>
    <s v="Ntale and Sons Ltd-Kakiri"/>
    <n v="153.6"/>
    <s v="OMSMRMKRR"/>
    <s v="OM"/>
    <n v="620"/>
    <n v="622"/>
    <n v="2"/>
    <m/>
    <d v="2025-03-08T07:19:00"/>
    <d v="2025-03-08T01:59:00"/>
    <d v="2025-03-08T07:46:00"/>
    <n v="345.39351851805503"/>
    <n v="26.87500000417155"/>
    <m/>
    <d v="2025-03-08T18:58:00"/>
    <d v="2025-03-09T12:32:00"/>
    <n v="1032.0416666657547"/>
    <s v="Waited for empties from trade"/>
    <d v="2025-03-10T15:34:00"/>
    <d v="2025-03-10T16:17:00"/>
    <n v="42.104166670542327"/>
    <m/>
    <n v="2.3249999999970896"/>
    <n v="3"/>
    <n v="0.67500000000291038"/>
    <n v="55.799999999930151"/>
    <n v="24"/>
    <n v="31.799999999930151"/>
    <n v="4.8301886792558921"/>
    <m/>
    <m/>
    <m/>
    <m/>
    <m/>
  </r>
  <r>
    <d v="2025-03-08T00:00:00"/>
    <x v="2"/>
    <s v="NBL"/>
    <s v="OMQ9CV1RR"/>
    <s v="DJ"/>
    <s v="Benon Ssempijja"/>
    <s v="UAY 526V"/>
    <s v="KATO INVESTMENTS LIMITED-MASAK "/>
    <n v="153.6"/>
    <s v="OM19WNFRR"/>
    <s v="OM"/>
    <n v="298"/>
    <n v="295"/>
    <n v="-3"/>
    <m/>
    <d v="2025-03-08T06:59:00"/>
    <d v="2025-03-08T04:14:00"/>
    <d v="2025-03-08T07:27:00"/>
    <n v="192.106481481945"/>
    <n v="27.870370367357584"/>
    <m/>
    <d v="2025-03-08T12:25:00"/>
    <d v="2025-03-08T15:30:00"/>
    <n v="181.14583333903283"/>
    <s v="found another truck at the RD"/>
    <d v="2025-03-10T16:28:00"/>
    <d v="2025-03-10T17:26:00"/>
    <n v="56.791666667122627"/>
    <m/>
    <n v="2.3756944444467081"/>
    <n v="2"/>
    <n v="-0.37569444444670808"/>
    <n v="57.016666666720994"/>
    <n v="24"/>
    <n v="33.016666666720994"/>
    <n v="4.6521958606687708"/>
    <m/>
    <m/>
    <m/>
    <m/>
    <m/>
  </r>
  <r>
    <d v="2025-03-09T00:00:00"/>
    <x v="2"/>
    <s v="KESH"/>
    <s v="Z82989"/>
    <s v="Manual"/>
    <m/>
    <s v="UBR 534W"/>
    <s v="Kobusinge Steven-Kamwenge"/>
    <n v="78"/>
    <s v="Z82989"/>
    <s v="OM"/>
    <n v="288"/>
    <n v="286"/>
    <n v="-2"/>
    <m/>
    <d v="2025-03-07T10:57:00"/>
    <d v="2025-03-06T14:15:00"/>
    <d v="2025-03-07T11:25:00"/>
    <n v="1264.1203703715291"/>
    <n v="27.870370367357584"/>
    <m/>
    <d v="2025-03-11T12:08:00"/>
    <d v="2025-03-11T15:18:00"/>
    <n v="186.04166665754747"/>
    <s v="Waited for empties from trade"/>
    <d v="2025-03-09T11:58:00"/>
    <d v="2025-03-09T12:47:00"/>
    <n v="47.979166669174447"/>
    <m/>
    <n v="2.0229166666686069"/>
    <n v="2"/>
    <n v="-2.2916666668606922E-2"/>
    <n v="48.550000000046566"/>
    <n v="24"/>
    <n v="24.550000000046566"/>
    <n v="3.177189409362609"/>
    <m/>
    <m/>
    <m/>
    <m/>
    <m/>
  </r>
  <r>
    <d v="2025-03-09T00:00:00"/>
    <x v="2"/>
    <s v="KESH"/>
    <s v="A21298"/>
    <s v="Manual"/>
    <s v="Sentongo paul"/>
    <s v="UBR 541W"/>
    <s v="Kato Investment Ltd -Mubende"/>
    <n v="78"/>
    <s v="A21298"/>
    <s v="OM"/>
    <n v="680"/>
    <n v="683"/>
    <n v="3"/>
    <m/>
    <d v="2025-03-07T18:26:00"/>
    <d v="2025-03-07T02:22:00"/>
    <d v="2025-03-07T18:53:00"/>
    <n v="986.41203704028158"/>
    <n v="26.87500000417155"/>
    <m/>
    <d v="2025-03-10T14:04:00"/>
    <d v="2025-03-10T16:50:00"/>
    <n v="162.54166667327809"/>
    <m/>
    <d v="2025-03-10T10:55:00"/>
    <d v="2025-03-10T11:48:00"/>
    <n v="51.895833338348893"/>
    <m/>
    <n v="2.6680555555503815"/>
    <n v="3"/>
    <n v="0.33194444444961846"/>
    <n v="64.033333333209157"/>
    <n v="24"/>
    <n v="40.033333333209157"/>
    <n v="1.9483763530451776"/>
    <m/>
    <m/>
    <m/>
    <m/>
    <m/>
  </r>
  <r>
    <d v="2025-03-09T00:00:00"/>
    <x v="2"/>
    <s v="KESH"/>
    <s v="Z82990"/>
    <s v="Manual"/>
    <s v="Malinzi Awali"/>
    <s v="UBR 536W"/>
    <s v="Kobusinge Steven-Kamwenge"/>
    <n v="156"/>
    <s v="Z82990"/>
    <s v="OM"/>
    <n v="288"/>
    <n v="286"/>
    <n v="-2"/>
    <m/>
    <d v="2025-03-07T10:21:00"/>
    <d v="2025-03-07T04:19:00"/>
    <d v="2025-03-07T10:48:00"/>
    <n v="387.19907407430583"/>
    <n v="26.87500000417155"/>
    <m/>
    <d v="2025-03-09T18:09:00"/>
    <d v="2025-03-11T09:11:00"/>
    <n v="2293.2083333397168"/>
    <s v="Waited for empties from trade"/>
    <d v="2025-03-09T10:55:00"/>
    <d v="2025-03-09T11:52:00"/>
    <n v="55.81249999726424"/>
    <m/>
    <n v="2.0048611111124046"/>
    <n v="2"/>
    <n v="-4.8611111124046147E-3"/>
    <n v="48.116666666697711"/>
    <n v="24"/>
    <n v="24.116666666697711"/>
    <n v="6.4685556323344517"/>
    <m/>
    <m/>
    <m/>
    <m/>
    <m/>
  </r>
  <r>
    <d v="2025-03-09T00:00:00"/>
    <x v="2"/>
    <s v="KESH"/>
    <s v="A21291"/>
    <s v="Manual"/>
    <m/>
    <s v="UBR 868Y"/>
    <s v="Kato Investment Ltd -Mityana"/>
    <n v="157.5"/>
    <s v="A21291"/>
    <s v="OM"/>
    <n v="690"/>
    <n v="693"/>
    <n v="3"/>
    <m/>
    <d v="2025-03-07T11:00:00"/>
    <d v="2025-03-07T07:00:00"/>
    <d v="2025-03-07T11:50:00"/>
    <n v="288.65740740972495"/>
    <n v="49.768518513883464"/>
    <m/>
    <d v="2025-03-08T15:31:00"/>
    <d v="2025-03-08T17:52:00"/>
    <n v="138.06249999863212"/>
    <m/>
    <d v="2025-03-08T15:41:00"/>
    <d v="2025-03-08T16:38:00"/>
    <n v="55.81249999726424"/>
    <m/>
    <n v="1.1604166666656965"/>
    <n v="3"/>
    <n v="1.8395833333343035"/>
    <n v="27.849999999976717"/>
    <n v="12"/>
    <n v="15.849999999976717"/>
    <n v="9.9369085173647544"/>
    <m/>
    <m/>
    <m/>
    <m/>
    <m/>
  </r>
  <r>
    <d v="2025-03-09T00:00:00"/>
    <x v="2"/>
    <s v="KESH"/>
    <s v="A21292"/>
    <s v="Manual"/>
    <m/>
    <s v="UBP 294H"/>
    <s v="Kato Investment Ltd -Mityana"/>
    <n v="157.5"/>
    <s v="A21292"/>
    <s v="OM"/>
    <n v="690"/>
    <n v="691"/>
    <n v="1"/>
    <m/>
    <d v="2025-03-06T16:04:00"/>
    <d v="2025-03-06T15:44:00"/>
    <d v="2025-03-06T16:56:00"/>
    <n v="71.666666670838211"/>
    <n v="51.759259261113279"/>
    <s v="network failures"/>
    <d v="2025-03-10T11:06:00"/>
    <d v="2025-03-10T15:59:00"/>
    <n v="286.89583333492919"/>
    <s v="truck faulty"/>
    <d v="2025-03-08T15:41:00"/>
    <d v="2025-03-08T16:17:00"/>
    <n v="35.25000000205182"/>
    <m/>
    <n v="1.9479166666642413"/>
    <n v="3"/>
    <n v="1.0520833333357587"/>
    <n v="46.749999999941792"/>
    <n v="12"/>
    <n v="34.749999999941792"/>
    <n v="4.532374100727016"/>
    <m/>
    <m/>
    <m/>
    <m/>
    <m/>
  </r>
  <r>
    <d v="2025-03-09T00:00:00"/>
    <x v="2"/>
    <s v="KESH"/>
    <s v="Z82979"/>
    <s v="Manual"/>
    <m/>
    <s v="UBJ 423C"/>
    <s v="Kabaco U Ltd "/>
    <n v="156"/>
    <s v="Z82979"/>
    <s v="OM"/>
    <n v="320"/>
    <n v="163"/>
    <n v="-157"/>
    <m/>
    <d v="2025-03-06T10:58:00"/>
    <d v="2025-03-06T11:12:00"/>
    <d v="2025-03-06T11:24:00"/>
    <n v="11.944444441663412"/>
    <n v="25.879629630556639"/>
    <m/>
    <d v="2025-03-09T18:12:00"/>
    <d v="2025-03-09T20:15:00"/>
    <n v="120.43750000273576"/>
    <m/>
    <d v="2025-03-09T11:58:00"/>
    <d v="2025-03-09T12:54:00"/>
    <n v="54.833333337664953"/>
    <m/>
    <n v="3.023611111115315"/>
    <n v="2"/>
    <n v="-1.023611111115315"/>
    <n v="72.56666666676756"/>
    <n v="36"/>
    <n v="36.56666666676756"/>
    <n v="4.2661804922398243"/>
    <m/>
    <m/>
    <m/>
    <m/>
    <m/>
  </r>
  <r>
    <d v="2025-03-09T00:00:00"/>
    <x v="2"/>
    <s v="KESH"/>
    <s v="Z82985"/>
    <s v="Manual"/>
    <m/>
    <s v="UBR 535W"/>
    <s v="Rugoma Traders-Rukungiri"/>
    <n v="156"/>
    <s v="Z82985"/>
    <s v="OM"/>
    <n v="256"/>
    <n v="255"/>
    <n v="-1"/>
    <m/>
    <d v="2025-03-06T21:13:00"/>
    <d v="2025-03-06T21:30:00"/>
    <d v="2025-03-06T21:42:00"/>
    <n v="11.944444441663412"/>
    <n v="28.865740740972495"/>
    <m/>
    <d v="2025-03-12T09:27:00"/>
    <d v="2025-03-12T11:32:00"/>
    <n v="122.39583333219343"/>
    <m/>
    <d v="2025-03-09T10:55:00"/>
    <d v="2025-03-09T11:52:00"/>
    <n v="55.81249999726424"/>
    <m/>
    <n v="2.5506944444423425"/>
    <n v="2"/>
    <n v="-0.5506944444423425"/>
    <n v="61.21666666661622"/>
    <n v="24"/>
    <n v="37.21666666661622"/>
    <n v="4.191670398572632"/>
    <m/>
    <m/>
    <m/>
    <m/>
    <m/>
  </r>
  <r>
    <d v="2025-03-09T00:00:00"/>
    <x v="2"/>
    <s v="KESH"/>
    <s v="F16045"/>
    <s v="Manual"/>
    <m/>
    <s v="UBG 084G"/>
    <s v="KATO INVESTMENTS LIMITED-MASAK "/>
    <n v="72"/>
    <s v="F16045"/>
    <s v="OM"/>
    <n v="298"/>
    <n v="297"/>
    <n v="-1"/>
    <m/>
    <d v="2025-03-06T11:25:00"/>
    <d v="2025-03-06T11:42:00"/>
    <d v="2025-03-06T11:53:00"/>
    <n v="10.949074068048503"/>
    <n v="27.870370367357584"/>
    <m/>
    <d v="2025-03-09T12:41:00"/>
    <d v="2025-03-09T14:52:00"/>
    <n v="128.27083333082555"/>
    <m/>
    <d v="2025-03-08T18:28:00"/>
    <d v="2025-03-08T19:25:00"/>
    <n v="55.81249999726424"/>
    <m/>
    <n v="2.2743055555547471"/>
    <n v="2"/>
    <n v="-0.27430555555474712"/>
    <n v="54.583333333313931"/>
    <n v="24"/>
    <n v="30.583333333313931"/>
    <n v="2.3542234332440004"/>
    <m/>
    <m/>
    <m/>
    <m/>
    <m/>
  </r>
  <r>
    <d v="2025-03-09T00:00:00"/>
    <x v="2"/>
    <s v="KESH"/>
    <s v="F16048"/>
    <s v="Manual"/>
    <s v="Faruk Abel"/>
    <s v="UBR 539W"/>
    <s v="Boniface Harera"/>
    <n v="78"/>
    <s v="F16048"/>
    <s v="OM"/>
    <n v="448"/>
    <n v="449"/>
    <n v="1"/>
    <m/>
    <d v="2025-03-06T20:05:00"/>
    <d v="2025-03-07T04:14:00"/>
    <d v="2025-03-06T20:55:00"/>
    <n v="-436.96759258818929"/>
    <n v="49.768518513883464"/>
    <m/>
    <d v="2025-03-09T08:31:00"/>
    <d v="2025-03-10T12:05:00"/>
    <n v="1619.541666662335"/>
    <s v="Waited for empties from trade"/>
    <d v="2025-03-09T10:55:00"/>
    <d v="2025-03-09T11:31:00"/>
    <n v="35.25000000205182"/>
    <m/>
    <n v="2.5833333333284827"/>
    <n v="2"/>
    <n v="-0.58333333332848269"/>
    <n v="61.999999999883585"/>
    <n v="24"/>
    <n v="37.999999999883585"/>
    <n v="2.0526315789536569"/>
    <m/>
    <m/>
    <m/>
    <m/>
    <m/>
  </r>
  <r>
    <d v="2025-03-09T00:00:00"/>
    <x v="2"/>
    <s v="KESH"/>
    <s v="F16046"/>
    <s v="Manual"/>
    <m/>
    <s v="UBP 998T"/>
    <s v="Boniface Harera"/>
    <n v="156"/>
    <s v="F16046"/>
    <s v="OM"/>
    <n v="448"/>
    <n v="449"/>
    <n v="1"/>
    <m/>
    <d v="2025-03-06T21:44:00"/>
    <d v="2025-03-07T07:00:00"/>
    <d v="2025-03-06T22:12:00"/>
    <n v="-525.55555554790772"/>
    <n v="27.870370367357584"/>
    <m/>
    <d v="2025-03-10T12:53:00"/>
    <d v="2025-03-10T18:28:00"/>
    <n v="328.02083332535403"/>
    <s v="Waited for empties from trade"/>
    <d v="2025-03-08T15:41:00"/>
    <d v="2025-03-08T16:17:00"/>
    <n v="35.25000000205182"/>
    <m/>
    <n v="1.7284722222175333"/>
    <n v="2"/>
    <n v="0.27152777778246673"/>
    <n v="41.483333333220799"/>
    <n v="12"/>
    <n v="29.483333333220799"/>
    <n v="5.291124929358805"/>
    <m/>
    <m/>
    <m/>
    <m/>
    <m/>
  </r>
  <r>
    <d v="2025-03-09T00:00:00"/>
    <x v="2"/>
    <s v="KESH"/>
    <s v="Z82986"/>
    <s v="Manual"/>
    <s v="Eriku Alipa"/>
    <s v="UBK 858R"/>
    <s v="Kobusinge Acaali- Kyenjojo"/>
    <n v="156"/>
    <s v="Z82986"/>
    <s v="OM"/>
    <n v="580"/>
    <n v="581"/>
    <n v="1"/>
    <m/>
    <d v="2025-03-06T19:09:00"/>
    <d v="2025-03-07T07:00:00"/>
    <d v="2025-03-06T20:02:00"/>
    <n v="-654.95370370069088"/>
    <n v="52.75462963472819"/>
    <m/>
    <d v="2025-03-09T18:12:00"/>
    <d v="2025-03-09T20:15:00"/>
    <n v="120.43750000273576"/>
    <m/>
    <d v="2025-03-08T15:53:00"/>
    <d v="2025-03-08T16:50:00"/>
    <n v="55.81249999726424"/>
    <m/>
    <n v="1.8270833333372138"/>
    <n v="2"/>
    <n v="0.17291666666278616"/>
    <n v="43.850000000093132"/>
    <n v="12"/>
    <n v="31.850000000093132"/>
    <n v="4.8979591836591476"/>
    <m/>
    <m/>
    <m/>
    <m/>
    <m/>
  </r>
  <r>
    <d v="2025-03-09T00:00:00"/>
    <x v="2"/>
    <s v="KESH"/>
    <s v="Z82987"/>
    <s v="Manual"/>
    <s v="Ngobi Fred"/>
    <s v="UBK 866R"/>
    <s v="Kobusinge Steven-FPortal"/>
    <n v="156"/>
    <s v="Z82987"/>
    <s v="OM"/>
    <n v="304"/>
    <n v="303"/>
    <n v="-1"/>
    <m/>
    <d v="2025-03-06T15:18:00"/>
    <d v="2025-03-07T05:51:00"/>
    <d v="2025-03-06T16:08:00"/>
    <n v="-819.18981481527828"/>
    <n v="49.768518513883464"/>
    <m/>
    <d v="2025-03-12T09:27:00"/>
    <d v="2025-03-12T11:32:00"/>
    <n v="122.39583333219343"/>
    <m/>
    <d v="2025-03-07T15:53:00"/>
    <d v="2025-03-07T17:02:00"/>
    <n v="67.56250000478758"/>
    <s v="sorting delays"/>
    <n v="0.98958333333575865"/>
    <n v="2"/>
    <n v="1.0104166666642413"/>
    <n v="23.750000000058208"/>
    <n v="0"/>
    <n v="23.750000000058208"/>
    <n v="6.5684210526154807"/>
    <m/>
    <m/>
    <m/>
    <m/>
    <m/>
  </r>
  <r>
    <d v="2025-03-09T00:00:00"/>
    <x v="2"/>
    <s v="KESH"/>
    <s v="Z82988"/>
    <s v="Manual"/>
    <s v="Taimwa Alex"/>
    <s v="UBJ 705D"/>
    <s v="Kobusinge Steven-FPortal"/>
    <n v="156"/>
    <s v="Z82988"/>
    <s v="OM"/>
    <n v="304"/>
    <n v="302"/>
    <n v="-2"/>
    <m/>
    <d v="2025-03-06T13:43:00"/>
    <d v="2025-03-07T04:57:00"/>
    <d v="2025-03-06T14:36:00"/>
    <n v="-857.01388889792725"/>
    <n v="52.75462963472819"/>
    <m/>
    <d v="2025-03-09T12:41:00"/>
    <d v="2025-03-09T15:52:00"/>
    <n v="187.02083333766495"/>
    <s v="Waited for empties from trade"/>
    <d v="2025-03-09T12:14:00"/>
    <d v="2025-03-09T12:56:00"/>
    <n v="41.12500000068394"/>
    <m/>
    <n v="2.9013888888948713"/>
    <n v="2"/>
    <n v="-0.90138888889487134"/>
    <n v="69.633333333476912"/>
    <n v="24"/>
    <n v="45.633333333476912"/>
    <n v="3.4185536888132031"/>
    <m/>
    <m/>
    <m/>
    <m/>
    <m/>
  </r>
  <r>
    <d v="2025-03-09T00:00:00"/>
    <x v="2"/>
    <s v="KESH"/>
    <s v="A21299"/>
    <s v="Manual"/>
    <m/>
    <s v="UBR 903Y"/>
    <s v="Kato Investments Ltd- Kyegegwa"/>
    <n v="156"/>
    <s v="A21299"/>
    <s v="OM"/>
    <n v="600"/>
    <n v="596"/>
    <n v="-4"/>
    <m/>
    <d v="2025-03-06T15:15:00"/>
    <d v="2025-03-07T06:34:00"/>
    <d v="2025-03-06T15:42:00"/>
    <n v="-887.87037036527181"/>
    <n v="26.87500000417155"/>
    <m/>
    <d v="2025-03-09T08:31:00"/>
    <d v="2025-03-10T12:05:00"/>
    <n v="1619.541666662335"/>
    <s v="found another truck at RD"/>
    <d v="2025-03-09T12:14:00"/>
    <d v="2025-03-09T12:57:00"/>
    <n v="42.104166670542327"/>
    <m/>
    <n v="2.8555555555576575"/>
    <n v="2"/>
    <n v="-0.8555555555576575"/>
    <n v="68.53333333338378"/>
    <n v="24"/>
    <n v="44.53333333338378"/>
    <n v="3.5029940119720799"/>
    <m/>
    <m/>
    <m/>
    <m/>
    <m/>
  </r>
  <r>
    <d v="2025-03-09T00:00:00"/>
    <x v="2"/>
    <s v="KESH"/>
    <s v="OM3SDLVRR"/>
    <s v="DJ"/>
    <s v="SENTONG DAVID"/>
    <s v="UBP 298H"/>
    <s v="Kobusinge Steven-FPortal"/>
    <n v="153.6"/>
    <s v="OMLTVKTRR"/>
    <s v="OM"/>
    <n v="304"/>
    <n v="303"/>
    <n v="-1"/>
    <m/>
    <d v="2025-03-11T09:53:00"/>
    <d v="2025-03-09T20:25:00"/>
    <d v="2025-03-11T10:46:00"/>
    <n v="2290.3472222208316"/>
    <n v="52.75462963472819"/>
    <m/>
    <d v="2025-03-11T10:50:00"/>
    <d v="2025-03-11T13:52:00"/>
    <n v="178.20833332945767"/>
    <m/>
    <d v="2025-03-12T10:55:00"/>
    <d v="2025-03-12T11:52:00"/>
    <n v="55.81249999726424"/>
    <m/>
    <n v="1.0062499999985448"/>
    <n v="2"/>
    <n v="0.99375000000145519"/>
    <n v="24.149999999965075"/>
    <n v="12"/>
    <n v="12.149999999965075"/>
    <n v="12.641975308678314"/>
    <m/>
    <m/>
    <m/>
    <m/>
    <m/>
  </r>
  <r>
    <d v="2025-03-10T00:00:00"/>
    <x v="2"/>
    <s v="KESH"/>
    <s v="Z82998"/>
    <s v="Manual"/>
    <s v="Byanshala Stoney"/>
    <s v="UBP 312H"/>
    <s v="Kabaco U Ltd "/>
    <n v="70.8"/>
    <s v="Z82998"/>
    <s v="OM"/>
    <n v="320"/>
    <n v="324"/>
    <n v="4"/>
    <m/>
    <d v="2025-03-06T19:35:00"/>
    <d v="2025-03-07T19:03:00"/>
    <d v="2025-03-06T20:25:00"/>
    <n v="-1351.7129629576327"/>
    <n v="49.768518513883464"/>
    <m/>
    <d v="2025-03-11T17:08:00"/>
    <d v="2025-03-11T19:18:00"/>
    <n v="127.29166667122627"/>
    <m/>
    <d v="2025-03-09T11:58:00"/>
    <d v="2025-03-09T12:55:00"/>
    <n v="55.81249999726424"/>
    <m/>
    <n v="2.6479166666686069"/>
    <n v="2"/>
    <n v="-0.64791666666860692"/>
    <n v="63.550000000046566"/>
    <n v="24"/>
    <n v="39.550000000046566"/>
    <n v="1.7901390644732398"/>
    <m/>
    <m/>
    <m/>
    <m/>
    <m/>
  </r>
  <r>
    <d v="2025-03-10T00:00:00"/>
    <x v="2"/>
    <s v="KESH"/>
    <s v="A21321"/>
    <s v="Manual"/>
    <s v="Lule Fred"/>
    <s v="UBP 310H"/>
    <s v="KATO INVESTMENTS LTD-KATIKARA"/>
    <n v="147.6"/>
    <s v="A21321"/>
    <s v="OM"/>
    <n v="790"/>
    <n v="788"/>
    <n v="-2"/>
    <m/>
    <d v="2025-03-08T16:54:00"/>
    <d v="2025-03-08T04:14:00"/>
    <d v="2025-03-08T17:20:00"/>
    <n v="782.36111110624427"/>
    <n v="25.879629630556639"/>
    <m/>
    <d v="2025-03-10T09:44:00"/>
    <d v="2025-03-10T14:11:00"/>
    <n v="261.43750000068394"/>
    <s v="First offloaded their route sale trucks"/>
    <d v="2025-03-10T16:12:00"/>
    <d v="2025-03-10T16:55:00"/>
    <n v="42.104166670542327"/>
    <m/>
    <n v="1.9527777777839219"/>
    <n v="3"/>
    <n v="1.0472222222160781"/>
    <n v="46.866666666814126"/>
    <n v="12"/>
    <n v="34.866666666814126"/>
    <n v="4.23326959845246"/>
    <m/>
    <m/>
    <m/>
    <m/>
    <m/>
  </r>
  <r>
    <d v="2025-03-10T00:00:00"/>
    <x v="2"/>
    <s v="KESH"/>
    <s v="A21322"/>
    <s v="Manual"/>
    <s v="Kyakulaga James"/>
    <s v="UBJ 419C"/>
    <s v="Kato Investment Ltd -Mityana"/>
    <n v="134.4"/>
    <s v="A21322"/>
    <s v="OM"/>
    <n v="690"/>
    <n v="686"/>
    <n v="-4"/>
    <m/>
    <d v="2025-03-08T09:11:00"/>
    <d v="2025-03-08T03:43:00"/>
    <d v="2025-03-08T10:01:00"/>
    <n v="376.24999999582843"/>
    <n v="49.768518513883464"/>
    <m/>
    <d v="2025-03-10T11:13:00"/>
    <d v="2025-03-10T13:08:00"/>
    <n v="112.60416666438687"/>
    <m/>
    <d v="2025-03-10T13:39:00"/>
    <d v="2025-03-10T14:36:00"/>
    <n v="55.81249999726424"/>
    <m/>
    <n v="2.1513888888875954"/>
    <n v="3"/>
    <n v="0.84861111111240461"/>
    <n v="51.633333333302289"/>
    <n v="24"/>
    <n v="27.633333333302289"/>
    <n v="4.863691194215356"/>
    <m/>
    <m/>
    <m/>
    <m/>
    <m/>
  </r>
  <r>
    <d v="2025-03-10T00:00:00"/>
    <x v="2"/>
    <s v="KESH"/>
    <s v="A21314"/>
    <s v="Manual"/>
    <s v="Mulumba Kasim"/>
    <s v="UBE 680K"/>
    <s v="Sawan Distributors Ltd-Nabingo"/>
    <n v="156"/>
    <s v="A21314"/>
    <s v="OM"/>
    <n v="560"/>
    <n v="559"/>
    <n v="-1"/>
    <m/>
    <d v="2025-03-08T07:19:00"/>
    <d v="2025-03-08T01:59:00"/>
    <d v="2025-03-08T07:46:00"/>
    <n v="345.39351851805503"/>
    <n v="26.87500000417155"/>
    <m/>
    <d v="2025-03-10T09:21:00"/>
    <d v="2025-03-10T16:22:00"/>
    <n v="412.22916666643869"/>
    <s v="Waited for empties from trade"/>
    <d v="2025-03-11T13:37:00"/>
    <d v="2025-03-11T14:19:00"/>
    <n v="41.12500000068394"/>
    <m/>
    <n v="3.2437500000014552"/>
    <n v="2"/>
    <n v="-1.2437500000014552"/>
    <n v="77.850000000034925"/>
    <n v="36"/>
    <n v="41.850000000034925"/>
    <n v="3.727598566305133"/>
    <m/>
    <m/>
    <m/>
    <m/>
    <m/>
  </r>
  <r>
    <d v="2025-03-10T00:00:00"/>
    <x v="2"/>
    <s v="KESH"/>
    <s v="A21318"/>
    <s v="Manual"/>
    <m/>
    <s v="UBR 900Y"/>
    <s v="Ntale and Sons Ltd-Kakiri"/>
    <n v="148.80000000000001"/>
    <s v="A21318"/>
    <s v="OM"/>
    <n v="620"/>
    <n v="617"/>
    <n v="-3"/>
    <m/>
    <d v="2025-03-07T13:18:00"/>
    <d v="2025-03-07T12:30:00"/>
    <d v="2025-03-07T13:48:00"/>
    <n v="77.638888881241044"/>
    <n v="29.861111114587402"/>
    <m/>
    <d v="2025-03-10T09:44:00"/>
    <d v="2025-03-10T14:11:00"/>
    <n v="261.43750000068394"/>
    <s v="slept at the RD and offloaded the next day"/>
    <d v="2025-03-08T19:47:00"/>
    <d v="2025-03-08T20:44:00"/>
    <n v="55.81249999726424"/>
    <m/>
    <n v="1.2493055555605679"/>
    <n v="3"/>
    <n v="1.7506944444394321"/>
    <n v="29.983333333453629"/>
    <n v="12"/>
    <n v="17.983333333453629"/>
    <n v="8.2743280815016487"/>
    <m/>
    <m/>
    <m/>
    <m/>
    <m/>
  </r>
  <r>
    <d v="2025-03-10T00:00:00"/>
    <x v="2"/>
    <s v="KESH"/>
    <s v="F16052"/>
    <s v="Manual"/>
    <s v="Matovu Musa"/>
    <s v="UBR 538W"/>
    <s v="Boniface Harera"/>
    <n v="44.4"/>
    <s v="F16052"/>
    <s v="OM"/>
    <n v="448"/>
    <n v="444"/>
    <n v="-4"/>
    <m/>
    <d v="2025-03-07T13:17:00"/>
    <d v="2025-03-07T13:00:00"/>
    <d v="2025-03-07T13:45:00"/>
    <n v="44.791666666666664"/>
    <n v="27.870370367357584"/>
    <m/>
    <d v="2025-03-12T09:55:00"/>
    <d v="2025-03-12T12:25:00"/>
    <n v="146.8749999965803"/>
    <m/>
    <d v="2025-03-09T11:58:00"/>
    <d v="2025-03-09T12:41:00"/>
    <n v="42.104166670542327"/>
    <m/>
    <n v="1.9256944444496185"/>
    <n v="2"/>
    <n v="7.4305555550381541E-2"/>
    <n v="46.216666666790843"/>
    <n v="12"/>
    <n v="34.216666666790843"/>
    <n v="1.2976132488993337"/>
    <m/>
    <m/>
    <m/>
    <m/>
    <m/>
  </r>
  <r>
    <d v="2025-03-10T00:00:00"/>
    <x v="2"/>
    <s v="KESH"/>
    <s v="A21315"/>
    <s v="Manual"/>
    <s v="Tsaale Hassan"/>
    <s v="UBJ 703D"/>
    <s v="Sawan Distributors Ltd-Nabingo"/>
    <n v="156"/>
    <s v="A21315"/>
    <s v="OM"/>
    <n v="560"/>
    <n v="556"/>
    <n v="-4"/>
    <m/>
    <d v="2025-03-10T20:02:00"/>
    <d v="2025-03-10T09:16:00"/>
    <d v="2025-03-10T20:55:00"/>
    <n v="695.76388889375573"/>
    <n v="52.75462963472819"/>
    <s v="DJ failures "/>
    <d v="2025-03-11T09:24:00"/>
    <d v="2025-03-11T12:40:00"/>
    <n v="191.91666666643869"/>
    <s v="Waited for empties from trade"/>
    <d v="2025-03-11T17:05:00"/>
    <d v="2025-03-11T18:03:00"/>
    <n v="56.791666667122627"/>
    <m/>
    <n v="0.84027777777373558"/>
    <n v="2"/>
    <n v="1.1597222222262644"/>
    <n v="20.166666666569654"/>
    <n v="0"/>
    <n v="20.166666666569654"/>
    <n v="7.7355371901198566"/>
    <m/>
    <m/>
    <m/>
    <m/>
    <m/>
  </r>
  <r>
    <d v="2025-03-10T00:00:00"/>
    <x v="2"/>
    <s v="KESH"/>
    <s v="A21316"/>
    <s v="Manual"/>
    <s v="Ikwalikwa Yusuf"/>
    <s v="UBP 311H"/>
    <s v="Sawan Distributors Ltd-Kayabwe"/>
    <n v="156"/>
    <s v="A21316"/>
    <s v="OM"/>
    <n v="382"/>
    <n v="379"/>
    <n v="-3"/>
    <m/>
    <d v="2025-03-11T08:44:00"/>
    <d v="2025-03-09T11:00:00"/>
    <d v="2025-03-11T09:08:00"/>
    <n v="2755.1851851868073"/>
    <n v="23.888888893755695"/>
    <m/>
    <d v="2025-03-11T09:24:00"/>
    <d v="2025-03-11T12:40:00"/>
    <n v="191.91666666643869"/>
    <s v="Reached late and offloaded the next day"/>
    <d v="2025-03-11T14:22:00"/>
    <d v="2025-03-11T15:09:00"/>
    <n v="46.020833329457673"/>
    <m/>
    <n v="0.21805555555329192"/>
    <n v="2"/>
    <n v="1.7819444444467081"/>
    <n v="5.2333333332790062"/>
    <n v="0"/>
    <n v="5.2333333332790062"/>
    <n v="29.808917197761676"/>
    <m/>
    <m/>
    <m/>
    <m/>
    <m/>
  </r>
  <r>
    <d v="2025-03-10T00:00:00"/>
    <x v="2"/>
    <s v="NBL"/>
    <s v="OM8QNZMRR"/>
    <s v="DJ"/>
    <s v="Kabene John"/>
    <s v="UBA 523T"/>
    <s v="Ntale and Sons"/>
    <n v="153.6"/>
    <s v="OMQOK5MRR"/>
    <s v="OM"/>
    <n v="810"/>
    <n v="809"/>
    <n v="-1"/>
    <s v="Deviated due to road mantanance"/>
    <d v="2025-03-10T08:26:00"/>
    <d v="2025-03-09T17:00:00"/>
    <d v="2025-03-10T09:19:00"/>
    <n v="974.46759258818929"/>
    <n v="52.75462963472819"/>
    <s v="Pre-Trip inspection defect closure"/>
    <d v="2025-03-11T09:24:00"/>
    <d v="2025-03-11T12:40:00"/>
    <n v="191.91666666643869"/>
    <s v="Waited for empties from trade"/>
    <d v="2025-03-12T13:37:00"/>
    <d v="2025-03-12T14:13:00"/>
    <n v="35.25000000205182"/>
    <m/>
    <n v="2.1791666666686069"/>
    <n v="3"/>
    <n v="0.82083333333139308"/>
    <n v="52.300000000046566"/>
    <n v="24"/>
    <n v="28.300000000046566"/>
    <n v="5.4275618374468992"/>
    <m/>
    <m/>
    <m/>
    <m/>
    <m/>
  </r>
  <r>
    <d v="2025-03-10T00:00:00"/>
    <x v="2"/>
    <s v="NBL"/>
    <s v="OM2IOKSRR"/>
    <s v="DJ"/>
    <s v="Mugisha  George"/>
    <s v="UAV 203T"/>
    <s v="Kabaco U Ltd-Mbarara "/>
    <n v="153.6"/>
    <s v="OMMB4GSRR"/>
    <s v="OM"/>
    <n v="20"/>
    <n v="17"/>
    <n v="-3"/>
    <m/>
    <d v="2025-03-10T08:08:00"/>
    <d v="2025-03-10T07:42:00"/>
    <d v="2025-03-10T08:35:00"/>
    <n v="52.75462963472819"/>
    <n v="26.87500000417155"/>
    <m/>
    <d v="2025-03-10T09:21:00"/>
    <d v="2025-03-10T16:22:00"/>
    <n v="412.22916666643869"/>
    <s v="space consquents"/>
    <d v="2025-03-10T17:05:00"/>
    <d v="2025-03-10T17:53:00"/>
    <n v="46.99999999931606"/>
    <m/>
    <n v="0.35416666666424135"/>
    <n v="3"/>
    <n v="2.6458333333357587"/>
    <n v="8.4999999999417923"/>
    <n v="0"/>
    <n v="8.4999999999417923"/>
    <n v="18.070588235417862"/>
    <m/>
    <m/>
    <m/>
    <m/>
    <m/>
  </r>
  <r>
    <d v="2025-03-10T00:00:00"/>
    <x v="2"/>
    <s v="NBL"/>
    <s v="OMSMRMKRR"/>
    <s v="DJ"/>
    <s v="Isaac Tumuhimbise"/>
    <s v="UBE 287X"/>
    <s v="KATO INVESTMENTS LTD- KALISIZO"/>
    <n v="153.6"/>
    <m/>
    <s v="OM"/>
    <n v="350"/>
    <n v="348"/>
    <n v="-2"/>
    <m/>
    <d v="2025-03-09T16:32:00"/>
    <d v="2025-03-10T03:43:00"/>
    <d v="2025-03-09T17:22:00"/>
    <n v="-618.12500000208581"/>
    <n v="49.768518513883464"/>
    <s v="stock recon delays"/>
    <d v="2025-03-10T14:49:00"/>
    <d v="2025-03-10T16:46:00"/>
    <n v="114.56250000410364"/>
    <m/>
    <d v="2025-03-11T14:22:00"/>
    <d v="2025-03-11T15:05:00"/>
    <n v="42.104166670542327"/>
    <m/>
    <n v="1.875"/>
    <n v="2"/>
    <n v="0.125"/>
    <n v="45"/>
    <n v="12"/>
    <n v="33"/>
    <n v="4.6545454545454543"/>
    <m/>
    <m/>
    <m/>
    <m/>
    <m/>
  </r>
  <r>
    <d v="2025-03-11T00:00:00"/>
    <x v="2"/>
    <s v="KESH"/>
    <s v="A21340"/>
    <s v="Manual"/>
    <s v="Ntumwa Solomon"/>
    <s v="UBR 540W"/>
    <s v="Kato Investment Ltd -Mityana"/>
    <n v="148.80000000000001"/>
    <s v="A21340"/>
    <s v="OM"/>
    <n v="690"/>
    <n v="693"/>
    <n v="3"/>
    <m/>
    <d v="2025-03-11T10:24:00"/>
    <d v="2025-03-09T20:25:00"/>
    <d v="2025-03-11T10:46:00"/>
    <n v="2290.3472222208316"/>
    <n v="21.89814814652588"/>
    <m/>
    <d v="2025-03-11T10:04:00"/>
    <d v="2025-03-11T13:41:00"/>
    <n v="212.47916667191021"/>
    <s v="truck faulty"/>
    <d v="2025-03-11T20:05:00"/>
    <d v="2025-03-11T20:58:00"/>
    <n v="51.895833338348893"/>
    <m/>
    <n v="0.38819444444379769"/>
    <n v="3"/>
    <n v="2.6118055555562023"/>
    <n v="9.3166666666511446"/>
    <n v="0"/>
    <n v="9.3166666666511446"/>
    <n v="15.971377459776162"/>
    <m/>
    <m/>
    <m/>
    <m/>
    <m/>
  </r>
  <r>
    <d v="2025-03-11T00:00:00"/>
    <x v="2"/>
    <s v="KESH"/>
    <s v="A21339"/>
    <s v="Manual"/>
    <s v="Kabanda Ronald"/>
    <s v="UBE 684K"/>
    <s v="Kato Investments Ltd- Kakumiro"/>
    <n v="54.6"/>
    <s v="A21339"/>
    <s v="OM"/>
    <n v="790"/>
    <n v="793"/>
    <n v="3"/>
    <m/>
    <d v="2025-03-10T07:20:00"/>
    <d v="2025-03-08T20:05:00"/>
    <d v="2025-03-10T07:49:00"/>
    <n v="2134.0740740743058"/>
    <n v="28.865740740972495"/>
    <m/>
    <d v="2025-03-12T16:02:00"/>
    <d v="2025-03-12T18:07:00"/>
    <n v="122.39583333219343"/>
    <m/>
    <d v="2025-03-11T20:40:00"/>
    <d v="2025-03-11T21:22:00"/>
    <n v="41.12500000068394"/>
    <m/>
    <n v="1.5354166666656965"/>
    <n v="3"/>
    <n v="1.4645833333343035"/>
    <n v="36.849999999976717"/>
    <n v="12"/>
    <n v="24.849999999976717"/>
    <n v="2.1971830985936078"/>
    <m/>
    <m/>
    <m/>
    <m/>
    <m/>
  </r>
  <r>
    <d v="2025-03-11T00:00:00"/>
    <x v="2"/>
    <s v="KESH"/>
    <s v="Z83017"/>
    <s v="Manual"/>
    <s v="kayanja Sam"/>
    <s v="UBF 379L"/>
    <s v="Kabaco U Ltd "/>
    <n v="6.3"/>
    <s v="Z83017"/>
    <s v="OM"/>
    <n v="320"/>
    <n v="323"/>
    <n v="3"/>
    <m/>
    <d v="2025-03-09T10:54:00"/>
    <d v="2025-03-09T02:46:00"/>
    <d v="2025-03-09T11:21:00"/>
    <n v="512.61574074305827"/>
    <n v="26.87500000417155"/>
    <m/>
    <d v="2025-03-11T12:33:00"/>
    <d v="2025-03-11T14:19:00"/>
    <n v="103.79166666643869"/>
    <m/>
    <d v="2025-03-11T20:05:00"/>
    <d v="2025-03-11T21:03:00"/>
    <n v="56.791666667122627"/>
    <m/>
    <n v="2.3638888888890506"/>
    <n v="2"/>
    <n v="-0.36388888888905058"/>
    <n v="56.733333333337214"/>
    <n v="24"/>
    <n v="32.733333333337214"/>
    <n v="0.19246435845211568"/>
    <m/>
    <m/>
    <m/>
    <m/>
    <m/>
  </r>
  <r>
    <d v="2025-03-11T00:00:00"/>
    <x v="2"/>
    <s v="KESH"/>
    <s v="Z83016"/>
    <s v="Manual"/>
    <s v="Mudunga Musa"/>
    <s v="UBE 678K"/>
    <s v="Kabaco U Ltd "/>
    <n v="156"/>
    <s v="Z83016"/>
    <s v="OM"/>
    <n v="320"/>
    <n v="162"/>
    <n v="-158"/>
    <m/>
    <d v="2025-03-08T14:33:00"/>
    <d v="2025-03-08T14:00:00"/>
    <d v="2025-03-08T15:02:00"/>
    <n v="61.712962955546878"/>
    <n v="28.865740740972495"/>
    <m/>
    <d v="2025-03-11T06:55:00"/>
    <d v="2025-03-11T10:30:00"/>
    <n v="210.52083333219343"/>
    <s v="Waited for empties from trade"/>
    <d v="2025-03-11T20:05:00"/>
    <d v="2025-03-11T21:01:00"/>
    <n v="54.833333337664953"/>
    <m/>
    <n v="3.2104166666686069"/>
    <n v="2"/>
    <n v="-1.2104166666686069"/>
    <n v="77.050000000046566"/>
    <n v="36"/>
    <n v="41.050000000046566"/>
    <n v="3.800243605355007"/>
    <m/>
    <m/>
    <m/>
    <m/>
    <m/>
  </r>
  <r>
    <d v="2025-03-11T00:00:00"/>
    <x v="2"/>
    <s v="KESH"/>
    <s v="Z83018"/>
    <s v="Manual"/>
    <s v="ZIWA ABASI"/>
    <s v="UBJ 420C"/>
    <s v="Kabaco U Ltd "/>
    <n v="156"/>
    <s v="Z83018"/>
    <s v="OM"/>
    <n v="320"/>
    <n v="317"/>
    <n v="-3"/>
    <m/>
    <d v="2025-03-08T11:06:00"/>
    <d v="2025-03-08T14:52:00"/>
    <d v="2025-03-08T11:59:00"/>
    <n v="-172.19907407222004"/>
    <n v="52.75462963472819"/>
    <m/>
    <d v="2025-03-11T08:35:00"/>
    <d v="2025-03-11T11:01:00"/>
    <n v="142.95833332740585"/>
    <m/>
    <d v="2025-03-10T20:40:00"/>
    <d v="2025-03-10T21:55:00"/>
    <n v="73.4375000034197"/>
    <s v="dj failures at the gate"/>
    <n v="2.3618055555562023"/>
    <n v="2"/>
    <n v="-0.36180555555620231"/>
    <n v="56.683333333348855"/>
    <n v="24"/>
    <n v="32.683333333348855"/>
    <n v="4.7730749617519406"/>
    <m/>
    <m/>
    <m/>
    <m/>
    <m/>
  </r>
  <r>
    <d v="2025-03-11T00:00:00"/>
    <x v="2"/>
    <s v="KESH"/>
    <s v="F16055"/>
    <s v="Manual"/>
    <m/>
    <s v="UBP 998T"/>
    <s v="Boniface Harera"/>
    <n v="156"/>
    <s v="F16055"/>
    <s v="OM"/>
    <n v="448"/>
    <n v="444"/>
    <n v="-4"/>
    <m/>
    <d v="2025-03-08T11:48:00"/>
    <d v="2025-03-08T19:03:00"/>
    <d v="2025-03-08T12:16:00"/>
    <n v="-405.11574073680094"/>
    <n v="27.870370367357584"/>
    <m/>
    <d v="2025-03-11T16:46:00"/>
    <d v="2025-03-11T19:04:00"/>
    <n v="135.12499999931606"/>
    <m/>
    <d v="2025-03-10T19:27:00"/>
    <d v="2025-03-10T20:10:00"/>
    <n v="42.104166670542327"/>
    <m/>
    <n v="2.2993055555562023"/>
    <n v="2"/>
    <n v="-0.29930555555620231"/>
    <n v="55.183333333348855"/>
    <n v="24"/>
    <n v="31.183333333348855"/>
    <n v="5.0026723677153075"/>
    <m/>
    <m/>
    <m/>
    <m/>
    <m/>
  </r>
  <r>
    <d v="2025-03-11T00:00:00"/>
    <x v="2"/>
    <s v="KESH"/>
    <s v="Z83013"/>
    <s v="Manual"/>
    <s v="Nminya Siraje"/>
    <s v="UBP 301H"/>
    <s v="Kobusinge Acaali- Kyenjojo"/>
    <n v="156"/>
    <s v="Z83013"/>
    <s v="OM"/>
    <n v="580"/>
    <n v="578"/>
    <n v="-2"/>
    <m/>
    <d v="2025-03-08T19:28:00"/>
    <d v="2025-03-09T05:52:00"/>
    <d v="2025-03-08T20:21:00"/>
    <n v="-568.3564814777734"/>
    <n v="52.75462963472819"/>
    <m/>
    <d v="2025-03-11T10:37:00"/>
    <d v="2025-03-11T12:42:00"/>
    <n v="122.39583333219343"/>
    <m/>
    <d v="2025-03-10T19:27:00"/>
    <d v="2025-03-10T20:18:00"/>
    <n v="49.93749999863212"/>
    <m/>
    <n v="1.9625000000014552"/>
    <n v="2"/>
    <n v="3.7499999998544808E-2"/>
    <n v="47.100000000034925"/>
    <n v="12"/>
    <n v="35.100000000034925"/>
    <n v="4.4444444444400224"/>
    <m/>
    <m/>
    <m/>
    <m/>
    <m/>
  </r>
  <r>
    <d v="2025-03-11T00:00:00"/>
    <x v="2"/>
    <s v="KESH"/>
    <s v="A21338"/>
    <s v="Manual"/>
    <s v="Faruk Abel"/>
    <s v="UBR 539W"/>
    <s v="Kato Investment Ltd -Kagadi"/>
    <n v="39"/>
    <s v="A21338"/>
    <s v="OM"/>
    <n v="670"/>
    <n v="674"/>
    <n v="4"/>
    <m/>
    <d v="2025-03-11T08:42:00"/>
    <d v="2025-03-09T11:00:00"/>
    <d v="2025-03-11T09:08:00"/>
    <n v="2755.1851851868073"/>
    <n v="25.879629630556639"/>
    <m/>
    <d v="2025-03-12T13:06:00"/>
    <d v="2025-03-12T19:58:00"/>
    <n v="403.41666666849051"/>
    <s v="Reached late and offloaded the next day"/>
    <d v="2025-03-11T11:32:00"/>
    <d v="2025-03-11T12:28:00"/>
    <n v="54.833333337664953"/>
    <m/>
    <n v="9.9999999998544808E-2"/>
    <n v="2"/>
    <n v="1.9000000000014552"/>
    <n v="2.3999999999650754"/>
    <n v="0"/>
    <n v="2.3999999999650754"/>
    <n v="16.250000000236469"/>
    <m/>
    <m/>
    <m/>
    <m/>
    <m/>
  </r>
  <r>
    <d v="2025-03-11T00:00:00"/>
    <x v="2"/>
    <s v="KESH"/>
    <s v="A21353"/>
    <s v="Manual"/>
    <s v="Nakalya John"/>
    <s v="UBM 648D"/>
    <s v="Sawan Distributors Ltd-Nabingo"/>
    <n v="156"/>
    <s v="A21353"/>
    <s v="OM"/>
    <n v="560"/>
    <n v="557"/>
    <n v="-3"/>
    <m/>
    <d v="2025-03-10T09:31:00"/>
    <d v="2025-03-09T13:00:00"/>
    <d v="2025-03-10T10:23:00"/>
    <n v="1277.0601851868075"/>
    <n v="51.759259261113279"/>
    <m/>
    <d v="2025-03-12T10:22:00"/>
    <d v="2025-03-12T13:24:00"/>
    <n v="178.20833333971677"/>
    <m/>
    <d v="2025-03-12T08:25:00"/>
    <d v="2025-03-12T09:21:00"/>
    <n v="54.833333337664953"/>
    <m/>
    <n v="1.9180555555576575"/>
    <n v="2"/>
    <n v="8.1944444442342501E-2"/>
    <n v="46.03333333338378"/>
    <n v="12"/>
    <n v="34.03333333338378"/>
    <n v="4.5837414299638226"/>
    <m/>
    <m/>
    <m/>
    <m/>
    <m/>
  </r>
  <r>
    <d v="2025-03-11T00:00:00"/>
    <x v="2"/>
    <s v="NBL"/>
    <s v="OMAIF00RR"/>
    <s v="DJ"/>
    <s v="Stephen Musoke "/>
    <s v="UBJ 375N"/>
    <s v="KATO INVESTMENTS LIMITED-MASAK "/>
    <n v="153.6"/>
    <m/>
    <s v="OM"/>
    <n v="298"/>
    <n v="295"/>
    <n v="-3"/>
    <m/>
    <d v="2025-03-11T18:05:00"/>
    <d v="2025-03-11T04:14:00"/>
    <d v="2025-03-11T18:26:00"/>
    <n v="848.05555555625085"/>
    <n v="20.902777772910969"/>
    <m/>
    <d v="2025-03-12T10:22:00"/>
    <d v="2025-03-12T13:24:00"/>
    <n v="178.20833333971677"/>
    <m/>
    <d v="2025-03-13T17:41:00"/>
    <d v="2025-03-13T18:22:00"/>
    <n v="40.145833330825553"/>
    <m/>
    <n v="1.96875"/>
    <n v="2"/>
    <n v="3.125E-2"/>
    <n v="47.25"/>
    <n v="12"/>
    <n v="35.25"/>
    <n v="4.3574468085106384"/>
    <m/>
    <m/>
    <m/>
    <m/>
    <m/>
  </r>
  <r>
    <d v="2025-03-11T00:00:00"/>
    <x v="2"/>
    <s v="NBL"/>
    <s v="OMB59V1RR"/>
    <s v="DJ"/>
    <s v="Mugisha  George"/>
    <s v="UAV 203T"/>
    <s v="Ntale and Sons"/>
    <n v="153.6"/>
    <m/>
    <s v="OM"/>
    <n v="810"/>
    <n v="809"/>
    <n v="-1"/>
    <m/>
    <d v="2025-03-11T06:16:00"/>
    <d v="2025-03-10T21:00:00"/>
    <d v="2025-03-11T06:43:00"/>
    <n v="580.30092592986568"/>
    <n v="26.87500000417155"/>
    <m/>
    <d v="2025-03-11T18:19:00"/>
    <d v="2025-03-12T13:34:00"/>
    <n v="1130.9375000034197"/>
    <s v="Waited for empties from trade"/>
    <d v="2025-03-12T17:41:00"/>
    <d v="2025-03-12T18:37:00"/>
    <n v="54.833333337664953"/>
    <m/>
    <n v="1.4569444444423425"/>
    <n v="3"/>
    <n v="1.5430555555576575"/>
    <n v="34.96666666661622"/>
    <n v="12"/>
    <n v="22.96666666661622"/>
    <n v="6.6879535558927738"/>
    <m/>
    <m/>
    <m/>
    <m/>
    <m/>
  </r>
  <r>
    <d v="2025-03-12T00:00:00"/>
    <x v="2"/>
    <s v="KESH"/>
    <s v="Z83021"/>
    <s v="Manual"/>
    <s v="kakembo Masudi"/>
    <s v="UBM 644D"/>
    <s v="Kobusinge Steven-Kamwenge"/>
    <n v="156"/>
    <s v="Z83021"/>
    <s v="OM"/>
    <n v="288"/>
    <n v="287"/>
    <n v="-1"/>
    <m/>
    <d v="2025-03-10T08:57:00"/>
    <d v="2025-03-09T17:00:00"/>
    <d v="2025-03-10T09:19:00"/>
    <n v="974.46759258818929"/>
    <n v="21.89814814652588"/>
    <m/>
    <d v="2025-03-12T20:13:00"/>
    <d v="2025-03-13T13:22:00"/>
    <n v="1007.5624999911088"/>
    <s v="Dj failure at customer"/>
    <d v="2025-03-12T17:41:00"/>
    <d v="2025-03-12T18:22:00"/>
    <n v="40.145833330825553"/>
    <m/>
    <n v="2.3486111111124046"/>
    <n v="2"/>
    <n v="-0.34861111111240461"/>
    <n v="56.366666666697711"/>
    <n v="24"/>
    <n v="32.366666666697711"/>
    <n v="4.8197734294495485"/>
    <m/>
    <m/>
    <m/>
    <m/>
    <m/>
  </r>
  <r>
    <d v="2025-03-12T00:00:00"/>
    <x v="2"/>
    <s v="KESH"/>
    <s v="Z83022"/>
    <s v="Manual"/>
    <m/>
    <s v="UBJ 421C"/>
    <s v="Kobusinge Steven-Kamwenge"/>
    <n v="156"/>
    <s v="Z83022"/>
    <s v="OM"/>
    <n v="288"/>
    <n v="292"/>
    <n v="4"/>
    <m/>
    <d v="2025-03-10T08:09:00"/>
    <d v="2025-03-10T07:42:00"/>
    <d v="2025-03-10T08:35:00"/>
    <n v="52.75462963472819"/>
    <n v="25.879629630556639"/>
    <m/>
    <d v="2025-03-12T12:03:00"/>
    <d v="2025-03-12T14:31:00"/>
    <n v="144.91666666712263"/>
    <m/>
    <d v="2025-03-12T18:43:00"/>
    <d v="2025-03-12T19:41:00"/>
    <n v="56.791666667122627"/>
    <m/>
    <n v="2.422222222223354"/>
    <n v="2"/>
    <n v="-0.42222222222335404"/>
    <n v="58.133333333360497"/>
    <n v="24"/>
    <n v="34.133333333360497"/>
    <n v="4.5703124999963629"/>
    <m/>
    <m/>
    <m/>
    <m/>
    <m/>
  </r>
  <r>
    <d v="2025-03-12T00:00:00"/>
    <x v="2"/>
    <s v="KESH"/>
    <s v="A21362"/>
    <s v="Manual"/>
    <m/>
    <s v="UBE 692K"/>
    <s v="Kato Investments Ltd- Kyegegwa"/>
    <n v="21.6"/>
    <s v="A21362"/>
    <s v="OM"/>
    <n v="600"/>
    <n v="597"/>
    <n v="-3"/>
    <m/>
    <d v="2025-03-09T16:53:00"/>
    <d v="2025-03-10T03:43:00"/>
    <d v="2025-03-09T17:22:00"/>
    <n v="-618.12500000208581"/>
    <n v="28.865740740972495"/>
    <m/>
    <d v="2025-03-13T12:17:00"/>
    <d v="2025-03-13T15:04:00"/>
    <n v="163.52083333287737"/>
    <m/>
    <d v="2025-03-12T18:43:00"/>
    <d v="2025-03-12T19:40:00"/>
    <n v="55.81249999726424"/>
    <m/>
    <n v="3.0562500000014552"/>
    <n v="2"/>
    <n v="-1.0562500000014552"/>
    <n v="73.350000000034925"/>
    <n v="36"/>
    <n v="37.350000000034925"/>
    <n v="0.57831325301150749"/>
    <m/>
    <m/>
    <m/>
    <m/>
    <m/>
  </r>
  <r>
    <d v="2025-03-12T00:00:00"/>
    <x v="2"/>
    <s v="KESH"/>
    <s v="Z83023"/>
    <s v="Manual"/>
    <m/>
    <s v="UBR 864Y"/>
    <s v="Kobusinge Steven-FPortal"/>
    <n v="156"/>
    <s v="Z83023"/>
    <s v="OM"/>
    <n v="304"/>
    <n v="307"/>
    <n v="3"/>
    <m/>
    <d v="2025-03-11T18:09:00"/>
    <d v="2025-03-10T22:25:00"/>
    <d v="2025-03-11T18:37:00"/>
    <n v="1206.3888888791553"/>
    <n v="27.870370367357584"/>
    <m/>
    <d v="2025-03-12T17:38:00"/>
    <d v="2025-03-12T20:23:00"/>
    <n v="161.5625000034197"/>
    <m/>
    <d v="2025-03-12T18:43:00"/>
    <d v="2025-03-12T19:39:00"/>
    <n v="54.833333337664953"/>
    <m/>
    <n v="1.0041666666729725"/>
    <n v="2"/>
    <n v="0.9958333333270275"/>
    <n v="24.10000000015134"/>
    <n v="12"/>
    <n v="12.10000000015134"/>
    <n v="12.892561983309822"/>
    <m/>
    <m/>
    <m/>
    <m/>
    <m/>
  </r>
  <r>
    <d v="2025-03-12T00:00:00"/>
    <x v="2"/>
    <s v="KESH"/>
    <s v="Z83025"/>
    <s v="Manual"/>
    <s v="SENTONG DAVID"/>
    <s v="UBP 298H"/>
    <s v="Kobusinge Steven-FPortal"/>
    <n v="156"/>
    <s v="Z83025"/>
    <s v="OM"/>
    <n v="304"/>
    <n v="301"/>
    <n v="-3"/>
    <m/>
    <d v="2025-03-11T05:50:00"/>
    <d v="2025-03-10T21:00:00"/>
    <d v="2025-03-11T06:43:00"/>
    <n v="580.30092592986568"/>
    <n v="52.75462963472819"/>
    <s v="pressure balancing"/>
    <d v="2025-03-12T07:21:00"/>
    <d v="2025-03-12T12:54:00"/>
    <n v="326.06249999589636"/>
    <s v="slept at the RD and offloaded the next day"/>
    <d v="2025-03-13T08:48:00"/>
    <d v="2025-03-13T09:29:00"/>
    <n v="40.145833330825553"/>
    <m/>
    <n v="2.0868055555547471"/>
    <n v="2"/>
    <n v="-8.6805555554747116E-2"/>
    <n v="50.083333333313931"/>
    <n v="24"/>
    <n v="26.083333333313931"/>
    <n v="5.9808306709309669"/>
    <m/>
    <m/>
    <m/>
    <m/>
    <m/>
  </r>
  <r>
    <d v="2025-03-12T00:00:00"/>
    <x v="2"/>
    <s v="KESH"/>
    <s v="A21370"/>
    <s v="Manual"/>
    <m/>
    <s v="UBR 903Y"/>
    <s v="KATO INVESTMENTS LTD-KATIKARA"/>
    <n v="6.3"/>
    <s v="A21370"/>
    <s v="OM"/>
    <n v="790"/>
    <n v="786"/>
    <n v="-4"/>
    <m/>
    <d v="2025-03-11T08:09:00"/>
    <d v="2025-03-11T05:52:00"/>
    <d v="2025-03-11T08:35:00"/>
    <n v="162.24537037778646"/>
    <n v="25.879629630556639"/>
    <m/>
    <d v="2025-03-13T13:30:00"/>
    <d v="2025-03-13T15:37:00"/>
    <n v="124.35416666165111"/>
    <m/>
    <d v="2025-03-12T11:50:00"/>
    <d v="2025-03-12T12:47:00"/>
    <n v="55.81249999726424"/>
    <m/>
    <n v="1.1354166666642413"/>
    <n v="3"/>
    <n v="1.8645833333357587"/>
    <n v="27.249999999941792"/>
    <n v="12"/>
    <n v="15.249999999941792"/>
    <n v="0.41311475409993748"/>
    <m/>
    <m/>
    <m/>
    <m/>
    <m/>
  </r>
  <r>
    <d v="2025-03-12T00:00:00"/>
    <x v="2"/>
    <s v="KESH"/>
    <s v="A21371"/>
    <s v="Manual"/>
    <s v="Tsaale Hassan"/>
    <s v="UBJ 703D"/>
    <s v="Kato Investment Ltd -Mubende"/>
    <n v="156"/>
    <s v="A21371"/>
    <s v="OM"/>
    <n v="680"/>
    <n v="677"/>
    <n v="-3"/>
    <m/>
    <d v="2025-03-11T06:58:00"/>
    <d v="2025-03-11T07:40:00"/>
    <d v="2025-03-11T07:25:00"/>
    <n v="-14.930555552079264"/>
    <n v="26.87500000417155"/>
    <m/>
    <d v="2025-03-11T17:02:00"/>
    <d v="2025-03-12T10:56:00"/>
    <n v="1051.6250000013679"/>
    <s v="found another truck at the RD and offloaded the next day"/>
    <d v="2025-03-12T12:51:00"/>
    <d v="2025-03-12T13:47:00"/>
    <n v="54.833333337664953"/>
    <m/>
    <n v="1.226388888884685"/>
    <n v="3"/>
    <n v="1.773611111115315"/>
    <n v="29.43333333323244"/>
    <n v="12"/>
    <n v="17.43333333323244"/>
    <n v="8.9483747610460522"/>
    <m/>
    <m/>
    <m/>
    <m/>
    <m/>
  </r>
  <r>
    <d v="2025-03-12T00:00:00"/>
    <x v="2"/>
    <s v="KESH"/>
    <s v="A21373"/>
    <s v="Manual"/>
    <s v="Sentongo paul"/>
    <s v="UBR 541W"/>
    <s v="Kato Investment Ltd -Mityana"/>
    <n v="156"/>
    <s v="A21373"/>
    <s v="OM"/>
    <n v="690"/>
    <n v="687"/>
    <n v="-3"/>
    <m/>
    <d v="2025-03-10T10:33:00"/>
    <d v="2025-03-10T16:40:00"/>
    <d v="2025-03-10T11:00:00"/>
    <n v="-338.42592592360842"/>
    <n v="26.87500000417155"/>
    <m/>
    <d v="2025-03-12T08:37:00"/>
    <d v="2025-03-12T12:27:00"/>
    <n v="225.20833333903283"/>
    <s v="found another truck at the RD"/>
    <d v="2025-03-12T13:04:00"/>
    <d v="2025-03-12T14:00:00"/>
    <n v="54.833333337664953"/>
    <m/>
    <n v="2.086111111108039"/>
    <n v="3"/>
    <n v="0.91388888889196096"/>
    <n v="50.066666666592937"/>
    <n v="24"/>
    <n v="26.066666666592937"/>
    <n v="5.9846547314747278"/>
    <m/>
    <m/>
    <m/>
    <m/>
    <m/>
  </r>
  <r>
    <d v="2025-03-12T00:00:00"/>
    <x v="2"/>
    <s v="KESH"/>
    <s v="A21372"/>
    <s v="Manual"/>
    <s v="Ngobi Fred"/>
    <s v="UBK 866R"/>
    <s v="Kato Investments Ltd- Kyegegwa"/>
    <n v="156"/>
    <s v="A21372"/>
    <s v="OM"/>
    <n v="600"/>
    <n v="598"/>
    <n v="-2"/>
    <m/>
    <d v="2025-03-10T15:05:00"/>
    <d v="2025-03-11T05:46:00"/>
    <d v="2025-03-10T15:34:00"/>
    <n v="-848.05555555625085"/>
    <n v="28.865740740972495"/>
    <m/>
    <d v="2025-03-12T12:06:00"/>
    <d v="2025-03-12T15:38:00"/>
    <n v="207.58333333287737"/>
    <s v="Waited for empties from trade"/>
    <d v="2025-03-13T10:00:00"/>
    <d v="2025-03-13T10:41:00"/>
    <n v="40.145833330825553"/>
    <m/>
    <n v="2.7680555555562023"/>
    <n v="3"/>
    <n v="0.23194444444379769"/>
    <n v="66.433333333348855"/>
    <n v="24"/>
    <n v="42.433333333348855"/>
    <n v="3.6763550667700615"/>
    <m/>
    <m/>
    <m/>
    <m/>
    <m/>
  </r>
  <r>
    <d v="2025-03-12T00:00:00"/>
    <x v="2"/>
    <s v="NBL"/>
    <s v="OMLTVKTRR"/>
    <s v="DJ"/>
    <s v="Abel Mark naffa"/>
    <s v="UBJ 415C"/>
    <s v="Kabaco U Ltd-Mbarara "/>
    <n v="153.6"/>
    <m/>
    <s v="OM"/>
    <n v="20"/>
    <n v="17"/>
    <n v="-3"/>
    <m/>
    <d v="2025-03-12T08:20:00"/>
    <d v="2025-03-12T10:00:00"/>
    <d v="2025-03-12T08:46:00"/>
    <n v="-73.657407407639155"/>
    <n v="25.879629630556639"/>
    <m/>
    <d v="2025-03-12T16:03:00"/>
    <d v="2025-03-12T18:13:00"/>
    <n v="127.29166667122627"/>
    <m/>
    <d v="2025-03-12T16:43:00"/>
    <d v="2025-03-12T17:39:00"/>
    <n v="54.833333337664953"/>
    <m/>
    <n v="0.33125000000291038"/>
    <n v="1"/>
    <n v="0.66874999999708962"/>
    <n v="7.9500000000698492"/>
    <n v="0"/>
    <n v="7.9500000000698492"/>
    <n v="19.320754716811379"/>
    <m/>
    <m/>
    <m/>
    <m/>
    <m/>
  </r>
  <r>
    <d v="2025-03-12T00:00:00"/>
    <x v="2"/>
    <s v="NBL"/>
    <s v="OMQOK5MRR"/>
    <s v="DJ"/>
    <s v="James  Kironde"/>
    <s v="UBK 881R"/>
    <s v="KATO INVESTMENTS LIMITED-MASAK "/>
    <n v="153.6"/>
    <m/>
    <s v="OM"/>
    <n v="298"/>
    <n v="297"/>
    <n v="-1"/>
    <m/>
    <d v="2025-03-11T20:28:00"/>
    <d v="2025-03-12T08:00:00"/>
    <d v="2025-03-11T20:55:00"/>
    <n v="-661.92129629513749"/>
    <n v="26.87500000417155"/>
    <m/>
    <d v="2025-03-12T12:06:00"/>
    <d v="2025-03-12T15:38:00"/>
    <n v="207.58333333287737"/>
    <s v="Reached late and offloaded the next day"/>
    <d v="2025-03-13T10:00:00"/>
    <d v="2025-03-13T10:56:00"/>
    <n v="54.833333337664953"/>
    <m/>
    <n v="1.5451388888832298"/>
    <n v="2"/>
    <n v="0.45486111111677019"/>
    <n v="37.083333333197515"/>
    <n v="12"/>
    <n v="25.083333333197515"/>
    <n v="6.1235880399002669"/>
    <m/>
    <m/>
    <m/>
    <m/>
    <m/>
  </r>
  <r>
    <d v="2025-03-12T00:00:00"/>
    <x v="2"/>
    <s v="NBL"/>
    <s v="OMMB4GSRR"/>
    <s v="DJ"/>
    <s v="Isaac Tumuhimbise"/>
    <s v="UBE 287X"/>
    <s v="Kabaco U Ltd-Mbarara "/>
    <n v="153.6"/>
    <m/>
    <s v="OM"/>
    <n v="20"/>
    <n v="17"/>
    <n v="-3"/>
    <m/>
    <d v="2025-03-11T20:19:00"/>
    <d v="2025-03-12T10:00:00"/>
    <d v="2025-03-11T20:45:00"/>
    <n v="-791.31944443749182"/>
    <n v="25.879629630556639"/>
    <m/>
    <d v="2025-03-12T08:37:00"/>
    <d v="2025-03-12T12:27:00"/>
    <n v="225.20833333903283"/>
    <s v="Waited for empties from trade"/>
    <d v="2025-03-12T13:04:00"/>
    <d v="2025-03-12T13:45:00"/>
    <n v="40.145833330825553"/>
    <m/>
    <n v="0.67986111110803904"/>
    <n v="1"/>
    <n v="0.32013888889196096"/>
    <n v="16.316666666592937"/>
    <n v="0"/>
    <n v="16.316666666592937"/>
    <n v="9.413687436201883"/>
    <m/>
    <m/>
    <m/>
    <m/>
    <m/>
  </r>
  <r>
    <d v="2025-03-13T00:00:00"/>
    <x v="2"/>
    <s v="KESH"/>
    <s v="A21386"/>
    <s v="Manual"/>
    <m/>
    <s v="UBR 863Y"/>
    <s v="Kato Investments Ltd- Kakumiro"/>
    <n v="5.04"/>
    <s v="A21386"/>
    <s v="OM"/>
    <n v="790"/>
    <n v="788"/>
    <n v="-2"/>
    <m/>
    <d v="2025-03-11T15:22:00"/>
    <d v="2025-03-11T14:31:00"/>
    <d v="2025-03-11T15:48:00"/>
    <n v="76.643518518055018"/>
    <n v="25.879629630556639"/>
    <m/>
    <d v="2025-03-12T16:36:00"/>
    <d v="2025-03-12T18:27:00"/>
    <n v="108.68750000547152"/>
    <m/>
    <d v="2025-03-13T16:56:00"/>
    <d v="2025-03-13T17:52:00"/>
    <n v="54.833333337664953"/>
    <m/>
    <n v="2.047222222223354"/>
    <n v="3"/>
    <n v="0.95277777777664596"/>
    <n v="49.133333333360497"/>
    <n v="24"/>
    <n v="25.133333333360497"/>
    <n v="0.20053050397856312"/>
    <m/>
    <m/>
    <m/>
    <m/>
    <m/>
  </r>
  <r>
    <d v="2025-03-13T00:00:00"/>
    <x v="2"/>
    <s v="KESH"/>
    <s v="Z83037"/>
    <s v="Manual"/>
    <m/>
    <s v="UBJ 423C"/>
    <s v="Kobusinge Steven-Kamwenge"/>
    <n v="5.04"/>
    <s v="Z83037"/>
    <s v="OM"/>
    <n v="288"/>
    <n v="292"/>
    <n v="4"/>
    <m/>
    <d v="2025-03-10T12:24:00"/>
    <d v="2025-03-10T12:22:00"/>
    <d v="2025-03-10T12:50:00"/>
    <n v="27.870370367357584"/>
    <n v="25.879629630556639"/>
    <m/>
    <d v="2025-03-13T07:28:00"/>
    <d v="2025-03-13T13:09:00"/>
    <n v="333.89583333424525"/>
    <s v="Reached late and offloaded the next day"/>
    <d v="2025-03-13T06:43:00"/>
    <d v="2025-03-13T07:24:00"/>
    <n v="40.145833330825553"/>
    <m/>
    <n v="2.7451388888948713"/>
    <n v="2"/>
    <n v="-0.74513888889487134"/>
    <n v="65.883333333476912"/>
    <n v="24"/>
    <n v="41.883333333476912"/>
    <n v="0.1203342618380276"/>
    <m/>
    <m/>
    <m/>
    <m/>
    <m/>
  </r>
  <r>
    <d v="2025-03-13T00:00:00"/>
    <x v="2"/>
    <s v="KESH"/>
    <s v="A21395"/>
    <s v="Manual"/>
    <s v="Malinzi Awali"/>
    <s v="UBR 880Y"/>
    <s v="KATO INVESTMENTS LTD-KATIKARA"/>
    <n v="156"/>
    <s v="A21395"/>
    <s v="OM"/>
    <n v="790"/>
    <n v="789"/>
    <n v="-1"/>
    <m/>
    <d v="2025-03-11T17:35:00"/>
    <d v="2025-03-11T17:50:00"/>
    <d v="2025-03-11T18:01:00"/>
    <n v="10.949074078477375"/>
    <n v="25.879629630556639"/>
    <m/>
    <d v="2025-03-13T10:42:00"/>
    <d v="2025-03-13T12:55:00"/>
    <n v="130.22916667054233"/>
    <m/>
    <d v="2025-03-13T15:37:00"/>
    <d v="2025-03-13T16:34:00"/>
    <n v="55.81249999726424"/>
    <m/>
    <n v="1.8999999999941792"/>
    <n v="3"/>
    <n v="1.1000000000058208"/>
    <n v="45.599999999860302"/>
    <n v="12"/>
    <n v="33.599999999860302"/>
    <n v="4.642857142876446"/>
    <m/>
    <m/>
    <m/>
    <m/>
    <m/>
  </r>
  <r>
    <d v="2025-03-13T00:00:00"/>
    <x v="2"/>
    <s v="KESH"/>
    <s v="A21384"/>
    <s v="Manual"/>
    <s v="Eriku Alipa"/>
    <s v="UBK 858R"/>
    <s v="KATO INVESTMENTS LTD-KATIKARA"/>
    <n v="5.04"/>
    <s v="A21384"/>
    <s v="OM"/>
    <n v="790"/>
    <n v="787"/>
    <n v="-3"/>
    <m/>
    <d v="2025-03-12T17:07:00"/>
    <d v="2025-03-12T16:25:00"/>
    <d v="2025-03-12T18:00:00"/>
    <n v="94.560185180550135"/>
    <n v="52.75462963472819"/>
    <s v="Water top up"/>
    <d v="2025-03-13T10:54:00"/>
    <d v="2025-03-13T12:33:00"/>
    <n v="96.93749999794818"/>
    <m/>
    <d v="2025-03-13T15:55:00"/>
    <d v="2025-03-13T16:36:00"/>
    <n v="40.145833330825553"/>
    <m/>
    <n v="0.91319444444525288"/>
    <n v="3"/>
    <n v="2.0868055555547471"/>
    <n v="21.916666666686069"/>
    <n v="0"/>
    <n v="21.916666666686069"/>
    <n v="0.2299619771861082"/>
    <m/>
    <m/>
    <m/>
    <m/>
    <m/>
  </r>
  <r>
    <d v="2025-03-13T00:00:00"/>
    <x v="2"/>
    <s v="KESH"/>
    <s v="A21400"/>
    <s v="Manual"/>
    <m/>
    <s v="UBR 900Y"/>
    <s v="Kato Investment Ltd -Mityana"/>
    <n v="156"/>
    <s v="A21400"/>
    <s v="OM"/>
    <n v="690"/>
    <n v="688"/>
    <n v="-2"/>
    <m/>
    <d v="2025-03-11T13:25:00"/>
    <d v="2025-03-11T13:42:00"/>
    <d v="2025-03-11T13:54:00"/>
    <n v="11.944444441663412"/>
    <n v="28.865740740972495"/>
    <m/>
    <d v="2025-03-12T16:30:00"/>
    <d v="2025-03-13T10:37:00"/>
    <n v="1064.3541666684905"/>
    <s v="found another truck to be offloaded"/>
    <d v="2025-03-13T07:11:00"/>
    <d v="2025-03-13T08:11:00"/>
    <n v="58.7499999965803"/>
    <m/>
    <n v="1.7201388888861402"/>
    <n v="3"/>
    <n v="1.2798611111138598"/>
    <n v="41.283333333267365"/>
    <n v="12"/>
    <n v="29.283333333267365"/>
    <n v="5.3272623790672089"/>
    <m/>
    <m/>
    <m/>
    <m/>
    <m/>
  </r>
  <r>
    <d v="2025-03-13T00:00:00"/>
    <x v="2"/>
    <s v="KESH"/>
    <s v="F16062"/>
    <s v="Manual"/>
    <s v="Bwanga Gilbert"/>
    <s v="UBK 862R"/>
    <s v="Boniface Harera"/>
    <n v="78"/>
    <s v="F16062"/>
    <s v="OM"/>
    <n v="448"/>
    <n v="447"/>
    <n v="-1"/>
    <m/>
    <d v="2025-03-12T07:16:00"/>
    <d v="2025-03-12T07:24:00"/>
    <d v="2025-03-12T07:43:00"/>
    <n v="18.912037036110025"/>
    <n v="26.87500000417155"/>
    <m/>
    <d v="2025-03-12T15:30:00"/>
    <d v="2025-03-12T17:51:00"/>
    <n v="138.06249999863212"/>
    <m/>
    <d v="2025-03-13T16:30:00"/>
    <d v="2025-03-13T17:26:00"/>
    <n v="54.833333337664953"/>
    <m/>
    <n v="1.3659722222218988"/>
    <n v="2"/>
    <n v="0.63402777777810115"/>
    <n v="32.783333333325572"/>
    <n v="12"/>
    <n v="20.783333333325572"/>
    <n v="3.7530072173229732"/>
    <m/>
    <m/>
    <m/>
    <m/>
    <m/>
  </r>
  <r>
    <d v="2025-03-13T00:00:00"/>
    <x v="2"/>
    <s v="KESH"/>
    <s v="Z83039"/>
    <s v="Manual"/>
    <m/>
    <s v="UBP 294H"/>
    <s v="Kobusinge Acaali- Kyenjojo"/>
    <n v="6.3"/>
    <s v="Z83039"/>
    <s v="OM"/>
    <n v="580"/>
    <n v="577"/>
    <n v="-3"/>
    <m/>
    <d v="2025-03-11T13:43:00"/>
    <d v="2025-03-11T12:35:00"/>
    <d v="2025-03-11T14:10:00"/>
    <n v="94.560185180550135"/>
    <n v="26.87500000417155"/>
    <m/>
    <d v="2025-03-13T15:51:00"/>
    <d v="2025-03-13T17:39:00"/>
    <n v="105.75000000615546"/>
    <m/>
    <d v="2025-03-13T17:16:00"/>
    <d v="2025-03-13T18:14:00"/>
    <n v="56.791666667122627"/>
    <m/>
    <n v="2.1291666666656965"/>
    <n v="2"/>
    <n v="-0.12916666666569654"/>
    <n v="51.099999999976717"/>
    <n v="24"/>
    <n v="27.099999999976717"/>
    <n v="0.23247232472344695"/>
    <m/>
    <m/>
    <m/>
    <m/>
    <m/>
  </r>
  <r>
    <d v="2025-03-13T00:00:00"/>
    <x v="2"/>
    <s v="KESH"/>
    <s v="A21389"/>
    <s v="Manual"/>
    <s v="Ikwalikwa Yusuf"/>
    <s v="UBP 311H"/>
    <s v="Ntale and Sons Ltd-Kakiri"/>
    <n v="156"/>
    <s v="A21389"/>
    <s v="OM"/>
    <n v="620"/>
    <n v="619"/>
    <n v="-1"/>
    <m/>
    <d v="2025-03-12T08:19:00"/>
    <d v="2025-03-12T08:34:00"/>
    <d v="2025-03-12T08:46:00"/>
    <n v="11.944444441663412"/>
    <n v="26.87500000417155"/>
    <m/>
    <d v="2025-03-13T13:56:00"/>
    <d v="2025-03-13T18:02:00"/>
    <n v="240.87499999521242"/>
    <s v="slept at the RD and offloaded the next day"/>
    <d v="2025-03-13T16:56:00"/>
    <d v="2025-03-13T17:37:00"/>
    <n v="40.145833330825553"/>
    <m/>
    <n v="1.3402777777810115"/>
    <n v="3"/>
    <n v="1.6597222222189885"/>
    <n v="32.166666666744277"/>
    <n v="12"/>
    <n v="20.166666666744277"/>
    <n v="7.7355371900528747"/>
    <m/>
    <m/>
    <m/>
    <m/>
    <m/>
  </r>
  <r>
    <d v="2025-03-13T00:00:00"/>
    <x v="2"/>
    <s v="KESH"/>
    <s v="A21382"/>
    <s v="Manual"/>
    <s v="Taimwa Alex"/>
    <s v="UBJ 705D"/>
    <s v="Kato Investment Ltd -Mubende"/>
    <n v="156"/>
    <s v="A21382"/>
    <s v="OM"/>
    <n v="680"/>
    <n v="679"/>
    <n v="-1"/>
    <m/>
    <d v="2025-03-12T11:02:00"/>
    <d v="2025-03-12T11:18:00"/>
    <d v="2025-03-12T11:28:00"/>
    <n v="9.9537037048624679"/>
    <n v="25.879629630556639"/>
    <m/>
    <d v="2025-03-13T15:36:00"/>
    <d v="2025-03-13T19:58:00"/>
    <n v="256.54166666165111"/>
    <s v="found another truck at the RD"/>
    <d v="2025-03-13T06:43:00"/>
    <d v="2025-03-13T07:39:00"/>
    <n v="54.833333337664953"/>
    <m/>
    <n v="0.80208333333575865"/>
    <n v="3"/>
    <n v="2.1979166666642413"/>
    <n v="19.250000000058208"/>
    <n v="0"/>
    <n v="19.250000000058208"/>
    <n v="8.1038961038716"/>
    <m/>
    <m/>
    <m/>
    <m/>
    <m/>
  </r>
  <r>
    <d v="2025-03-13T00:00:00"/>
    <x v="2"/>
    <s v="KESH"/>
    <s v="A21394"/>
    <s v="Manual"/>
    <s v="Awali Malinzi"/>
    <s v="UBR 860Y"/>
    <s v="Kato Investment Ltd -Mubende"/>
    <n v="156"/>
    <s v="A21394"/>
    <s v="OM"/>
    <n v="680"/>
    <n v="679"/>
    <n v="-1"/>
    <m/>
    <d v="2025-03-12T18:12:00"/>
    <d v="2025-03-12T18:28:00"/>
    <d v="2025-03-12T18:38:00"/>
    <n v="9.9537037048624679"/>
    <n v="25.879629630556639"/>
    <m/>
    <d v="2025-03-13T07:28:00"/>
    <d v="2025-03-13T13:09:00"/>
    <n v="333.89583333424525"/>
    <s v="found another truck at the RD"/>
    <d v="2025-03-14T07:11:00"/>
    <d v="2025-03-14T07:52:00"/>
    <n v="40.145833330825553"/>
    <m/>
    <n v="1.5229166666686069"/>
    <n v="3"/>
    <n v="1.4770833333313931"/>
    <n v="36.550000000046566"/>
    <n v="12"/>
    <n v="24.550000000046566"/>
    <n v="6.3543788187252179"/>
    <m/>
    <m/>
    <m/>
    <m/>
    <m/>
  </r>
  <r>
    <d v="2025-03-13T00:00:00"/>
    <x v="2"/>
    <s v="KESH"/>
    <s v="A21392"/>
    <s v="Manual"/>
    <s v="Nminya Siraje"/>
    <s v="UBP 301H"/>
    <s v="Kato Investment Ltd -Mityana"/>
    <n v="78"/>
    <s v="A21392"/>
    <s v="OM"/>
    <n v="690"/>
    <n v="694"/>
    <n v="4"/>
    <m/>
    <d v="2025-03-12T15:26:00"/>
    <d v="2025-03-12T15:31:00"/>
    <d v="2025-03-12T15:52:00"/>
    <n v="20.902777772910969"/>
    <n v="25.879629630556639"/>
    <m/>
    <d v="2025-03-13T10:54:00"/>
    <d v="2025-03-13T12:33:00"/>
    <n v="96.93749999794818"/>
    <m/>
    <d v="2025-03-13T17:16:00"/>
    <d v="2025-03-13T17:57:00"/>
    <n v="40.145833330825553"/>
    <m/>
    <n v="1.0583333333343035"/>
    <n v="3"/>
    <n v="1.9416666666656965"/>
    <n v="25.400000000023283"/>
    <n v="12"/>
    <n v="13.400000000023283"/>
    <n v="5.8208955223779455"/>
    <m/>
    <m/>
    <m/>
    <m/>
    <m/>
  </r>
  <r>
    <d v="2025-03-13T00:00:00"/>
    <x v="2"/>
    <s v="KESH"/>
    <s v="Z83038"/>
    <s v="Manual"/>
    <m/>
    <s v="UBR 868Y"/>
    <s v="Kobusinge Steven-FPortal"/>
    <n v="156"/>
    <s v="Z83038"/>
    <s v="OM"/>
    <n v="304"/>
    <n v="303"/>
    <n v="-1"/>
    <m/>
    <d v="2025-03-11T12:07:00"/>
    <d v="2025-03-11T12:19:00"/>
    <d v="2025-03-11T12:32:00"/>
    <n v="12.93981481527832"/>
    <n v="24.884259256941732"/>
    <m/>
    <d v="2025-03-12T15:30:00"/>
    <d v="2025-03-12T17:51:00"/>
    <n v="138.06249999863212"/>
    <m/>
    <d v="2025-03-13T16:56:00"/>
    <d v="2025-03-13T17:53:00"/>
    <n v="55.81249999726424"/>
    <m/>
    <n v="2.1833333333343035"/>
    <n v="2"/>
    <n v="-0.18333333333430346"/>
    <n v="52.400000000023283"/>
    <n v="24"/>
    <n v="28.400000000023283"/>
    <n v="5.49295774647437"/>
    <m/>
    <m/>
    <m/>
    <m/>
    <m/>
  </r>
  <r>
    <d v="2025-03-13T00:00:00"/>
    <x v="2"/>
    <s v="KESH"/>
    <s v="A21385"/>
    <s v="Manual"/>
    <s v="Mulumba Kasim"/>
    <s v="UBE 680K"/>
    <s v="Ntale and Sons Ltd-Kakiri"/>
    <n v="5.5439999999999996"/>
    <s v="A21385"/>
    <s v="OM"/>
    <n v="620"/>
    <n v="618"/>
    <n v="-2"/>
    <m/>
    <d v="2025-03-12T08:26:00"/>
    <d v="2025-03-12T07:17:00"/>
    <d v="2025-03-12T08:52:00"/>
    <n v="94.560185180550135"/>
    <n v="25.879629630556639"/>
    <m/>
    <d v="2025-03-13T15:51:00"/>
    <d v="2025-03-13T17:39:00"/>
    <n v="105.75000000615546"/>
    <m/>
    <d v="2025-03-13T06:43:00"/>
    <d v="2025-03-13T07:32:00"/>
    <n v="47.979166669174447"/>
    <m/>
    <n v="0.9104166666729725"/>
    <n v="3"/>
    <n v="2.0895833333270275"/>
    <n v="21.85000000015134"/>
    <n v="0"/>
    <n v="21.85000000015134"/>
    <n v="0.25372997711494738"/>
    <m/>
    <m/>
    <m/>
    <m/>
    <m/>
  </r>
  <r>
    <d v="2025-03-13T00:00:00"/>
    <x v="2"/>
    <s v="KESH"/>
    <s v="Z83047"/>
    <s v="Manual"/>
    <s v="Kyakulaga James"/>
    <s v="UBJ 419C"/>
    <s v="Kobusinge Acaali- Kyenjojo"/>
    <n v="156"/>
    <s v="Z83047"/>
    <s v="OM"/>
    <n v="580"/>
    <n v="579"/>
    <n v="-1"/>
    <m/>
    <d v="2025-03-12T17:33:00"/>
    <d v="2025-03-12T17:50:00"/>
    <d v="2025-03-12T18:00:00"/>
    <n v="9.9537037048624679"/>
    <n v="26.87500000417155"/>
    <m/>
    <d v="2025-03-13T13:56:00"/>
    <d v="2025-03-13T16:02:00"/>
    <n v="123.37500000205182"/>
    <m/>
    <d v="2025-03-13T16:56:00"/>
    <d v="2025-03-13T17:33:00"/>
    <n v="36.229166661651107"/>
    <m/>
    <n v="0.95555555555620231"/>
    <n v="2"/>
    <n v="1.0444444444437977"/>
    <n v="22.933333333348855"/>
    <n v="0"/>
    <n v="22.933333333348855"/>
    <n v="6.8023255813907451"/>
    <m/>
    <m/>
    <m/>
    <m/>
    <m/>
  </r>
  <r>
    <d v="2025-03-13T00:00:00"/>
    <x v="2"/>
    <s v="KESH"/>
    <s v="F16064"/>
    <s v="Manual"/>
    <s v="Lule Fred"/>
    <s v="UBP 310H"/>
    <s v="Boniface Harera"/>
    <n v="156"/>
    <s v="F16064"/>
    <s v="OM"/>
    <n v="448"/>
    <n v="449"/>
    <n v="1"/>
    <m/>
    <d v="2025-03-12T12:18:00"/>
    <d v="2025-03-12T12:10:00"/>
    <d v="2025-03-12T12:44:00"/>
    <n v="33.842592588189291"/>
    <n v="25.879629630556639"/>
    <m/>
    <d v="2025-03-13T15:36:00"/>
    <d v="2025-03-13T19:58:00"/>
    <n v="256.54166666165111"/>
    <s v="Waited for empties from trade"/>
    <d v="2025-03-13T06:43:00"/>
    <d v="2025-03-13T07:39:00"/>
    <n v="54.833333337664953"/>
    <m/>
    <n v="0.74930555556056788"/>
    <n v="2"/>
    <n v="1.2506944444394321"/>
    <n v="17.983333333453629"/>
    <n v="0"/>
    <n v="17.983333333453629"/>
    <n v="8.6746987951226959"/>
    <m/>
    <m/>
    <m/>
    <m/>
    <m/>
  </r>
  <r>
    <d v="2025-03-13T00:00:00"/>
    <x v="2"/>
    <s v="KESH"/>
    <s v="A21402"/>
    <s v="Manual"/>
    <s v="Matovu Musa"/>
    <s v="UBR 538W"/>
    <s v="Ntale and Sons Ltd-Kakiri"/>
    <n v="156"/>
    <s v="A21402"/>
    <s v="OM"/>
    <n v="620"/>
    <n v="619"/>
    <n v="-1"/>
    <m/>
    <d v="2025-03-12T11:02:00"/>
    <d v="2025-03-12T11:07:00"/>
    <d v="2025-03-12T11:28:00"/>
    <n v="20.902777772910969"/>
    <n v="25.879629630556639"/>
    <m/>
    <d v="2025-03-13T13:25:00"/>
    <d v="2025-03-13T15:30:00"/>
    <n v="122.39583333219343"/>
    <m/>
    <d v="2025-03-13T15:37:00"/>
    <d v="2025-03-13T16:13:00"/>
    <n v="35.25000000205182"/>
    <m/>
    <n v="1.1729166666627862"/>
    <n v="3"/>
    <n v="1.8270833333372138"/>
    <n v="28.149999999906868"/>
    <n v="12"/>
    <n v="16.149999999906868"/>
    <n v="9.659442724513907"/>
    <m/>
    <m/>
    <m/>
    <m/>
    <m/>
  </r>
  <r>
    <d v="2025-03-14T00:00:00"/>
    <x v="2"/>
    <s v="KESH"/>
    <s v="Z83049"/>
    <s v="Manual"/>
    <m/>
    <s v="UBP 304H"/>
    <s v="Kabaco U Ltd"/>
    <n v="11.087999999999999"/>
    <s v="Z83049"/>
    <s v="OM"/>
    <n v="320"/>
    <n v="319"/>
    <n v="-1"/>
    <m/>
    <d v="2024-03-14T08:32:00"/>
    <d v="2024-03-14T07:30:00"/>
    <d v="2024-03-14T08:58:00"/>
    <n v="87.592592596532384"/>
    <n v="25.879629630556639"/>
    <m/>
    <d v="2024-03-14T17:58:00"/>
    <d v="2024-03-15T17:33:31"/>
    <n v="1386.0267361085425"/>
    <s v="Waited for empties from trade"/>
    <d v="2024-03-16T15:09:31"/>
    <d v="2024-03-16T15:45:31"/>
    <n v="35.25000000205182"/>
    <m/>
    <n v="2.2579976851848187"/>
    <n v="2"/>
    <n v="-0.25799768518481869"/>
    <n v="54.191944444435649"/>
    <n v="24"/>
    <n v="30.191944444435649"/>
    <n v="0.36725027831201873"/>
    <m/>
    <m/>
    <m/>
    <m/>
    <m/>
  </r>
  <r>
    <d v="2025-03-14T00:00:00"/>
    <x v="2"/>
    <s v="KESH"/>
    <s v="A21414"/>
    <s v="Manual"/>
    <s v="Nassasira"/>
    <s v="UBK 882R"/>
    <s v="Kato Investment Ltd -Mubende"/>
    <n v="93.6"/>
    <s v="A21414"/>
    <s v="OM"/>
    <n v="680"/>
    <n v="677"/>
    <n v="-3"/>
    <m/>
    <d v="2024-03-14T08:19:00"/>
    <d v="2024-03-14T07:30:00"/>
    <d v="2024-03-14T08:47:00"/>
    <n v="76.643518518055018"/>
    <n v="27.870370367357584"/>
    <m/>
    <d v="2024-03-15T03:02:00"/>
    <d v="2024-03-15T06:00:00"/>
    <n v="174.29166667054233"/>
    <m/>
    <d v="2024-03-16T15:49:51"/>
    <d v="2024-03-16T16:46:51"/>
    <n v="55.81249999726424"/>
    <m/>
    <n v="2.2936458333351766"/>
    <n v="3"/>
    <n v="0.70635416666482342"/>
    <n v="55.047500000044238"/>
    <n v="24"/>
    <n v="31.047500000044238"/>
    <n v="3.0147354859446533"/>
    <m/>
    <m/>
    <m/>
    <m/>
    <m/>
  </r>
  <r>
    <d v="2025-03-14T00:00:00"/>
    <x v="2"/>
    <s v="KESH"/>
    <s v="Z83048"/>
    <s v="Manual"/>
    <s v="kakembo Masudi"/>
    <s v="UBM 644D"/>
    <s v="Kobusinge Steven-Kamwenge"/>
    <n v="156"/>
    <s v="Z83048"/>
    <s v="OM"/>
    <n v="288"/>
    <n v="286"/>
    <n v="-2"/>
    <m/>
    <d v="2024-03-14T08:35:00"/>
    <d v="2024-03-14T07:30:00"/>
    <d v="2024-03-14T09:02:00"/>
    <n v="91.574074070134273"/>
    <n v="26.87500000417155"/>
    <m/>
    <d v="2024-03-15T10:17:00"/>
    <d v="2024-03-16T12:41:00"/>
    <n v="1550.9999999979482"/>
    <s v="Reached late and offloaded the next day"/>
    <d v="2024-03-16T17:29:00"/>
    <d v="2024-03-16T18:21:00"/>
    <n v="50.916666668490507"/>
    <m/>
    <n v="2.352083333338669"/>
    <n v="2"/>
    <n v="-0.35208333333866904"/>
    <n v="56.450000000128057"/>
    <n v="24"/>
    <n v="32.450000000128057"/>
    <n v="4.8073959938177007"/>
    <m/>
    <m/>
    <m/>
    <m/>
    <m/>
  </r>
  <r>
    <d v="2025-03-14T00:00:00"/>
    <x v="2"/>
    <s v="KESH"/>
    <s v="Z83055"/>
    <s v="Manual"/>
    <s v="Nakalya John"/>
    <s v="UBM 648D"/>
    <s v="Bates Enterprises U Ltd"/>
    <n v="156"/>
    <s v="Z83055"/>
    <s v="OM"/>
    <n v="464"/>
    <n v="461"/>
    <n v="-3"/>
    <m/>
    <d v="2024-03-14T08:09:00"/>
    <d v="2024-03-14T07:30:00"/>
    <d v="2024-03-14T08:38:00"/>
    <n v="67.685185186807459"/>
    <n v="28.865740740972495"/>
    <m/>
    <d v="2024-03-15T07:08:00"/>
    <d v="2024-03-15T15:37:00"/>
    <n v="498.39583332672191"/>
    <s v="truck faulty"/>
    <d v="2024-03-16T10:15:12"/>
    <d v="2024-03-16T10:59:12"/>
    <n v="43.083333340400713"/>
    <m/>
    <n v="2.0674999999973807"/>
    <n v="3"/>
    <n v="0.93250000000261934"/>
    <n v="49.619999999937136"/>
    <n v="24"/>
    <n v="25.619999999937136"/>
    <n v="6.0889929742538165"/>
    <m/>
    <m/>
    <m/>
    <m/>
    <m/>
  </r>
  <r>
    <d v="2025-03-14T00:00:00"/>
    <x v="2"/>
    <s v="KESH"/>
    <s v="Z83060"/>
    <s v="Manual"/>
    <m/>
    <s v="UBG 084B"/>
    <s v="Kobusinge Acaali- Kyenjojo"/>
    <n v="139.19999999999999"/>
    <s v="Z83060"/>
    <s v="OM"/>
    <n v="580"/>
    <n v="579"/>
    <n v="-1"/>
    <m/>
    <d v="2024-03-14T08:17:00"/>
    <d v="2024-03-14T07:30:00"/>
    <d v="2024-03-14T08:46:00"/>
    <n v="75.6481481444401"/>
    <n v="28.865740740972495"/>
    <m/>
    <d v="2024-03-15T06:16:00"/>
    <d v="2024-03-15T09:53:00"/>
    <n v="212.47916667191021"/>
    <s v="slept at the RD and offloaded the next day"/>
    <d v="2024-03-16T08:41:00"/>
    <d v="2024-03-16T09:42:00"/>
    <n v="59.729166666438687"/>
    <m/>
    <n v="1.9965277777810115"/>
    <n v="2"/>
    <n v="3.4722222189884633E-3"/>
    <n v="47.916666666744277"/>
    <n v="12"/>
    <n v="35.916666666744277"/>
    <n v="3.8756380510357085"/>
    <m/>
    <m/>
    <m/>
    <m/>
    <m/>
  </r>
  <r>
    <d v="2025-03-14T00:00:00"/>
    <x v="2"/>
    <s v="KESH"/>
    <s v="Z83058"/>
    <s v="Manual"/>
    <s v="Byanshala Stoney"/>
    <s v="UBP 312H"/>
    <s v="Kabaco U Ltd"/>
    <n v="156"/>
    <s v="Z83058"/>
    <s v="OM"/>
    <n v="320"/>
    <n v="317"/>
    <n v="-3"/>
    <m/>
    <d v="2024-03-15T01:31:10"/>
    <d v="2024-03-15T00:51:10"/>
    <d v="2024-03-15T01:59:10"/>
    <n v="67.685185186807459"/>
    <n v="27.870370367357584"/>
    <m/>
    <d v="2024-03-16T03:29:10"/>
    <d v="2024-03-16T17:31:34"/>
    <n v="824.84999999876891"/>
    <s v="Waited for empties from trade"/>
    <d v="2024-03-16T20:16:34"/>
    <d v="2024-03-16T21:13:34"/>
    <n v="55.81249999726424"/>
    <m/>
    <n v="1.7620833333348855"/>
    <n v="2"/>
    <n v="0.23791666666511446"/>
    <n v="42.290000000037253"/>
    <n v="12"/>
    <n v="30.290000000037253"/>
    <n v="5.1502145922683438"/>
    <m/>
    <m/>
    <m/>
    <m/>
    <m/>
  </r>
  <r>
    <d v="2025-03-14T00:00:00"/>
    <x v="2"/>
    <s v="KESH"/>
    <s v="Z83057"/>
    <s v="Manual"/>
    <s v="Muzamiru"/>
    <s v="UBJ 417C"/>
    <s v="Kobusinge Steven-Kamwenge"/>
    <n v="156"/>
    <s v="Z83057"/>
    <s v="OM"/>
    <n v="288"/>
    <n v="285"/>
    <n v="-3"/>
    <m/>
    <d v="2024-03-15T02:01:40"/>
    <d v="2024-03-15T01:00:40"/>
    <d v="2024-03-15T02:28:40"/>
    <n v="87.592592596532384"/>
    <n v="26.87500000417155"/>
    <m/>
    <d v="2024-03-16T08:28:40"/>
    <d v="2024-03-17T15:27:42"/>
    <n v="1820.3034722232405"/>
    <s v="found another truck at the RD and offloaded the next day"/>
    <d v="2024-03-17T17:37:18"/>
    <d v="2024-03-17T18:33:18"/>
    <n v="54.833333337664953"/>
    <m/>
    <n v="2.6309953703676001"/>
    <n v="2"/>
    <n v="-0.63099537036760012"/>
    <n v="63.143888888822403"/>
    <n v="24"/>
    <n v="39.143888888822403"/>
    <n v="3.9852964135238498"/>
    <m/>
    <m/>
    <m/>
    <m/>
    <m/>
  </r>
  <r>
    <d v="2025-03-14T00:00:00"/>
    <x v="2"/>
    <s v="KESH"/>
    <s v="F16070"/>
    <s v="Manual"/>
    <m/>
    <s v="UBP 998T"/>
    <s v="Boniface Harera"/>
    <n v="139.19999999999999"/>
    <s v="F16070"/>
    <s v="OM"/>
    <n v="448"/>
    <n v="445"/>
    <n v="-3"/>
    <m/>
    <d v="2024-03-15T19:19:00"/>
    <d v="2024-03-15T03:43:00"/>
    <d v="2024-03-15T19:46:00"/>
    <n v="958.54166666249512"/>
    <n v="26.87500000417155"/>
    <m/>
    <d v="2024-03-16T03:58:00"/>
    <d v="2024-03-16T17:27:00"/>
    <n v="792.14583333014161"/>
    <s v="space consquents"/>
    <d v="2024-03-17T14:14:00"/>
    <d v="2024-03-17T14:59:00"/>
    <n v="44.0625"/>
    <m/>
    <n v="1.7694444444423425"/>
    <n v="2"/>
    <n v="0.2305555555576575"/>
    <n v="42.46666666661622"/>
    <n v="12"/>
    <n v="30.46666666661622"/>
    <n v="4.5689277899419194"/>
    <m/>
    <m/>
    <m/>
    <m/>
    <m/>
  </r>
  <r>
    <d v="2025-03-14T00:00:00"/>
    <x v="2"/>
    <s v="KESH"/>
    <s v="A21413"/>
    <s v="Manual"/>
    <s v="ZIWA ABASI"/>
    <s v="UBJ 420C"/>
    <s v="Sawan Distributors Ltd-Nabingo"/>
    <n v="156"/>
    <s v="A21413"/>
    <s v="OM"/>
    <n v="560"/>
    <n v="557"/>
    <n v="-3"/>
    <m/>
    <d v="2024-03-14T13:58:15"/>
    <d v="2024-03-14T13:12:15"/>
    <d v="2024-03-14T14:24:15"/>
    <n v="71.666666670838211"/>
    <n v="25.879629630556639"/>
    <m/>
    <d v="2024-03-15T09:54:15"/>
    <d v="2024-03-15T14:31:15"/>
    <n v="271.22916665823141"/>
    <s v="Waited for empties from trade"/>
    <d v="2024-03-16T10:19:15"/>
    <d v="2024-03-16T11:19:15"/>
    <n v="58.7499999965803"/>
    <m/>
    <n v="1.8298611111094942"/>
    <n v="2"/>
    <n v="0.17013888889050577"/>
    <n v="43.916666666627862"/>
    <n v="12"/>
    <n v="31.916666666627862"/>
    <n v="4.8877284595359685"/>
    <m/>
    <m/>
    <m/>
    <m/>
    <m/>
  </r>
  <r>
    <d v="2025-03-14T00:00:00"/>
    <x v="2"/>
    <s v="KESH"/>
    <s v="Z83059"/>
    <s v="Manual"/>
    <s v="kayanja Sam"/>
    <s v="UBF 379L"/>
    <s v="Kobusinge Steven-FPortal"/>
    <n v="116.4"/>
    <s v="Z83059"/>
    <s v="OM"/>
    <n v="304"/>
    <n v="301"/>
    <n v="-3"/>
    <m/>
    <d v="2024-03-14T13:48:00"/>
    <d v="2024-03-15T04:19:00"/>
    <d v="2024-03-14T14:15:00"/>
    <n v="-840.09259258818929"/>
    <n v="26.87500000417155"/>
    <m/>
    <d v="2024-03-14T21:59:00"/>
    <d v="2024-03-15T00:47:00"/>
    <n v="164.50000000273576"/>
    <m/>
    <d v="2024-03-15T21:50:00"/>
    <d v="2024-03-15T22:47:00"/>
    <n v="55.81250000752334"/>
    <m/>
    <n v="1.3159722222189885"/>
    <n v="2"/>
    <n v="0.68402777778101154"/>
    <n v="31.583333333255723"/>
    <n v="12"/>
    <n v="19.583333333255723"/>
    <n v="5.9438297872575987"/>
    <m/>
    <m/>
    <m/>
    <m/>
    <m/>
  </r>
  <r>
    <d v="2025-03-15T00:00:00"/>
    <x v="2"/>
    <s v="KESH"/>
    <s v="F16073"/>
    <s v="Manual"/>
    <m/>
    <s v="UBR 864Y"/>
    <s v="Boniface Harera"/>
    <n v="78"/>
    <s v="F16073"/>
    <s v="OM"/>
    <n v="448"/>
    <n v="447"/>
    <n v="-1"/>
    <m/>
    <d v="2024-03-15T09:06:09"/>
    <d v="2024-03-15T08:10:09"/>
    <d v="2024-03-15T09:33:09"/>
    <n v="82.615740738886714"/>
    <n v="26.87500000417155"/>
    <m/>
    <d v="2024-03-15T15:33:09"/>
    <d v="2024-03-15T20:13:09"/>
    <n v="274.16666666780657"/>
    <s v="Reached late and offloaded the next day"/>
    <d v="2024-03-16T10:08:21"/>
    <d v="2024-03-16T10:49:21"/>
    <n v="40.145833330825553"/>
    <m/>
    <n v="1.0244444444469991"/>
    <n v="2"/>
    <n v="0.97555555555300089"/>
    <n v="24.586666666727979"/>
    <n v="12"/>
    <n v="12.586666666727979"/>
    <n v="6.1970338982748974"/>
    <m/>
    <m/>
    <m/>
    <m/>
    <m/>
  </r>
  <r>
    <d v="2025-03-15T00:00:00"/>
    <x v="2"/>
    <s v="KESH"/>
    <s v="Z83071"/>
    <s v="Manual"/>
    <m/>
    <s v="UBR 868Y"/>
    <s v="Kobusinge Steven-Kamwenge"/>
    <n v="156"/>
    <s v="Z83071"/>
    <s v="OM"/>
    <n v="288"/>
    <n v="287"/>
    <n v="-1"/>
    <m/>
    <d v="2024-03-14T21:54:00"/>
    <d v="2024-03-14T20:30:00"/>
    <d v="2024-03-14T22:47:00"/>
    <n v="136.36574074722981"/>
    <n v="52.75462963472819"/>
    <s v="found another truck waiting to be cleared at the gate"/>
    <d v="2024-03-16T07:58:00"/>
    <d v="2024-03-16T10:42:00"/>
    <n v="160.58333333356131"/>
    <m/>
    <d v="2024-03-16T18:18:00"/>
    <d v="2024-03-16T19:07:00"/>
    <n v="47.979166669174447"/>
    <m/>
    <n v="1.8131944444394321"/>
    <n v="2"/>
    <n v="0.18680555556056788"/>
    <n v="43.516666666546371"/>
    <n v="12"/>
    <n v="31.516666666546371"/>
    <n v="4.9497620306904953"/>
    <m/>
    <m/>
    <m/>
    <m/>
    <m/>
  </r>
  <r>
    <d v="2025-03-15T00:00:00"/>
    <x v="2"/>
    <s v="KESH"/>
    <s v="A21416"/>
    <s v="Manual"/>
    <s v="Faruk Abel"/>
    <s v="UBR 539W"/>
    <s v="Sawan Distributors Ltd-Kayabwe"/>
    <n v="15.75"/>
    <s v="A21416"/>
    <s v="OM"/>
    <n v="382"/>
    <n v="379"/>
    <n v="-3"/>
    <m/>
    <d v="2024-03-15T08:12:00"/>
    <d v="2024-03-15T07:30:00"/>
    <d v="2024-03-15T08:38:00"/>
    <n v="67.685185186807459"/>
    <n v="25.879629630556639"/>
    <m/>
    <d v="2024-03-15T14:38:00"/>
    <d v="2024-03-15T18:58:00"/>
    <n v="254.58333333219343"/>
    <s v="Waited for empties from trade"/>
    <d v="2024-03-16T08:53:12"/>
    <d v="2024-03-16T09:41:12"/>
    <n v="46.99999999931606"/>
    <m/>
    <n v="1.0105555555564933"/>
    <n v="2"/>
    <n v="0.98944444444350665"/>
    <n v="24.25333333335584"/>
    <n v="12"/>
    <n v="12.25333333335584"/>
    <n v="1.2853645266570515"/>
    <m/>
    <m/>
    <m/>
    <m/>
    <m/>
  </r>
  <r>
    <d v="2025-03-15T00:00:00"/>
    <x v="2"/>
    <s v="KESH"/>
    <s v="A21428"/>
    <s v="Manual"/>
    <s v="Kabanda Ronald"/>
    <s v="UBE 684K"/>
    <s v="Sawan Distributors Ltd-Kayabwe"/>
    <n v="139.19999999999999"/>
    <s v="A21428"/>
    <s v="OM"/>
    <n v="382"/>
    <n v="379"/>
    <n v="-3"/>
    <m/>
    <d v="2024-03-15T21:43:00"/>
    <d v="2024-03-16T02:22:00"/>
    <d v="2024-03-15T22:09:00"/>
    <n v="-251.82870370069091"/>
    <n v="25.879629630556639"/>
    <m/>
    <d v="2024-03-17T12:34:00"/>
    <d v="2024-03-17T17:42:00"/>
    <n v="301.58333334176859"/>
    <s v="Waited for empties from trade"/>
    <d v="2024-03-17T18:41:00"/>
    <d v="2024-03-17T19:25:00"/>
    <n v="43.083333340400713"/>
    <m/>
    <n v="1.8555555555503815"/>
    <n v="2"/>
    <n v="0.14444444444961846"/>
    <n v="44.533333333209157"/>
    <n v="12"/>
    <n v="32.533333333209157"/>
    <n v="4.278688524606495"/>
    <m/>
    <m/>
    <m/>
    <m/>
    <m/>
  </r>
  <r>
    <d v="2025-03-15T00:00:00"/>
    <x v="2"/>
    <s v="NBL"/>
    <s v="A21427"/>
    <s v="Manual"/>
    <m/>
    <s v="UBE 422T"/>
    <s v="Kato Investment Ltd -Mityana"/>
    <n v="69.599999999999994"/>
    <s v="A21427"/>
    <s v="OM"/>
    <n v="690"/>
    <n v="687"/>
    <n v="-3"/>
    <m/>
    <d v="2024-03-16T19:04:00"/>
    <d v="2024-03-16T01:59:00"/>
    <d v="2024-03-16T19:58:00"/>
    <n v="1074.0046296263852"/>
    <n v="53.749999997914223"/>
    <s v="pressure balancing"/>
    <d v="2024-03-17T10:22:00"/>
    <d v="2024-03-17T15:40:00"/>
    <n v="311.37500000957516"/>
    <s v="Waited for empties from trade"/>
    <d v="2024-03-18T12:02:00"/>
    <d v="2024-03-18T13:03:00"/>
    <n v="59.729166666438687"/>
    <m/>
    <n v="1.6694444444437977"/>
    <n v="3"/>
    <n v="1.3305555555562023"/>
    <n v="40.066666666651145"/>
    <n v="12"/>
    <n v="28.066666666651145"/>
    <n v="2.479809976248402"/>
    <m/>
    <m/>
    <m/>
    <m/>
    <m/>
  </r>
  <r>
    <d v="2025-03-15T00:00:00"/>
    <x v="2"/>
    <s v="NBL"/>
    <s v="A21425"/>
    <s v="Manual"/>
    <m/>
    <s v="UBE 419T"/>
    <s v="Kato Investment Ltd -Mubende"/>
    <n v="146.4"/>
    <s v="A21425"/>
    <s v="OM"/>
    <n v="680"/>
    <n v="677"/>
    <n v="-3"/>
    <m/>
    <d v="2024-03-16T08:19:00"/>
    <d v="2024-03-16T07:30:00"/>
    <d v="2024-03-16T08:47:00"/>
    <n v="76.643518518055018"/>
    <n v="27.870370367357584"/>
    <m/>
    <d v="2024-03-17T03:07:00"/>
    <d v="2024-03-17T14:26:00"/>
    <n v="664.85416666917445"/>
    <s v="Waited for empties from trade"/>
    <d v="2024-03-17T21:16:00"/>
    <d v="2024-03-17T22:07:00"/>
    <n v="49.93749999863212"/>
    <m/>
    <n v="1.5201388888890506"/>
    <n v="3"/>
    <n v="1.4798611111109494"/>
    <n v="36.483333333337214"/>
    <n v="12"/>
    <n v="24.483333333337214"/>
    <n v="5.9795779441787662"/>
    <m/>
    <m/>
    <m/>
    <m/>
    <m/>
  </r>
  <r>
    <d v="2025-03-15T00:00:00"/>
    <x v="2"/>
    <s v="NBL"/>
    <s v="Z83064"/>
    <s v="Manual"/>
    <m/>
    <s v="UBJ 988D"/>
    <s v="Kabaco U Ltd"/>
    <n v="153.6"/>
    <s v="Z83064"/>
    <s v="OM"/>
    <n v="320"/>
    <n v="318"/>
    <n v="-2"/>
    <m/>
    <d v="2024-03-16T15:51:00"/>
    <d v="2024-03-16T20:13:00"/>
    <d v="2024-03-16T16:19:00"/>
    <n v="-232.91666667500976"/>
    <n v="27.870370367357584"/>
    <m/>
    <d v="2024-03-17T10:16:00"/>
    <d v="2024-03-17T15:48:00"/>
    <n v="325.08333333629707"/>
    <s v="Waited for empties from trade"/>
    <d v="2024-03-18T14:51:00"/>
    <d v="2024-03-18T15:48:00"/>
    <n v="55.81249999726424"/>
    <m/>
    <n v="1.9388888888934162"/>
    <n v="2"/>
    <n v="6.1111111106583849E-2"/>
    <n v="46.533333333441988"/>
    <n v="12"/>
    <n v="34.533333333441988"/>
    <n v="4.4478764478624528"/>
    <m/>
    <m/>
    <m/>
    <m/>
    <m/>
  </r>
  <r>
    <d v="2025-03-15T00:00:00"/>
    <x v="2"/>
    <s v="KESH"/>
    <s v="Z83063"/>
    <s v="Manual"/>
    <m/>
    <s v="UBJ 421C"/>
    <s v="Rugoma Traders-Rukungiri"/>
    <n v="156"/>
    <s v="Z83063"/>
    <s v="OM"/>
    <n v="256"/>
    <n v="253"/>
    <n v="-3"/>
    <m/>
    <d v="2024-03-17T02:08:42"/>
    <d v="2024-03-17T01:22:42"/>
    <d v="2024-03-17T02:37:42"/>
    <n v="74.652777781254073"/>
    <n v="28.865740740972495"/>
    <m/>
    <d v="2024-03-19T08:37:42"/>
    <d v="2024-03-19T13:12:42"/>
    <n v="269.27083332877373"/>
    <s v="Waited for empties from trade"/>
    <d v="2024-03-20T07:06:59"/>
    <d v="2024-03-20T07:47:59"/>
    <n v="40.145833330825553"/>
    <m/>
    <n v="3.1870023148148903"/>
    <n v="2"/>
    <n v="-1.1870023148148903"/>
    <n v="76.488055555557366"/>
    <n v="36"/>
    <n v="40.488055555557366"/>
    <n v="3.8529881926766802"/>
    <m/>
    <m/>
    <m/>
    <m/>
    <m/>
  </r>
  <r>
    <d v="2025-03-15T00:00:00"/>
    <x v="2"/>
    <s v="KESH"/>
    <s v="A21418"/>
    <s v="Manual"/>
    <s v="Mudunga Musa"/>
    <s v="UBE 678K"/>
    <s v="KATO INVESTMENTS LTD-KATIKARA"/>
    <n v="148.80000000000001"/>
    <s v="A21418"/>
    <s v="OM"/>
    <n v="790"/>
    <n v="787"/>
    <n v="-3"/>
    <m/>
    <d v="2024-03-17T02:24:02"/>
    <d v="2024-03-17T01:41:02"/>
    <d v="2024-03-17T02:53:02"/>
    <n v="71.666666660409348"/>
    <n v="28.865740740972495"/>
    <m/>
    <d v="2024-03-18T09:10:02"/>
    <d v="2024-03-18T15:15:02"/>
    <n v="357.39583333903283"/>
    <s v="Not enough casuals to offload"/>
    <d v="2024-03-18T18:07:50"/>
    <d v="2024-03-18T19:03:50"/>
    <n v="54.833333337664953"/>
    <m/>
    <n v="1.6352777777792653"/>
    <n v="3"/>
    <n v="1.3647222222207347"/>
    <n v="39.246666666702367"/>
    <n v="12"/>
    <n v="27.246666666702367"/>
    <n v="5.4612184976684013"/>
    <m/>
    <m/>
    <m/>
    <m/>
    <m/>
  </r>
  <r>
    <d v="2025-03-15T00:00:00"/>
    <x v="2"/>
    <s v="KESH"/>
    <s v="A21417"/>
    <s v="Manual"/>
    <m/>
    <s v="UBJ 423C"/>
    <s v="Kato Investment Ltd -Mityana"/>
    <n v="5.04"/>
    <s v="A21417"/>
    <s v="OM"/>
    <n v="690"/>
    <n v="688"/>
    <n v="-2"/>
    <m/>
    <d v="2024-03-17T15:57:34"/>
    <d v="2024-03-17T03:16:34"/>
    <d v="2024-03-17T16:24:34"/>
    <n v="784.35185185347416"/>
    <n v="26.87500000417155"/>
    <m/>
    <d v="2024-03-17T16:55:34"/>
    <d v="2024-03-18T03:22:56"/>
    <n v="614.29652777005685"/>
    <s v="found another truck to be offloaded"/>
    <d v="2024-03-18T03:50:56"/>
    <d v="2024-03-18T04:47:56"/>
    <n v="55.81249999726424"/>
    <m/>
    <n v="0.47664351852290565"/>
    <n v="3"/>
    <n v="2.5233564814770943"/>
    <n v="11.439444444549736"/>
    <n v="0"/>
    <n v="11.439444444549736"/>
    <n v="0.44058083628364331"/>
    <m/>
    <m/>
    <m/>
    <m/>
    <m/>
  </r>
  <r>
    <d v="2025-03-16T00:00:00"/>
    <x v="2"/>
    <s v="KESH"/>
    <s v="A21438"/>
    <s v="Manual"/>
    <m/>
    <s v="UBR 903Y"/>
    <s v="KATO INVESTMENTS LTD-KATIKARA"/>
    <n v="156"/>
    <s v="A21438"/>
    <s v="OM"/>
    <n v="790"/>
    <n v="787"/>
    <n v="-3"/>
    <m/>
    <d v="2024-03-17T08:45:00"/>
    <d v="2024-03-16T08:00:00"/>
    <d v="2024-03-17T09:12:00"/>
    <n v="1504.9999999937427"/>
    <n v="26.87500000417155"/>
    <m/>
    <d v="2024-03-17T09:50:00"/>
    <d v="2024-03-17T17:28:00"/>
    <n v="448.45833333834889"/>
    <s v="Waited for empties from trade"/>
    <d v="2024-03-17T18:14:00"/>
    <d v="2024-03-17T18:55:00"/>
    <n v="40.145833330825553"/>
    <m/>
    <n v="0.37638888889341615"/>
    <n v="3"/>
    <n v="2.6236111111065838"/>
    <n v="9.0333333334419876"/>
    <n v="0"/>
    <n v="9.0333333334419876"/>
    <n v="17.26937269351922"/>
    <m/>
    <m/>
    <m/>
    <m/>
    <m/>
  </r>
  <r>
    <d v="2025-03-16T00:00:00"/>
    <x v="2"/>
    <s v="KESH"/>
    <s v="A21440"/>
    <s v="Manual"/>
    <s v="Taimwa Alex"/>
    <s v="UBJ 705D"/>
    <s v="Sawan Distributors Ltd-Kayabwe"/>
    <n v="15.75"/>
    <s v="A21440"/>
    <s v="OM"/>
    <n v="382"/>
    <n v="379"/>
    <n v="-3"/>
    <m/>
    <d v="2024-03-16T20:58:00"/>
    <d v="2024-03-16T08:00:00"/>
    <d v="2024-03-16T21:26:00"/>
    <n v="802.26851851596928"/>
    <n v="27.870370367357584"/>
    <m/>
    <d v="2024-03-17T16:14:00"/>
    <d v="2024-03-18T03:30:00"/>
    <n v="661.91666666985839"/>
    <s v="Waited for empties from trade"/>
    <d v="2024-03-18T08:53:00"/>
    <d v="2024-03-18T09:42:00"/>
    <n v="47.979166669174447"/>
    <m/>
    <n v="1.4770833333313931"/>
    <n v="2"/>
    <n v="0.52291666666860692"/>
    <n v="35.449999999953434"/>
    <n v="12"/>
    <n v="23.449999999953434"/>
    <n v="0.67164179104610988"/>
    <m/>
    <m/>
    <m/>
    <m/>
    <m/>
  </r>
  <r>
    <d v="2025-03-16T00:00:00"/>
    <x v="2"/>
    <s v="KESH"/>
    <s v="Z83078"/>
    <s v="Manual"/>
    <s v="Mulumba Kasim"/>
    <s v="UBE 680K"/>
    <s v="Kabaco U Ltd"/>
    <n v="156"/>
    <s v="Z83078"/>
    <s v="OM"/>
    <n v="320"/>
    <n v="317"/>
    <n v="-3"/>
    <m/>
    <d v="2024-03-18T02:44:00"/>
    <d v="2024-03-17T08:00:00"/>
    <d v="2024-03-18T03:10:00"/>
    <n v="1144.6759259236085"/>
    <n v="25.879629630556639"/>
    <m/>
    <d v="2024-03-18T03:16:00"/>
    <d v="2024-03-18T17:35:00"/>
    <n v="841.10416666917445"/>
    <s v="Waited for empties from trade"/>
    <d v="2024-03-18T19:09:00"/>
    <d v="2024-03-18T19:43:00"/>
    <n v="33.291666662335047"/>
    <m/>
    <n v="0.66597222222480923"/>
    <n v="2"/>
    <n v="1.3340277777751908"/>
    <n v="15.983333333395422"/>
    <n v="0"/>
    <n v="15.983333333395422"/>
    <n v="9.7601668404208972"/>
    <m/>
    <m/>
    <m/>
    <m/>
    <m/>
  </r>
  <r>
    <d v="2025-03-16T00:00:00"/>
    <x v="2"/>
    <s v="KESH"/>
    <s v="F16075"/>
    <s v="Manual"/>
    <s v="Tsaale Hassan"/>
    <s v="UBJ 703D"/>
    <s v="Boniface Harera"/>
    <n v="156"/>
    <s v="F16075"/>
    <s v="OM"/>
    <n v="448"/>
    <n v="446"/>
    <n v="-2"/>
    <m/>
    <d v="2024-03-18T08:10:00"/>
    <d v="2024-03-18T07:30:00"/>
    <d v="2024-03-18T08:38:00"/>
    <n v="67.685185186807459"/>
    <n v="27.870370367357584"/>
    <m/>
    <d v="2024-03-19T09:53:00"/>
    <d v="2024-03-19T13:14:00"/>
    <n v="196.81249999521242"/>
    <m/>
    <d v="2024-03-20T18:02:00"/>
    <d v="2024-03-20T19:00:00"/>
    <n v="56.791666667122627"/>
    <m/>
    <n v="2.3916666666627862"/>
    <n v="2"/>
    <n v="-0.39166666666278616"/>
    <n v="57.399999999906868"/>
    <n v="24"/>
    <n v="33.399999999906868"/>
    <n v="4.6706586826477539"/>
    <m/>
    <m/>
    <m/>
    <m/>
    <m/>
  </r>
  <r>
    <d v="2025-03-16T00:00:00"/>
    <x v="2"/>
    <s v="KESH"/>
    <s v="A21443"/>
    <s v="Manual"/>
    <s v="Kyakulaga James"/>
    <s v="UBJ 419C"/>
    <s v="Kato Investment Ltd -Mityana"/>
    <n v="78"/>
    <s v="A21443"/>
    <s v="OM"/>
    <n v="690"/>
    <n v="689"/>
    <n v="-1"/>
    <m/>
    <d v="2024-03-18T08:08:00"/>
    <d v="2024-03-18T07:30:00"/>
    <d v="2024-03-18T09:02:00"/>
    <n v="91.574074070134273"/>
    <n v="53.749999997914223"/>
    <s v="network failures"/>
    <d v="2024-03-18T18:02:00"/>
    <d v="2024-03-19T17:37:31"/>
    <n v="1386.0267361188016"/>
    <s v="Waited for empties from trade"/>
    <d v="2024-03-20T12:49:31"/>
    <d v="2024-03-20T13:43:31"/>
    <n v="52.87499999794818"/>
    <m/>
    <n v="2.1579976851862739"/>
    <n v="3"/>
    <n v="0.84200231481372612"/>
    <n v="51.791944444470573"/>
    <n v="24"/>
    <n v="27.791944444470573"/>
    <n v="2.8065686499858673"/>
    <m/>
    <m/>
    <m/>
    <m/>
    <m/>
  </r>
  <r>
    <d v="2025-03-16T00:00:00"/>
    <x v="2"/>
    <s v="KESH"/>
    <s v="Z83080"/>
    <s v="Manual"/>
    <m/>
    <s v="UBR 880Y"/>
    <s v="Kabaco U Ltd"/>
    <n v="156"/>
    <s v="Z83080"/>
    <s v="OM"/>
    <n v="320"/>
    <n v="319"/>
    <n v="-1"/>
    <m/>
    <d v="2024-03-18T08:12:00"/>
    <d v="2024-03-18T07:30:00"/>
    <d v="2024-03-18T08:38:00"/>
    <n v="67.685185186807459"/>
    <n v="25.879629630556639"/>
    <m/>
    <d v="2024-03-18T17:38:00"/>
    <d v="2024-03-19T17:13:31"/>
    <n v="1386.0267361085425"/>
    <s v="space consquents"/>
    <d v="2024-03-20T12:25:31"/>
    <d v="2024-03-20T13:25:31"/>
    <n v="58.7499999965803"/>
    <m/>
    <n v="2.1579976851862739"/>
    <n v="2"/>
    <n v="-0.15799768518627388"/>
    <n v="51.791944444470573"/>
    <n v="24"/>
    <n v="27.791944444470573"/>
    <n v="5.6131372999717346"/>
    <m/>
    <m/>
    <m/>
    <m/>
    <m/>
  </r>
  <r>
    <d v="2025-03-16T00:00:00"/>
    <x v="2"/>
    <s v="NBL"/>
    <s v="F16076"/>
    <s v="Manual"/>
    <m/>
    <s v="UBJ 988D"/>
    <s v="KATO INVESTMENTS LIMITED-MASAK"/>
    <n v="153.6"/>
    <s v="F16076"/>
    <s v="OM"/>
    <n v="298"/>
    <n v="295"/>
    <n v="-3"/>
    <m/>
    <d v="2024-03-18T07:44:00"/>
    <d v="2024-03-18T07:30:00"/>
    <d v="2024-03-18T08:13:00"/>
    <n v="42.80092592986572"/>
    <n v="28.865740740972495"/>
    <m/>
    <d v="2024-03-19T03:43:00"/>
    <d v="2024-03-19T16:20:00"/>
    <n v="741.22916666165111"/>
    <s v="truck faulty"/>
    <d v="2024-03-20T03:57:55"/>
    <d v="2024-03-20T04:38:55"/>
    <n v="40.145833330825553"/>
    <s v="dj failures at the gate"/>
    <n v="1.822858796294895"/>
    <n v="2"/>
    <n v="0.177141203705105"/>
    <n v="43.74861111107748"/>
    <n v="12"/>
    <n v="31.74861111107748"/>
    <n v="4.8380069119435296"/>
    <m/>
    <m/>
    <m/>
    <m/>
    <m/>
  </r>
  <r>
    <d v="2025-03-16T00:00:00"/>
    <x v="2"/>
    <s v="KESH"/>
    <s v="F16074"/>
    <s v="Manual"/>
    <s v="Ngobi Fred"/>
    <s v="UBK 866R"/>
    <s v="Boniface Harera"/>
    <n v="156"/>
    <s v="F16074"/>
    <s v="OM"/>
    <n v="448"/>
    <n v="445"/>
    <n v="-3"/>
    <m/>
    <d v="2024-03-19T06:56:00"/>
    <d v="2024-03-18T21:55:00"/>
    <d v="2024-03-19T07:23:00"/>
    <n v="565.37037036735762"/>
    <n v="26.87500000417155"/>
    <m/>
    <d v="2024-03-20T03:58:00"/>
    <d v="2024-03-20T15:17:00"/>
    <n v="664.85416666917445"/>
    <s v="slept at the RD and offloaded the next day"/>
    <d v="2024-03-20T09:56:00"/>
    <d v="2024-03-20T10:56:00"/>
    <n v="58.7499999965803"/>
    <m/>
    <n v="1.1062500000043656"/>
    <n v="2"/>
    <n v="0.89374999999563443"/>
    <n v="26.550000000104774"/>
    <n v="12"/>
    <n v="14.550000000104774"/>
    <n v="10.721649484458876"/>
    <m/>
    <m/>
    <m/>
    <m/>
    <m/>
  </r>
  <r>
    <d v="2025-03-17T00:00:00"/>
    <x v="2"/>
    <s v="KESH"/>
    <s v="A21467"/>
    <s v="Manual"/>
    <m/>
    <s v="UBE 692K"/>
    <s v="Kato Investments Ltd-Bulenga"/>
    <n v="156"/>
    <s v="A21467"/>
    <s v="OM"/>
    <n v="560"/>
    <n v="558"/>
    <n v="-2"/>
    <m/>
    <d v="2024-03-19T08:24:27"/>
    <d v="2024-03-19T07:30:27"/>
    <d v="2024-03-19T08:53:27"/>
    <n v="82.615740738886714"/>
    <n v="28.865740740972495"/>
    <m/>
    <d v="2024-03-20T07:23:27"/>
    <d v="2024-03-20T12:56:27"/>
    <n v="326.06250000615546"/>
    <s v="Waited for empties from trade"/>
    <d v="2024-03-21T06:02:49"/>
    <d v="2024-03-21T06:46:49"/>
    <n v="43.083333330141613"/>
    <m/>
    <n v="1.8815046296294895"/>
    <n v="3"/>
    <n v="1.1184953703705105"/>
    <n v="45.156111111107748"/>
    <n v="12"/>
    <n v="33.156111111107748"/>
    <n v="4.705014996397991"/>
    <m/>
    <m/>
    <m/>
    <m/>
    <m/>
  </r>
  <r>
    <d v="2025-03-17T00:00:00"/>
    <x v="2"/>
    <s v="KESH"/>
    <s v="A21468"/>
    <s v="Manual"/>
    <s v="Awali Malinzi"/>
    <s v="UBR 860Y"/>
    <s v="Kato Investment Ltd -Mubende"/>
    <n v="78"/>
    <s v="A21468"/>
    <s v="OM"/>
    <n v="680"/>
    <n v="677"/>
    <n v="-3"/>
    <m/>
    <d v="2024-03-19T15:39:00"/>
    <d v="2024-03-18T19:35:00"/>
    <d v="2024-03-19T16:05:00"/>
    <n v="1224.3055555625081"/>
    <n v="25.879629630556639"/>
    <m/>
    <d v="2024-03-20T12:27:00"/>
    <d v="2024-03-20T16:42:00"/>
    <n v="249.6874999931606"/>
    <s v="Waited for empties from trade"/>
    <d v="2024-03-21T07:55:00"/>
    <d v="2024-03-21T08:54:00"/>
    <n v="57.770833336981013"/>
    <m/>
    <n v="1.6597222222189885"/>
    <n v="3"/>
    <n v="1.3402777777810115"/>
    <n v="39.833333333255723"/>
    <n v="12"/>
    <n v="27.833333333255723"/>
    <n v="2.8023952095886524"/>
    <m/>
    <m/>
    <m/>
    <m/>
    <m/>
  </r>
  <r>
    <d v="2025-03-17T00:00:00"/>
    <x v="2"/>
    <s v="KESH"/>
    <s v="Z83096"/>
    <s v="Manual"/>
    <m/>
    <s v="UBJ 421C"/>
    <s v="Bates Enterprises Ltd-Ntoroko"/>
    <n v="56"/>
    <s v="Z83096"/>
    <s v="OM"/>
    <n v="464"/>
    <n v="461"/>
    <n v="-3"/>
    <m/>
    <d v="2024-03-19T13:12:00"/>
    <d v="2024-03-18T15:48:00"/>
    <d v="2024-03-19T13:38:00"/>
    <n v="1303.9351851909789"/>
    <n v="25.879629630556639"/>
    <m/>
    <d v="2024-03-21T08:55:00"/>
    <d v="2024-03-21T13:58:00"/>
    <n v="296.68749999247666"/>
    <s v="found another truck at the RD and offloaded the next day"/>
    <d v="2024-03-22T09:15:00"/>
    <d v="2024-03-22T10:05:00"/>
    <n v="48.958333339032833"/>
    <m/>
    <n v="2.8173611111051287"/>
    <n v="3"/>
    <n v="0.18263888889487134"/>
    <n v="67.616666666523088"/>
    <n v="24"/>
    <n v="43.616666666523088"/>
    <n v="1.2839128773446926"/>
    <m/>
    <m/>
    <m/>
    <m/>
    <m/>
  </r>
  <r>
    <d v="2025-03-17T00:00:00"/>
    <x v="2"/>
    <s v="KESH"/>
    <s v="A21464"/>
    <s v="Manual"/>
    <s v="SENTONG DAVID"/>
    <s v="UBP 298H"/>
    <s v="Ntale and Sons Ltd-Kakiri"/>
    <n v="148.80000000000001"/>
    <s v="A21464"/>
    <s v="OM"/>
    <n v="620"/>
    <n v="621"/>
    <n v="1"/>
    <m/>
    <d v="2024-03-19T08:29:00"/>
    <d v="2024-03-19T07:30:00"/>
    <d v="2024-03-19T08:58:00"/>
    <n v="87.592592596532384"/>
    <n v="28.865740740972495"/>
    <m/>
    <d v="2024-03-20T07:48:00"/>
    <d v="2024-03-20T14:05:00"/>
    <n v="369.14583333629707"/>
    <s v="Waited for empties from trade"/>
    <d v="2024-03-21T12:53:00"/>
    <d v="2024-03-21T13:31:00"/>
    <n v="37.208333331509493"/>
    <m/>
    <n v="2.1631944444452529"/>
    <n v="3"/>
    <n v="0.83680555555474712"/>
    <n v="51.916666666686069"/>
    <n v="24"/>
    <n v="27.916666666686069"/>
    <n v="5.3301492537276394"/>
    <m/>
    <m/>
    <m/>
    <m/>
    <m/>
  </r>
  <r>
    <d v="2025-03-17T00:00:00"/>
    <x v="2"/>
    <s v="KESH"/>
    <s v="Z83104"/>
    <s v="Manual"/>
    <m/>
    <s v="UBR 863Y"/>
    <s v="Kobusinge Steven-Kamwenge"/>
    <n v="156"/>
    <s v="Z83104"/>
    <s v="OM"/>
    <n v="288"/>
    <n v="285"/>
    <n v="-3"/>
    <m/>
    <d v="2024-03-19T08:10:00"/>
    <d v="2024-03-19T07:30:00"/>
    <d v="2024-03-19T08:38:00"/>
    <n v="67.685185186807459"/>
    <n v="27.870370367357584"/>
    <m/>
    <d v="2024-03-20T10:38:00"/>
    <d v="2024-03-20T15:40:00"/>
    <n v="295.70833333287737"/>
    <s v="Waited for empties from trade"/>
    <d v="2024-03-21T13:05:55"/>
    <d v="2024-03-21T13:56:55"/>
    <n v="49.93749999863212"/>
    <m/>
    <n v="2.1860532407372375"/>
    <n v="2"/>
    <n v="-0.1860532407372375"/>
    <n v="52.4652777776937"/>
    <n v="24"/>
    <n v="28.4652777776937"/>
    <n v="5.4803610636902542"/>
    <m/>
    <m/>
    <m/>
    <m/>
    <m/>
  </r>
  <r>
    <d v="2025-03-17T00:00:00"/>
    <x v="2"/>
    <s v="KESH"/>
    <s v="Z83095"/>
    <s v="Manual"/>
    <s v="Muzamiru"/>
    <s v="UBJ 417C"/>
    <s v="Rugoma Traders-Rukungiri"/>
    <n v="156"/>
    <s v="Z83095"/>
    <s v="OM"/>
    <n v="256"/>
    <n v="253"/>
    <n v="-3"/>
    <m/>
    <d v="2024-03-19T08:15:00"/>
    <d v="2024-03-19T07:30:00"/>
    <d v="2024-03-19T08:42:00"/>
    <n v="71.666666670838211"/>
    <n v="26.87500000417155"/>
    <m/>
    <d v="2024-03-19T21:12:00"/>
    <d v="2024-03-20T17:23:02"/>
    <n v="1185.8034722273442"/>
    <s v="Waited for empties from trade"/>
    <d v="2024-03-21T15:20:38"/>
    <d v="2024-03-21T16:17:38"/>
    <n v="55.81249999726424"/>
    <m/>
    <n v="2.2768287037033588"/>
    <n v="2"/>
    <n v="-0.27682870370335877"/>
    <n v="54.64388888888061"/>
    <n v="24"/>
    <n v="30.64388888888061"/>
    <n v="5.0907376856011863"/>
    <m/>
    <m/>
    <m/>
    <m/>
    <m/>
  </r>
  <r>
    <d v="2025-03-17T00:00:00"/>
    <x v="2"/>
    <s v="KESH"/>
    <s v="A21465"/>
    <s v="Manual"/>
    <s v="Nassasira"/>
    <s v="UBK 882R"/>
    <s v="Kato Investment Ltd -Mityana"/>
    <n v="187.2"/>
    <s v="A21465"/>
    <s v="OM"/>
    <n v="690"/>
    <n v="687"/>
    <n v="-3"/>
    <m/>
    <d v="2024-03-20T01:34:50"/>
    <d v="2024-03-20T00:53:50"/>
    <d v="2024-03-20T02:01:50"/>
    <n v="67.685185186807459"/>
    <n v="26.87500000417155"/>
    <m/>
    <d v="2024-03-20T14:31:50"/>
    <d v="2024-03-20T18:08:50"/>
    <n v="212.47916667191021"/>
    <s v="less casuals and offloaded the next day"/>
    <d v="2024-03-21T14:32:50"/>
    <d v="2024-03-21T15:32:50"/>
    <n v="58.7499999965803"/>
    <m/>
    <n v="1.5215277777751908"/>
    <n v="3"/>
    <n v="1.4784722222248092"/>
    <n v="36.516666666604578"/>
    <n v="12"/>
    <n v="24.516666666604578"/>
    <n v="7.6356220258521033"/>
    <m/>
    <m/>
    <m/>
    <m/>
    <m/>
  </r>
  <r>
    <d v="2025-03-17T00:00:00"/>
    <x v="2"/>
    <s v="KESH"/>
    <s v="A21466"/>
    <s v="Manual"/>
    <s v="Lule Fred"/>
    <s v="UBP 310H"/>
    <s v="KATO INVESTMENTS LTD-KATIKARA"/>
    <n v="70.8"/>
    <s v="A21466"/>
    <s v="OM"/>
    <n v="790"/>
    <n v="787"/>
    <n v="-3"/>
    <m/>
    <d v="2024-03-20T08:19:32"/>
    <d v="2024-03-20T07:30:32"/>
    <d v="2024-03-20T08:47:32"/>
    <n v="76.643518518055018"/>
    <n v="27.870370367357584"/>
    <m/>
    <d v="2024-03-20T09:14:32"/>
    <d v="2024-03-20T12:31:32"/>
    <n v="192.89583332603797"/>
    <s v="Waited for empties from trade"/>
    <d v="2024-03-20T13:01:32"/>
    <d v="2024-03-20T13:46:32"/>
    <n v="44.0625"/>
    <m/>
    <n v="0.17638888888905058"/>
    <n v="3"/>
    <n v="2.8236111111109494"/>
    <n v="4.2333333333372138"/>
    <n v="0"/>
    <n v="4.2333333333372138"/>
    <n v="16.724409448803566"/>
    <m/>
    <m/>
    <m/>
    <m/>
    <m/>
  </r>
  <r>
    <d v="2025-03-17T00:00:00"/>
    <x v="2"/>
    <s v="KESH"/>
    <s v="Z83094"/>
    <s v="Manual"/>
    <m/>
    <s v="UBP 304H"/>
    <s v="Bates Enterprises U Ltd"/>
    <n v="156"/>
    <s v="Z83094"/>
    <s v="OM"/>
    <n v="464"/>
    <n v="461"/>
    <n v="-3"/>
    <m/>
    <d v="2024-03-20T08:12:55"/>
    <d v="2024-03-20T07:32:55"/>
    <d v="2024-03-20T08:40:55"/>
    <n v="67.685185186807459"/>
    <n v="27.870370367357584"/>
    <m/>
    <d v="2024-03-20T10:50:55"/>
    <d v="2024-03-20T15:30:55"/>
    <n v="274.16666666780657"/>
    <s v="Waited for empties from trade"/>
    <d v="2024-03-20T17:40:55"/>
    <d v="2024-03-20T18:28:55"/>
    <n v="46.99999999931606"/>
    <m/>
    <n v="0.375"/>
    <n v="3"/>
    <n v="2.625"/>
    <n v="9"/>
    <n v="0"/>
    <n v="9"/>
    <n v="17.333333333333332"/>
    <m/>
    <m/>
    <m/>
    <m/>
    <m/>
  </r>
  <r>
    <d v="2025-03-17T00:00:00"/>
    <x v="2"/>
    <s v="KESH"/>
    <s v="A21469"/>
    <s v="Manual"/>
    <s v="Eriku Alipa"/>
    <s v="UBK 858R"/>
    <s v="Kato Investment Ltd -Kagadi"/>
    <n v="156"/>
    <s v="A21469"/>
    <s v="OM"/>
    <n v="670"/>
    <n v="671"/>
    <n v="1"/>
    <m/>
    <d v="2024-03-17T20:47:00"/>
    <d v="2024-03-17T01:59:00"/>
    <d v="2024-03-17T21:13:00"/>
    <n v="1148.6574074076391"/>
    <n v="25.879629630556639"/>
    <m/>
    <d v="2024-03-18T14:03:00"/>
    <d v="2024-03-18T16:16:00"/>
    <n v="130.22916666028323"/>
    <s v="slept at the RD and offloaded the next day"/>
    <d v="2024-03-19T09:19:00"/>
    <d v="2024-03-19T10:07:00"/>
    <n v="46.99999999931606"/>
    <m/>
    <n v="1.5041666666656965"/>
    <n v="2"/>
    <n v="0.49583333333430346"/>
    <n v="36.099999999976717"/>
    <n v="12"/>
    <n v="24.099999999976717"/>
    <n v="6.4730290456494073"/>
    <m/>
    <m/>
    <m/>
    <m/>
    <m/>
  </r>
  <r>
    <d v="2025-03-17T00:00:00"/>
    <x v="2"/>
    <s v="NBL"/>
    <s v="F16083"/>
    <s v="Manual"/>
    <m/>
    <s v="UBJ 988D"/>
    <s v="Rugoma Traders-Kanungu/Kihihi"/>
    <n v="153.6"/>
    <s v="F16083"/>
    <s v="OM"/>
    <n v="414"/>
    <n v="411"/>
    <n v="-3"/>
    <m/>
    <d v="2024-03-20T08:18:00"/>
    <d v="2024-03-20T07:30:00"/>
    <d v="2024-03-20T08:45:00"/>
    <n v="74.652777781254073"/>
    <n v="26.87500000417155"/>
    <m/>
    <d v="2024-03-21T08:45:00"/>
    <d v="2024-03-21T13:44:00"/>
    <n v="292.77083333356131"/>
    <s v="Waited for empties from trade"/>
    <d v="2024-03-22T09:57:00"/>
    <d v="2024-03-22T10:53:00"/>
    <n v="54.833333337664953"/>
    <m/>
    <n v="2.0499999999956344"/>
    <n v="2"/>
    <n v="-4.9999999995634425E-2"/>
    <n v="49.199999999895226"/>
    <n v="24"/>
    <n v="25.199999999895226"/>
    <n v="6.0952380952634373"/>
    <m/>
    <m/>
    <m/>
    <m/>
    <m/>
  </r>
  <r>
    <d v="2025-03-17T00:00:00"/>
    <x v="2"/>
    <s v="KESH"/>
    <s v="Z83099"/>
    <s v="Manual"/>
    <s v="kakembo Masudi"/>
    <s v="UBM 644D"/>
    <s v="Kabaco U Ltd"/>
    <n v="148.80000000000001"/>
    <s v="Z83099"/>
    <s v="OM"/>
    <n v="320"/>
    <n v="319"/>
    <n v="-1"/>
    <m/>
    <d v="2024-03-20T08:27:00"/>
    <d v="2024-03-20T07:30:00"/>
    <d v="2024-03-20T08:53:00"/>
    <n v="82.615740738886714"/>
    <n v="25.879629630556639"/>
    <m/>
    <d v="2024-03-21T08:23:00"/>
    <d v="2024-03-21T13:00:00"/>
    <n v="271.22916665823141"/>
    <s v="Waited for empties from trade"/>
    <d v="2024-03-22T03:48:00"/>
    <d v="2024-03-22T04:41:00"/>
    <n v="51.895833338348893"/>
    <m/>
    <n v="1.7881944444452529"/>
    <n v="2"/>
    <n v="0.21180555555474712"/>
    <n v="42.916666666686069"/>
    <n v="12"/>
    <n v="30.916666666686069"/>
    <n v="4.8129380053878155"/>
    <m/>
    <m/>
    <m/>
    <m/>
    <m/>
  </r>
  <r>
    <d v="2025-03-17T00:00:00"/>
    <x v="2"/>
    <s v="KESH"/>
    <s v="Z83102"/>
    <s v="Manual"/>
    <m/>
    <s v="UBR 538W"/>
    <s v="Kobusinge Steven-FPortal"/>
    <n v="156"/>
    <s v="Z83102"/>
    <s v="OM"/>
    <n v="304"/>
    <n v="301"/>
    <n v="-3"/>
    <m/>
    <d v="2024-03-20T20:52:00"/>
    <d v="2024-03-20T16:40:00"/>
    <d v="2024-03-20T21:21:00"/>
    <n v="279.6990740680485"/>
    <n v="28.865740740972495"/>
    <m/>
    <d v="2024-03-21T15:23:00"/>
    <d v="2024-03-22T08:51:00"/>
    <n v="1026.1666666671226"/>
    <s v="found another truck to be offloaded"/>
    <d v="2024-03-23T17:22:00"/>
    <d v="2024-03-23T18:03:00"/>
    <n v="40.145833330825553"/>
    <m/>
    <n v="2.8340277777824667"/>
    <n v="2"/>
    <n v="-0.83402777778246673"/>
    <n v="68.016666666779201"/>
    <n v="24"/>
    <n v="44.016666666779201"/>
    <n v="3.5441120787489853"/>
    <m/>
    <m/>
    <m/>
    <m/>
    <m/>
  </r>
  <r>
    <d v="2025-03-18T00:00:00"/>
    <x v="2"/>
    <s v="KESH"/>
    <s v="Z83125"/>
    <s v="Manual"/>
    <s v="Ikwalikwa Yusuf"/>
    <s v="UBP 311H"/>
    <s v="Kabaco U Ltd"/>
    <n v="156"/>
    <s v="Z83125"/>
    <s v="OM"/>
    <n v="320"/>
    <n v="317"/>
    <n v="-3"/>
    <m/>
    <d v="2024-03-21T09:52:37"/>
    <d v="2024-03-21T09:03:37"/>
    <d v="2024-03-21T10:19:37"/>
    <n v="75.648148154868977"/>
    <n v="26.87500000417155"/>
    <m/>
    <d v="2024-03-22T08:49:37"/>
    <d v="2024-03-22T12:26:37"/>
    <n v="212.47916666165111"/>
    <s v="Waited for empties from trade"/>
    <d v="2024-03-23T10:24:13"/>
    <d v="2024-03-23T11:24:13"/>
    <n v="58.7499999965803"/>
    <m/>
    <n v="2.0031944444417604"/>
    <n v="2"/>
    <n v="-3.1944444417604245E-3"/>
    <n v="48.07666666660225"/>
    <n v="24"/>
    <n v="24.07666666660225"/>
    <n v="6.4793022290080593"/>
    <m/>
    <m/>
    <m/>
    <m/>
    <m/>
  </r>
  <r>
    <d v="2025-03-18T00:00:00"/>
    <x v="2"/>
    <s v="NBL"/>
    <s v="F16092"/>
    <s v="Manual"/>
    <m/>
    <s v="UBE 422T"/>
    <s v="KATO INVESTMENTS LIMITED-MASAK"/>
    <n v="76.8"/>
    <s v="F16092"/>
    <s v="OM"/>
    <n v="298"/>
    <n v="297"/>
    <n v="-1"/>
    <m/>
    <d v="2024-03-21T15:59:00"/>
    <d v="2024-03-20T09:00:00"/>
    <d v="2024-03-21T16:25:00"/>
    <n v="1876.2731481527833"/>
    <n v="25.879629630556639"/>
    <m/>
    <d v="2024-03-22T12:32:00"/>
    <d v="2024-03-24T07:30:00"/>
    <n v="2524.2916666671226"/>
    <s v="Waited for empties from trade"/>
    <d v="2024-03-24T15:03:00"/>
    <d v="2024-03-24T16:00:00"/>
    <n v="55.81249999726424"/>
    <m/>
    <n v="2.9430555555518367"/>
    <n v="2"/>
    <n v="-0.94305555555183673"/>
    <n v="70.633333333244082"/>
    <n v="24"/>
    <n v="46.633333333244082"/>
    <n v="1.6468906361718438"/>
    <m/>
    <m/>
    <m/>
    <m/>
    <m/>
  </r>
  <r>
    <d v="2025-03-18T00:00:00"/>
    <x v="2"/>
    <s v="KESH"/>
    <s v="Z83126"/>
    <s v="Manual"/>
    <s v="Byanshala Stoney"/>
    <s v="UBP 312H"/>
    <s v="Kabaco U Ltd"/>
    <n v="156"/>
    <s v="Z83126"/>
    <s v="OM"/>
    <n v="320"/>
    <n v="319"/>
    <n v="-1"/>
    <m/>
    <d v="2024-03-21T16:58:00"/>
    <d v="2024-03-20T08:00:00"/>
    <d v="2024-03-21T17:24:00"/>
    <n v="1994.7222222166602"/>
    <n v="25.879629630556639"/>
    <m/>
    <d v="2024-03-23T12:08:00"/>
    <d v="2024-03-23T16:12:00"/>
    <n v="238.91666666575475"/>
    <s v="truck faulty"/>
    <d v="2024-03-24T03:31:00"/>
    <d v="2024-03-24T04:12:00"/>
    <n v="40.145833330825553"/>
    <m/>
    <n v="2.421527777776646"/>
    <n v="2"/>
    <n v="-0.42152777777664596"/>
    <n v="58.116666666639503"/>
    <n v="24"/>
    <n v="34.116666666639503"/>
    <n v="4.5725451880837582"/>
    <m/>
    <m/>
    <m/>
    <m/>
    <m/>
  </r>
  <r>
    <d v="2025-03-18T00:00:00"/>
    <x v="2"/>
    <s v="NBL"/>
    <s v="Z83124"/>
    <s v="Manual"/>
    <m/>
    <s v="UBE 419T"/>
    <s v="Kabaco U Ltd"/>
    <n v="153.6"/>
    <s v="Z83124"/>
    <s v="OM"/>
    <n v="320"/>
    <n v="319"/>
    <n v="-1"/>
    <m/>
    <d v="2024-03-22T06:36:00"/>
    <d v="2024-03-20T08:00:00"/>
    <d v="2024-03-22T07:03:00"/>
    <n v="2809.9305555479077"/>
    <n v="26.87500000417155"/>
    <m/>
    <d v="2024-03-22T14:03:00"/>
    <d v="2024-03-22T16:21:00"/>
    <n v="135.12499999931606"/>
    <m/>
    <d v="2024-03-23T03:31:00"/>
    <d v="2024-03-23T04:23:00"/>
    <n v="50.916666668490507"/>
    <m/>
    <n v="0.85277777777810115"/>
    <n v="2"/>
    <n v="1.1472222222218988"/>
    <n v="20.466666666674428"/>
    <n v="0"/>
    <n v="20.466666666674428"/>
    <n v="7.5048859934824961"/>
    <m/>
    <m/>
    <m/>
    <m/>
    <m/>
  </r>
  <r>
    <d v="2025-03-18T00:00:00"/>
    <x v="2"/>
    <s v="KESH"/>
    <s v="Z83127"/>
    <s v="Manual"/>
    <s v="Faruk Abel"/>
    <s v="UBR 539W"/>
    <s v="Kabaco U Ltd"/>
    <n v="156"/>
    <s v="Z83127"/>
    <s v="OM"/>
    <n v="320"/>
    <n v="318"/>
    <n v="-2"/>
    <m/>
    <d v="2024-03-21T08:12:00"/>
    <d v="2024-03-21T07:30:00"/>
    <d v="2024-03-21T08:38:00"/>
    <n v="67.685185186807459"/>
    <n v="25.879629630556639"/>
    <m/>
    <d v="2024-03-22T10:23:00"/>
    <d v="2024-03-22T15:45:00"/>
    <n v="315.29166666849051"/>
    <s v="Waited for empties from trade"/>
    <d v="2024-03-23T17:54:36"/>
    <d v="2024-03-23T18:35:36"/>
    <n v="40.145833330825553"/>
    <m/>
    <n v="2.3865277777731535"/>
    <n v="2"/>
    <n v="-0.3865277777731535"/>
    <n v="57.276666666555684"/>
    <n v="24"/>
    <n v="33.276666666555684"/>
    <n v="4.6879695482476293"/>
    <m/>
    <m/>
    <m/>
    <m/>
    <m/>
  </r>
  <r>
    <d v="2025-03-18T00:00:00"/>
    <x v="2"/>
    <s v="KESH"/>
    <s v="A21497"/>
    <s v="Manual"/>
    <s v="kayanja Sam"/>
    <s v="UBF 379L"/>
    <s v="Sawan Distributors Ltd-Kayabwe"/>
    <n v="156"/>
    <s v="A21497"/>
    <s v="OM"/>
    <n v="382"/>
    <n v="381"/>
    <n v="-1"/>
    <m/>
    <d v="2024-03-21T08:16:00"/>
    <d v="2024-03-21T07:30:00"/>
    <d v="2024-03-21T08:42:00"/>
    <n v="71.666666670838211"/>
    <n v="25.879629630556639"/>
    <m/>
    <d v="2024-03-22T03:07:00"/>
    <d v="2024-03-22T19:28:00"/>
    <n v="960.56250000205182"/>
    <s v="Not enough casuals to offload"/>
    <d v="2024-03-23T21:54:44"/>
    <d v="2024-03-23T22:54:44"/>
    <n v="58.7499999965803"/>
    <m/>
    <n v="2.5505092592575238"/>
    <n v="2"/>
    <n v="-0.55050925925752381"/>
    <n v="61.212222222180571"/>
    <n v="24"/>
    <n v="37.212222222180571"/>
    <n v="4.1921710310279519"/>
    <m/>
    <m/>
    <m/>
    <m/>
    <m/>
  </r>
  <r>
    <d v="2025-03-18T00:00:00"/>
    <x v="2"/>
    <s v="KESH"/>
    <s v="F16094"/>
    <s v="Manual"/>
    <s v="ZIWA ABASI"/>
    <s v="UBJ 420C"/>
    <s v="Boniface Harera"/>
    <n v="156"/>
    <s v="F16094"/>
    <s v="OM"/>
    <n v="448"/>
    <n v="447"/>
    <n v="-1"/>
    <m/>
    <d v="2024-03-21T08:11:00"/>
    <d v="2024-03-21T07:30:00"/>
    <d v="2024-03-21T08:38:00"/>
    <n v="67.685185186807459"/>
    <n v="26.87500000417155"/>
    <m/>
    <d v="2024-03-22T09:38:00"/>
    <d v="2024-03-22T14:38:00"/>
    <n v="293.7500000034197"/>
    <s v="Reached late and offloaded the next day"/>
    <d v="2024-03-23T12:14:00"/>
    <d v="2024-03-23T13:14:00"/>
    <n v="58.7499999965803"/>
    <m/>
    <n v="2.1500000000014552"/>
    <n v="2"/>
    <n v="-0.15000000000145519"/>
    <n v="51.600000000034925"/>
    <n v="24"/>
    <n v="27.600000000034925"/>
    <n v="5.652173913036326"/>
    <m/>
    <m/>
    <m/>
    <m/>
    <m/>
  </r>
  <r>
    <d v="2025-03-18T00:00:00"/>
    <x v="2"/>
    <s v="KESH"/>
    <s v="Z83131"/>
    <s v="Manual"/>
    <m/>
    <s v="UBR 880Y"/>
    <s v="Kobusinge Steven-FPortal"/>
    <n v="156"/>
    <s v="Z83131"/>
    <s v="OM"/>
    <n v="304"/>
    <n v="301"/>
    <n v="-3"/>
    <m/>
    <d v="2024-03-21T08:12:00"/>
    <d v="2024-03-21T07:30:00"/>
    <d v="2024-03-21T08:38:00"/>
    <n v="67.685185186807459"/>
    <n v="25.879629630556639"/>
    <m/>
    <d v="2024-03-22T07:08:00"/>
    <d v="2024-03-22T16:17:00"/>
    <n v="537.56249999794818"/>
    <s v="found another truck to be offloaded"/>
    <d v="2024-03-23T08:53:07"/>
    <d v="2024-03-23T09:38:07"/>
    <n v="44.0625"/>
    <m/>
    <n v="2.010497685187147"/>
    <n v="2"/>
    <n v="-1.0497685187146999E-2"/>
    <n v="48.251944444491528"/>
    <n v="24"/>
    <n v="24.251944444491528"/>
    <n v="6.4324739138775779"/>
    <m/>
    <m/>
    <m/>
    <m/>
    <m/>
  </r>
  <r>
    <d v="2025-03-20T00:00:00"/>
    <x v="2"/>
    <s v="KESH"/>
    <s v="Z83162"/>
    <s v="Manual"/>
    <m/>
    <s v="UBG 084B"/>
    <s v="Rugoma Traders-Rukungiri"/>
    <n v="156"/>
    <s v="Z83162"/>
    <s v="OM"/>
    <n v="256"/>
    <n v="255"/>
    <n v="-1"/>
    <m/>
    <d v="2024-03-21T08:31:00"/>
    <d v="2024-03-21T07:30:00"/>
    <d v="2024-03-21T08:58:00"/>
    <n v="87.592592596532384"/>
    <n v="26.87500000417155"/>
    <m/>
    <d v="2024-03-21T15:58:00"/>
    <d v="2024-03-21T19:29:00"/>
    <n v="206.60416666301899"/>
    <s v="found another truck at the RD"/>
    <d v="2024-03-22T19:29:00"/>
    <d v="2024-03-22T20:38:00"/>
    <n v="67.56250000478758"/>
    <s v="sorting delays"/>
    <n v="1.4381944444394321"/>
    <n v="2"/>
    <n v="0.56180555556056788"/>
    <n v="34.516666666546371"/>
    <n v="12"/>
    <n v="22.516666666546371"/>
    <n v="6.9282013323834244"/>
    <m/>
    <m/>
    <m/>
    <m/>
    <m/>
  </r>
  <r>
    <d v="2025-03-20T00:00:00"/>
    <x v="2"/>
    <s v="NBL"/>
    <s v="A21544"/>
    <s v="Manual"/>
    <m/>
    <s v="UBE 422T"/>
    <s v="Kato Investments Ltd- Kakumiro"/>
    <n v="76.8"/>
    <s v="A21544"/>
    <s v="OM"/>
    <n v="790"/>
    <n v="788"/>
    <n v="-2"/>
    <m/>
    <d v="2024-03-21T08:16:00"/>
    <d v="2024-03-21T07:30:00"/>
    <d v="2024-03-21T08:42:00"/>
    <n v="71.666666670838211"/>
    <n v="25.879629630556639"/>
    <m/>
    <d v="2024-03-21T15:42:00"/>
    <d v="2024-03-21T19:20:00"/>
    <n v="213.45833333150949"/>
    <s v="Waited for empties from trade"/>
    <d v="2024-03-22T02:50:00"/>
    <d v="2024-03-22T03:41:00"/>
    <n v="49.93749999863212"/>
    <m/>
    <n v="0.75555555555183673"/>
    <n v="3"/>
    <n v="2.2444444444481633"/>
    <n v="18.133333333244082"/>
    <n v="0"/>
    <n v="18.133333333244082"/>
    <n v="4.2352941176679044"/>
    <m/>
    <m/>
    <m/>
    <m/>
    <m/>
  </r>
  <r>
    <d v="2025-03-20T00:00:00"/>
    <x v="2"/>
    <s v="KESH"/>
    <s v="Z83163"/>
    <s v="Manual"/>
    <s v="kakembo Masudi"/>
    <s v="UBM 644D"/>
    <s v="Kobusinge Steven-Kamwenge"/>
    <n v="6.3"/>
    <s v="Z83163"/>
    <s v="OM"/>
    <n v="288"/>
    <n v="285"/>
    <n v="-3"/>
    <m/>
    <d v="2024-03-22T08:36:00"/>
    <d v="2024-03-21T20:25:00"/>
    <d v="2024-03-22T09:02:00"/>
    <n v="753.49537036527181"/>
    <n v="25.879629630556639"/>
    <m/>
    <d v="2024-03-23T08:47:00"/>
    <d v="2024-03-23T13:12:00"/>
    <n v="259.47916667122627"/>
    <s v="Waited for empties from trade"/>
    <d v="2024-03-23T13:41:00"/>
    <d v="2024-03-23T14:38:00"/>
    <n v="55.81249999726424"/>
    <m/>
    <n v="1.1937500000058208"/>
    <n v="2"/>
    <n v="0.80624999999417923"/>
    <n v="28.650000000139698"/>
    <n v="12"/>
    <n v="16.650000000139698"/>
    <n v="0.37837837837520366"/>
    <m/>
    <m/>
    <m/>
    <m/>
    <m/>
  </r>
  <r>
    <d v="2025-03-20T00:00:00"/>
    <x v="2"/>
    <s v="KESH"/>
    <s v="A21547"/>
    <s v="Manual"/>
    <m/>
    <s v="UBR 864Y"/>
    <s v="Kato Investment Ltd -Kagadi"/>
    <n v="78"/>
    <s v="A21547"/>
    <s v="OM"/>
    <n v="670"/>
    <n v="667"/>
    <n v="-3"/>
    <m/>
    <d v="2024-03-22T03:07:00"/>
    <d v="2024-03-21T08:00:00"/>
    <d v="2024-03-22T03:34:00"/>
    <n v="1168.5648148069351"/>
    <n v="26.87500000417155"/>
    <m/>
    <d v="2024-03-23T08:37:00"/>
    <d v="2024-03-23T13:57:00"/>
    <n v="313.33333333903283"/>
    <m/>
    <d v="2024-03-23T21:43:00"/>
    <d v="2024-03-23T22:26:00"/>
    <n v="42.104166660283227"/>
    <m/>
    <n v="1.7562500000058208"/>
    <n v="2"/>
    <n v="0.24374999999417923"/>
    <n v="42.150000000139698"/>
    <n v="12"/>
    <n v="30.150000000139698"/>
    <n v="2.5870646766049283"/>
    <m/>
    <m/>
    <m/>
    <m/>
    <m/>
  </r>
  <r>
    <d v="2025-03-20T00:00:00"/>
    <x v="2"/>
    <s v="KESH"/>
    <s v="Z83164"/>
    <s v="Manual"/>
    <s v="SENTONG DAVID"/>
    <s v="UBP 298H"/>
    <s v="Bates Enterprises U Ltd"/>
    <n v="78"/>
    <s v="Z83164"/>
    <s v="OM"/>
    <n v="464"/>
    <n v="461"/>
    <n v="-3"/>
    <m/>
    <d v="2024-03-22T12:19:13"/>
    <d v="2024-03-22T03:34:13"/>
    <d v="2024-03-22T12:46:13"/>
    <n v="549.44444444166345"/>
    <n v="26.87500000417155"/>
    <m/>
    <d v="2024-03-22T13:22:13"/>
    <d v="2024-03-22T15:40:13"/>
    <n v="135.12499999931606"/>
    <m/>
    <d v="2024-03-22T16:10:13"/>
    <d v="2024-03-22T17:03:13"/>
    <n v="51.895833338348893"/>
    <m/>
    <n v="0.14166666666278616"/>
    <n v="3"/>
    <n v="2.8583333333372138"/>
    <n v="3.3999999999068677"/>
    <n v="0"/>
    <n v="3.3999999999068677"/>
    <n v="22.941176471216636"/>
    <m/>
    <m/>
    <m/>
    <m/>
    <m/>
  </r>
  <r>
    <d v="2025-03-20T00:00:00"/>
    <x v="2"/>
    <s v="KESH"/>
    <s v="F16102"/>
    <s v="Manual"/>
    <s v="ZIWA ABASI"/>
    <s v="UBJ 420C"/>
    <s v="Boniface Harera"/>
    <n v="148.80000000000001"/>
    <s v="F16102"/>
    <s v="OM"/>
    <n v="448"/>
    <n v="446"/>
    <n v="-2"/>
    <m/>
    <d v="2024-03-22T12:34:22"/>
    <d v="2024-03-22T03:39:22"/>
    <d v="2024-03-22T13:02:22"/>
    <n v="560.39351852014079"/>
    <n v="27.870370367357584"/>
    <m/>
    <d v="2024-03-22T19:02:22"/>
    <d v="2024-03-23T03:47:29"/>
    <n v="514.17673611045757"/>
    <m/>
    <d v="2024-03-23T17:07:29"/>
    <d v="2024-03-23T17:48:29"/>
    <n v="40.145833330825553"/>
    <m/>
    <n v="1.1702199074061355"/>
    <n v="2"/>
    <n v="0.82978009259386454"/>
    <n v="28.085277777747251"/>
    <n v="12"/>
    <n v="16.085277777747251"/>
    <n v="9.2506950800596925"/>
    <m/>
    <m/>
    <m/>
    <m/>
    <m/>
  </r>
  <r>
    <d v="2025-03-20T00:00:00"/>
    <x v="2"/>
    <s v="NBL"/>
    <s v="A21545"/>
    <s v="Manual"/>
    <m/>
    <s v="UBE 419T"/>
    <s v="Ntale and Sons"/>
    <n v="153.6"/>
    <s v="A21545"/>
    <s v="OM"/>
    <n v="810"/>
    <n v="807"/>
    <n v="-3"/>
    <m/>
    <d v="2024-03-22T08:11:00"/>
    <d v="2024-03-22T07:30:00"/>
    <d v="2024-03-22T08:38:00"/>
    <n v="67.685185186807459"/>
    <n v="26.87500000417155"/>
    <m/>
    <d v="2024-03-23T10:38:00"/>
    <d v="2024-03-23T15:53:00"/>
    <n v="308.4375"/>
    <m/>
    <d v="2024-03-24T14:41:00"/>
    <d v="2024-03-24T15:33:00"/>
    <n v="50.916666668490507"/>
    <m/>
    <n v="2.2520833333328483"/>
    <n v="3"/>
    <n v="0.74791666666715173"/>
    <n v="54.049999999988358"/>
    <n v="24"/>
    <n v="30.049999999988358"/>
    <n v="5.1114808652266053"/>
    <m/>
    <m/>
    <m/>
    <m/>
    <m/>
  </r>
  <r>
    <d v="2025-03-20T00:00:00"/>
    <x v="2"/>
    <s v="NBL"/>
    <s v="Z83160"/>
    <s v="Manual"/>
    <m/>
    <s v="UBJ 988D"/>
    <s v="Kabaco U Ltd-Mbarara "/>
    <n v="153.6"/>
    <s v="Z83160"/>
    <s v="OM"/>
    <n v="20"/>
    <n v="17"/>
    <n v="-3"/>
    <m/>
    <d v="2024-03-22T08:21:00"/>
    <d v="2024-03-22T07:30:00"/>
    <d v="2024-03-22T08:47:00"/>
    <n v="76.643518518055018"/>
    <n v="25.879629630556639"/>
    <m/>
    <d v="2024-03-22T17:47:00"/>
    <d v="2024-03-23T14:26:50"/>
    <n v="1214.0034722228302"/>
    <s v="space consquents"/>
    <d v="2024-03-24T07:58:02"/>
    <d v="2024-03-24T08:39:02"/>
    <n v="40.145833330825553"/>
    <m/>
    <n v="1.965995370374003"/>
    <n v="1"/>
    <n v="-0.96599537037400296"/>
    <n v="47.183888888976071"/>
    <n v="12"/>
    <n v="35.183888888976071"/>
    <n v="4.3656345233663592"/>
    <m/>
    <m/>
    <m/>
    <m/>
    <m/>
  </r>
  <r>
    <d v="2025-03-20T00:00:00"/>
    <x v="2"/>
    <s v="KESH"/>
    <s v="F16103"/>
    <s v="Manual"/>
    <s v="Tsaale Hassan"/>
    <s v="UBJ 703D"/>
    <s v="Boniface Harera"/>
    <n v="156"/>
    <s v="F16103"/>
    <s v="OM"/>
    <n v="448"/>
    <n v="445"/>
    <n v="-3"/>
    <m/>
    <d v="2024-03-22T08:11:00"/>
    <d v="2024-03-22T07:30:00"/>
    <d v="2024-03-22T08:38:00"/>
    <n v="67.685185186807459"/>
    <n v="26.87500000417155"/>
    <m/>
    <d v="2024-03-23T10:38:00"/>
    <d v="2024-03-23T15:26:00"/>
    <n v="281.99999999589636"/>
    <s v="Reached late and offloaded the next day"/>
    <d v="2024-03-24T03:03:55"/>
    <d v="2024-03-24T03:59:55"/>
    <n v="54.833333337664953"/>
    <m/>
    <n v="1.767997685186856"/>
    <n v="2"/>
    <n v="0.23200231481314404"/>
    <n v="42.431944444484543"/>
    <n v="12"/>
    <n v="30.431944444484543"/>
    <n v="5.1261923234837301"/>
    <m/>
    <m/>
    <m/>
    <m/>
    <m/>
  </r>
  <r>
    <d v="2025-03-20T00:00:00"/>
    <x v="2"/>
    <s v="KESH"/>
    <s v="A21548"/>
    <s v="Manual"/>
    <m/>
    <s v="UBR 903Y"/>
    <s v="Kato Investments Ltd- Kyegegwa"/>
    <n v="78"/>
    <s v="A21548"/>
    <s v="OM"/>
    <n v="600"/>
    <n v="599"/>
    <n v="-1"/>
    <m/>
    <d v="2024-03-22T08:11:00"/>
    <d v="2024-03-22T07:30:00"/>
    <d v="2024-03-22T08:38:00"/>
    <n v="67.685185186807459"/>
    <n v="26.87500000417155"/>
    <m/>
    <d v="2024-03-23T09:53:00"/>
    <d v="2024-03-23T16:39:00"/>
    <n v="397.54166665959929"/>
    <s v="truck faulty"/>
    <d v="2024-03-24T21:54:22"/>
    <d v="2024-03-24T22:50:22"/>
    <n v="54.833333337664953"/>
    <m/>
    <n v="2.5530324074061355"/>
    <n v="2"/>
    <n v="-0.55303240740613546"/>
    <n v="61.272777777747251"/>
    <n v="24"/>
    <n v="37.272777777747251"/>
    <n v="2.0926800912211023"/>
    <m/>
    <m/>
    <m/>
    <m/>
    <m/>
  </r>
  <r>
    <d v="2025-03-20T00:00:00"/>
    <x v="2"/>
    <s v="KESH"/>
    <s v="Z83157"/>
    <s v="Manual"/>
    <s v="Ngobi Fred"/>
    <s v="UBK 866R"/>
    <s v="Kabaco U Ltd"/>
    <n v="156"/>
    <s v="Z83157"/>
    <s v="OM"/>
    <n v="320"/>
    <n v="164"/>
    <n v="-156"/>
    <m/>
    <d v="2024-03-23T13:41:22"/>
    <d v="2024-03-23T00:55:22"/>
    <d v="2024-03-23T14:07:22"/>
    <n v="788.33333332707605"/>
    <n v="25.879629630556639"/>
    <m/>
    <d v="2024-03-23T14:34:22"/>
    <d v="2024-03-23T18:03:22"/>
    <n v="204.64583333356131"/>
    <s v="slept at the RD and offloaded the next day"/>
    <d v="2024-03-23T18:41:22"/>
    <d v="2024-03-23T19:29:22"/>
    <n v="46.99999999931606"/>
    <m/>
    <n v="0.19027777777955635"/>
    <n v="2"/>
    <n v="1.8097222222204437"/>
    <n v="4.5666666667093523"/>
    <n v="0"/>
    <n v="4.5666666667093523"/>
    <n v="34.160583941286532"/>
    <m/>
    <m/>
    <m/>
    <m/>
    <m/>
  </r>
  <r>
    <d v="2025-03-20T00:00:00"/>
    <x v="2"/>
    <s v="KESH"/>
    <s v="Z83158"/>
    <s v="Manual"/>
    <m/>
    <s v="UBR 863Y"/>
    <s v="Kabaco U Ltd"/>
    <n v="156"/>
    <s v="Z83158"/>
    <s v="OM"/>
    <n v="320"/>
    <n v="317"/>
    <n v="-3"/>
    <m/>
    <d v="2024-03-23T08:35:00"/>
    <d v="2024-03-23T07:30:00"/>
    <d v="2024-03-23T09:02:00"/>
    <n v="91.574074070134273"/>
    <n v="26.87500000417155"/>
    <m/>
    <d v="2024-03-24T10:17:00"/>
    <d v="2024-03-24T13:15:00"/>
    <n v="174.29166667054233"/>
    <m/>
    <d v="2024-03-25T21:48:12"/>
    <d v="2024-03-25T22:29:12"/>
    <n v="40.145833330825553"/>
    <m/>
    <n v="2.5320833333389601"/>
    <n v="2"/>
    <n v="-0.53208333333896007"/>
    <n v="60.770000000135042"/>
    <n v="24"/>
    <n v="36.770000000135042"/>
    <n v="4.2425890671587458"/>
    <m/>
    <m/>
    <m/>
    <m/>
    <m/>
  </r>
  <r>
    <d v="2025-03-20T00:00:00"/>
    <x v="2"/>
    <s v="KESH"/>
    <s v="F16104"/>
    <s v="Manual"/>
    <s v="Muzamiru"/>
    <s v="UBJ 417C"/>
    <s v="Boniface Harera"/>
    <n v="156"/>
    <s v="F16104"/>
    <s v="OM"/>
    <n v="448"/>
    <n v="447"/>
    <n v="-1"/>
    <m/>
    <d v="2024-03-23T08:11:00"/>
    <d v="2024-03-23T07:30:00"/>
    <d v="2024-03-23T08:38:00"/>
    <n v="67.685185186807459"/>
    <n v="26.87500000417155"/>
    <m/>
    <d v="2024-03-23T14:38:00"/>
    <d v="2024-03-23T19:53:00"/>
    <n v="308.4375"/>
    <s v="space consquents"/>
    <d v="2024-03-24T01:13:00"/>
    <d v="2024-03-24T01:58:00"/>
    <n v="44.0625"/>
    <m/>
    <n v="0.69097222221898846"/>
    <n v="2"/>
    <n v="1.3090277777810115"/>
    <n v="16.583333333255723"/>
    <n v="0"/>
    <n v="16.583333333255723"/>
    <n v="9.4070351759234221"/>
    <m/>
    <m/>
    <m/>
    <m/>
    <m/>
  </r>
  <r>
    <d v="2025-03-21T00:00:00"/>
    <x v="2"/>
    <s v="KESH"/>
    <s v="Z83175"/>
    <s v="Manual"/>
    <s v="Nakalya John"/>
    <s v="UBM 648D"/>
    <s v="Kobusinge Steven-Kamwenge"/>
    <n v="156"/>
    <s v="Z83175"/>
    <s v="OM"/>
    <n v="288"/>
    <n v="287"/>
    <n v="-1"/>
    <m/>
    <d v="2024-03-24T02:50:00"/>
    <d v="2024-03-24T04:14:00"/>
    <d v="2024-03-24T03:16:00"/>
    <n v="-57.731481481944989"/>
    <n v="25.879629630556639"/>
    <m/>
    <d v="2024-03-24T15:17:00"/>
    <d v="2024-03-24T18:19:00"/>
    <n v="178.20833332945767"/>
    <m/>
    <d v="2024-03-25T12:54:00"/>
    <d v="2024-03-25T13:53:00"/>
    <n v="57.770833336981013"/>
    <m/>
    <n v="1.4013888888875954"/>
    <n v="2"/>
    <n v="0.59861111111240461"/>
    <n v="33.633333333302289"/>
    <n v="12"/>
    <n v="21.633333333302289"/>
    <n v="7.211093990765356"/>
    <m/>
    <m/>
    <m/>
    <m/>
    <m/>
  </r>
  <r>
    <d v="2025-03-21T00:00:00"/>
    <x v="2"/>
    <s v="KESH"/>
    <s v="A21559"/>
    <s v="Manual"/>
    <m/>
    <s v="UBR 900Y"/>
    <s v="Kato Investment Ltd -Mityana"/>
    <n v="78"/>
    <s v="A21559"/>
    <s v="OM"/>
    <n v="690"/>
    <n v="687"/>
    <n v="-3"/>
    <m/>
    <d v="2024-03-23T15:29:00"/>
    <d v="2024-03-23T17:30:00"/>
    <d v="2024-03-23T15:55:00"/>
    <n v="-94.560185180550135"/>
    <n v="25.879629630556639"/>
    <m/>
    <d v="2024-03-24T12:36:00"/>
    <d v="2024-03-24T19:26:00"/>
    <n v="401.45833332877373"/>
    <s v="Waited for empties from trade"/>
    <d v="2024-03-24T09:44:00"/>
    <d v="2024-03-24T10:41:00"/>
    <n v="55.81249999726424"/>
    <m/>
    <n v="0.74236111110803904"/>
    <n v="3"/>
    <n v="2.257638888891961"/>
    <n v="17.816666666592937"/>
    <n v="0"/>
    <n v="17.816666666592937"/>
    <n v="4.3779232928151233"/>
    <m/>
    <m/>
    <m/>
    <m/>
    <m/>
  </r>
  <r>
    <d v="2025-03-21T00:00:00"/>
    <x v="2"/>
    <s v="KESH"/>
    <s v="A21558"/>
    <s v="Manual"/>
    <s v="Mulumba Kasim"/>
    <s v="UBE 680K"/>
    <s v="KATO INVESTMENTS LTD-KATIKARA"/>
    <n v="5.5439999999999996"/>
    <s v="A21558"/>
    <s v="OM"/>
    <n v="790"/>
    <n v="787"/>
    <n v="-3"/>
    <m/>
    <d v="2024-03-24T04:15:44"/>
    <d v="2024-03-24T03:20:44"/>
    <d v="2024-03-24T04:43:44"/>
    <n v="82.615740749315592"/>
    <n v="27.870370367357584"/>
    <m/>
    <d v="2024-03-24T13:43:44"/>
    <d v="2024-03-24T18:12:44"/>
    <n v="263.39583333014161"/>
    <s v="Waited for empties from trade"/>
    <d v="2024-03-25T14:36:44"/>
    <d v="2024-03-25T15:24:44"/>
    <n v="46.99999999931606"/>
    <m/>
    <n v="1.4118055555518367"/>
    <n v="3"/>
    <n v="1.5881944444481633"/>
    <n v="33.883333333244082"/>
    <n v="12"/>
    <n v="21.883333333244082"/>
    <n v="0.25334348819600661"/>
    <m/>
    <m/>
    <m/>
    <m/>
    <m/>
  </r>
  <r>
    <d v="2025-03-21T00:00:00"/>
    <x v="2"/>
    <s v="NBL"/>
    <s v="F16105"/>
    <s v="Manual"/>
    <m/>
    <s v="UBJ 988D"/>
    <s v="KATO INVESTMENTS LIMITED-MASAK"/>
    <n v="76.8"/>
    <s v="F16105"/>
    <s v="OM"/>
    <n v="298"/>
    <n v="297"/>
    <n v="-1"/>
    <m/>
    <d v="2024-03-25T12:50:00"/>
    <d v="2024-03-24T07:42:00"/>
    <d v="2024-03-25T13:19:00"/>
    <n v="1768.773148146526"/>
    <n v="28.865740740972495"/>
    <m/>
    <d v="2024-03-25T14:02:00"/>
    <d v="2024-03-25T17:49:00"/>
    <n v="222.27083332945767"/>
    <s v="slept at the RD and offloaded the next day"/>
    <d v="2024-03-25T18:46:00"/>
    <d v="2024-03-25T19:43:00"/>
    <n v="55.81249999726424"/>
    <m/>
    <n v="0.22708333333866904"/>
    <n v="2"/>
    <n v="1.772916666661331"/>
    <n v="5.4500000001280569"/>
    <n v="0"/>
    <n v="5.4500000001280569"/>
    <n v="14.091743118934945"/>
    <m/>
    <m/>
    <m/>
    <m/>
    <m/>
  </r>
  <r>
    <d v="2025-03-21T00:00:00"/>
    <x v="2"/>
    <s v="KESH"/>
    <s v="F16108"/>
    <s v="Manual"/>
    <m/>
    <s v="UBR 538W"/>
    <s v="Boniface Harera"/>
    <n v="148.80000000000001"/>
    <s v="F16108"/>
    <s v="OM"/>
    <n v="448"/>
    <n v="445"/>
    <n v="-3"/>
    <m/>
    <d v="2024-03-24T17:11:00"/>
    <d v="2024-03-24T03:52:00"/>
    <d v="2024-03-24T17:39:00"/>
    <n v="823.17129629930912"/>
    <n v="27.870370367357584"/>
    <m/>
    <d v="2024-03-24T18:17:00"/>
    <d v="2024-03-25T03:05:00"/>
    <n v="516.99999999247666"/>
    <s v="Reached late and offloaded the next day"/>
    <d v="2024-03-25T03:40:00"/>
    <d v="2024-03-25T04:32:00"/>
    <n v="50.916666668490507"/>
    <m/>
    <n v="0.41736111111094942"/>
    <n v="2"/>
    <n v="1.5826388888890506"/>
    <n v="10.016666666662786"/>
    <n v="0"/>
    <n v="10.016666666662786"/>
    <n v="14.855241264564825"/>
    <m/>
    <m/>
    <m/>
    <m/>
    <m/>
  </r>
  <r>
    <d v="2025-03-21T00:00:00"/>
    <x v="2"/>
    <s v="KESH"/>
    <s v="F16109"/>
    <s v="Manual"/>
    <s v="Eriku Alipa"/>
    <s v="UBK 858R"/>
    <s v="Boniface Harera"/>
    <n v="148.80000000000001"/>
    <s v="F16109"/>
    <s v="OM"/>
    <n v="448"/>
    <n v="445"/>
    <n v="-3"/>
    <m/>
    <d v="2024-03-24T12:46:00"/>
    <d v="2024-03-24T03:43:00"/>
    <d v="2024-03-24T13:12:00"/>
    <n v="566.36574074097246"/>
    <n v="25.879629630556639"/>
    <m/>
    <d v="2024-03-25T12:17:00"/>
    <d v="2024-03-25T17:19:00"/>
    <n v="295.70833333287737"/>
    <s v="found another truck to be offloaded"/>
    <d v="2024-03-26T12:22:00"/>
    <d v="2024-03-26T13:07:00"/>
    <n v="44.0625"/>
    <m/>
    <n v="1.9652777777737356"/>
    <n v="2"/>
    <n v="3.4722222226264421E-2"/>
    <n v="47.166666666569654"/>
    <n v="12"/>
    <n v="35.166666666569654"/>
    <n v="4.2312796208647532"/>
    <m/>
    <m/>
    <m/>
    <m/>
    <m/>
  </r>
  <r>
    <d v="2025-03-21T00:00:00"/>
    <x v="2"/>
    <s v="KESH"/>
    <s v="F16110"/>
    <s v="Manual"/>
    <m/>
    <s v="UBJ 421C"/>
    <s v="Boniface Harera"/>
    <n v="156"/>
    <s v="F16110"/>
    <s v="OM"/>
    <n v="448"/>
    <n v="445"/>
    <n v="-3"/>
    <m/>
    <d v="2024-03-25T08:19:00"/>
    <d v="2024-03-25T07:30:00"/>
    <d v="2024-03-25T08:47:00"/>
    <n v="76.643518518055018"/>
    <n v="27.870370367357584"/>
    <m/>
    <d v="2024-03-26T10:02:00"/>
    <d v="2024-03-27T14:50:00"/>
    <n v="1691.9999999958964"/>
    <s v="Waited for empties from trade"/>
    <d v="2024-03-27T19:38:00"/>
    <d v="2024-03-27T20:29:00"/>
    <n v="49.93749999863212"/>
    <m/>
    <n v="2.4520833333372138"/>
    <n v="2"/>
    <n v="-0.45208333333721384"/>
    <n v="58.850000000093132"/>
    <n v="24"/>
    <n v="34.850000000093132"/>
    <n v="4.4763271162003759"/>
    <m/>
    <m/>
    <m/>
    <m/>
    <m/>
  </r>
  <r>
    <d v="2025-03-22T00:00:00"/>
    <x v="2"/>
    <s v="KESH"/>
    <s v="A21579"/>
    <s v="Manual"/>
    <s v="Nassasira"/>
    <s v="UBK 882R"/>
    <s v="Kato Investment Ltd -Mubende"/>
    <n v="187.2"/>
    <s v="A21579"/>
    <s v="OM"/>
    <n v="680"/>
    <n v="679"/>
    <n v="-1"/>
    <m/>
    <d v="2024-03-25T07:48:00"/>
    <d v="2024-03-25T07:30:00"/>
    <d v="2024-03-25T08:42:00"/>
    <n v="71.666666670838211"/>
    <n v="53.749999997914223"/>
    <s v="stock recon delays"/>
    <d v="2024-03-26T09:57:00"/>
    <d v="2024-03-26T16:43:00"/>
    <n v="397.54166666985839"/>
    <s v="Waited for empties from trade"/>
    <d v="2024-03-27T17:03:48"/>
    <d v="2024-03-27T17:59:48"/>
    <n v="54.833333327405853"/>
    <m/>
    <n v="2.3484722222201526"/>
    <n v="3"/>
    <n v="0.65152777777984738"/>
    <n v="56.363333333283663"/>
    <n v="24"/>
    <n v="32.363333333283663"/>
    <n v="5.7843238232656491"/>
    <m/>
    <m/>
    <m/>
    <m/>
    <m/>
  </r>
  <r>
    <d v="2025-03-22T00:00:00"/>
    <x v="2"/>
    <s v="KESH"/>
    <s v="A21581"/>
    <s v="Manual"/>
    <s v="Lule Fred"/>
    <s v="UBP 310H"/>
    <s v="KATO INVESTMENTS LTD-KATIKARA"/>
    <n v="148.80000000000001"/>
    <s v="A21581"/>
    <s v="OM"/>
    <n v="790"/>
    <n v="787"/>
    <n v="-3"/>
    <m/>
    <d v="2024-03-22T08:35:00"/>
    <d v="2024-03-25T07:30:00"/>
    <d v="2024-03-22T09:02:00"/>
    <n v="-4208.425925929866"/>
    <n v="26.87500000417155"/>
    <m/>
    <d v="2024-03-23T10:17:00"/>
    <d v="2024-03-23T18:43:00"/>
    <n v="495.45833333766495"/>
    <s v="truck faulty"/>
    <d v="2024-03-23T21:07:00"/>
    <d v="2024-03-23T21:58:00"/>
    <n v="49.93749999863212"/>
    <m/>
    <n v="1.5034722222262644"/>
    <n v="3"/>
    <n v="1.4965277777737356"/>
    <n v="36.083333333430346"/>
    <n v="12"/>
    <n v="24.083333333430346"/>
    <n v="6.1785467127778801"/>
    <m/>
    <m/>
    <m/>
    <m/>
    <m/>
  </r>
  <r>
    <d v="2025-03-22T00:00:00"/>
    <x v="2"/>
    <s v="KESH"/>
    <s v="Z83189"/>
    <s v="Manual"/>
    <s v="Faruk Abel"/>
    <s v="UBR 539W"/>
    <s v="Kabaco U Ltd"/>
    <n v="156"/>
    <s v="Z83189"/>
    <s v="OM"/>
    <n v="320"/>
    <n v="317"/>
    <n v="-3"/>
    <m/>
    <d v="2024-03-25T08:12:00"/>
    <d v="2024-03-25T07:30:00"/>
    <d v="2024-03-25T08:38:00"/>
    <n v="67.685185186807459"/>
    <n v="25.879629630556639"/>
    <m/>
    <d v="2024-03-26T08:38:00"/>
    <d v="2024-03-26T13:42:00"/>
    <n v="297.66666666233505"/>
    <s v="less casuals and offloaded the next day"/>
    <d v="2024-03-27T06:14:00"/>
    <d v="2024-03-27T07:05:00"/>
    <n v="49.93749999863212"/>
    <m/>
    <n v="1.9000000000014552"/>
    <n v="2"/>
    <n v="9.9999999998544808E-2"/>
    <n v="45.600000000034925"/>
    <n v="12"/>
    <n v="33.600000000034925"/>
    <n v="4.6428571428523169"/>
    <m/>
    <m/>
    <m/>
    <m/>
    <m/>
  </r>
  <r>
    <d v="2025-03-22T00:00:00"/>
    <x v="2"/>
    <s v="KESH"/>
    <s v="Z83187"/>
    <s v="Manual"/>
    <m/>
    <s v="UBJ 423C"/>
    <s v="Kobusinge Acaali- Kyenjojo"/>
    <n v="148.80000000000001"/>
    <s v="Z83187"/>
    <s v="OM"/>
    <n v="580"/>
    <n v="577"/>
    <n v="-3"/>
    <m/>
    <d v="2024-03-25T08:16:00"/>
    <d v="2024-03-25T07:30:00"/>
    <d v="2024-03-25T08:42:00"/>
    <n v="71.666666670838211"/>
    <n v="25.879629630556639"/>
    <m/>
    <d v="2024-03-25T15:42:00"/>
    <d v="2024-03-25T19:32:24"/>
    <n v="225.59999999466527"/>
    <s v="Not enough casuals to offload"/>
    <d v="2024-03-26T08:32:24"/>
    <d v="2024-03-26T09:17:24"/>
    <n v="44.0625"/>
    <m/>
    <n v="0.99333333333197515"/>
    <n v="2"/>
    <n v="1.0066666666680248"/>
    <n v="23.839999999967404"/>
    <n v="0"/>
    <n v="23.839999999967404"/>
    <n v="6.2416107382635682"/>
    <m/>
    <m/>
    <m/>
    <m/>
    <m/>
  </r>
  <r>
    <d v="2025-03-22T00:00:00"/>
    <x v="2"/>
    <s v="KESH"/>
    <s v="A21582"/>
    <s v="Manual"/>
    <s v="Kabanda Ronald"/>
    <s v="UBE 684K"/>
    <s v="Kato Investment Ltd -Mityana"/>
    <n v="148.80000000000001"/>
    <s v="A21582"/>
    <s v="OM"/>
    <n v="690"/>
    <n v="687"/>
    <n v="-3"/>
    <m/>
    <d v="2024-03-26T14:51:21"/>
    <d v="2024-03-26T01:54:21"/>
    <d v="2024-03-26T15:17:21"/>
    <n v="799.28240740555339"/>
    <n v="25.879629630556639"/>
    <m/>
    <d v="2024-03-26T18:30:21"/>
    <d v="2024-03-27T13:13:33"/>
    <n v="1099.7999999983585"/>
    <s v="Waited for empties from trade"/>
    <d v="2024-03-27T15:53:33"/>
    <d v="2024-03-27T16:50:33"/>
    <n v="55.81249999726424"/>
    <m/>
    <n v="1.0251388888864312"/>
    <n v="3"/>
    <n v="1.9748611111135688"/>
    <n v="24.60333333327435"/>
    <n v="12"/>
    <n v="12.60333333327435"/>
    <n v="11.806400423223728"/>
    <m/>
    <m/>
    <m/>
    <m/>
    <m/>
  </r>
  <r>
    <d v="2025-03-22T00:00:00"/>
    <x v="2"/>
    <s v="KESH"/>
    <s v="F16114"/>
    <s v="Manual"/>
    <s v="Byanshala Stoney"/>
    <s v="UBP 312H"/>
    <s v="Boniface Harera"/>
    <n v="156"/>
    <s v="F16114"/>
    <s v="OM"/>
    <n v="448"/>
    <n v="447"/>
    <n v="-1"/>
    <m/>
    <d v="2024-03-25T14:24:00"/>
    <d v="2024-03-26T01:59:00"/>
    <d v="2024-03-25T14:50:00"/>
    <n v="-665.90277777916833"/>
    <n v="25.879629630556639"/>
    <m/>
    <d v="2024-03-26T10:26:00"/>
    <d v="2024-03-26T19:12:00"/>
    <n v="515.04166667327809"/>
    <s v="found another truck to be offloaded"/>
    <d v="2024-03-27T15:25:00"/>
    <d v="2024-03-27T16:23:00"/>
    <n v="56.791666667122627"/>
    <m/>
    <n v="2.0243055555547471"/>
    <n v="2"/>
    <n v="-2.4305555554747116E-2"/>
    <n v="48.583333333313931"/>
    <n v="24"/>
    <n v="24.583333333313931"/>
    <n v="6.3457627118694155"/>
    <m/>
    <m/>
    <m/>
    <m/>
    <m/>
  </r>
  <r>
    <d v="2025-03-22T00:00:00"/>
    <x v="2"/>
    <s v="KESH"/>
    <s v="A21578"/>
    <s v="Manual"/>
    <s v="Kyakulaga James"/>
    <s v="UBJ 419C"/>
    <s v="Sawan Distributors Ltd-Nabingo"/>
    <n v="6.3"/>
    <s v="A21578"/>
    <s v="OM"/>
    <n v="560"/>
    <n v="558"/>
    <n v="-2"/>
    <m/>
    <d v="2024-03-29T03:13:00"/>
    <d v="2024-03-26T07:42:00"/>
    <d v="2024-03-29T03:39:00"/>
    <n v="4058.1250000041714"/>
    <n v="25.879629630556639"/>
    <m/>
    <d v="2024-03-29T03:43:00"/>
    <d v="2024-03-29T06:28:00"/>
    <n v="161.5625000034197"/>
    <m/>
    <d v="2024-03-30T03:03:00"/>
    <d v="2024-03-30T03:44:00"/>
    <n v="40.145833330825553"/>
    <m/>
    <n v="0.97499999999854481"/>
    <n v="2"/>
    <n v="1.0250000000014552"/>
    <n v="23.399999999965075"/>
    <n v="0"/>
    <n v="23.399999999965075"/>
    <n v="0.26923076923117106"/>
    <m/>
    <m/>
    <m/>
    <m/>
    <m/>
  </r>
  <r>
    <d v="2025-03-22T00:00:00"/>
    <x v="2"/>
    <s v="KESH"/>
    <s v="A21577"/>
    <s v="Manual"/>
    <s v="kayanja Sam"/>
    <s v="UBF 379L"/>
    <s v="Kato Investments Ltd- Kyegegwa"/>
    <n v="156"/>
    <s v="A21577"/>
    <s v="OM"/>
    <n v="600"/>
    <n v="599"/>
    <n v="-1"/>
    <m/>
    <d v="2024-03-26T19:38:00"/>
    <d v="2024-03-26T04:14:00"/>
    <d v="2024-03-26T20:02:00"/>
    <n v="943.61111111041589"/>
    <n v="23.888888893755695"/>
    <m/>
    <d v="2024-03-27T14:04:00"/>
    <d v="2024-03-29T08:05:00"/>
    <n v="2468.4791666698584"/>
    <s v="Waited for empties from trade"/>
    <d v="2024-03-29T20:06:00"/>
    <d v="2024-03-29T21:06:00"/>
    <n v="58.7499999965803"/>
    <m/>
    <n v="3.0027777777795563"/>
    <n v="2"/>
    <n v="-1.0027777777795563"/>
    <n v="72.066666666709352"/>
    <n v="36"/>
    <n v="36.066666666709352"/>
    <n v="4.3253234750410918"/>
    <m/>
    <m/>
    <m/>
    <m/>
    <m/>
  </r>
  <r>
    <d v="2025-03-23T00:00:00"/>
    <x v="2"/>
    <s v="NBL"/>
    <s v="Z83205"/>
    <s v="Manual"/>
    <m/>
    <s v="UBE 422T"/>
    <s v="Kabaco U Ltd-Mbarara "/>
    <n v="153.6"/>
    <s v="Z83205"/>
    <s v="OM"/>
    <n v="20"/>
    <n v="17"/>
    <n v="-3"/>
    <m/>
    <d v="2024-03-26T02:58:39"/>
    <d v="2024-03-26T10:17:39"/>
    <d v="2024-03-26T03:25:39"/>
    <n v="-410.09259259444661"/>
    <n v="26.87500000417155"/>
    <m/>
    <d v="2024-03-26T17:25:39"/>
    <d v="2024-03-27T14:47:15"/>
    <n v="1254.8999999991793"/>
    <s v="space consquents"/>
    <d v="2024-03-27T20:07:15"/>
    <d v="2024-03-27T21:03:15"/>
    <n v="54.833333337664953"/>
    <m/>
    <n v="1.695555555554165"/>
    <n v="1"/>
    <n v="-0.69555555555416504"/>
    <n v="40.693333333299961"/>
    <n v="12"/>
    <n v="28.693333333299961"/>
    <n v="5.3531598513073408"/>
    <m/>
    <m/>
    <m/>
    <m/>
    <m/>
  </r>
  <r>
    <d v="2025-03-23T00:00:00"/>
    <x v="2"/>
    <s v="KESH"/>
    <s v="Z83203"/>
    <s v="Manual"/>
    <s v="Nminya Siraje"/>
    <s v="UBP 301H"/>
    <s v="Bates Enterprises Ltd-Ntoroko"/>
    <n v="141.6"/>
    <s v="Z83203"/>
    <s v="OM"/>
    <n v="464"/>
    <n v="461"/>
    <n v="-3"/>
    <m/>
    <d v="2024-03-26T12:13:42"/>
    <d v="2024-03-26T03:22:42"/>
    <d v="2024-03-26T12:39:42"/>
    <n v="554.42129628888017"/>
    <n v="25.879629630556639"/>
    <m/>
    <d v="2024-03-26T21:39:42"/>
    <d v="2024-03-27T00:27:42"/>
    <n v="164.50000000273576"/>
    <m/>
    <d v="2024-03-28T16:27:13"/>
    <d v="2024-03-28T17:08:13"/>
    <n v="40.145833330825553"/>
    <m/>
    <n v="2.1579976851862739"/>
    <n v="2"/>
    <n v="-0.15799768518627388"/>
    <n v="51.791944444470573"/>
    <n v="24"/>
    <n v="27.791944444470573"/>
    <n v="5.0950015492051124"/>
    <m/>
    <m/>
    <m/>
    <m/>
    <m/>
  </r>
  <r>
    <d v="2025-03-23T00:00:00"/>
    <x v="2"/>
    <s v="KESH"/>
    <s v="F16128"/>
    <s v="Manual"/>
    <s v="Ikwalikwa Yusuf"/>
    <s v="UBP 311H"/>
    <s v="Boniface Harera"/>
    <n v="156"/>
    <s v="F16128"/>
    <s v="OM"/>
    <n v="448"/>
    <n v="446"/>
    <n v="-2"/>
    <m/>
    <d v="2024-03-26T12:08:07"/>
    <d v="2024-03-26T03:26:07"/>
    <d v="2024-03-26T12:34:07"/>
    <n v="545.46296296806156"/>
    <n v="25.879629630556639"/>
    <m/>
    <d v="2024-03-26T14:39:07"/>
    <d v="2024-03-26T19:25:07"/>
    <n v="280.04166666643869"/>
    <s v="slept at the RD and offloaded the next day"/>
    <d v="2024-03-27T07:39:31"/>
    <d v="2024-03-27T08:39:31"/>
    <n v="58.7499999965803"/>
    <m/>
    <n v="0.79541666666773381"/>
    <n v="2"/>
    <n v="1.2045833333322662"/>
    <n v="19.090000000025611"/>
    <n v="0"/>
    <n v="19.090000000025611"/>
    <n v="8.1718177055940657"/>
    <m/>
    <m/>
    <m/>
    <m/>
    <m/>
  </r>
  <r>
    <d v="2025-03-24T00:00:00"/>
    <x v="2"/>
    <s v="KESH"/>
    <s v="Z83220"/>
    <s v="Manual"/>
    <m/>
    <s v="UBR 864Y"/>
    <s v="Rugoma Traders-Rukungiri"/>
    <n v="156"/>
    <s v="Z83220"/>
    <s v="OM"/>
    <n v="256"/>
    <n v="253"/>
    <n v="-3"/>
    <m/>
    <d v="2024-03-27T22:04:00"/>
    <d v="2024-03-26T22:00:00"/>
    <d v="2024-03-27T22:32:00"/>
    <n v="1465.1851851847216"/>
    <n v="27.870370367357584"/>
    <m/>
    <d v="2024-03-28T12:34:00"/>
    <d v="2024-03-28T18:36:00"/>
    <n v="354.45833333971677"/>
    <s v="Waited for empties from trade"/>
    <d v="2024-03-29T21:57:00"/>
    <d v="2024-03-29T22:43:00"/>
    <n v="45.041666669858387"/>
    <m/>
    <n v="1.9756944444452529"/>
    <n v="2"/>
    <n v="2.4305555554747116E-2"/>
    <n v="47.416666666686069"/>
    <n v="12"/>
    <n v="35.416666666686069"/>
    <n v="4.4047058823505285"/>
    <m/>
    <m/>
    <m/>
    <m/>
    <m/>
  </r>
  <r>
    <d v="2025-03-24T00:00:00"/>
    <x v="2"/>
    <s v="KESH"/>
    <s v="A21630"/>
    <s v="Manual"/>
    <m/>
    <s v="UBR 866R"/>
    <s v="Sawan Distributors Ltd-Nabingo"/>
    <n v="78"/>
    <s v="A21630"/>
    <s v="OM"/>
    <n v="560"/>
    <n v="558"/>
    <n v="-2"/>
    <m/>
    <d v="2024-03-29T11:41:00"/>
    <d v="2024-03-26T22:00:00"/>
    <d v="2024-03-29T12:07:00"/>
    <n v="3709.7453703757005"/>
    <n v="25.879629630556639"/>
    <m/>
    <d v="2024-03-29T12:10:00"/>
    <d v="2024-03-29T15:00:00"/>
    <n v="166.45833333219343"/>
    <m/>
    <d v="2024-03-30T08:41:00"/>
    <d v="2024-03-30T09:22:00"/>
    <n v="40.145833330825553"/>
    <m/>
    <n v="0.85694444444379769"/>
    <n v="2"/>
    <n v="1.1430555555562023"/>
    <n v="20.566666666651145"/>
    <n v="0"/>
    <n v="20.566666666651145"/>
    <n v="3.7925445705052936"/>
    <m/>
    <m/>
    <m/>
    <m/>
    <m/>
  </r>
  <r>
    <d v="2025-03-24T00:00:00"/>
    <x v="2"/>
    <s v="KESH"/>
    <s v="Z83222"/>
    <s v="Manual"/>
    <m/>
    <s v="UBG 084B"/>
    <s v="Kobusinge Steven-FPortal"/>
    <n v="156"/>
    <s v="Z83222"/>
    <s v="OM"/>
    <n v="304"/>
    <n v="301"/>
    <n v="-3"/>
    <m/>
    <d v="2024-03-28T08:57:00"/>
    <d v="2024-03-28T08:15:00"/>
    <d v="2024-03-28T09:23:00"/>
    <n v="67.685185186807459"/>
    <n v="25.879629630556639"/>
    <m/>
    <d v="2024-03-28T18:43:00"/>
    <d v="2024-03-29T18:18:31"/>
    <n v="1386.0267361085425"/>
    <s v="space consquents"/>
    <d v="2024-03-30T15:54:31"/>
    <d v="2024-03-30T16:50:31"/>
    <n v="54.833333337664953"/>
    <m/>
    <n v="2.2718865740753245"/>
    <n v="2"/>
    <n v="-0.27188657407532446"/>
    <n v="54.525277777807787"/>
    <n v="24"/>
    <n v="30.525277777807787"/>
    <n v="5.1105186047942768"/>
    <m/>
    <m/>
    <m/>
    <m/>
    <m/>
  </r>
  <r>
    <d v="2025-03-24T00:00:00"/>
    <x v="2"/>
    <s v="KESH"/>
    <s v="Z83223"/>
    <s v="Manual"/>
    <s v="Muzamiru"/>
    <s v="UBJ 417C"/>
    <s v="Kobusinge Steven-FPortal"/>
    <n v="148.80000000000001"/>
    <s v="Z83223"/>
    <s v="OM"/>
    <n v="304"/>
    <n v="301"/>
    <n v="-3"/>
    <m/>
    <d v="2024-03-28T09:38:39"/>
    <d v="2024-03-28T08:39:39"/>
    <d v="2024-03-28T10:03:39"/>
    <n v="83.611111112501632"/>
    <n v="24.884259256941732"/>
    <m/>
    <d v="2024-03-28T16:03:39"/>
    <d v="2024-03-29T10:33:15"/>
    <n v="1086.4833333272691"/>
    <s v="Waited for empties from trade"/>
    <d v="2024-03-29T15:53:15"/>
    <d v="2024-03-29T16:50:15"/>
    <n v="55.81249999726424"/>
    <m/>
    <n v="1.2427777777775191"/>
    <n v="2"/>
    <n v="0.75722222222248092"/>
    <n v="29.826666666660458"/>
    <n v="12"/>
    <n v="17.826666666660458"/>
    <n v="8.3470456245354434"/>
    <m/>
    <m/>
    <m/>
    <m/>
    <m/>
  </r>
  <r>
    <d v="2025-03-24T00:00:00"/>
    <x v="2"/>
    <s v="NBL"/>
    <s v="Z83211"/>
    <s v="Manual"/>
    <m/>
    <s v="UBE 419T"/>
    <s v="Kabaco U Ltd"/>
    <n v="153.6"/>
    <s v="Z83211"/>
    <s v="OM"/>
    <n v="320"/>
    <n v="319"/>
    <n v="-1"/>
    <m/>
    <d v="2024-03-29T07:54:47"/>
    <d v="2024-03-29T07:06:47"/>
    <d v="2024-03-29T08:21:47"/>
    <n v="74.652777781254073"/>
    <n v="26.87500000417155"/>
    <m/>
    <d v="2024-03-29T08:57:47"/>
    <d v="2024-03-29T12:34:47"/>
    <n v="212.47916667191021"/>
    <s v="Waited for empties from trade"/>
    <d v="2024-03-29T13:07:47"/>
    <d v="2024-03-29T13:59:47"/>
    <n v="50.916666668490507"/>
    <m/>
    <n v="0.19861111111094942"/>
    <n v="2"/>
    <n v="1.8013888888890506"/>
    <n v="4.7666666666627862"/>
    <n v="0"/>
    <n v="4.7666666666627862"/>
    <n v="32.223776223802453"/>
    <m/>
    <m/>
    <m/>
    <m/>
    <m/>
  </r>
  <r>
    <d v="2025-03-24T00:00:00"/>
    <x v="2"/>
    <s v="NBL"/>
    <s v="Z83213"/>
    <s v="Manual"/>
    <m/>
    <s v="UBE 422T"/>
    <s v="Kabaco U Ltd"/>
    <n v="153.6"/>
    <s v="Z83213"/>
    <s v="OM"/>
    <n v="320"/>
    <n v="317"/>
    <n v="-3"/>
    <m/>
    <d v="2024-03-28T19:43:00"/>
    <d v="2024-03-29T02:30:00"/>
    <d v="2024-03-28T20:10:00"/>
    <n v="-378.24074073262938"/>
    <n v="26.87500000417155"/>
    <m/>
    <d v="2024-03-30T09:33:00"/>
    <d v="2024-03-30T13:17:00"/>
    <n v="219.33333333014161"/>
    <s v="Waited for empties from trade"/>
    <d v="2024-03-31T08:49:00"/>
    <d v="2024-03-31T09:30:00"/>
    <n v="40.145833330825553"/>
    <m/>
    <n v="2.5270833333270275"/>
    <n v="2"/>
    <n v="-0.5270833333270275"/>
    <n v="60.64999999984866"/>
    <n v="24"/>
    <n v="36.64999999984866"/>
    <n v="4.1909959072478653"/>
    <m/>
    <m/>
    <m/>
    <m/>
    <m/>
  </r>
  <r>
    <d v="2025-03-24T00:00:00"/>
    <x v="2"/>
    <s v="NBL"/>
    <s v="F16131"/>
    <s v="Manual"/>
    <m/>
    <s v="UBJ 988D"/>
    <s v="Rugoma Traders-Kanungu/Kihihi"/>
    <n v="153.6"/>
    <s v="F16131"/>
    <s v="OM"/>
    <n v="414"/>
    <n v="411"/>
    <n v="-3"/>
    <m/>
    <d v="2024-03-29T08:20:00"/>
    <d v="2024-03-29T07:30:00"/>
    <d v="2024-03-29T08:46:00"/>
    <n v="75.6481481444401"/>
    <n v="25.879629630556639"/>
    <m/>
    <d v="2024-03-30T03:03:00"/>
    <d v="2024-03-30T15:48:00"/>
    <n v="749.0625"/>
    <s v="slept at the RD and offloaded the next day"/>
    <d v="2024-03-31T18:40:48"/>
    <d v="2024-03-31T19:36:48"/>
    <n v="54.833333337664953"/>
    <m/>
    <n v="2.4130555555602768"/>
    <n v="2"/>
    <n v="-0.41305555556027684"/>
    <n v="57.913333333446644"/>
    <n v="24"/>
    <n v="33.913333333446644"/>
    <n v="4.5291920581724039"/>
    <m/>
    <m/>
    <m/>
    <m/>
    <m/>
  </r>
  <r>
    <d v="2025-03-24T00:00:00"/>
    <x v="2"/>
    <s v="KESH"/>
    <s v="A21629"/>
    <s v="Manual"/>
    <m/>
    <s v="UBR 863Y"/>
    <s v="Ntale and Sons Ltd-Kakiri"/>
    <n v="78"/>
    <s v="A21629"/>
    <s v="OM"/>
    <n v="620"/>
    <n v="617"/>
    <n v="-3"/>
    <m/>
    <d v="2024-03-29T08:15:00"/>
    <d v="2024-03-29T07:30:00"/>
    <d v="2024-03-29T08:42:00"/>
    <n v="71.666666670838211"/>
    <n v="26.87500000417155"/>
    <m/>
    <d v="2024-03-30T08:42:00"/>
    <d v="2024-03-30T14:06:00"/>
    <n v="317.24999999794818"/>
    <s v="Reached late and offloaded the next day"/>
    <d v="2024-03-30T12:54:00"/>
    <d v="2024-03-30T13:35:00"/>
    <n v="40.145833330825553"/>
    <m/>
    <n v="1.1749999999956344"/>
    <n v="3"/>
    <n v="1.8250000000043656"/>
    <n v="28.199999999895226"/>
    <n v="12"/>
    <n v="16.199999999895226"/>
    <n v="4.8148148148459544"/>
    <m/>
    <m/>
    <m/>
    <m/>
    <m/>
  </r>
  <r>
    <d v="2025-03-24T00:00:00"/>
    <x v="2"/>
    <s v="KESH"/>
    <s v="Z83214"/>
    <s v="Manual"/>
    <s v="Mbogo bashil"/>
    <s v="UBR 903Y"/>
    <s v="Kobusinge Acaali- Kyenjojo"/>
    <n v="156"/>
    <s v="Z83214"/>
    <s v="OM"/>
    <n v="580"/>
    <n v="579"/>
    <n v="-1"/>
    <m/>
    <d v="2024-03-29T08:14:00"/>
    <d v="2024-03-29T07:30:00"/>
    <d v="2024-03-29T08:38:00"/>
    <n v="67.685185186807459"/>
    <n v="23.888888893755695"/>
    <m/>
    <d v="2024-03-29T21:08:00"/>
    <d v="2024-03-30T16:54:42"/>
    <n v="1161.9770833291841"/>
    <s v="found another truck to be offloaded"/>
    <d v="2024-03-31T15:42:42"/>
    <d v="2024-03-31T16:23:42"/>
    <n v="40.145833330825553"/>
    <m/>
    <n v="2.2949305555521278"/>
    <n v="2"/>
    <n v="-0.29493055555212777"/>
    <n v="55.078333333251067"/>
    <n v="24"/>
    <n v="31.078333333251067"/>
    <n v="5.0195741942536474"/>
    <m/>
    <m/>
    <m/>
    <m/>
    <m/>
  </r>
  <r>
    <d v="2025-03-24T00:00:00"/>
    <x v="2"/>
    <s v="KESH"/>
    <s v="Z83221"/>
    <s v="Manual"/>
    <m/>
    <s v="UBP 304H"/>
    <s v="Kobusinge Steven-FPortal"/>
    <n v="148.80000000000001"/>
    <s v="Z83221"/>
    <s v="OM"/>
    <n v="304"/>
    <n v="301"/>
    <n v="-3"/>
    <m/>
    <d v="2025-03-29T08:27:00"/>
    <d v="2025-03-29T07:30:00"/>
    <d v="2025-03-29T08:53:00"/>
    <n v="82.615740738886714"/>
    <n v="25.879629630556639"/>
    <m/>
    <d v="2025-03-30T10:08:00"/>
    <d v="2025-03-30T12:58:00"/>
    <n v="166.45833333219343"/>
    <m/>
    <d v="2025-03-31T14:55:51"/>
    <d v="2025-03-31T15:31:51"/>
    <n v="35.24999999179272"/>
    <m/>
    <n v="2.2519791666709352"/>
    <n v="2"/>
    <n v="-0.25197916667093523"/>
    <n v="54.047500000102445"/>
    <n v="24"/>
    <n v="30.047500000102445"/>
    <n v="4.9521590814374798"/>
    <m/>
    <m/>
    <m/>
    <m/>
    <m/>
  </r>
  <r>
    <d v="2025-03-24T00:00:00"/>
    <x v="2"/>
    <s v="KESH"/>
    <s v="A21625"/>
    <s v="Manual"/>
    <s v="Tsaale Hassan"/>
    <s v="UBJ 703D"/>
    <s v="Sawan Distributors Ltd-Kayabwe"/>
    <n v="69.599999999999994"/>
    <s v="A21625"/>
    <s v="OM"/>
    <n v="382"/>
    <n v="381"/>
    <n v="-1"/>
    <m/>
    <d v="2024-03-29T08:34:00"/>
    <d v="2024-03-29T07:30:00"/>
    <d v="2024-03-29T09:02:00"/>
    <n v="91.574074070134273"/>
    <n v="27.870370367357584"/>
    <m/>
    <d v="2024-03-30T10:32:00"/>
    <d v="2024-03-30T16:07:00"/>
    <n v="328.02083333561313"/>
    <s v="Waited for empties from trade"/>
    <d v="2024-03-31T14:55:00"/>
    <d v="2024-03-31T15:51:00"/>
    <n v="54.833333337664953"/>
    <m/>
    <n v="2.2451388888948713"/>
    <n v="2"/>
    <n v="-0.24513888889487134"/>
    <n v="53.883333333476912"/>
    <n v="24"/>
    <n v="29.883333333476912"/>
    <n v="2.3290574456106725"/>
    <m/>
    <m/>
    <m/>
    <m/>
    <m/>
  </r>
  <r>
    <d v="2025-03-24T00:00:00"/>
    <x v="2"/>
    <s v="KESH"/>
    <s v="Z83219"/>
    <s v="Manual"/>
    <s v="kakembo Masudi"/>
    <s v="UBM 644D"/>
    <s v="Kobusinge Acaali- Kyenjojo"/>
    <n v="156"/>
    <s v="Z83219"/>
    <s v="OM"/>
    <n v="580"/>
    <n v="577"/>
    <n v="-3"/>
    <m/>
    <d v="2024-03-30T08:28:07"/>
    <d v="2024-03-30T07:47:07"/>
    <d v="2024-03-30T08:55:07"/>
    <n v="67.685185186807459"/>
    <n v="26.87500000417155"/>
    <m/>
    <d v="2024-03-30T14:55:07"/>
    <d v="2024-03-30T17:57:07"/>
    <n v="178.20833332945767"/>
    <m/>
    <d v="2024-03-31T08:49:55"/>
    <d v="2024-03-31T09:45:55"/>
    <n v="54.833333337664953"/>
    <m/>
    <n v="0.99638888888875954"/>
    <n v="2"/>
    <n v="1.0036111111112405"/>
    <n v="23.913333333330229"/>
    <n v="0"/>
    <n v="23.913333333330229"/>
    <n v="6.5235572902155106"/>
    <m/>
    <m/>
    <m/>
    <m/>
    <m/>
  </r>
  <r>
    <d v="2025-03-25T00:00:00"/>
    <x v="2"/>
    <s v="KESH"/>
    <s v="A21641"/>
    <s v="Manual"/>
    <s v="SENTONG DAVID"/>
    <s v="UBP 298H"/>
    <s v="Kato Investments Ltd- Kyegegwa"/>
    <n v="156"/>
    <s v="A21641"/>
    <s v="OM"/>
    <n v="600"/>
    <n v="597"/>
    <n v="-3"/>
    <m/>
    <d v="2025-03-30T21:36:00"/>
    <d v="2025-03-30T21:55:00"/>
    <d v="2025-03-30T22:02:00"/>
    <n v="6.9675925944466144"/>
    <n v="25.879629630556639"/>
    <m/>
    <d v="2025-03-30T19:02:00"/>
    <d v="2025-03-31T19:43:00"/>
    <n v="1450.1458333308256"/>
    <s v="space consquents"/>
    <d v="2025-04-01T20:54:00"/>
    <d v="2025-04-01T21:50:00"/>
    <n v="54.833333337664953"/>
    <m/>
    <n v="1.952777777776646"/>
    <n v="2"/>
    <n v="4.7222222223354038E-2"/>
    <n v="46.866666666639503"/>
    <n v="12"/>
    <n v="34.866666666639503"/>
    <n v="4.4741873805006174"/>
    <m/>
    <m/>
    <m/>
    <m/>
    <m/>
  </r>
  <r>
    <d v="2025-03-25T00:00:00"/>
    <x v="2"/>
    <s v="KESH"/>
    <s v="A21643"/>
    <s v="Manual"/>
    <s v="ZIWA ABASI"/>
    <s v="UBJ 420C"/>
    <s v="Kato Investments Ltd- Kyegegwa"/>
    <n v="156"/>
    <s v="A21643"/>
    <s v="OM"/>
    <n v="600"/>
    <n v="599"/>
    <n v="-1"/>
    <m/>
    <d v="2024-03-30T21:56:00"/>
    <d v="2024-03-30T21:55:00"/>
    <d v="2024-03-30T22:25:00"/>
    <n v="29.861111114587402"/>
    <n v="28.865740740972495"/>
    <m/>
    <d v="2024-03-01T18:17:00"/>
    <d v="2024-03-01T21:05:00"/>
    <n v="164.50000000273576"/>
    <m/>
    <d v="2024-03-31T18:52:00"/>
    <d v="2024-03-31T19:48:00"/>
    <n v="54.833333337664953"/>
    <m/>
    <n v="0.85208333333139308"/>
    <n v="2"/>
    <n v="1.1479166666686069"/>
    <n v="20.449999999953434"/>
    <n v="0"/>
    <n v="20.449999999953434"/>
    <n v="7.6283618582080797"/>
    <m/>
    <m/>
    <m/>
    <m/>
    <m/>
  </r>
  <r>
    <d v="2025-03-25T00:00:00"/>
    <x v="2"/>
    <s v="KESH"/>
    <s v="Z83237"/>
    <s v="Manual"/>
    <m/>
    <s v="UBJ 900Y"/>
    <s v="Kobusinge Steven-FPortal"/>
    <n v="156"/>
    <s v="Z83237"/>
    <s v="OM"/>
    <n v="304"/>
    <n v="301"/>
    <n v="-3"/>
    <m/>
    <d v="2024-03-14T19:57:00"/>
    <d v="2024-03-14T15:48:00"/>
    <d v="2024-03-14T20:24:00"/>
    <n v="274.72222222083172"/>
    <n v="26.87500000417155"/>
    <m/>
    <d v="2024-03-15T08:52:00"/>
    <d v="2024-03-15T17:39:00"/>
    <n v="516.02083334313647"/>
    <s v="Waited for empties from trade"/>
    <d v="2024-03-16T13:04:00"/>
    <d v="2024-03-16T13:45:00"/>
    <n v="40.145833330825553"/>
    <m/>
    <n v="1.6944444444452529"/>
    <n v="2"/>
    <n v="0.30555555555474712"/>
    <n v="40.666666666686069"/>
    <n v="12"/>
    <n v="28.666666666686069"/>
    <n v="5.4418604651125957"/>
    <m/>
    <m/>
    <m/>
    <m/>
    <m/>
  </r>
  <r>
    <d v="2025-03-25T00:00:00"/>
    <x v="2"/>
    <s v="KESH"/>
    <s v="A21635"/>
    <s v="Manual"/>
    <s v="Faruk Abel"/>
    <s v="UBR 539W"/>
    <s v="Nakuya Enterprises Ltd"/>
    <n v="156"/>
    <s v="A21635"/>
    <s v="OM"/>
    <n v="560"/>
    <n v="558"/>
    <n v="-2"/>
    <m/>
    <d v="2024-03-14T13:08:00"/>
    <d v="2024-03-15T01:59:00"/>
    <d v="2024-03-14T13:34:00"/>
    <n v="-741.55092592360836"/>
    <n v="25.879629630556639"/>
    <m/>
    <d v="2024-03-15T12:40:00"/>
    <d v="2024-03-15T17:45:00"/>
    <n v="298.64583333219343"/>
    <s v="Waited for empties from trade"/>
    <d v="2024-03-16T16:47:00"/>
    <d v="2024-03-16T17:43:00"/>
    <n v="54.833333337664953"/>
    <m/>
    <n v="2.1340277777781012"/>
    <n v="2"/>
    <n v="-0.13402777777810115"/>
    <n v="51.216666666674428"/>
    <n v="24"/>
    <n v="27.216666666674428"/>
    <n v="5.7317819963241465"/>
    <m/>
    <m/>
    <m/>
    <m/>
    <m/>
  </r>
  <r>
    <d v="2025-03-25T00:00:00"/>
    <x v="2"/>
    <s v="KESH"/>
    <s v="A21636"/>
    <s v="Manual"/>
    <s v="Mudunga Musa"/>
    <s v="UBE 678K"/>
    <s v="Ntemenro Enterprises"/>
    <n v="156"/>
    <s v="A21636"/>
    <s v="OM"/>
    <n v="560"/>
    <n v="558"/>
    <n v="-2"/>
    <m/>
    <d v="2024-03-14T18:17:00"/>
    <d v="2024-03-14T19:30:00"/>
    <d v="2024-03-14T18:43:00"/>
    <n v="-46.782407403467609"/>
    <n v="25.879629630556639"/>
    <m/>
    <d v="2024-03-15T12:01:00"/>
    <d v="2024-03-16T12:14:00"/>
    <n v="1422.7291666671226"/>
    <s v="slept at the RD and offloaded the next day"/>
    <d v="2024-03-17T07:23:00"/>
    <d v="2024-03-17T08:21:00"/>
    <n v="56.791666667122627"/>
    <m/>
    <n v="2.5277777777737356"/>
    <n v="2"/>
    <n v="-0.52777777777373558"/>
    <n v="60.666666666569654"/>
    <n v="24"/>
    <n v="36.666666666569654"/>
    <n v="4.2545454545567116"/>
    <m/>
    <m/>
    <m/>
    <m/>
    <m/>
  </r>
  <r>
    <d v="2025-03-25T00:00:00"/>
    <x v="2"/>
    <s v="KESH"/>
    <s v="F16134"/>
    <s v="Manual"/>
    <s v="Nakalya John"/>
    <s v="UBM 648D"/>
    <s v="Boniface Harera"/>
    <n v="148.80000000000001"/>
    <s v="F16134"/>
    <s v="OM"/>
    <n v="448"/>
    <n v="446"/>
    <n v="-2"/>
    <m/>
    <d v="2024-03-16T08:30:00"/>
    <d v="2024-03-15T01:59:00"/>
    <d v="2024-03-16T08:58:00"/>
    <n v="1850.3935185222265"/>
    <n v="27.870370367357584"/>
    <m/>
    <d v="2024-03-16T14:00:00"/>
    <d v="2024-03-16T19:58:00"/>
    <n v="350.54166666028323"/>
    <s v="Reached late and offloaded the next day"/>
    <d v="2024-03-17T12:52:00"/>
    <d v="2024-03-17T14:04:00"/>
    <n v="70.50000000410364"/>
    <s v="Failed batteries at the gate"/>
    <n v="1.1624999999985448"/>
    <n v="2"/>
    <n v="0.83750000000145519"/>
    <n v="27.899999999965075"/>
    <n v="12"/>
    <n v="15.899999999965075"/>
    <n v="9.3584905660582933"/>
    <m/>
    <m/>
    <m/>
    <m/>
    <m/>
  </r>
  <r>
    <d v="2025-03-25T00:00:00"/>
    <x v="2"/>
    <s v="KESH"/>
    <s v="Z83226"/>
    <s v="Manual"/>
    <m/>
    <s v="UBJ 421C"/>
    <s v="Bates Enterprises U Ltd"/>
    <n v="156"/>
    <s v="Z83226"/>
    <s v="OM"/>
    <n v="464"/>
    <n v="461"/>
    <n v="-3"/>
    <m/>
    <d v="2024-03-15T08:33:02"/>
    <d v="2024-03-15T07:52:02"/>
    <d v="2024-03-15T09:00:02"/>
    <n v="67.685185186807459"/>
    <n v="26.87500000417155"/>
    <m/>
    <d v="2024-03-15T03:30:02"/>
    <d v="2024-03-15T14:36:02"/>
    <n v="652.12500000205182"/>
    <s v="found another truck to be offloaded"/>
    <d v="2024-03-16T18:06:02"/>
    <d v="2024-03-16T19:02:02"/>
    <n v="54.833333337664953"/>
    <m/>
    <n v="1.3791666666656965"/>
    <n v="3"/>
    <n v="1.6208333333343035"/>
    <n v="33.099999999976717"/>
    <n v="12"/>
    <n v="21.099999999976717"/>
    <n v="7.3933649289181105"/>
    <m/>
    <m/>
    <m/>
    <m/>
    <m/>
  </r>
  <r>
    <d v="2025-03-25T00:00:00"/>
    <x v="2"/>
    <s v="KESH"/>
    <s v="A21639"/>
    <s v="Manual"/>
    <s v="Byanshala Stoney"/>
    <s v="UBP 312H"/>
    <s v="Kato Investment Ltd -Mubende"/>
    <n v="148.80000000000001"/>
    <s v="A21639"/>
    <s v="OM"/>
    <n v="680"/>
    <n v="679"/>
    <n v="-1"/>
    <m/>
    <d v="2024-03-15T08:16:00"/>
    <d v="2024-03-15T07:30:00"/>
    <d v="2024-03-15T08:42:00"/>
    <n v="71.666666670838211"/>
    <n v="25.879629630556639"/>
    <m/>
    <d v="2024-03-15T14:42:00"/>
    <d v="2024-03-15T19:12:00"/>
    <n v="264.375"/>
    <s v="Waited for empties from trade"/>
    <d v="2024-03-16T09:07:12"/>
    <d v="2024-03-16T09:48:12"/>
    <n v="40.145833330825553"/>
    <m/>
    <n v="1.0174999999944703"/>
    <n v="3"/>
    <n v="1.9825000000055297"/>
    <n v="24.419999999867287"/>
    <n v="12"/>
    <n v="12.419999999867287"/>
    <n v="11.980676328630436"/>
    <m/>
    <m/>
    <m/>
    <m/>
    <m/>
  </r>
  <r>
    <d v="2025-03-25T00:00:00"/>
    <x v="2"/>
    <s v="KESH"/>
    <s v="A21640"/>
    <s v="Manual"/>
    <s v="Eriku Alipa"/>
    <s v="UBK 858R"/>
    <s v="Kato Investments Ltd- Kakumiro"/>
    <n v="156"/>
    <s v="A21640"/>
    <s v="OM"/>
    <n v="790"/>
    <n v="787"/>
    <n v="-3"/>
    <m/>
    <d v="2024-03-15T14:34:00"/>
    <d v="2024-03-16T02:22:00"/>
    <d v="2024-03-15T15:01:00"/>
    <n v="-677.84722222083167"/>
    <n v="26.87500000417155"/>
    <m/>
    <d v="2024-03-16T03:13:00"/>
    <d v="2024-03-16T14:41:00"/>
    <n v="673.66666666712263"/>
    <s v="Waited for empties from trade"/>
    <d v="2024-03-16T19:44:00"/>
    <d v="2024-03-16T20:40:00"/>
    <n v="54.833333337664953"/>
    <m/>
    <n v="1.1965277777781012"/>
    <n v="3"/>
    <n v="1.8034722222218988"/>
    <n v="28.716666666674428"/>
    <n v="12"/>
    <n v="16.716666666674428"/>
    <n v="9.3320039880315591"/>
    <m/>
    <m/>
    <m/>
    <m/>
    <m/>
  </r>
  <r>
    <d v="2025-03-25T00:00:00"/>
    <x v="2"/>
    <s v="KESH"/>
    <s v="A21637"/>
    <s v="Manual"/>
    <m/>
    <s v="UBR 880Y"/>
    <s v="Kato Investment Ltd -Mityana"/>
    <n v="156"/>
    <s v="A21637"/>
    <s v="OM"/>
    <n v="690"/>
    <n v="689"/>
    <n v="-1"/>
    <m/>
    <d v="2024-03-15T22:04:00"/>
    <d v="2024-03-16T02:22:00"/>
    <d v="2024-03-15T22:33:00"/>
    <n v="-227.93981481736409"/>
    <n v="28.865740740972495"/>
    <m/>
    <d v="2024-03-16T12:52:00"/>
    <d v="2024-03-16T18:38:00"/>
    <n v="338.79166666301899"/>
    <s v="Waited for empties from trade"/>
    <d v="2024-03-17T10:22:00"/>
    <d v="2024-03-17T11:19:00"/>
    <n v="55.81249999726424"/>
    <m/>
    <n v="1.492361111108039"/>
    <n v="3"/>
    <n v="1.507638888891961"/>
    <n v="35.816666666592937"/>
    <n v="12"/>
    <n v="23.816666666592937"/>
    <n v="6.550034989523426"/>
    <m/>
    <m/>
    <m/>
    <m/>
    <m/>
  </r>
  <r>
    <d v="2025-03-25T00:00:00"/>
    <x v="2"/>
    <s v="KESH"/>
    <s v="A21657"/>
    <s v="Manual"/>
    <s v="Ikwalikwa Yusuf"/>
    <s v="UBP 311H"/>
    <s v="Kato Investment Ltd -Mubende"/>
    <n v="156"/>
    <s v="A21657"/>
    <s v="OM"/>
    <n v="680"/>
    <n v="677"/>
    <n v="-3"/>
    <m/>
    <d v="2024-03-15T22:09:00"/>
    <d v="2024-03-16T07:42:00"/>
    <d v="2024-03-15T22:35:00"/>
    <n v="-544.46759259444661"/>
    <n v="25.879629630556639"/>
    <m/>
    <d v="2024-03-16T09:52:00"/>
    <d v="2024-03-16T14:07:00"/>
    <n v="249.6874999931606"/>
    <s v="found another truck to be offloaded"/>
    <d v="2024-03-17T17:03:00"/>
    <d v="2024-03-17T18:18:00"/>
    <n v="73.4375000034197"/>
    <s v="sorting delays"/>
    <n v="1.7694444444496185"/>
    <n v="3"/>
    <n v="1.2305555555503815"/>
    <n v="42.466666666790843"/>
    <n v="12"/>
    <n v="30.466666666790843"/>
    <n v="5.1203501093883208"/>
    <m/>
    <m/>
    <m/>
    <m/>
    <m/>
  </r>
  <r>
    <d v="2025-03-25T00:00:00"/>
    <x v="2"/>
    <s v="KESH"/>
    <s v="A21638"/>
    <s v="Manual"/>
    <s v="Mulumba Kasim"/>
    <s v="UBE 680K"/>
    <s v="Kato Investment Ltd -Mityana"/>
    <n v="156"/>
    <s v="A21638"/>
    <s v="OM"/>
    <n v="690"/>
    <n v="688"/>
    <n v="-2"/>
    <m/>
    <d v="2024-03-17T09:33:00"/>
    <d v="2024-03-17T02:22:00"/>
    <d v="2024-03-17T10:01:00"/>
    <n v="456.87499999791424"/>
    <n v="27.870370367357584"/>
    <m/>
    <d v="2024-03-17T03:58:00"/>
    <d v="2024-03-17T20:54:00"/>
    <n v="994.83333333424525"/>
    <s v="truck faulty"/>
    <d v="2024-03-18T18:43:00"/>
    <d v="2024-03-18T19:39:00"/>
    <n v="54.833333337664953"/>
    <m/>
    <n v="1.3625000000029104"/>
    <n v="3"/>
    <n v="1.6374999999970896"/>
    <n v="32.700000000069849"/>
    <n v="12"/>
    <n v="20.700000000069849"/>
    <n v="7.5362318840325413"/>
    <m/>
    <m/>
    <m/>
    <m/>
    <m/>
  </r>
  <r>
    <d v="2025-03-25T00:00:00"/>
    <x v="2"/>
    <s v="KESH"/>
    <s v="Z83238"/>
    <s v="Manual"/>
    <m/>
    <s v="UBR 538W"/>
    <s v="Kabaco U Ltd"/>
    <n v="156"/>
    <s v="Z83238"/>
    <s v="OM"/>
    <n v="320"/>
    <n v="319"/>
    <n v="-1"/>
    <m/>
    <d v="2024-03-18T08:30:18"/>
    <d v="2024-03-18T07:30:18"/>
    <d v="2024-03-18T08:58:18"/>
    <n v="87.592592596532384"/>
    <n v="27.870370367357584"/>
    <m/>
    <d v="2024-03-18T09:40:18"/>
    <d v="2024-03-18T13:17:18"/>
    <n v="212.47916666165111"/>
    <s v="Not enough casuals to offload"/>
    <d v="2024-03-19T13:45:18"/>
    <d v="2024-03-19T14:26:18"/>
    <n v="40.145833330825553"/>
    <m/>
    <n v="1.1993055555576575"/>
    <n v="2"/>
    <n v="0.8006944444423425"/>
    <n v="28.78333333338378"/>
    <n v="12"/>
    <n v="16.78333333338378"/>
    <n v="9.2949354518092022"/>
    <m/>
    <m/>
    <m/>
    <m/>
    <m/>
  </r>
  <r>
    <d v="2025-03-25T00:00:00"/>
    <x v="2"/>
    <s v="KESH"/>
    <s v="Z83233"/>
    <s v="Manual"/>
    <s v="Tsaale Hassan"/>
    <s v="UBJ 703D"/>
    <s v="Kobusinge Steven-FPortal"/>
    <n v="156"/>
    <s v="Z83233"/>
    <s v="OM"/>
    <n v="304"/>
    <n v="303"/>
    <n v="-1"/>
    <m/>
    <d v="2024-03-19T09:01:00"/>
    <d v="2024-03-18T08:00:00"/>
    <d v="2024-03-19T09:27:00"/>
    <n v="1519.9305555562507"/>
    <n v="25.879629630556639"/>
    <m/>
    <d v="2024-03-19T20:30:00"/>
    <d v="2024-03-20T03:40:00"/>
    <n v="421.04166667464597"/>
    <s v="Waited for empties from trade"/>
    <d v="2024-03-21T10:52:00"/>
    <d v="2024-03-21T11:46:00"/>
    <n v="52.87499999794818"/>
    <m/>
    <n v="2.0590277777737356"/>
    <n v="2"/>
    <n v="-5.9027777773735579E-2"/>
    <n v="49.416666666569654"/>
    <n v="24"/>
    <n v="25.416666666569654"/>
    <n v="6.1377049180562135"/>
    <m/>
    <m/>
    <m/>
    <m/>
    <m/>
  </r>
  <r>
    <d v="2025-03-25T00:00:00"/>
    <x v="2"/>
    <s v="NBL"/>
    <s v="F16139"/>
    <s v="Manual"/>
    <m/>
    <s v="UBE 419T"/>
    <s v="KATO INVESTMENTS LIMITED-MASAK"/>
    <n v="153.6"/>
    <s v="F16139"/>
    <s v="OM"/>
    <n v="298"/>
    <n v="295"/>
    <n v="-3"/>
    <m/>
    <d v="2024-03-19T06:36:00"/>
    <d v="2024-03-18T08:00:00"/>
    <d v="2024-03-19T07:03:00"/>
    <n v="1376.5972222145745"/>
    <n v="26.87500000417155"/>
    <m/>
    <d v="2024-03-19T15:07:00"/>
    <d v="2024-03-19T21:15:00"/>
    <n v="360.33333332808979"/>
    <s v="Reached late and offloaded the next day"/>
    <d v="2024-03-20T19:37:00"/>
    <d v="2024-03-20T20:20:00"/>
    <n v="42.104166670542327"/>
    <s v="sorting delays"/>
    <n v="1.523611111115315"/>
    <n v="2"/>
    <n v="0.476388888884685"/>
    <n v="36.56666666676756"/>
    <n v="12"/>
    <n v="24.56666666676756"/>
    <n v="6.2523744911547832"/>
    <m/>
    <m/>
    <m/>
    <m/>
    <m/>
  </r>
  <r>
    <d v="2025-03-25T00:00:00"/>
    <x v="2"/>
    <s v="KESH"/>
    <s v="A21656"/>
    <s v="Manual"/>
    <s v="Bwanga Gilbert"/>
    <s v="UBK 862R"/>
    <s v="KATO INVESTMENTS LTD-KATIKARA"/>
    <n v="156"/>
    <s v="A21656"/>
    <s v="OM"/>
    <n v="790"/>
    <n v="789"/>
    <n v="-1"/>
    <m/>
    <d v="2024-03-19T08:37:00"/>
    <d v="2024-03-18T21:55:00"/>
    <d v="2024-03-19T09:05:00"/>
    <n v="666.89814814235433"/>
    <n v="27.870370367357584"/>
    <m/>
    <d v="2024-03-19T21:43:00"/>
    <d v="2024-03-20T19:20:00"/>
    <n v="1269.9791666616511"/>
    <s v="Waited for empties from trade"/>
    <d v="2024-03-20T18:27:00"/>
    <d v="2024-03-20T19:23:00"/>
    <n v="54.833333337664953"/>
    <m/>
    <n v="1.3902777777839219"/>
    <n v="3"/>
    <n v="1.6097222222160781"/>
    <n v="33.366666666814126"/>
    <n v="12"/>
    <n v="21.366666666814126"/>
    <n v="7.3010920436313596"/>
    <m/>
    <m/>
    <m/>
    <m/>
    <m/>
  </r>
  <r>
    <d v="2025-03-25T00:00:00"/>
    <x v="2"/>
    <s v="KESH"/>
    <s v="A21658"/>
    <s v="Manual"/>
    <m/>
    <s v="UBJ 423C"/>
    <s v="Kato Investment Ltd -Mityana"/>
    <n v="156"/>
    <s v="A21658"/>
    <s v="OM"/>
    <n v="690"/>
    <n v="689"/>
    <n v="-1"/>
    <m/>
    <d v="2024-03-18T15:29:00"/>
    <d v="2024-03-18T21:45:00"/>
    <d v="2024-03-18T15:57:00"/>
    <n v="-346.38888889166992"/>
    <n v="27.870370367357584"/>
    <m/>
    <d v="2024-03-20T09:17:00"/>
    <d v="2024-03-20T13:35:00"/>
    <n v="252.62499999247666"/>
    <s v="space consquents"/>
    <d v="2024-03-19T18:18:00"/>
    <d v="2024-03-19T19:40:00"/>
    <n v="80.291666661651107"/>
    <s v="pre trip inspections"/>
    <n v="1.0979166666656965"/>
    <n v="3"/>
    <n v="1.9020833333343035"/>
    <n v="26.349999999976717"/>
    <n v="12"/>
    <n v="14.349999999976717"/>
    <n v="10.871080139390461"/>
    <m/>
    <m/>
    <m/>
    <m/>
    <m/>
  </r>
  <r>
    <d v="2025-03-25T00:00:00"/>
    <x v="2"/>
    <s v="KESH"/>
    <s v="F16141"/>
    <s v="Manual"/>
    <m/>
    <s v="UBR 864Y"/>
    <s v="Boniface Harera"/>
    <n v="156"/>
    <s v="F16141"/>
    <s v="OM"/>
    <n v="448"/>
    <n v="445"/>
    <n v="-3"/>
    <m/>
    <d v="2024-03-19T07:13:00"/>
    <d v="2024-03-19T15:48:00"/>
    <d v="2024-03-19T07:39:00"/>
    <n v="-486.73611111250165"/>
    <n v="25.879629630556639"/>
    <m/>
    <d v="2024-03-19T21:46:00"/>
    <d v="2024-03-20T14:15:00"/>
    <n v="968.39583333014161"/>
    <s v="Reached late and offloaded the next day"/>
    <d v="2024-03-21T06:26:00"/>
    <d v="2024-03-21T07:09:00"/>
    <n v="42.104166670542327"/>
    <s v="sorting delays"/>
    <n v="1.9493055555576575"/>
    <n v="2"/>
    <n v="5.0694444442342501E-2"/>
    <n v="46.78333333338378"/>
    <n v="12"/>
    <n v="34.78333333338378"/>
    <n v="4.4849065644400694"/>
    <m/>
    <m/>
    <m/>
    <m/>
    <m/>
  </r>
  <r>
    <d v="2025-03-26T00:00:00"/>
    <x v="2"/>
    <s v="KESH"/>
    <s v="A21678"/>
    <s v="Manual"/>
    <s v="Muzamiru"/>
    <s v="UBJ 417C"/>
    <s v="Kato Investment Ltd -Kagadi"/>
    <n v="78"/>
    <s v="A21678"/>
    <s v="OM"/>
    <n v="670"/>
    <n v="667"/>
    <n v="-3"/>
    <m/>
    <d v="2024-03-19T09:05:00"/>
    <d v="2024-03-18T20:13:00"/>
    <d v="2024-03-19T09:29:00"/>
    <n v="792.31481481110677"/>
    <n v="23.888888893755695"/>
    <m/>
    <d v="2024-03-19T18:56:00"/>
    <d v="2024-03-20T15:23:00"/>
    <n v="1201.4374999972642"/>
    <s v="slept at the RD and offloaded the next day"/>
    <d v="2024-03-21T14:17:00"/>
    <d v="2024-03-21T15:13:00"/>
    <n v="54.833333337664953"/>
    <m/>
    <n v="2.1999999999970896"/>
    <n v="2"/>
    <n v="-0.19999999999708962"/>
    <n v="52.799999999930151"/>
    <n v="24"/>
    <n v="28.799999999930151"/>
    <n v="2.708333333339902"/>
    <m/>
    <m/>
    <m/>
    <m/>
    <m/>
  </r>
  <r>
    <d v="2025-03-26T00:00:00"/>
    <x v="2"/>
    <s v="NBL"/>
    <s v="Z83259"/>
    <s v="Manual"/>
    <m/>
    <s v="UBJ 988D"/>
    <s v="Kabaco U Ltd"/>
    <n v="153.6"/>
    <s v="Z83259"/>
    <s v="OM"/>
    <n v="320"/>
    <n v="160"/>
    <n v="-160"/>
    <m/>
    <d v="2024-03-19T06:36:00"/>
    <d v="2024-03-18T20:13:00"/>
    <d v="2024-03-19T07:03:00"/>
    <n v="646.99074073262943"/>
    <n v="26.87500000417155"/>
    <m/>
    <d v="2024-03-20T13:41:00"/>
    <d v="2024-03-20T16:30:00"/>
    <n v="165.47916666233505"/>
    <m/>
    <d v="2024-03-21T03:52:00"/>
    <d v="2024-03-21T04:42:00"/>
    <n v="48.958333328773733"/>
    <m/>
    <n v="1.867361111115315"/>
    <n v="2"/>
    <n v="0.132638888884685"/>
    <n v="44.81666666676756"/>
    <n v="12"/>
    <n v="32.81666666676756"/>
    <n v="4.6805485017631616"/>
    <m/>
    <m/>
    <m/>
    <m/>
    <m/>
  </r>
  <r>
    <d v="2025-03-26T00:00:00"/>
    <x v="2"/>
    <s v="NBL"/>
    <s v="A21672"/>
    <s v="Manual"/>
    <m/>
    <s v="UBE 422T"/>
    <s v="Ntale and Sons Ltd-Kakiri"/>
    <n v="153.6"/>
    <s v="A21672"/>
    <s v="OM"/>
    <n v="620"/>
    <n v="617"/>
    <n v="-3"/>
    <m/>
    <d v="2024-03-19T09:39:00"/>
    <d v="2024-03-18T08:00:00"/>
    <d v="2024-03-19T10:08:00"/>
    <n v="1560.7407407388866"/>
    <n v="28.865740740972495"/>
    <m/>
    <d v="2024-03-19T10:48:00"/>
    <d v="2024-03-19T15:55:00"/>
    <n v="300.60416667191021"/>
    <s v="Waited for empties from trade"/>
    <d v="2024-03-20T15:22:00"/>
    <d v="2024-03-20T16:05:00"/>
    <n v="42.104166670542327"/>
    <m/>
    <n v="1.2180555555532919"/>
    <n v="3"/>
    <n v="1.7819444444467081"/>
    <n v="29.233333333279006"/>
    <n v="12"/>
    <n v="17.233333333279006"/>
    <n v="8.912959381072584"/>
    <m/>
    <m/>
    <m/>
    <m/>
    <m/>
  </r>
  <r>
    <d v="2025-03-26T00:00:00"/>
    <x v="2"/>
    <s v="KESH"/>
    <s v="F16144"/>
    <s v="Manual"/>
    <s v="kakembo Masudi"/>
    <s v="UBM 644D"/>
    <s v="Boniface Harera"/>
    <n v="156"/>
    <s v="F16144"/>
    <s v="OM"/>
    <n v="448"/>
    <n v="445"/>
    <n v="-3"/>
    <m/>
    <d v="2024-03-19T08:21:06"/>
    <d v="2024-03-19T07:30:06"/>
    <d v="2024-03-19T08:47:06"/>
    <n v="76.643518518055018"/>
    <n v="25.879629630556639"/>
    <m/>
    <d v="2024-03-19T12:00:06"/>
    <d v="2024-03-19T17:09:06"/>
    <n v="302.56250000136788"/>
    <s v="found another truck at the RD and offloaded the next day"/>
    <d v="2024-03-20T19:49:06"/>
    <d v="2024-03-20T20:45:06"/>
    <n v="54.833333337664953"/>
    <s v="found another truck waiting to offload"/>
    <n v="1.4597222222218988"/>
    <n v="2"/>
    <n v="0.54027777777810115"/>
    <n v="35.033333333325572"/>
    <n v="12"/>
    <n v="23.033333333325572"/>
    <n v="6.7727930535478684"/>
    <m/>
    <m/>
    <m/>
    <m/>
    <m/>
  </r>
  <r>
    <d v="2025-03-26T00:00:00"/>
    <x v="2"/>
    <s v="KESH"/>
    <s v="Z83257"/>
    <s v="Manual"/>
    <s v="Nminya Siraje"/>
    <s v="UBP 301H"/>
    <s v="Kobusinge Acaali- Kyenjojo"/>
    <n v="156"/>
    <s v="Z83257"/>
    <s v="OM"/>
    <n v="580"/>
    <n v="577"/>
    <n v="-3"/>
    <m/>
    <d v="2024-03-19T08:11:05"/>
    <d v="2024-03-19T07:30:05"/>
    <d v="2024-03-19T08:38:05"/>
    <n v="67.685185186807459"/>
    <n v="26.87500000417155"/>
    <m/>
    <d v="2024-03-19T03:51:05"/>
    <d v="2024-03-19T17:43:05"/>
    <n v="814.66666666507081"/>
    <s v="Waited for empties from trade"/>
    <d v="2024-03-21T08:07:05"/>
    <d v="2024-03-21T09:22:05"/>
    <n v="73.4375000034197"/>
    <s v="fueling delays"/>
    <n v="1.9784722222248092"/>
    <n v="2"/>
    <n v="2.1527777775190771E-2"/>
    <n v="47.483333333395422"/>
    <n v="12"/>
    <n v="35.483333333395422"/>
    <n v="4.3964302489354727"/>
    <m/>
    <m/>
    <m/>
    <m/>
    <m/>
  </r>
  <r>
    <d v="2025-03-27T00:00:00"/>
    <x v="2"/>
    <s v="KESH"/>
    <s v="Z83263"/>
    <s v="Manual"/>
    <s v="Awali Malinzi"/>
    <s v="UBR 860Y"/>
    <s v="Kobusinge Steven-Kamwenge"/>
    <n v="156"/>
    <s v="Z83263"/>
    <s v="OM"/>
    <n v="288"/>
    <n v="286"/>
    <n v="-2"/>
    <m/>
    <d v="2024-03-19T15:22:00"/>
    <d v="2024-03-18T20:13:00"/>
    <d v="2024-03-19T15:48:00"/>
    <n v="1169.5601851805502"/>
    <n v="25.879629630556639"/>
    <m/>
    <d v="2024-03-21T09:48:00"/>
    <d v="2024-03-21T15:21:00"/>
    <n v="326.06249999589636"/>
    <s v="space consquents"/>
    <d v="2024-03-21T07:56:00"/>
    <d v="2024-03-21T09:08:00"/>
    <n v="70.50000000410364"/>
    <s v="sorting delays"/>
    <n v="1.672222222223354"/>
    <n v="2"/>
    <n v="0.32777777777664596"/>
    <n v="40.133333333360497"/>
    <n v="12"/>
    <n v="28.133333333360497"/>
    <n v="5.5450236966771103"/>
    <m/>
    <m/>
    <m/>
    <m/>
    <m/>
  </r>
  <r>
    <d v="2025-03-27T00:00:00"/>
    <x v="2"/>
    <s v="KESH"/>
    <s v="Z83274"/>
    <s v="Manual"/>
    <s v="Awali Malinzi"/>
    <s v="UBR 860Y"/>
    <s v="Kobusinge Steven-Kamwenge"/>
    <n v="156"/>
    <s v="Z83274"/>
    <s v="OM"/>
    <n v="288"/>
    <n v="287"/>
    <n v="-1"/>
    <m/>
    <d v="2024-03-19T08:12:00"/>
    <d v="2024-03-19T07:30:00"/>
    <d v="2024-03-19T08:38:00"/>
    <n v="67.685185186807459"/>
    <n v="25.879629630556639"/>
    <m/>
    <d v="2024-03-20T10:53:00"/>
    <d v="2024-03-20T15:39:00"/>
    <n v="280.04166666643869"/>
    <s v="Waited for empties from trade"/>
    <d v="2024-03-21T20:27:00"/>
    <d v="2024-03-21T21:10:00"/>
    <n v="42.104166670542327"/>
    <m/>
    <n v="2.492361111108039"/>
    <n v="2"/>
    <n v="-0.49236111110803904"/>
    <n v="59.816666666592937"/>
    <n v="24"/>
    <n v="35.816666666592937"/>
    <n v="4.3555141926567087"/>
    <m/>
    <m/>
    <m/>
    <m/>
    <m/>
  </r>
  <r>
    <d v="2025-03-27T00:00:00"/>
    <x v="2"/>
    <s v="KESH"/>
    <s v="Z83268"/>
    <s v="Manual"/>
    <s v="Faruk Abel"/>
    <s v="UBR 539W"/>
    <s v="Kobusinge Steven-FPortal"/>
    <n v="156"/>
    <s v="Z83268"/>
    <s v="OM"/>
    <n v="304"/>
    <n v="303"/>
    <n v="-1"/>
    <m/>
    <d v="2024-03-21T07:02:00"/>
    <d v="2024-03-19T20:00:00"/>
    <d v="2024-03-21T07:30:00"/>
    <n v="2120.1388888854126"/>
    <n v="27.870370367357584"/>
    <m/>
    <d v="2024-03-21T19:13:00"/>
    <d v="2024-03-22T16:07:00"/>
    <n v="1227.8750000013679"/>
    <s v="Waited for empties from trade"/>
    <d v="2024-03-23T19:37:00"/>
    <d v="2024-03-23T20:52:00"/>
    <n v="73.4375000034197"/>
    <s v="Failed batteries at the gate"/>
    <n v="2.5048611111124046"/>
    <n v="2"/>
    <n v="-0.50486111111240461"/>
    <n v="60.116666666697711"/>
    <n v="24"/>
    <n v="36.116666666697711"/>
    <n v="4.3193354868444649"/>
    <m/>
    <m/>
    <m/>
    <m/>
    <m/>
  </r>
  <r>
    <d v="2025-03-27T00:00:00"/>
    <x v="2"/>
    <s v="KESH"/>
    <s v="Z83270"/>
    <s v="Manual"/>
    <s v="Kyakulaga James"/>
    <s v="UBJ 419C"/>
    <s v="Rugoma Traders-Rukungiri"/>
    <n v="156"/>
    <s v="Z83270"/>
    <s v="OM"/>
    <n v="256"/>
    <n v="253"/>
    <n v="-3"/>
    <m/>
    <d v="2024-03-20T17:15:00"/>
    <d v="2024-03-19T19:00:00"/>
    <d v="2024-03-20T17:39:00"/>
    <n v="1352.7083333416765"/>
    <n v="23.888888893755695"/>
    <m/>
    <d v="2024-03-21T13:18:00"/>
    <d v="2024-03-21T19:05:00"/>
    <n v="339.77083333287737"/>
    <s v="less casuals and offloaded the next day"/>
    <d v="2024-03-22T18:47:00"/>
    <d v="2024-03-22T19:43:00"/>
    <n v="54.833333337664953"/>
    <s v="offloading delays"/>
    <n v="2.0472222222160781"/>
    <n v="2"/>
    <n v="-4.722222221607808E-2"/>
    <n v="49.133333333185874"/>
    <n v="24"/>
    <n v="25.133333333185874"/>
    <n v="6.2068965517605541"/>
    <m/>
    <m/>
    <m/>
    <m/>
    <m/>
  </r>
  <r>
    <d v="2025-03-27T00:00:00"/>
    <x v="2"/>
    <s v="KESH"/>
    <s v="A21691"/>
    <s v="Manual"/>
    <s v="Kabanda Ronald"/>
    <s v="UBE 684K"/>
    <s v="KATO INVESTMENTS LTD-KATIKARA"/>
    <n v="156"/>
    <s v="A21691"/>
    <s v="OM"/>
    <n v="790"/>
    <n v="787"/>
    <n v="-3"/>
    <m/>
    <d v="2024-03-20T16:55:00"/>
    <d v="2024-03-19T08:00:00"/>
    <d v="2024-03-20T17:23:00"/>
    <n v="1993.726851853474"/>
    <n v="27.870370367357584"/>
    <m/>
    <d v="2024-03-21T08:24:00"/>
    <d v="2024-03-21T12:15:00"/>
    <n v="226.18749999863212"/>
    <s v="Waited for empties from trade"/>
    <d v="2024-03-22T15:38:00"/>
    <d v="2024-03-22T16:53:00"/>
    <n v="73.4375000034197"/>
    <s v="fueling delays"/>
    <n v="1.9270833333284827"/>
    <n v="3"/>
    <n v="1.0729166666715173"/>
    <n v="46.249999999883585"/>
    <n v="12"/>
    <n v="34.249999999883585"/>
    <n v="4.5547445255629269"/>
    <m/>
    <m/>
    <m/>
    <m/>
    <m/>
  </r>
  <r>
    <d v="2025-03-27T00:00:00"/>
    <x v="2"/>
    <s v="KESH"/>
    <s v="A21688"/>
    <s v="Manual"/>
    <m/>
    <s v="UBR 903Y"/>
    <s v="KATO INVESTMENTS LTD-KATIKARA"/>
    <n v="156"/>
    <s v="A21688"/>
    <s v="OM"/>
    <n v="790"/>
    <n v="787"/>
    <n v="-3"/>
    <m/>
    <d v="2024-03-19T21:27:00"/>
    <d v="2024-03-20T22:00:00"/>
    <d v="2024-03-19T21:54:00"/>
    <n v="-1439.305555554165"/>
    <n v="26.87500000417155"/>
    <m/>
    <d v="2024-03-20T03:29:00"/>
    <d v="2024-03-20T15:59:00"/>
    <n v="734.3750000034197"/>
    <s v="Waited for empties from trade"/>
    <d v="2024-03-21T10:15:00"/>
    <d v="2024-03-21T10:58:00"/>
    <n v="42.104166670542327"/>
    <m/>
    <n v="1.5145833333372138"/>
    <n v="3"/>
    <n v="1.4854166666627862"/>
    <n v="36.350000000093132"/>
    <n v="12"/>
    <n v="24.350000000093132"/>
    <n v="6.4065708418646139"/>
    <m/>
    <m/>
    <m/>
    <m/>
    <m/>
  </r>
  <r>
    <d v="2025-03-27T00:00:00"/>
    <x v="2"/>
    <s v="KESH"/>
    <s v="A21698"/>
    <s v="Manual"/>
    <m/>
    <s v="UBR 538W"/>
    <s v="Ntale and Sons Ltd-Kakiri"/>
    <n v="78"/>
    <s v="A21698"/>
    <s v="OM"/>
    <n v="620"/>
    <n v="621"/>
    <n v="1"/>
    <m/>
    <d v="2024-03-19T21:53:00"/>
    <d v="2024-03-20T15:48:00"/>
    <d v="2024-03-19T22:19:00"/>
    <n v="-1044.1435185222265"/>
    <n v="25.879629630556639"/>
    <m/>
    <d v="2024-03-20T22:56:00"/>
    <d v="2024-03-21T01:54:00"/>
    <n v="174.29166667054233"/>
    <m/>
    <d v="2024-03-21T15:30:00"/>
    <d v="2024-03-21T16:45:00"/>
    <n v="73.4375000034197"/>
    <s v="fueling delays"/>
    <n v="1.7159722222277196"/>
    <n v="3"/>
    <n v="1.2840277777722804"/>
    <n v="41.183333333465271"/>
    <n v="12"/>
    <n v="29.183333333465271"/>
    <n v="2.6727584237457691"/>
    <m/>
    <m/>
    <m/>
    <m/>
    <m/>
  </r>
  <r>
    <d v="2025-03-27T00:00:00"/>
    <x v="2"/>
    <s v="KESH"/>
    <s v="A21689"/>
    <s v="Manual"/>
    <m/>
    <s v="UBP 304H"/>
    <s v="Kato Investment Ltd -Mityana"/>
    <n v="156"/>
    <s v="A21689"/>
    <s v="OM"/>
    <n v="690"/>
    <n v="687"/>
    <n v="-3"/>
    <m/>
    <d v="2024-03-19T22:05:00"/>
    <d v="2024-03-19T17:46:00"/>
    <d v="2024-03-19T22:33:00"/>
    <n v="285.67129629930906"/>
    <n v="27.870370367357584"/>
    <m/>
    <d v="2024-03-20T10:42:00"/>
    <d v="2024-03-20T18:50:00"/>
    <n v="477.83333333150949"/>
    <s v="Reached late and offloaded the next day"/>
    <d v="2024-03-21T16:26:00"/>
    <d v="2024-03-21T17:46:00"/>
    <n v="78.333333332193433"/>
    <s v="dj failures at the gate"/>
    <n v="1.7451388888875954"/>
    <n v="3"/>
    <n v="1.2548611111124046"/>
    <n v="41.883333333302289"/>
    <n v="12"/>
    <n v="29.883333333302289"/>
    <n v="5.2203011712268399"/>
    <m/>
    <m/>
    <m/>
    <m/>
    <m/>
  </r>
  <r>
    <d v="2025-03-27T00:00:00"/>
    <x v="2"/>
    <s v="NBL"/>
    <s v="A21687"/>
    <s v="Manual"/>
    <m/>
    <s v="UBE 419T"/>
    <s v="Sawan Distributors Ltd-Kayabwe"/>
    <n v="153.6"/>
    <s v="A21687"/>
    <s v="OM"/>
    <n v="382"/>
    <n v="379"/>
    <n v="-3"/>
    <m/>
    <d v="2024-03-20T08:17:00"/>
    <d v="2024-03-20T07:30:00"/>
    <d v="2024-03-20T08:42:00"/>
    <n v="71.666666670838211"/>
    <n v="24.884259256941732"/>
    <m/>
    <d v="2024-03-20T14:42:00"/>
    <d v="2024-03-20T19:02:00"/>
    <n v="254.58333333219343"/>
    <s v="found another truck to be offloaded"/>
    <d v="2024-03-21T08:57:12"/>
    <d v="2024-03-21T09:40:12"/>
    <n v="42.104166670542327"/>
    <m/>
    <n v="1.0105555555492174"/>
    <n v="2"/>
    <n v="0.98944444445078261"/>
    <n v="24.253333333181217"/>
    <n v="12"/>
    <n v="12.253333333181217"/>
    <n v="12.535364526815028"/>
    <m/>
    <m/>
    <m/>
    <m/>
    <m/>
  </r>
  <r>
    <d v="2025-03-27T00:00:00"/>
    <x v="2"/>
    <s v="KESH"/>
    <s v="F16150"/>
    <s v="Manual"/>
    <m/>
    <s v="UBR 880Y"/>
    <s v="Boniface Harera"/>
    <n v="156"/>
    <s v="F16150"/>
    <s v="OM"/>
    <n v="448"/>
    <n v="446"/>
    <n v="-2"/>
    <m/>
    <d v="2024-03-21T10:07:03"/>
    <d v="2024-03-21T09:06:03"/>
    <d v="2024-03-21T10:34:03"/>
    <n v="87.592592596532384"/>
    <n v="26.87500000417155"/>
    <m/>
    <d v="2024-03-22T08:24:03"/>
    <d v="2024-03-22T14:41:03"/>
    <n v="369.14583333629707"/>
    <s v="Waited for empties from trade"/>
    <d v="2024-03-23T10:29:03"/>
    <d v="2024-03-23T11:20:03"/>
    <n v="49.93749999863212"/>
    <s v="sorting delays"/>
    <n v="1.9965277777737356"/>
    <n v="2"/>
    <n v="3.4722222262644209E-3"/>
    <n v="47.916666666569654"/>
    <n v="12"/>
    <n v="35.916666666569654"/>
    <n v="4.3433874710094118"/>
    <m/>
    <m/>
    <m/>
    <m/>
    <m/>
  </r>
  <r>
    <d v="2025-03-27T00:00:00"/>
    <x v="2"/>
    <s v="KESH"/>
    <s v="Z83264"/>
    <s v="Manual"/>
    <m/>
    <s v="UBR 863Y"/>
    <s v="Kobusinge Steven-FPortal"/>
    <n v="156"/>
    <s v="Z83264"/>
    <s v="OM"/>
    <n v="304"/>
    <n v="301"/>
    <n v="-3"/>
    <m/>
    <d v="2024-03-21T09:17:00"/>
    <d v="2024-03-20T09:00:00"/>
    <d v="2024-03-21T09:45:00"/>
    <n v="1478.125"/>
    <n v="27.870370367357584"/>
    <m/>
    <d v="2024-03-21T12:14:00"/>
    <d v="2024-03-21T18:17:00"/>
    <n v="355.43749999931606"/>
    <s v="Waited for empties from trade"/>
    <d v="2024-03-22T14:45:00"/>
    <d v="2024-03-22T15:43:00"/>
    <n v="56.791666667122627"/>
    <s v="beer topup delays"/>
    <n v="1.2083333333357587"/>
    <n v="2"/>
    <n v="0.79166666666424135"/>
    <n v="29.000000000058208"/>
    <n v="12"/>
    <n v="17.000000000058208"/>
    <n v="9.1764705882038733"/>
    <m/>
    <m/>
    <m/>
    <m/>
    <m/>
  </r>
  <r>
    <d v="2025-03-27T00:00:00"/>
    <x v="2"/>
    <s v="KESH"/>
    <s v="A21692"/>
    <s v="Manual"/>
    <s v="Nakalya John"/>
    <s v="UBM 648D"/>
    <s v="Sawan Distributors Ltd-Nabingo"/>
    <n v="156"/>
    <s v="A21692"/>
    <s v="OM"/>
    <n v="560"/>
    <n v="558"/>
    <n v="-2"/>
    <m/>
    <d v="2024-03-21T14:42:00"/>
    <d v="2024-03-20T08:00:00"/>
    <d v="2024-03-21T15:08:00"/>
    <n v="1859.351851853474"/>
    <n v="25.879629630556639"/>
    <m/>
    <d v="2024-03-22T08:46:00"/>
    <d v="2024-03-22T12:13:00"/>
    <n v="202.68750000410364"/>
    <s v="found another truck to be offloaded"/>
    <d v="2024-03-24T16:01:00"/>
    <d v="2024-03-24T17:23:00"/>
    <n v="80.291666661651107"/>
    <s v="Fork Lift Breakdown"/>
    <n v="3.0368055555518367"/>
    <n v="2"/>
    <n v="-1.0368055555518367"/>
    <n v="72.883333333244082"/>
    <n v="36"/>
    <n v="36.883333333244082"/>
    <n v="4.2295526434806368"/>
    <m/>
    <m/>
    <m/>
    <m/>
    <m/>
  </r>
  <r>
    <d v="2025-03-27T00:00:00"/>
    <x v="2"/>
    <s v="KESH"/>
    <s v="Z83273"/>
    <s v="Manual"/>
    <s v="Taimwa Alex"/>
    <s v="UBJ 705D"/>
    <s v="Bates Enterprises U Ltd"/>
    <n v="78"/>
    <s v="Z83273"/>
    <s v="OM"/>
    <n v="464"/>
    <n v="461"/>
    <n v="-3"/>
    <m/>
    <d v="2024-03-22T06:49:00"/>
    <d v="2024-03-20T08:00:00"/>
    <d v="2024-03-22T07:17:00"/>
    <n v="2823.8657407368009"/>
    <n v="27.870370367357584"/>
    <m/>
    <d v="2024-03-23T09:35:00"/>
    <d v="2024-03-23T13:20:00"/>
    <n v="220.3125"/>
    <s v="Waited for empties from trade"/>
    <d v="2024-03-24T08:23:00"/>
    <d v="2024-03-24T09:32:00"/>
    <n v="67.56250000478758"/>
    <s v="sorting delays"/>
    <n v="2.0458333333372138"/>
    <n v="3"/>
    <n v="0.95416666666278616"/>
    <n v="49.100000000093132"/>
    <n v="24"/>
    <n v="25.100000000093132"/>
    <n v="3.1075697211040074"/>
    <m/>
    <m/>
    <m/>
    <m/>
    <m/>
  </r>
  <r>
    <d v="2025-03-27T00:00:00"/>
    <x v="2"/>
    <s v="KESH"/>
    <s v="A21702"/>
    <s v="Manual"/>
    <s v="kayanja Sam"/>
    <s v="UBF 379L"/>
    <s v="Kato Investment Ltd -Mityana"/>
    <n v="156"/>
    <s v="A21702"/>
    <s v="OM"/>
    <n v="690"/>
    <n v="688"/>
    <n v="-2"/>
    <m/>
    <d v="2024-03-21T03:25:00"/>
    <d v="2024-03-21T07:00:00"/>
    <d v="2024-03-21T03:52:00"/>
    <n v="-187.12962962429933"/>
    <n v="26.87500000417155"/>
    <m/>
    <d v="2024-03-21T15:35:00"/>
    <d v="2024-03-21T18:18:00"/>
    <n v="159.60416666370293"/>
    <m/>
    <d v="2024-03-22T18:00:00"/>
    <d v="2024-03-22T18:40:00"/>
    <n v="39.166666671226267"/>
    <s v="dj failures at the gate"/>
    <n v="1.5888888888875954"/>
    <n v="3"/>
    <n v="1.4111111111124046"/>
    <n v="38.133333333302289"/>
    <n v="12"/>
    <n v="26.133333333302289"/>
    <n v="5.9693877551091319"/>
    <m/>
    <m/>
    <m/>
    <m/>
    <m/>
  </r>
  <r>
    <d v="2025-03-27T00:00:00"/>
    <x v="2"/>
    <s v="KESH"/>
    <s v="A21700"/>
    <s v="Manual"/>
    <s v="Sentongo paul"/>
    <s v="UBR 541W"/>
    <s v="Sawan Distributors Ltd-Nabingo"/>
    <n v="156"/>
    <s v="A21700"/>
    <s v="OM"/>
    <n v="560"/>
    <n v="558"/>
    <n v="-2"/>
    <m/>
    <d v="2024-03-21T08:13:00"/>
    <d v="2024-03-21T07:30:00"/>
    <d v="2024-03-21T08:42:00"/>
    <n v="71.666666670838211"/>
    <n v="28.865740740972495"/>
    <m/>
    <d v="2024-03-21T17:12:00"/>
    <d v="2024-03-22T13:08:38"/>
    <n v="1171.7034722244716"/>
    <s v="truck faulty"/>
    <d v="2024-03-23T07:27:22"/>
    <d v="2024-03-23T08:26:22"/>
    <n v="57.770833336981013"/>
    <s v="empties confirmation delays"/>
    <n v="1.948171296295186"/>
    <n v="2"/>
    <n v="5.1828703704813961E-2"/>
    <n v="46.756111111084465"/>
    <n v="12"/>
    <n v="34.756111111084465"/>
    <n v="4.4884193027639467"/>
    <m/>
    <m/>
    <m/>
    <m/>
    <m/>
  </r>
  <r>
    <d v="2025-03-27T00:00:00"/>
    <x v="2"/>
    <s v="KESH"/>
    <s v="A21701"/>
    <s v="Manual"/>
    <s v="Ikwalikwa Yusuf"/>
    <s v="UBP 311H"/>
    <s v="Sawan Distributors Ltd-Nabingo"/>
    <n v="156"/>
    <s v="A21701"/>
    <s v="OM"/>
    <n v="560"/>
    <n v="556"/>
    <n v="-4"/>
    <m/>
    <d v="2024-03-21T08:19:00"/>
    <d v="2024-03-21T07:30:00"/>
    <d v="2024-03-21T08:46:00"/>
    <n v="75.6481481444401"/>
    <n v="26.87500000417155"/>
    <m/>
    <d v="2024-03-21T03:16:00"/>
    <d v="2024-03-21T17:16:00"/>
    <n v="822.5000000034197"/>
    <s v="less casuals and offloaded the next day"/>
    <d v="2024-03-22T20:46:00"/>
    <d v="2024-03-22T21:26:00"/>
    <n v="39.166666671226267"/>
    <m/>
    <n v="1.5"/>
    <n v="2"/>
    <n v="0.5"/>
    <n v="36"/>
    <n v="12"/>
    <n v="24"/>
    <n v="6.5"/>
    <m/>
    <m/>
    <m/>
    <m/>
    <m/>
  </r>
  <r>
    <d v="2025-03-28T00:00:00"/>
    <x v="2"/>
    <s v="KESH"/>
    <s v="Z83279"/>
    <s v="Manual"/>
    <m/>
    <s v="UBJ 423C"/>
    <s v="Kobusinge Steven-FPortal"/>
    <n v="78"/>
    <s v="Z83279"/>
    <s v="OM"/>
    <n v="304"/>
    <n v="303"/>
    <n v="-1"/>
    <m/>
    <d v="2024-03-21T08:34:00"/>
    <d v="2024-03-21T07:30:00"/>
    <d v="2024-03-21T09:02:00"/>
    <n v="91.574074070134273"/>
    <n v="27.870370367357584"/>
    <m/>
    <d v="2024-03-21T16:02:00"/>
    <d v="2024-03-22T13:52:24"/>
    <n v="1283.0999999946653"/>
    <s v="Waited for empties from trade"/>
    <d v="2024-03-22T16:52:24"/>
    <d v="2024-03-22T17:42:24"/>
    <n v="48.958333328773733"/>
    <s v="dj completion delays"/>
    <n v="1.3266666666677338"/>
    <n v="2"/>
    <n v="0.67333333333226619"/>
    <n v="31.840000000025611"/>
    <n v="12"/>
    <n v="19.840000000025611"/>
    <n v="3.9314516128981509"/>
    <m/>
    <m/>
    <m/>
    <m/>
    <m/>
  </r>
  <r>
    <d v="2025-03-28T00:00:00"/>
    <x v="2"/>
    <s v="KESH"/>
    <s v="F16152"/>
    <s v="Manual"/>
    <s v="Bwanga Gilbert"/>
    <s v="UBK 862R"/>
    <s v="Boniface Harera"/>
    <n v="156"/>
    <s v="F16152"/>
    <s v="OM"/>
    <n v="448"/>
    <n v="447"/>
    <n v="-1"/>
    <m/>
    <d v="2024-03-21T07:55:00"/>
    <d v="2024-03-21T07:30:00"/>
    <d v="2024-03-21T08:47:00"/>
    <n v="76.643518518055018"/>
    <n v="51.759259261113279"/>
    <s v="Jam at the weigh bridge"/>
    <d v="2024-03-22T07:17:00"/>
    <d v="2024-03-22T12:01:00"/>
    <n v="278.08333333698101"/>
    <s v="Not enough casuals to offload"/>
    <d v="2024-03-23T08:00:12"/>
    <d v="2024-03-23T08:54:12"/>
    <n v="52.87499999794818"/>
    <s v="pre trip inspections"/>
    <n v="1.9674999999988358"/>
    <n v="2"/>
    <n v="3.2500000001164153E-2"/>
    <n v="47.21999999997206"/>
    <n v="12"/>
    <n v="35.21999999997206"/>
    <n v="4.429301533223275"/>
    <m/>
    <m/>
    <m/>
    <m/>
    <m/>
  </r>
  <r>
    <d v="2025-03-28T00:00:00"/>
    <x v="2"/>
    <s v="KESH"/>
    <s v="F16153"/>
    <s v="Manual"/>
    <m/>
    <s v="UBP 998T"/>
    <s v="Boniface Harera"/>
    <n v="78"/>
    <s v="F16153"/>
    <s v="OM"/>
    <n v="448"/>
    <n v="445"/>
    <n v="-3"/>
    <m/>
    <d v="2024-03-22T03:26:00"/>
    <d v="2024-03-21T20:25:00"/>
    <d v="2024-03-22T03:54:00"/>
    <n v="446.92129629305174"/>
    <n v="27.870370367357584"/>
    <m/>
    <d v="2024-03-24T07:57:00"/>
    <d v="2024-03-24T13:09:00"/>
    <n v="305.50000000068394"/>
    <s v="Waited for empties from trade"/>
    <d v="2024-03-24T19:03:00"/>
    <d v="2024-03-24T19:43:00"/>
    <n v="39.166666671226267"/>
    <m/>
    <n v="2.6312499999985448"/>
    <n v="2"/>
    <n v="-0.63124999999854481"/>
    <n v="63.149999999965075"/>
    <n v="24"/>
    <n v="39.149999999965075"/>
    <n v="1.9923371647527353"/>
    <m/>
    <m/>
    <m/>
    <m/>
    <m/>
  </r>
  <r>
    <d v="2025-03-28T00:00:00"/>
    <x v="2"/>
    <s v="KESH"/>
    <s v="Z83281"/>
    <s v="Manual"/>
    <s v="SENTONG DAVID"/>
    <s v="UBP 298H"/>
    <s v="Kabaco U Ltd"/>
    <n v="156"/>
    <s v="Z83281"/>
    <s v="OM"/>
    <n v="320"/>
    <n v="317"/>
    <n v="-3"/>
    <m/>
    <d v="2024-03-21T22:22:00"/>
    <d v="2024-03-21T20:25:00"/>
    <d v="2024-03-21T22:49:00"/>
    <n v="143.33333333124756"/>
    <n v="26.87500000417155"/>
    <m/>
    <d v="2024-03-23T12:27:00"/>
    <d v="2024-03-23T17:41:00"/>
    <n v="307.45833333014161"/>
    <s v="Reached late and offloaded the next day"/>
    <d v="2024-03-23T20:53:00"/>
    <d v="2024-03-23T21:52:00"/>
    <n v="57.770833336981013"/>
    <m/>
    <n v="1.9194444444437977"/>
    <n v="2"/>
    <n v="8.0555555556202307E-2"/>
    <n v="46.066666666651145"/>
    <n v="12"/>
    <n v="34.066666666651145"/>
    <n v="4.5792563600803646"/>
    <m/>
    <m/>
    <m/>
    <m/>
    <m/>
  </r>
  <r>
    <d v="2025-03-28T00:00:00"/>
    <x v="2"/>
    <s v="KESH"/>
    <s v="Z83285"/>
    <s v="Manual"/>
    <s v="Mulumba Kasim"/>
    <s v="UBE 680K"/>
    <s v="Kobusinge Acaali- Kyenjojo"/>
    <n v="39"/>
    <s v="Z83285"/>
    <s v="OM"/>
    <n v="580"/>
    <n v="579"/>
    <n v="-1"/>
    <m/>
    <d v="2024-03-22T16:18:00"/>
    <d v="2024-03-21T08:00:00"/>
    <d v="2024-03-22T16:45:00"/>
    <n v="1955.9027777708252"/>
    <n v="26.87500000417155"/>
    <m/>
    <d v="2024-03-23T03:33:00"/>
    <d v="2024-03-23T17:19:00"/>
    <n v="808.79166666643869"/>
    <s v="found another truck to be offloaded"/>
    <d v="2024-03-24T18:25:00"/>
    <d v="2024-03-24T19:47:00"/>
    <n v="80.291666661651107"/>
    <s v="dj failures at the gate"/>
    <n v="2.0694444444452529"/>
    <n v="2"/>
    <n v="-6.9444444445252884E-2"/>
    <n v="49.666666666686069"/>
    <n v="24"/>
    <n v="25.666666666686069"/>
    <n v="1.5194805194793708"/>
    <m/>
    <m/>
    <m/>
    <m/>
    <m/>
  </r>
  <r>
    <d v="2025-03-28T00:00:00"/>
    <x v="2"/>
    <s v="KESH"/>
    <s v="Z83287"/>
    <s v="Manual"/>
    <s v="Eriku Alipa"/>
    <s v="UBK 858R"/>
    <s v="Kobusinge Steven-FPortal"/>
    <n v="156"/>
    <s v="Z83287"/>
    <s v="OM"/>
    <n v="304"/>
    <n v="301"/>
    <n v="-3"/>
    <m/>
    <d v="2024-03-22T11:56:34"/>
    <d v="2024-03-22T03:15:34"/>
    <d v="2024-03-22T12:23:34"/>
    <n v="545.46296295763261"/>
    <n v="26.87500000417155"/>
    <m/>
    <d v="2024-03-22T18:23:34"/>
    <d v="2024-03-22T21:11:34"/>
    <n v="164.50000000273576"/>
    <m/>
    <d v="2024-03-23T17:43:34"/>
    <d v="2024-03-23T18:26:34"/>
    <n v="42.104166670542327"/>
    <m/>
    <n v="1.2222222222262644"/>
    <n v="2"/>
    <n v="0.77777777777373558"/>
    <n v="29.333333333430346"/>
    <n v="12"/>
    <n v="17.333333333430346"/>
    <n v="8.9999999999496278"/>
    <m/>
    <m/>
    <m/>
    <m/>
    <m/>
  </r>
  <r>
    <d v="2025-03-28T00:00:00"/>
    <x v="2"/>
    <s v="KESH"/>
    <s v="Z83289"/>
    <s v="Manual"/>
    <s v="Kyakulaga James"/>
    <s v="UBJ 419C"/>
    <s v="Bates Enterprises U Ltd"/>
    <n v="78"/>
    <s v="Z83289"/>
    <s v="OM"/>
    <n v="464"/>
    <n v="461"/>
    <n v="-3"/>
    <m/>
    <d v="2024-03-24T10:04:00"/>
    <d v="2024-03-21T09:00:00"/>
    <d v="2024-03-24T10:28:00"/>
    <n v="4387.5925925965321"/>
    <n v="23.888888893755695"/>
    <m/>
    <d v="2024-03-24T17:47:00"/>
    <d v="2024-03-24T20:32:00"/>
    <n v="161.5625000034197"/>
    <m/>
    <d v="2024-03-26T10:58:00"/>
    <d v="2024-03-26T11:56:00"/>
    <n v="56.791666667122627"/>
    <m/>
    <n v="2.0208333333284827"/>
    <n v="3"/>
    <n v="0.97916666667151731"/>
    <n v="48.499999999883585"/>
    <n v="24"/>
    <n v="24.499999999883585"/>
    <n v="3.183673469402883"/>
    <m/>
    <m/>
    <m/>
    <m/>
    <m/>
  </r>
  <r>
    <d v="2025-03-28T00:00:00"/>
    <x v="2"/>
    <s v="KESH"/>
    <s v="A21718"/>
    <s v="Manual"/>
    <s v="Byanshala Stoney"/>
    <s v="UBP 312H"/>
    <s v="KATO INVESTMENTS LTD-KATIKARA"/>
    <n v="156"/>
    <s v="A21718"/>
    <s v="OM"/>
    <n v="790"/>
    <n v="789"/>
    <n v="-1"/>
    <m/>
    <d v="2024-03-22T12:40:00"/>
    <d v="2024-03-21T09:00:00"/>
    <d v="2024-03-22T13:07:00"/>
    <n v="1679.1898148131925"/>
    <n v="26.87500000417155"/>
    <m/>
    <d v="2024-03-23T08:56:00"/>
    <d v="2024-03-23T16:47:00"/>
    <n v="461.18750000547152"/>
    <s v="Waited for empties from trade"/>
    <d v="2024-03-24T10:06:00"/>
    <d v="2024-03-24T11:05:00"/>
    <n v="57.770833336981013"/>
    <m/>
    <n v="1.8743055555532919"/>
    <n v="3"/>
    <n v="1.1256944444467081"/>
    <n v="44.983333333279006"/>
    <n v="12"/>
    <n v="32.983333333279006"/>
    <n v="4.7296614451821206"/>
    <m/>
    <m/>
    <m/>
    <m/>
    <m/>
  </r>
  <r>
    <d v="2025-03-28T00:00:00"/>
    <x v="2"/>
    <s v="KESH"/>
    <s v="Z83280"/>
    <s v="Manual"/>
    <s v="ZIWA ABASI"/>
    <s v="UBJ 420C"/>
    <s v="Bates Enterprises Ltd-Ntoroko"/>
    <n v="78"/>
    <s v="Z83280"/>
    <s v="OM"/>
    <n v="464"/>
    <n v="461"/>
    <n v="-3"/>
    <m/>
    <d v="2024-03-23T19:05:00"/>
    <d v="2024-03-23T16:40:00"/>
    <d v="2024-03-23T19:59:00"/>
    <n v="198.07870370277669"/>
    <n v="53.749999997914223"/>
    <s v="DJ failures "/>
    <d v="2024-03-24T17:57:00"/>
    <d v="2024-03-25T14:43:00"/>
    <n v="1220.041666663019"/>
    <s v="Waited for empties from trade"/>
    <d v="2024-03-26T19:35:00"/>
    <d v="2024-03-26T20:47:00"/>
    <n v="70.50000000410364"/>
    <s v="dj failures at the gate"/>
    <n v="2.9833333333299379"/>
    <n v="3"/>
    <n v="1.6666666670062114E-2"/>
    <n v="71.599999999918509"/>
    <n v="24"/>
    <n v="47.599999999918509"/>
    <n v="1.6386554621876792"/>
    <m/>
    <m/>
    <m/>
    <m/>
    <m/>
  </r>
  <r>
    <d v="2025-03-28T00:00:00"/>
    <x v="2"/>
    <s v="KESH"/>
    <s v="Z83282"/>
    <s v="Manual"/>
    <m/>
    <s v="UBJ 421C"/>
    <s v="Kobusinge Steven-Kamwenge"/>
    <n v="156"/>
    <s v="Z83282"/>
    <s v="OM"/>
    <n v="288"/>
    <n v="286"/>
    <n v="-2"/>
    <m/>
    <d v="2024-03-23T01:22:44"/>
    <d v="2024-03-23T00:41:44"/>
    <d v="2024-03-23T01:49:44"/>
    <n v="67.685185186807459"/>
    <n v="26.87500000417155"/>
    <m/>
    <d v="2024-03-24T03:19:44"/>
    <d v="2024-03-25T12:46:08"/>
    <n v="1964.6000000001368"/>
    <s v="space consquents"/>
    <d v="2024-03-25T10:42:18"/>
    <d v="2024-03-25T11:32:18"/>
    <n v="48.958333328773733"/>
    <m/>
    <n v="2.369837962964084"/>
    <n v="2"/>
    <n v="-0.369837962964084"/>
    <n v="56.876111111138016"/>
    <n v="24"/>
    <n v="32.876111111138016"/>
    <n v="4.7450867735736892"/>
    <m/>
    <m/>
    <m/>
    <m/>
    <m/>
  </r>
  <r>
    <d v="2025-03-28T00:00:00"/>
    <x v="2"/>
    <s v="KESH"/>
    <s v="Z83288"/>
    <s v="Manual"/>
    <s v="Ntumwa Solomon"/>
    <s v="UBR 540W"/>
    <s v="Bates Enterprises U Ltd"/>
    <n v="78"/>
    <s v="Z83288"/>
    <s v="OM"/>
    <n v="464"/>
    <n v="461"/>
    <n v="-3"/>
    <m/>
    <d v="2024-03-23T08:49:45"/>
    <d v="2024-03-23T07:48:45"/>
    <d v="2024-03-23T09:16:45"/>
    <n v="87.592592586103521"/>
    <n v="26.87500000417155"/>
    <m/>
    <d v="2024-03-24T09:16:45"/>
    <d v="2024-03-24T12:47:45"/>
    <n v="206.60416667327809"/>
    <s v="Reached late and offloaded the next day"/>
    <d v="2024-03-25T09:16:45"/>
    <d v="2024-03-25T09:59:45"/>
    <n v="42.104166670542327"/>
    <m/>
    <n v="2"/>
    <n v="3"/>
    <n v="1"/>
    <n v="48"/>
    <n v="24"/>
    <n v="24"/>
    <n v="3.25"/>
    <m/>
    <m/>
    <m/>
    <m/>
    <m/>
  </r>
  <r>
    <d v="2025-03-28T00:00:00"/>
    <x v="2"/>
    <s v="KESH"/>
    <s v="A21719"/>
    <s v="Manual"/>
    <m/>
    <s v="UBR 864Y"/>
    <s v="Kato Investment Ltd -Mityana"/>
    <n v="156"/>
    <s v="A21719"/>
    <s v="OM"/>
    <n v="690"/>
    <n v="688"/>
    <n v="-2"/>
    <m/>
    <d v="2024-03-22T20:41:00"/>
    <d v="2024-03-23T03:17:00"/>
    <d v="2024-03-22T21:09:00"/>
    <n v="-366.29629630139488"/>
    <n v="27.870370367357584"/>
    <m/>
    <d v="2024-03-23T14:07:00"/>
    <d v="2024-03-23T16:40:00"/>
    <n v="149.81250000615546"/>
    <m/>
    <d v="2024-03-24T19:14:00"/>
    <d v="2024-03-24T20:06:00"/>
    <n v="50.916666668490507"/>
    <m/>
    <n v="1.9201388888905058"/>
    <n v="3"/>
    <n v="1.0798611111094942"/>
    <n v="46.083333333372138"/>
    <n v="12"/>
    <n v="34.083333333372138"/>
    <n v="4.5770171149092143"/>
    <m/>
    <m/>
    <m/>
    <m/>
    <m/>
  </r>
  <r>
    <d v="2025-03-28T00:00:00"/>
    <x v="2"/>
    <s v="KESH"/>
    <s v="A21713"/>
    <s v="Manual"/>
    <m/>
    <s v="UBR 900Y"/>
    <s v="Sawan Distributors Ltd-Kayabwe"/>
    <n v="156"/>
    <s v="A21713"/>
    <s v="OM"/>
    <n v="382"/>
    <n v="381"/>
    <n v="-1"/>
    <m/>
    <d v="2024-03-23T08:48:00"/>
    <d v="2024-03-23T02:30:00"/>
    <d v="2024-03-23T09:17:00"/>
    <n v="405.11574074722984"/>
    <n v="28.865740740972495"/>
    <m/>
    <d v="2024-03-25T09:32:00"/>
    <d v="2024-03-25T12:15:00"/>
    <n v="159.60416666370293"/>
    <m/>
    <d v="2024-03-25T20:42:00"/>
    <d v="2024-03-25T21:32:00"/>
    <n v="48.958333328773733"/>
    <m/>
    <n v="2.4756944444452529"/>
    <n v="2"/>
    <n v="-0.47569444444525288"/>
    <n v="59.416666666686069"/>
    <n v="24"/>
    <n v="35.416666666686069"/>
    <n v="4.4047058823505285"/>
    <m/>
    <m/>
    <m/>
    <m/>
    <m/>
  </r>
  <r>
    <d v="2025-03-28T00:00:00"/>
    <x v="2"/>
    <s v="KESH"/>
    <s v="A21715"/>
    <s v="Manual"/>
    <s v="Nminya Siraje"/>
    <s v="UBP 301H"/>
    <s v="Sawan Distributors Ltd-Nabingo"/>
    <n v="156"/>
    <s v="A21715"/>
    <s v="OM"/>
    <n v="560"/>
    <n v="558"/>
    <n v="-2"/>
    <m/>
    <d v="2024-03-23T14:21:00"/>
    <d v="2024-03-24T02:22:00"/>
    <d v="2024-03-23T14:48:00"/>
    <n v="-690.78703703611006"/>
    <n v="26.87500000417155"/>
    <m/>
    <d v="2024-03-24T09:12:00"/>
    <d v="2024-03-24T15:02:00"/>
    <n v="342.70833333219343"/>
    <s v="space consquents"/>
    <d v="2024-03-24T17:46:00"/>
    <d v="2024-03-24T18:29:00"/>
    <n v="42.104166670542327"/>
    <m/>
    <n v="1.1236111111065838"/>
    <n v="2"/>
    <n v="0.87638888889341615"/>
    <n v="26.966666666558012"/>
    <n v="12"/>
    <n v="14.966666666558012"/>
    <n v="10.4231625835946"/>
    <m/>
    <m/>
    <m/>
    <m/>
    <m/>
  </r>
  <r>
    <d v="2025-03-29T00:00:00"/>
    <x v="2"/>
    <s v="KESH"/>
    <s v="Z83304"/>
    <s v="Manual"/>
    <s v="SENTONG DAVID"/>
    <s v="UBP 298H"/>
    <s v="Kobusinge Acaali- Kyenjojo"/>
    <n v="156"/>
    <s v="Z83304"/>
    <s v="OM"/>
    <n v="580"/>
    <n v="577"/>
    <n v="-3"/>
    <m/>
    <d v="2024-03-24T03:08:00"/>
    <d v="2024-03-23T17:30:00"/>
    <d v="2024-03-24T03:36:00"/>
    <n v="603.19444445000647"/>
    <n v="27.870370367357584"/>
    <m/>
    <d v="2024-03-25T07:04:00"/>
    <d v="2024-03-25T19:03:00"/>
    <n v="704.02083333014161"/>
    <s v="space consquents"/>
    <d v="2024-03-26T06:54:00"/>
    <d v="2024-03-26T07:52:00"/>
    <n v="56.791666667122627"/>
    <m/>
    <n v="2.1374999999970896"/>
    <n v="2"/>
    <n v="-0.13749999999708962"/>
    <n v="51.299999999930151"/>
    <n v="24"/>
    <n v="27.299999999930151"/>
    <n v="5.7142857143003347"/>
    <m/>
    <m/>
    <m/>
    <m/>
    <m/>
  </r>
  <r>
    <d v="2025-03-29T00:00:00"/>
    <x v="2"/>
    <s v="KESH"/>
    <s v="F16155"/>
    <s v="Manual"/>
    <s v="Taimwa Alex"/>
    <s v="UBJ 705D"/>
    <s v="Boniface Harera"/>
    <n v="156"/>
    <s v="F16155"/>
    <s v="OM"/>
    <n v="448"/>
    <n v="445"/>
    <n v="-3"/>
    <m/>
    <d v="2024-03-25T15:39:00"/>
    <d v="2024-03-23T20:13:00"/>
    <d v="2024-03-25T16:29:00"/>
    <n v="2643.7037036965194"/>
    <n v="49.768518513883464"/>
    <s v="Pre-Trip inspection defect closure"/>
    <d v="2024-03-26T09:35:00"/>
    <d v="2024-03-26T15:12:00"/>
    <n v="329.97916666507081"/>
    <s v="Waited for empties from trade"/>
    <d v="2024-03-27T06:07:00"/>
    <d v="2024-03-27T07:22:00"/>
    <n v="73.4375000034197"/>
    <s v="dj failures at the gate"/>
    <n v="1.5680555555591127"/>
    <n v="2"/>
    <n v="0.43194444444088731"/>
    <n v="37.633333333418705"/>
    <n v="12"/>
    <n v="25.633333333418705"/>
    <n v="6.0858257477040487"/>
    <m/>
    <m/>
    <m/>
    <m/>
    <m/>
  </r>
  <r>
    <d v="2025-03-29T00:00:00"/>
    <x v="2"/>
    <s v="KESH"/>
    <s v="F16158"/>
    <s v="Manual"/>
    <s v="Nakalya John"/>
    <s v="UBM 648D"/>
    <s v="Boniface Harera"/>
    <n v="156"/>
    <s v="F16158"/>
    <s v="OM"/>
    <n v="448"/>
    <n v="447"/>
    <n v="-1"/>
    <m/>
    <d v="2024-03-24T09:35:00"/>
    <d v="2024-03-24T04:14:00"/>
    <d v="2024-03-24T10:01:00"/>
    <n v="345.39351851805503"/>
    <n v="25.879629630556639"/>
    <m/>
    <d v="2024-03-24T14:09:00"/>
    <d v="2024-03-24T16:43:00"/>
    <n v="150.79166666575475"/>
    <m/>
    <d v="2024-03-26T09:06:00"/>
    <d v="2024-03-26T10:15:00"/>
    <n v="67.56250000478758"/>
    <s v="sorting delays"/>
    <n v="1.9618055555547471"/>
    <n v="2"/>
    <n v="3.8194444445252884E-2"/>
    <n v="47.083333333313931"/>
    <n v="12"/>
    <n v="35.083333333313931"/>
    <n v="4.4465558194798938"/>
    <m/>
    <m/>
    <m/>
    <m/>
    <m/>
  </r>
  <r>
    <d v="2025-03-29T00:00:00"/>
    <x v="2"/>
    <s v="KESH"/>
    <s v="Z83302"/>
    <s v="Manual"/>
    <m/>
    <s v="UBG 084B"/>
    <s v="Kobusinge Steven-Kamwenge"/>
    <n v="156"/>
    <s v="Z83302"/>
    <s v="OM"/>
    <n v="288"/>
    <n v="287"/>
    <n v="-1"/>
    <m/>
    <d v="2024-03-24T04:14:54"/>
    <d v="2024-03-24T03:30:54"/>
    <d v="2024-03-24T04:42:54"/>
    <n v="71.666666660409348"/>
    <n v="27.870370367357584"/>
    <m/>
    <d v="2024-03-24T03:42:54"/>
    <d v="2024-03-24T16:42:54"/>
    <n v="763.7499999965803"/>
    <s v="less casuals and offloaded the next day"/>
    <d v="2024-03-25T16:42:54"/>
    <d v="2024-03-25T17:22:54"/>
    <n v="39.166666671226267"/>
    <m/>
    <n v="1.5"/>
    <n v="2"/>
    <n v="0.5"/>
    <n v="36"/>
    <n v="12"/>
    <n v="24"/>
    <n v="6.5"/>
    <m/>
    <m/>
    <m/>
    <m/>
    <m/>
  </r>
  <r>
    <d v="2025-03-29T00:00:00"/>
    <x v="2"/>
    <s v="KESH"/>
    <s v="Z83305"/>
    <s v="Manual"/>
    <m/>
    <s v="UBR 903Y"/>
    <s v="Kobusinge Steven-Kamwenge"/>
    <n v="156"/>
    <s v="Z83305"/>
    <s v="OM"/>
    <n v="288"/>
    <n v="287"/>
    <n v="-1"/>
    <m/>
    <d v="2025-03-24T04:24:39"/>
    <d v="2025-03-24T03:42:39"/>
    <d v="2025-03-24T04:50:39"/>
    <n v="67.685185186807459"/>
    <n v="25.879629630556639"/>
    <m/>
    <d v="2025-03-25T06:35:39"/>
    <d v="2025-03-25T10:56:39"/>
    <n v="255.56249999179272"/>
    <s v="Waited for empties from trade"/>
    <d v="2025-03-26T20:03:00"/>
    <d v="2025-03-26T21:02:00"/>
    <n v="57.770833336981013"/>
    <m/>
    <n v="2.6335763888928341"/>
    <n v="2"/>
    <n v="-0.63357638889283407"/>
    <n v="63.205833333428018"/>
    <n v="24"/>
    <n v="39.205833333428018"/>
    <n v="3.9789997236709653"/>
    <m/>
    <m/>
    <m/>
    <m/>
    <m/>
  </r>
  <r>
    <d v="2025-03-29T00:00:00"/>
    <x v="2"/>
    <s v="KESH"/>
    <s v="A21743"/>
    <s v="Manual"/>
    <s v="Bwanga Gilbert"/>
    <s v="UBK 862R"/>
    <s v="Kato Investments Ltd- Kakumiro"/>
    <n v="70.8"/>
    <s v="A21743"/>
    <s v="OM"/>
    <n v="790"/>
    <n v="788"/>
    <n v="-2"/>
    <m/>
    <d v="2024-03-23T14:33:00"/>
    <d v="2024-03-23T21:00:00"/>
    <d v="2024-03-23T15:00:00"/>
    <n v="-358.33333333333331"/>
    <n v="26.87500000417155"/>
    <m/>
    <d v="2024-03-26T08:44:00"/>
    <d v="2024-03-26T14:17:00"/>
    <n v="326.06249999589636"/>
    <s v="Waited for empties from trade"/>
    <d v="2024-03-24T19:42:00"/>
    <d v="2024-03-24T20:33:00"/>
    <n v="49.93749999863212"/>
    <m/>
    <n v="1.1958333333313931"/>
    <n v="3"/>
    <n v="1.8041666666686069"/>
    <n v="28.699999999953434"/>
    <n v="12"/>
    <n v="16.699999999953434"/>
    <n v="4.2395209580956532"/>
    <m/>
    <m/>
    <m/>
    <m/>
    <m/>
  </r>
  <r>
    <d v="2025-03-29T00:00:00"/>
    <x v="2"/>
    <s v="KESH"/>
    <s v="Z83301"/>
    <s v="Manual"/>
    <m/>
    <s v="UBR 863Y"/>
    <s v="Rugoma Traders-Rukungiri"/>
    <n v="148.80000000000001"/>
    <s v="Z83301"/>
    <s v="OM"/>
    <n v="256"/>
    <n v="255"/>
    <n v="-1"/>
    <m/>
    <d v="2024-03-24T13:52:00"/>
    <d v="2024-03-23T09:00:00"/>
    <d v="2024-03-24T14:19:00"/>
    <n v="1750.8564814840308"/>
    <n v="26.87500000417155"/>
    <m/>
    <d v="2024-03-25T03:40:00"/>
    <d v="2024-03-25T13:45:00"/>
    <n v="592.39583332535403"/>
    <s v="found another truck to be offloaded"/>
    <d v="2024-03-25T18:43:00"/>
    <d v="2024-03-25T19:23:00"/>
    <n v="39.166666671226267"/>
    <m/>
    <n v="1.1833333333343035"/>
    <n v="2"/>
    <n v="0.81666666666569654"/>
    <n v="28.400000000023283"/>
    <n v="12"/>
    <n v="16.400000000023283"/>
    <n v="9.0731707316944359"/>
    <m/>
    <m/>
    <m/>
    <m/>
    <m/>
  </r>
  <r>
    <d v="2025-03-29T00:00:00"/>
    <x v="2"/>
    <s v="KESH"/>
    <s v="A21741"/>
    <s v="Manual"/>
    <m/>
    <s v="UBJ 421C"/>
    <s v="KATO INVESTMENTS LTD-KATIKARA"/>
    <n v="141.6"/>
    <s v="A21741"/>
    <s v="OM"/>
    <n v="790"/>
    <n v="789"/>
    <n v="-1"/>
    <m/>
    <d v="2025-03-24T19:08:00"/>
    <d v="2025-03-24T19:30:00"/>
    <d v="2025-03-24T19:35:00"/>
    <n v="4.9768518472167971"/>
    <n v="26.87500000417155"/>
    <m/>
    <d v="2025-03-25T14:10:00"/>
    <d v="2025-03-25T17:00:00"/>
    <n v="166.45833333219343"/>
    <m/>
    <d v="2025-03-25T20:03:00"/>
    <d v="2025-03-25T21:02:00"/>
    <n v="57.770833336981013"/>
    <m/>
    <n v="1.0194444444496185"/>
    <n v="3"/>
    <n v="1.9805555555503815"/>
    <n v="24.466666666790843"/>
    <n v="12"/>
    <n v="12.466666666790843"/>
    <n v="11.358288769940339"/>
    <m/>
    <m/>
    <m/>
    <m/>
    <m/>
  </r>
  <r>
    <d v="2025-03-29T00:00:00"/>
    <x v="2"/>
    <s v="KESH"/>
    <s v="A21747"/>
    <s v="Manual"/>
    <s v="Sentongo paul"/>
    <s v="UBR 541W"/>
    <s v="Kato Investment Ltd -Mityana"/>
    <n v="141.6"/>
    <s v="A21747"/>
    <s v="OM"/>
    <n v="690"/>
    <n v="689"/>
    <n v="-1"/>
    <m/>
    <d v="2024-03-25T18:55:00"/>
    <d v="2024-03-25T03:43:00"/>
    <d v="2024-03-25T19:22:00"/>
    <n v="934.65277776873938"/>
    <n v="26.87500000417155"/>
    <m/>
    <d v="2024-03-26T20:35:00"/>
    <d v="2024-03-27T14:20:00"/>
    <n v="1042.8124999931606"/>
    <s v="Waited for empties from trade"/>
    <d v="2024-03-28T03:26:00"/>
    <d v="2024-03-28T04:16:00"/>
    <n v="48.958333328773733"/>
    <m/>
    <n v="2.336111111115315"/>
    <n v="3"/>
    <n v="0.663888888884685"/>
    <n v="56.06666666676756"/>
    <n v="24"/>
    <n v="32.06666666676756"/>
    <n v="4.4158004157865216"/>
    <m/>
    <m/>
    <m/>
    <m/>
    <m/>
  </r>
  <r>
    <d v="2025-03-29T00:00:00"/>
    <x v="2"/>
    <s v="KESH"/>
    <s v="Z83303"/>
    <s v="Manual"/>
    <s v="Muzamiru"/>
    <s v="UBJ 417C"/>
    <s v="Kobusinge Steven-FPortal"/>
    <n v="156"/>
    <s v="Z83303"/>
    <s v="OM"/>
    <n v="304"/>
    <n v="303"/>
    <n v="-1"/>
    <m/>
    <d v="2025-03-25T08:12:00"/>
    <d v="2025-03-25T07:30:00"/>
    <d v="2025-03-25T08:38:00"/>
    <n v="67.685185186807459"/>
    <n v="25.879629630556639"/>
    <m/>
    <d v="2025-03-26T09:53:00"/>
    <d v="2025-03-26T14:39:00"/>
    <n v="280.04166666643869"/>
    <s v="Waited for empties from trade"/>
    <d v="2025-03-27T20:03:00"/>
    <d v="2025-03-27T20:46:00"/>
    <n v="42.104166670542327"/>
    <m/>
    <n v="2.4756944444452529"/>
    <n v="2"/>
    <n v="-0.47569444444525288"/>
    <n v="59.416666666686069"/>
    <n v="24"/>
    <n v="35.416666666686069"/>
    <n v="4.4047058823505285"/>
    <m/>
    <m/>
    <m/>
    <m/>
    <m/>
  </r>
  <r>
    <d v="2025-03-29T00:00:00"/>
    <x v="2"/>
    <s v="KESH"/>
    <s v="A21738"/>
    <s v="Manual"/>
    <s v="kakembo Masudi"/>
    <s v="UBM 644D"/>
    <s v="Sawan Distributors Ltd-Nabingo"/>
    <n v="78"/>
    <s v="A21738"/>
    <s v="OM"/>
    <n v="560"/>
    <n v="557"/>
    <n v="-3"/>
    <m/>
    <d v="2024-03-25T21:32:00"/>
    <d v="2024-03-26T04:14:00"/>
    <d v="2024-03-25T21:58:00"/>
    <n v="-374.25925925902749"/>
    <n v="25.879629630556639"/>
    <m/>
    <d v="2024-03-26T13:25:00"/>
    <d v="2024-03-26T18:52:00"/>
    <n v="320.18749999726424"/>
    <s v="Waited for empties from trade"/>
    <d v="2024-03-28T03:14:00"/>
    <d v="2024-03-28T04:12:00"/>
    <n v="56.791666667122627"/>
    <m/>
    <n v="2.2194444444467081"/>
    <n v="2"/>
    <n v="-0.21944444444670808"/>
    <n v="53.266666666720994"/>
    <n v="24"/>
    <n v="29.266666666720994"/>
    <n v="2.6651480637763738"/>
    <m/>
    <m/>
    <m/>
    <m/>
    <m/>
  </r>
  <r>
    <d v="2025-03-29T00:00:00"/>
    <x v="2"/>
    <s v="KESH"/>
    <s v="Z83306"/>
    <s v="Manual"/>
    <s v="Kabanda Ronald"/>
    <s v="UBE 684K"/>
    <s v="Kobusinge Steven-FPortal"/>
    <n v="156"/>
    <s v="Z83306"/>
    <s v="OM"/>
    <n v="304"/>
    <n v="301"/>
    <n v="-3"/>
    <m/>
    <d v="2024-03-25T15:10:00"/>
    <d v="2024-03-26T06:15:00"/>
    <d v="2024-03-25T16:04:00"/>
    <n v="-847.06018518263591"/>
    <n v="53.749999997914223"/>
    <s v="found another truck waiting to be cleared at the gate"/>
    <d v="2024-03-25T17:51:00"/>
    <d v="2024-03-26T03:46:00"/>
    <n v="582.60416666780657"/>
    <s v="Waited for empties from trade"/>
    <d v="2024-03-27T13:25:00"/>
    <d v="2024-03-27T14:25:00"/>
    <n v="58.7499999965803"/>
    <m/>
    <n v="1.8895833333372138"/>
    <n v="2"/>
    <n v="0.11041666666278616"/>
    <n v="45.350000000093132"/>
    <n v="12"/>
    <n v="33.350000000093132"/>
    <n v="4.6776611694022296"/>
    <m/>
    <m/>
    <m/>
    <m/>
    <m/>
  </r>
  <r>
    <d v="2025-03-29T00:00:00"/>
    <x v="2"/>
    <s v="KESH"/>
    <s v="A21742"/>
    <s v="Manual"/>
    <m/>
    <s v="UBR 880Y"/>
    <s v="Kato Investment Ltd -Kagadi"/>
    <n v="148.80000000000001"/>
    <s v="A21742"/>
    <s v="OM"/>
    <n v="670"/>
    <n v="671"/>
    <n v="1"/>
    <m/>
    <d v="2024-03-26T10:21:00"/>
    <d v="2024-03-26T04:14:00"/>
    <d v="2024-03-26T10:48:00"/>
    <n v="392.17592592152261"/>
    <n v="26.87500000417155"/>
    <m/>
    <d v="2024-03-26T16:29:00"/>
    <d v="2024-03-27T03:56:00"/>
    <n v="672.68750000752334"/>
    <s v="truck faulty"/>
    <d v="2024-03-27T16:20:00"/>
    <d v="2024-03-27T17:00:00"/>
    <n v="39.166666671226267"/>
    <s v="offloading delays"/>
    <n v="1.2305555555576575"/>
    <n v="2"/>
    <n v="0.7694444444423425"/>
    <n v="29.53333333338378"/>
    <n v="12"/>
    <n v="17.53333333338378"/>
    <n v="8.4866920151847083"/>
    <m/>
    <m/>
    <m/>
    <m/>
    <m/>
  </r>
  <r>
    <d v="2025-03-29T00:00:00"/>
    <x v="2"/>
    <s v="KESH"/>
    <s v="Z83308"/>
    <s v="Manual"/>
    <m/>
    <s v="UBP 304H"/>
    <s v="Kobusinge Acaali- Kyenjojo"/>
    <n v="156"/>
    <s v="Z83308"/>
    <s v="OM"/>
    <n v="580"/>
    <n v="579"/>
    <n v="-1"/>
    <m/>
    <d v="2025-03-27T18:54:00"/>
    <d v="2025-03-27T02:22:00"/>
    <d v="2025-03-27T19:21:00"/>
    <n v="1014.2824074076392"/>
    <n v="26.87500000417155"/>
    <m/>
    <d v="2025-03-30T14:34:00"/>
    <d v="2025-03-30T19:38:00"/>
    <n v="297.66666667259415"/>
    <s v="less casuals and offloaded the next day"/>
    <d v="2025-03-28T20:03:00"/>
    <d v="2025-03-28T20:54:00"/>
    <n v="49.93749999863212"/>
    <m/>
    <n v="1.0291666666671517"/>
    <n v="2"/>
    <n v="0.97083333333284827"/>
    <n v="24.700000000011642"/>
    <n v="12"/>
    <n v="12.700000000011642"/>
    <n v="12.283464566917875"/>
    <m/>
    <m/>
    <m/>
    <m/>
    <m/>
  </r>
  <r>
    <d v="2025-03-29T00:00:00"/>
    <x v="2"/>
    <s v="NBL"/>
    <s v="Z83299"/>
    <s v="Manual"/>
    <m/>
    <s v="UBE 422T"/>
    <s v="Kabaco U Ltd"/>
    <n v="153.6"/>
    <s v="Z83299"/>
    <s v="OM"/>
    <n v="320"/>
    <n v="319"/>
    <n v="-1"/>
    <m/>
    <d v="2025-03-28T17:27:00"/>
    <d v="2025-03-27T02:22:00"/>
    <d v="2025-03-28T17:53:00"/>
    <n v="2360.0231481444403"/>
    <n v="25.879629630556639"/>
    <m/>
    <d v="2025-03-29T15:59:00"/>
    <d v="2025-03-29T18:03:00"/>
    <n v="121.41666666233505"/>
    <m/>
    <d v="2025-03-30T20:03:00"/>
    <d v="2025-03-30T20:59:00"/>
    <n v="54.833333337664953"/>
    <m/>
    <n v="2.0902777777810115"/>
    <n v="2"/>
    <n v="-9.0277777781011537E-2"/>
    <n v="50.166666666744277"/>
    <n v="24"/>
    <n v="26.166666666744277"/>
    <n v="5.8700636942501054"/>
    <m/>
    <m/>
    <m/>
    <m/>
    <m/>
  </r>
  <r>
    <d v="2025-03-29T00:00:00"/>
    <x v="2"/>
    <s v="NBL"/>
    <s v="Z83300"/>
    <s v="Manual"/>
    <m/>
    <s v="UBE 419T"/>
    <s v="Kabaco U Ltd"/>
    <n v="153.6"/>
    <s v="Z83300"/>
    <s v="OM"/>
    <n v="320"/>
    <n v="317"/>
    <n v="-3"/>
    <m/>
    <d v="2024-03-27T17:23:00"/>
    <d v="2024-03-27T07:42:00"/>
    <d v="2024-03-27T17:51:00"/>
    <n v="606.18055556042236"/>
    <n v="27.870370367357584"/>
    <m/>
    <d v="2024-03-28T13:56:00"/>
    <d v="2024-03-28T17:57:00"/>
    <n v="235.97916666643869"/>
    <s v="Not enough casuals to offload"/>
    <d v="2024-03-29T16:59:00"/>
    <d v="2024-03-29T17:39:00"/>
    <n v="39.166666671226267"/>
    <m/>
    <n v="1.9638888888875954"/>
    <n v="2"/>
    <n v="3.6111111112404615E-2"/>
    <n v="47.133333333302289"/>
    <n v="12"/>
    <n v="35.133333333302289"/>
    <n v="4.3719165085427623"/>
    <m/>
    <m/>
    <m/>
    <m/>
    <m/>
  </r>
  <r>
    <d v="2025-03-29T00:00:00"/>
    <x v="2"/>
    <s v="KESH"/>
    <s v="Z83307"/>
    <s v="Manual"/>
    <s v="Tsaale Hassan"/>
    <s v="UBJ 703D"/>
    <s v="Kobusinge Steven-FPortal"/>
    <n v="10.08"/>
    <s v="Z83307"/>
    <s v="OM"/>
    <n v="304"/>
    <n v="303"/>
    <n v="-1"/>
    <m/>
    <d v="2024-03-27T18:56:00"/>
    <d v="2024-03-26T22:30:00"/>
    <d v="2024-03-27T19:22:00"/>
    <n v="1246.2037036986051"/>
    <n v="25.879629630556639"/>
    <m/>
    <d v="2024-03-28T14:37:00"/>
    <d v="2024-03-28T19:39:00"/>
    <n v="295.70833333287737"/>
    <s v="Waited for empties from trade"/>
    <d v="2024-03-30T18:51:00"/>
    <d v="2024-03-30T19:43:00"/>
    <n v="50.916666668490507"/>
    <m/>
    <n v="2.9784722222248092"/>
    <n v="2"/>
    <n v="-0.97847222222480923"/>
    <n v="71.483333333395422"/>
    <n v="24"/>
    <n v="47.483333333395422"/>
    <n v="0.2122850122847347"/>
    <m/>
    <m/>
    <m/>
    <m/>
    <m/>
  </r>
  <r>
    <d v="2025-03-29T00:00:00"/>
    <x v="2"/>
    <s v="NBL"/>
    <s v="Z83298"/>
    <s v="Manual"/>
    <m/>
    <s v="UBJ 988D"/>
    <s v="Kabaco U Ltd"/>
    <n v="153.6"/>
    <s v="Z83298"/>
    <s v="OM"/>
    <n v="320"/>
    <n v="319"/>
    <n v="-1"/>
    <m/>
    <d v="2024-03-27T15:47:00"/>
    <d v="2024-03-26T08:30:00"/>
    <d v="2024-03-27T16:13:00"/>
    <n v="1894.1898148152784"/>
    <n v="25.879629630556639"/>
    <m/>
    <d v="2024-03-28T12:21:00"/>
    <d v="2024-03-28T16:22:00"/>
    <n v="235.97916666643869"/>
    <s v="found another truck to be offloaded"/>
    <d v="2024-03-29T16:26:00"/>
    <d v="2024-03-29T17:24:00"/>
    <n v="56.791666667122627"/>
    <m/>
    <n v="2.0090277777781012"/>
    <n v="2"/>
    <n v="-9.0277777781011537E-3"/>
    <n v="48.216666666674428"/>
    <n v="24"/>
    <n v="24.216666666674428"/>
    <n v="6.3427391603558476"/>
    <m/>
    <m/>
    <m/>
    <m/>
    <m/>
  </r>
  <r>
    <d v="2025-03-30T00:00:00"/>
    <x v="2"/>
    <s v="KESH"/>
    <s v="Z83316"/>
    <s v="Manual"/>
    <s v="Awali Malinzi"/>
    <s v="UBR 860Y"/>
    <s v="Kobusinge Steven-FPortal"/>
    <n v="78"/>
    <s v="Z83316"/>
    <s v="OM"/>
    <n v="304"/>
    <n v="303"/>
    <n v="-1"/>
    <m/>
    <d v="2025-03-29T09:18:00"/>
    <d v="2025-03-28T19:30:00"/>
    <d v="2025-03-29T09:45:00"/>
    <n v="851.04166666666663"/>
    <n v="26.87500000417155"/>
    <m/>
    <d v="2025-03-29T18:18:00"/>
    <d v="2025-03-29T21:06:00"/>
    <n v="164.50000000273576"/>
    <m/>
    <d v="2025-03-31T08:02:00"/>
    <d v="2025-03-31T08:42:00"/>
    <n v="39.166666671226267"/>
    <s v="offloading delays"/>
    <n v="1.9284722222218988"/>
    <n v="2"/>
    <n v="7.1527777778101154E-2"/>
    <n v="46.283333333325572"/>
    <n v="12"/>
    <n v="34.283333333325572"/>
    <n v="2.275157997083646"/>
    <m/>
    <m/>
    <m/>
    <m/>
    <m/>
  </r>
  <r>
    <d v="2025-03-30T00:00:00"/>
    <x v="2"/>
    <s v="NBL"/>
    <s v="Z83324"/>
    <s v="Manual"/>
    <m/>
    <s v="UBE 419T"/>
    <s v="Rugoma Traders-Rukungiri"/>
    <n v="50.4"/>
    <s v="Z83324"/>
    <s v="OM"/>
    <n v="256"/>
    <n v="255"/>
    <n v="-1"/>
    <m/>
    <d v="2025-03-29T08:31:00"/>
    <d v="2025-03-29T07:30:00"/>
    <d v="2025-03-29T08:58:00"/>
    <n v="87.592592596532384"/>
    <n v="26.87500000417155"/>
    <m/>
    <d v="2025-03-30T08:58:00"/>
    <d v="2025-03-30T15:19:00"/>
    <n v="373.06249999521242"/>
    <s v="Waited for empties from trade"/>
    <d v="2025-03-31T20:03:00"/>
    <d v="2025-03-31T20:55:00"/>
    <n v="50.916666668490507"/>
    <m/>
    <n v="2.4618055555547471"/>
    <n v="2"/>
    <n v="-0.46180555555474712"/>
    <n v="59.083333333313931"/>
    <n v="24"/>
    <n v="35.083333333313931"/>
    <n v="1.4365795724473502"/>
    <m/>
    <m/>
    <m/>
    <m/>
    <m/>
  </r>
  <r>
    <d v="2025-03-30T00:00:00"/>
    <x v="2"/>
    <s v="KESH"/>
    <s v="A21753"/>
    <s v="Manual"/>
    <m/>
    <s v="UBR 538W"/>
    <s v="KATO INVESTMENTS LTD-KATIKARA"/>
    <n v="156"/>
    <s v="A21753"/>
    <s v="OM"/>
    <n v="790"/>
    <n v="789"/>
    <n v="-1"/>
    <m/>
    <d v="2024-03-29T08:11:00"/>
    <d v="2024-03-29T07:30:00"/>
    <d v="2024-03-29T08:38:00"/>
    <n v="67.685185186807459"/>
    <n v="26.87500000417155"/>
    <m/>
    <d v="2024-03-30T08:38:00"/>
    <d v="2024-03-31T13:53:00"/>
    <n v="1718.4375"/>
    <s v="truck faulty"/>
    <d v="2024-03-31T12:41:00"/>
    <d v="2024-03-31T13:40:00"/>
    <n v="57.770833336981013"/>
    <m/>
    <n v="2.1687499999970896"/>
    <n v="3"/>
    <n v="0.83125000000291038"/>
    <n v="52.049999999930151"/>
    <n v="24"/>
    <n v="28.049999999930151"/>
    <n v="5.5614973262170579"/>
    <m/>
    <m/>
    <m/>
    <m/>
    <m/>
  </r>
  <r>
    <d v="2025-03-30T00:00:00"/>
    <x v="2"/>
    <s v="KESH"/>
    <s v="F16160"/>
    <s v="Manual"/>
    <s v="Faruk Abel"/>
    <s v="UBR 539W"/>
    <s v="Boniface Harera"/>
    <n v="156"/>
    <s v="F16160"/>
    <s v="OM"/>
    <n v="448"/>
    <n v="447"/>
    <n v="-1"/>
    <m/>
    <d v="2025-03-30T06:22:00"/>
    <d v="2025-03-30T06:15:00"/>
    <d v="2025-03-30T06:49:00"/>
    <n v="33.842592598618161"/>
    <n v="26.87500000417155"/>
    <m/>
    <d v="2025-03-30T09:28:00"/>
    <d v="2025-03-30T12:13:00"/>
    <n v="161.5625000034197"/>
    <m/>
    <d v="2025-03-31T20:43:00"/>
    <d v="2025-03-31T21:23:00"/>
    <n v="39.166666671226267"/>
    <m/>
    <n v="1.5791666666627862"/>
    <n v="2"/>
    <n v="0.42083333333721384"/>
    <n v="37.899999999906868"/>
    <n v="12"/>
    <n v="25.899999999906868"/>
    <n v="6.0231660231876818"/>
    <m/>
    <m/>
    <m/>
    <m/>
    <m/>
  </r>
  <r>
    <d v="2025-03-30T00:00:00"/>
    <x v="2"/>
    <s v="KESH"/>
    <s v="A21754"/>
    <s v="Manual"/>
    <m/>
    <s v="UBR 899Y"/>
    <s v="KATO INVESTMENTS LTD-KATIKARA"/>
    <n v="156"/>
    <s v="A21754"/>
    <s v="OM"/>
    <n v="790"/>
    <n v="787"/>
    <n v="-3"/>
    <m/>
    <d v="2024-03-30T08:40:23"/>
    <d v="2024-03-30T07:50:23"/>
    <d v="2024-03-30T09:07:23"/>
    <n v="76.643518518055018"/>
    <n v="26.87500000417155"/>
    <m/>
    <d v="2024-03-30T12:20:23"/>
    <d v="2024-03-30T17:12:23"/>
    <n v="285.91666666507081"/>
    <s v="Not enough casuals to offload"/>
    <d v="2024-03-31T19:52:23"/>
    <d v="2024-03-31T20:50:23"/>
    <n v="56.791666667122627"/>
    <m/>
    <n v="1.4479166666715173"/>
    <n v="3"/>
    <n v="1.5520833333284827"/>
    <n v="34.750000000116415"/>
    <n v="12"/>
    <n v="22.750000000116415"/>
    <n v="6.8571428571077684"/>
    <m/>
    <m/>
    <m/>
    <m/>
    <m/>
  </r>
  <r>
    <d v="2025-03-30T00:00:00"/>
    <x v="2"/>
    <s v="KESH"/>
    <s v="Z83338"/>
    <s v="Manual"/>
    <m/>
    <s v="UBR 864Y"/>
    <s v="Kobusinge Steven-Kamwenge"/>
    <n v="156"/>
    <s v="Z83338"/>
    <s v="OM"/>
    <n v="288"/>
    <n v="285"/>
    <n v="-3"/>
    <m/>
    <d v="2025-03-30T08:24:46"/>
    <d v="2025-03-30T07:55:46"/>
    <d v="2025-03-30T09:03:46"/>
    <n v="67.685185186807459"/>
    <n v="38.819444445834961"/>
    <s v="pressure balancing"/>
    <d v="2025-03-30T15:16:46"/>
    <d v="2025-03-30T17:24:46"/>
    <n v="125.33333333150949"/>
    <m/>
    <d v="2025-03-31T20:23:00"/>
    <d v="2025-03-31T21:21:00"/>
    <n v="56.791666667122627"/>
    <m/>
    <n v="1.4716898148180917"/>
    <n v="2"/>
    <n v="0.52831018518190831"/>
    <n v="35.320555555634201"/>
    <n v="12"/>
    <n v="23.320555555634201"/>
    <n v="6.6893775162363447"/>
    <m/>
    <m/>
    <m/>
    <m/>
    <m/>
  </r>
  <r>
    <d v="2025-03-30T00:00:00"/>
    <x v="2"/>
    <s v="KESH"/>
    <s v="Z83344"/>
    <s v="Manual"/>
    <s v="Muzamiru"/>
    <s v="UBJ 417C"/>
    <s v="Kabaco U Ltd"/>
    <n v="156"/>
    <s v="Z83344"/>
    <s v="OM"/>
    <n v="320"/>
    <n v="318"/>
    <n v="-2"/>
    <m/>
    <d v="2025-03-30T09:48:00"/>
    <d v="2025-03-29T20:30:00"/>
    <d v="2025-03-30T10:14:00"/>
    <n v="820.18518518889323"/>
    <n v="25.879629630556639"/>
    <m/>
    <d v="2025-03-31T09:52:00"/>
    <d v="2025-03-31T12:46:00"/>
    <n v="170.37500000136788"/>
    <m/>
    <d v="2025-03-31T20:03:00"/>
    <d v="2025-03-31T20:57:00"/>
    <n v="52.87499999794818"/>
    <m/>
    <n v="1.4090277777795563"/>
    <n v="2"/>
    <n v="0.59097222222044365"/>
    <n v="33.816666666709352"/>
    <n v="12"/>
    <n v="21.816666666709352"/>
    <n v="7.1504965622472776"/>
    <m/>
    <m/>
    <m/>
    <m/>
    <m/>
  </r>
  <r>
    <d v="2025-03-30T00:00:00"/>
    <x v="2"/>
    <s v="KESH"/>
    <s v="F16166"/>
    <s v="Manual"/>
    <m/>
    <s v="UBP 998T"/>
    <s v="Boniface Harera"/>
    <n v="156"/>
    <s v="F16166"/>
    <s v="OM"/>
    <n v="448"/>
    <n v="445"/>
    <n v="-3"/>
    <m/>
    <d v="2025-03-30T09:38:58"/>
    <d v="2025-03-30T08:57:58"/>
    <d v="2025-03-30T10:05:58"/>
    <n v="67.685185186807459"/>
    <n v="26.87500000417155"/>
    <m/>
    <d v="2025-03-31T08:35:58"/>
    <d v="2025-03-31T15:03:58"/>
    <n v="379.91666666370293"/>
    <s v="Waited for empties from trade"/>
    <d v="2025-03-31T20:33:00"/>
    <d v="2025-03-31T21:13:00"/>
    <n v="39.166666671226267"/>
    <m/>
    <n v="1.4354398148134351"/>
    <n v="2"/>
    <n v="0.56456018518656492"/>
    <n v="34.450555555522442"/>
    <n v="12"/>
    <n v="22.450555555522442"/>
    <n v="6.9486031031257376"/>
    <m/>
    <m/>
    <m/>
    <m/>
    <m/>
  </r>
  <r>
    <d v="2025-03-30T00:00:00"/>
    <x v="2"/>
    <s v="KESH"/>
    <s v="A21784"/>
    <s v="Manual"/>
    <m/>
    <s v="UBJ 423C"/>
    <s v="Kato Investments Ltd-Bulenga"/>
    <n v="156"/>
    <s v="A21784"/>
    <s v="OM"/>
    <n v="560"/>
    <n v="559"/>
    <n v="-1"/>
    <m/>
    <d v="2024-03-30T08:10:00"/>
    <d v="2024-03-30T07:30:00"/>
    <d v="2024-03-30T08:38:00"/>
    <n v="67.685185186807459"/>
    <n v="27.870370367357584"/>
    <m/>
    <d v="2024-12-01T14:38:00"/>
    <d v="2024-12-01T18:30:00"/>
    <n v="227.16666666849051"/>
    <s v="Waited for empties from trade"/>
    <d v="2024-03-31T18:01:12"/>
    <d v="2024-03-31T18:53:12"/>
    <n v="50.916666668490507"/>
    <m/>
    <n v="1.3911111111083301"/>
    <n v="3"/>
    <n v="1.6088888888916699"/>
    <n v="33.386666666599922"/>
    <n v="12"/>
    <n v="21.386666666599922"/>
    <n v="7.2942643391748838"/>
    <m/>
    <m/>
    <m/>
    <m/>
    <m/>
  </r>
  <r>
    <d v="2025-03-30T00:00:00"/>
    <x v="2"/>
    <s v="KESH"/>
    <s v="A21786"/>
    <s v="Manual"/>
    <s v="Ntumwa Solomon"/>
    <s v="UBR 540W"/>
    <s v="Kato Investment Ltd -Mubende"/>
    <n v="156"/>
    <s v="A21786"/>
    <s v="OM"/>
    <n v="680"/>
    <n v="679"/>
    <n v="-1"/>
    <m/>
    <d v="2024-03-30T08:16:00"/>
    <d v="2024-03-30T07:30:00"/>
    <d v="2024-03-30T08:42:00"/>
    <n v="71.666666670838211"/>
    <n v="25.879629630556639"/>
    <m/>
    <d v="2024-03-30T03:55:00"/>
    <d v="2024-03-30T16:18:00"/>
    <n v="727.52083333492919"/>
    <s v="Reached late and offloaded the next day"/>
    <d v="2024-04-01T18:58:00"/>
    <d v="2024-04-01T19:38:00"/>
    <n v="39.166666671226267"/>
    <s v="offloading delays"/>
    <n v="2.4277777777751908"/>
    <n v="3"/>
    <n v="0.57222222222480923"/>
    <n v="58.266666666604578"/>
    <n v="24"/>
    <n v="34.266666666604578"/>
    <n v="4.5525291828876266"/>
    <m/>
    <m/>
    <m/>
    <m/>
    <m/>
  </r>
  <r>
    <d v="2025-03-30T00:00:00"/>
    <x v="2"/>
    <s v="KESH"/>
    <s v="A21776"/>
    <s v="Manual"/>
    <m/>
    <s v="UBR 880Y"/>
    <s v="Kato Investments Ltd- Kakumiro"/>
    <n v="156"/>
    <s v="A21776"/>
    <s v="OM"/>
    <n v="790"/>
    <n v="788"/>
    <n v="-2"/>
    <m/>
    <d v="2025-03-30T14:40:00"/>
    <d v="2025-03-30T21:55:00"/>
    <d v="2025-03-30T15:07:00"/>
    <n v="-406.11111111041583"/>
    <n v="26.87500000417155"/>
    <m/>
    <d v="2025-03-31T10:03:00"/>
    <d v="2025-03-31T16:21:00"/>
    <n v="370.12500000615546"/>
    <s v="found another truck to be offloaded"/>
    <d v="2025-04-01T20:03:00"/>
    <d v="2025-04-01T21:02:00"/>
    <n v="57.770833336981013"/>
    <m/>
    <n v="2.2055555555562023"/>
    <n v="3"/>
    <n v="0.79444444444379769"/>
    <n v="52.933333333348855"/>
    <n v="24"/>
    <n v="28.933333333348855"/>
    <n v="5.3917050691215316"/>
    <m/>
    <m/>
    <m/>
    <m/>
    <m/>
  </r>
  <r>
    <d v="2025-03-30T00:00:00"/>
    <x v="2"/>
    <s v="KESH"/>
    <s v="A21798"/>
    <s v="Manual"/>
    <s v="Eriku Alipa"/>
    <s v="UBK 858R"/>
    <s v="Sawan Distributors Ltd-Nabingo"/>
    <n v="156"/>
    <s v="A21798"/>
    <s v="OM"/>
    <n v="560"/>
    <n v="558"/>
    <n v="-2"/>
    <m/>
    <d v="2025-03-30T22:24:00"/>
    <d v="2025-03-30T13:59:00"/>
    <d v="2025-03-30T22:51:00"/>
    <n v="529.53703703193844"/>
    <n v="26.87500000417155"/>
    <m/>
    <d v="2025-03-30T05:58:00"/>
    <d v="2025-03-30T08:46:00"/>
    <n v="164.50000000273576"/>
    <m/>
    <d v="2025-04-01T20:13:00"/>
    <d v="2025-04-01T20:53:00"/>
    <n v="39.166666671226267"/>
    <m/>
    <n v="1.8902777777839219"/>
    <n v="2"/>
    <n v="0.10972222221607808"/>
    <n v="45.366666666814126"/>
    <n v="12"/>
    <n v="33.366666666814126"/>
    <n v="4.6753246753040134"/>
    <m/>
    <m/>
    <m/>
    <m/>
    <m/>
  </r>
  <r>
    <d v="2025-03-30T00:00:00"/>
    <x v="2"/>
    <s v="KESH"/>
    <s v="A21777"/>
    <s v="Manual"/>
    <s v="Sentongo paul"/>
    <s v="UBR 541W"/>
    <s v="Kato Investments Ltd- Kyegegwa"/>
    <n v="156"/>
    <s v="A21777"/>
    <s v="OM"/>
    <n v="600"/>
    <n v="599"/>
    <n v="-1"/>
    <m/>
    <d v="2024-03-30T22:10:00"/>
    <d v="2024-03-30T15:48:00"/>
    <d v="2024-03-30T22:36:00"/>
    <n v="406.11111111041583"/>
    <n v="25.879629630556639"/>
    <m/>
    <d v="2024-12-02T00:20:00"/>
    <d v="2024-12-02T03:03:00"/>
    <n v="159.60416666370293"/>
    <m/>
    <d v="2024-04-02T16:39:00"/>
    <d v="2024-04-02T17:37:00"/>
    <n v="56.791666667122627"/>
    <m/>
    <n v="2.7520833333328483"/>
    <n v="2"/>
    <n v="-0.75208333333284827"/>
    <n v="66.049999999988358"/>
    <n v="24"/>
    <n v="42.049999999988358"/>
    <n v="3.7098692033303968"/>
    <m/>
    <m/>
    <m/>
    <m/>
    <m/>
  </r>
  <r>
    <d v="2025-04-02T00:00:00"/>
    <x v="3"/>
    <s v="KESH"/>
    <s v="OMHQ6LSRR"/>
    <s v="DJ"/>
    <s v="SENTONG DAVID"/>
    <s v="UBP 298H"/>
    <s v="Kato Investment Ltd -Mubende Tax No.: 1000098824"/>
    <n v="156"/>
    <s v="OMHQ6LSRR"/>
    <s v="OM"/>
    <n v="680"/>
    <n v="679"/>
    <n v="-1"/>
    <m/>
    <d v="2025-04-03T12:35:00"/>
    <d v="2025-04-01T22:30:00"/>
    <d v="2025-04-03T13:01:00"/>
    <n v="2300.3009259256942"/>
    <n v="25.879629630556639"/>
    <m/>
    <d v="2025-04-04T06:56:00"/>
    <d v="2025-04-04T13:57:00"/>
    <n v="412.22916666643869"/>
    <s v="Reached late and offloaded the next day"/>
    <d v="2025-04-05T08:25:00"/>
    <d v="2025-04-05T09:06:00"/>
    <n v="40.145833330825553"/>
    <m/>
    <n v="1.8083333333343035"/>
    <n v="3"/>
    <n v="1.1916666666656965"/>
    <n v="43.400000000023283"/>
    <n v="12"/>
    <n v="31.400000000023283"/>
    <n v="4.9681528662383547"/>
    <m/>
    <m/>
    <m/>
    <m/>
    <m/>
  </r>
  <r>
    <d v="2025-04-02T00:00:00"/>
    <x v="3"/>
    <s v="NBL"/>
    <s v="OMXFMKJRR"/>
    <m/>
    <s v="Abel Mark naffa"/>
    <s v="UBJ 415C"/>
    <s v="Kabaco U Ltd Tax No.: 1000025425"/>
    <n v="156"/>
    <s v="OMXFMKJRR"/>
    <s v="OM"/>
    <n v="304"/>
    <n v="302"/>
    <n v="-2"/>
    <m/>
    <d v="2025-04-03T13:53:00"/>
    <d v="2025-04-02T02:22:00"/>
    <d v="2025-04-03T14:19:00"/>
    <n v="2147.013888889584"/>
    <n v="25.879629630556639"/>
    <m/>
    <d v="2025-04-05T13:24:00"/>
    <d v="2025-04-05T15:29:00"/>
    <n v="122.39583333219343"/>
    <m/>
    <d v="2025-04-06T10:45:00"/>
    <d v="2025-04-06T11:34:00"/>
    <n v="47.979166669174447"/>
    <s v="found another truck waiting to offload"/>
    <n v="2.851388888884685"/>
    <n v="2"/>
    <n v="-0.851388888884685"/>
    <n v="68.43333333323244"/>
    <n v="24"/>
    <n v="44.43333333323244"/>
    <n v="3.5108777194378296"/>
    <m/>
    <m/>
    <m/>
    <m/>
    <m/>
  </r>
  <r>
    <d v="2025-04-02T00:00:00"/>
    <x v="3"/>
    <s v="NBL"/>
    <s v="OMTAMNERR"/>
    <m/>
    <s v="Kabene John"/>
    <s v="UBA 523T"/>
    <s v="Kabaco U Ltd-Mbarara Tax No.: 1000025425"/>
    <n v="153.6"/>
    <s v="OMTAMNERR"/>
    <s v="OM"/>
    <n v="20"/>
    <n v="21"/>
    <n v="1"/>
    <m/>
    <d v="2025-04-03T13:26:00"/>
    <d v="2025-04-02T07:42:00"/>
    <d v="2025-04-03T13:53:00"/>
    <n v="1802.615740745144"/>
    <n v="26.87500000417155"/>
    <m/>
    <d v="2025-04-02T19:16:00"/>
    <d v="2025-04-03T10:16:00"/>
    <n v="881.25"/>
    <s v="Waited for empties from trade"/>
    <d v="2025-04-03T11:13:00"/>
    <d v="2025-04-03T11:51:00"/>
    <n v="37.208333331509493"/>
    <m/>
    <n v="-0.11111111110949423"/>
    <n v="1"/>
    <n v="1.1111111111094942"/>
    <n v="-2.6666666666278616"/>
    <n v="-12"/>
    <n v="9.3333333333721384"/>
    <n v="16.457142857074434"/>
    <m/>
    <m/>
    <m/>
    <m/>
    <m/>
  </r>
  <r>
    <d v="2025-04-02T00:00:00"/>
    <x v="3"/>
    <s v="NBL"/>
    <s v="OMQQLOIRR"/>
    <m/>
    <s v="Kabene John"/>
    <s v="UBA 523T"/>
    <s v="Kabaco U Ltd-Mbarara Tax No.: 1000025425"/>
    <n v="153.6"/>
    <s v="OMQQLOIRR"/>
    <s v="OM"/>
    <n v="20"/>
    <n v="19"/>
    <n v="-1"/>
    <m/>
    <d v="2025-04-02T18:21:00"/>
    <d v="2025-04-02T11:52:00"/>
    <d v="2025-04-02T18:45:00"/>
    <n v="411.0879629680615"/>
    <n v="23.888888893755695"/>
    <m/>
    <d v="2025-04-03T14:37:00"/>
    <d v="2025-04-04T09:53:00"/>
    <n v="1131.9166666732781"/>
    <s v="truck faulty"/>
    <d v="2025-04-04T11:23:00"/>
    <d v="2025-04-04T12:04:00"/>
    <n v="40.145833330825553"/>
    <m/>
    <n v="1.6930555555591127"/>
    <n v="1"/>
    <n v="-0.69305555555911269"/>
    <n v="40.633333333418705"/>
    <n v="12"/>
    <n v="28.633333333418705"/>
    <n v="5.3643771827546693"/>
    <m/>
    <m/>
    <m/>
    <m/>
    <m/>
  </r>
  <r>
    <d v="2025-04-03T00:00:00"/>
    <x v="3"/>
    <s v="NBL"/>
    <s v="OMTMCRZRR"/>
    <m/>
    <s v="James  Kironde"/>
    <s v="UBK 881R"/>
    <s v="KATO INVESTMENTS LIMITED-MASAK Tax No.: 1000098824"/>
    <n v="153.6"/>
    <s v="OMTMCRZRR"/>
    <s v="OM"/>
    <n v="596"/>
    <n v="595"/>
    <n v="-1"/>
    <m/>
    <d v="2025-04-05T12:51:00"/>
    <d v="2025-04-03T04:14:00"/>
    <d v="2025-04-05T13:15:00"/>
    <n v="3405.1620370402816"/>
    <n v="23.888888893755695"/>
    <m/>
    <d v="2025-04-05T18:54:00"/>
    <d v="2025-04-06T09:40:00"/>
    <n v="867.54166667327809"/>
    <s v="Reached late and offloaded the next day"/>
    <d v="2025-04-06T19:20:00"/>
    <d v="2025-04-06T20:11:00"/>
    <n v="49.93749999863212"/>
    <s v="Failed batteries at the gate"/>
    <n v="1.2534722222189885"/>
    <n v="2"/>
    <n v="0.74652777778101154"/>
    <n v="30.083333333255723"/>
    <n v="12"/>
    <n v="18.083333333255723"/>
    <n v="8.4940092166263153"/>
    <m/>
    <m/>
    <m/>
    <m/>
    <m/>
  </r>
  <r>
    <d v="2025-04-03T00:00:00"/>
    <x v="3"/>
    <s v="NBL"/>
    <s v="OM8WX4FRR"/>
    <m/>
    <s v="Tumusiime Robert"/>
    <s v="UBJ 988D"/>
    <s v="RUGOMA TRADERS CO. LTD NTUNGAM Tax No.: 1000249350"/>
    <n v="153.6"/>
    <s v="OM8WX4FRR"/>
    <s v="OM"/>
    <n v="150"/>
    <n v="149"/>
    <n v="-1"/>
    <m/>
    <d v="2025-04-04T08:50:00"/>
    <d v="2025-04-03T06:15:00"/>
    <d v="2025-04-04T09:32:00"/>
    <n v="1629.421296299309"/>
    <n v="41.805555556250816"/>
    <s v="pressure balancing"/>
    <d v="2025-04-04T12:18:00"/>
    <d v="2025-04-04T17:31:00"/>
    <n v="306.47916667054233"/>
    <s v="found another truck to be offloaded"/>
    <d v="2025-04-04T20:14:00"/>
    <d v="2025-04-04T21:04:00"/>
    <n v="48.958333328773733"/>
    <s v="offloading delays"/>
    <n v="0.44583333333139308"/>
    <n v="1"/>
    <n v="0.55416666666860692"/>
    <n v="10.699999999953434"/>
    <n v="0"/>
    <n v="10.699999999953434"/>
    <n v="14.35514018697836"/>
    <m/>
    <m/>
    <m/>
    <m/>
    <m/>
  </r>
  <r>
    <d v="2025-04-03T00:00:00"/>
    <x v="3"/>
    <s v="NBL"/>
    <s v="OMYA2X2RR"/>
    <m/>
    <s v="Luyaga Isaac"/>
    <s v="UAY 265V"/>
    <s v="Rugoma Traders-Kanungu/Kihihi Tax No.: 1000249350"/>
    <n v="153.6"/>
    <s v="OMYA2X2RR"/>
    <s v="OM"/>
    <n v="272"/>
    <n v="271"/>
    <n v="-1"/>
    <m/>
    <d v="2025-04-03T14:24:00"/>
    <d v="2025-04-03T01:59:00"/>
    <d v="2025-04-03T14:51:00"/>
    <n v="768.42592592777999"/>
    <n v="26.87500000417155"/>
    <m/>
    <d v="2025-04-04T08:48:00"/>
    <d v="2025-04-04T14:03:00"/>
    <n v="308.4375"/>
    <s v="Waited for empties from trade"/>
    <d v="2025-04-05T08:13:00"/>
    <d v="2025-04-05T09:05:00"/>
    <n v="50.916666668490507"/>
    <s v="found another truck waiting to offload"/>
    <n v="1.7236111111124046"/>
    <n v="2"/>
    <n v="0.27638888888759539"/>
    <n v="41.366666666697711"/>
    <n v="12"/>
    <n v="29.366666666697711"/>
    <n v="5.2304199772929953"/>
    <m/>
    <m/>
    <m/>
    <m/>
    <m/>
  </r>
  <r>
    <d v="2025-04-03T00:00:00"/>
    <x v="3"/>
    <s v="NBL"/>
    <s v="OMC2LQYRR"/>
    <m/>
    <s v="Jacob Oneka"/>
    <s v="UBE 422T"/>
    <s v="KATO INVESTMENTS LTD- KALISIZO Tax No.: 1000098824"/>
    <n v="153.6"/>
    <s v="OMC2LQYRR"/>
    <s v="OM"/>
    <n v="288"/>
    <n v="287"/>
    <n v="-1"/>
    <m/>
    <d v="2025-04-03T10:37:00"/>
    <d v="2025-04-03T03:43:00"/>
    <d v="2025-04-03T11:03:00"/>
    <n v="437.96296296180418"/>
    <n v="25.879629630556639"/>
    <m/>
    <d v="2025-04-03T16:12:00"/>
    <d v="2025-04-04T15:38:00"/>
    <n v="1376.7083333274059"/>
    <s v="Waited for empties from trade"/>
    <d v="2025-04-05T10:33:00"/>
    <d v="2025-04-05T11:11:00"/>
    <n v="37.208333331509493"/>
    <m/>
    <n v="1.9791666666642413"/>
    <n v="2"/>
    <n v="2.0833333335758653E-2"/>
    <n v="47.499999999941792"/>
    <n v="12"/>
    <n v="35.499999999941792"/>
    <n v="4.326760563387376"/>
    <m/>
    <m/>
    <m/>
    <m/>
    <m/>
  </r>
  <r>
    <d v="2025-04-03T00:00:00"/>
    <x v="3"/>
    <s v="NBL"/>
    <s v="OMD66ITRR"/>
    <m/>
    <s v="Kilabila Ismail"/>
    <s v="UBE 419T"/>
    <s v="Kabaco U Ltd-Mbarara Tax No.: 1000025425"/>
    <n v="153.6"/>
    <s v="OMD66ITRR"/>
    <s v="OM"/>
    <n v="20"/>
    <n v="21"/>
    <n v="1"/>
    <m/>
    <d v="2025-04-03T08:51:00"/>
    <d v="2025-04-03T07:42:00"/>
    <d v="2025-04-03T09:18:00"/>
    <n v="95.555555554165039"/>
    <n v="26.87500000417155"/>
    <m/>
    <d v="2025-04-03T09:50:00"/>
    <d v="2025-04-03T13:34:00"/>
    <n v="219.33333334040071"/>
    <s v="Waited for empties from trade"/>
    <d v="2025-04-03T14:05:00"/>
    <d v="2025-04-03T14:46:00"/>
    <n v="40.145833330825553"/>
    <m/>
    <n v="0.1993055555576575"/>
    <n v="1"/>
    <n v="0.8006944444423425"/>
    <n v="4.78333333338378"/>
    <n v="0"/>
    <n v="4.78333333338378"/>
    <n v="32.111498257501061"/>
    <m/>
    <m/>
    <m/>
    <m/>
    <m/>
  </r>
  <r>
    <d v="2025-04-03T00:00:00"/>
    <x v="3"/>
    <s v="NBL"/>
    <s v="OMFFD7DRR"/>
    <m/>
    <s v="Kilabila Ismail"/>
    <s v="UBE 419T"/>
    <s v="KATO INVESTMENTS LIMITED-MASAK Tax No.: 1000098824"/>
    <n v="153.6"/>
    <s v="OMFFD7DRR"/>
    <s v="OM"/>
    <n v="596"/>
    <n v="595"/>
    <n v="-1"/>
    <m/>
    <d v="2025-04-03T20:07:00"/>
    <d v="2025-04-04T04:14:00"/>
    <d v="2025-04-03T20:29:00"/>
    <n v="-462.84722221874591"/>
    <n v="21.89814814652588"/>
    <m/>
    <d v="2025-04-04T10:01:00"/>
    <d v="2025-04-04T14:38:00"/>
    <n v="271.22916666849051"/>
    <s v="truck faulty"/>
    <d v="2025-04-04T18:57:00"/>
    <d v="2025-04-04T19:47:00"/>
    <n v="48.958333328773733"/>
    <s v="Failed batteries at the gate"/>
    <n v="0.93611111110658385"/>
    <n v="2"/>
    <n v="1.0638888888934162"/>
    <n v="22.466666666558012"/>
    <n v="0"/>
    <n v="22.466666666558012"/>
    <n v="6.8367952522585833"/>
    <m/>
    <m/>
    <m/>
    <m/>
    <m/>
  </r>
  <r>
    <d v="2025-04-04T00:00:00"/>
    <x v="3"/>
    <s v="NBL"/>
    <s v="OMX7XSORR"/>
    <m/>
    <s v="Kabene John"/>
    <s v="UBA 523T"/>
    <s v="KATO INVESTMENTS LIMITED-MASAK Tax No.: 1000098824"/>
    <n v="153.6"/>
    <s v="OMX7XSORR"/>
    <s v="OM"/>
    <n v="596"/>
    <n v="593"/>
    <n v="-3"/>
    <m/>
    <d v="2025-04-06T13:54:00"/>
    <d v="2025-04-04T04:14:00"/>
    <d v="2025-04-06T14:18:00"/>
    <n v="3467.8703703694432"/>
    <n v="23.888888893755695"/>
    <m/>
    <d v="2025-04-07T08:20:00"/>
    <d v="2025-04-07T12:05:00"/>
    <n v="220.3125"/>
    <s v="Reached late and offloaded the next day"/>
    <d v="2025-04-07T16:13:00"/>
    <d v="2025-04-07T17:02:00"/>
    <n v="47.979166669174447"/>
    <s v="offloading delays"/>
    <n v="1.0798611111094942"/>
    <n v="2"/>
    <n v="0.92013888889050577"/>
    <n v="25.916666666627862"/>
    <n v="12"/>
    <n v="13.916666666627862"/>
    <n v="11.03712574853377"/>
    <m/>
    <m/>
    <m/>
    <m/>
    <m/>
  </r>
  <r>
    <d v="2025-04-04T00:00:00"/>
    <x v="3"/>
    <s v="KESH"/>
    <s v="OMFFDP4RR"/>
    <s v="DJ"/>
    <s v="MUKOSE MUZAMIRU"/>
    <s v="UBJ 417C"/>
    <s v="Kato Investment Ltd -Mubende Tax No.: 1000098824"/>
    <n v="156"/>
    <s v="OMFFDP4RR"/>
    <s v="OM"/>
    <n v="680"/>
    <n v="677"/>
    <n v="-3"/>
    <m/>
    <d v="2025-04-03T21:49:00"/>
    <d v="2025-04-03T21:30:00"/>
    <d v="2025-04-03T22:11:00"/>
    <n v="40.810185182635905"/>
    <n v="21.89814814652588"/>
    <m/>
    <d v="2025-04-04T18:37:00"/>
    <d v="2025-04-05T12:28:00"/>
    <n v="1048.6875000020518"/>
    <s v="less casuals and offloaded the next day"/>
    <d v="2025-04-06T08:08:00"/>
    <d v="2025-04-06T08:53:00"/>
    <n v="44.0625"/>
    <m/>
    <n v="2.4145833333313931"/>
    <n v="3"/>
    <n v="0.58541666666860692"/>
    <n v="57.949999999953434"/>
    <n v="24"/>
    <n v="33.949999999953434"/>
    <n v="4.5949926362360518"/>
    <m/>
    <m/>
    <m/>
    <m/>
    <m/>
  </r>
  <r>
    <d v="2025-04-04T00:00:00"/>
    <x v="3"/>
    <s v="NBL"/>
    <s v="OMVI4UJRR"/>
    <m/>
    <s v="Isaac Tumuhimbise"/>
    <s v="UBE 287X"/>
    <s v="KATO INVESTMENTS LTD- KALISIZO Tax No.: 1000098824"/>
    <n v="153.6"/>
    <s v="OMVI4UJRR"/>
    <s v="OM"/>
    <n v="288"/>
    <n v="286"/>
    <n v="-2"/>
    <m/>
    <d v="2025-04-03T20:58:00"/>
    <d v="2025-04-04T03:43:00"/>
    <d v="2025-04-03T21:22:00"/>
    <n v="-379.23611111667316"/>
    <n v="23.888888893755695"/>
    <m/>
    <d v="2025-04-04T12:54:00"/>
    <d v="2025-04-04T19:25:00"/>
    <n v="382.85416667327809"/>
    <s v="found another truck to be offloaded"/>
    <d v="2025-04-05T10:36:00"/>
    <d v="2025-04-05T11:17:00"/>
    <n v="40.145833330825553"/>
    <m/>
    <n v="1.5513888888890506"/>
    <n v="2"/>
    <n v="0.44861111111094942"/>
    <n v="37.233333333337214"/>
    <n v="12"/>
    <n v="25.233333333337214"/>
    <n v="6.0871862615578483"/>
    <m/>
    <m/>
    <m/>
    <m/>
    <m/>
  </r>
  <r>
    <d v="2025-04-05T00:00:00"/>
    <x v="3"/>
    <s v="NBL"/>
    <s v="OMP5SC4RR"/>
    <m/>
    <s v="GODWIN  NIWENSIIMA"/>
    <s v="UAR 731Q"/>
    <s v="Kabaco U Ltd-Mbarara Tax No.: 1000025425"/>
    <n v="153.6"/>
    <s v="OMP5SC4RR"/>
    <s v="OM"/>
    <n v="20"/>
    <n v="19"/>
    <n v="-1"/>
    <m/>
    <d v="2025-04-06T07:42:00"/>
    <d v="2025-04-05T11:52:00"/>
    <d v="2025-04-06T08:08:00"/>
    <n v="1210.3703703736148"/>
    <n v="25.879629630556639"/>
    <m/>
    <d v="2025-04-06T14:06:00"/>
    <d v="2025-04-07T11:35:00"/>
    <n v="1262.1458333335613"/>
    <s v="Waited for empties from trade"/>
    <d v="2025-04-07T17:40:00"/>
    <d v="2025-04-07T18:18:00"/>
    <n v="37.208333331509493"/>
    <m/>
    <n v="1.3972222222218988"/>
    <n v="1"/>
    <n v="-0.39722222222189885"/>
    <n v="33.533333333325572"/>
    <n v="12"/>
    <n v="21.533333333325572"/>
    <n v="7.1331269349870912"/>
    <m/>
    <m/>
    <m/>
    <m/>
    <m/>
  </r>
  <r>
    <d v="2025-04-05T00:00:00"/>
    <x v="3"/>
    <s v="NBL"/>
    <s v="OMQWIN8RR"/>
    <m/>
    <s v="Konge Husein"/>
    <s v="UBJ 707D"/>
    <s v="Ntale &amp; Sons Tax No.: 1001371381"/>
    <n v="153.6"/>
    <s v="OMQWIN8RR"/>
    <s v="OM"/>
    <n v="810"/>
    <n v="809"/>
    <n v="-1"/>
    <m/>
    <d v="2025-04-05T05:48:00"/>
    <d v="2025-04-04T20:00:00"/>
    <d v="2025-04-05T06:30:00"/>
    <n v="627.08333333333337"/>
    <n v="41.805555556250816"/>
    <s v="found another truck waiting to be cleared at the gate"/>
    <d v="2025-04-06T09:37:00"/>
    <d v="2025-04-06T14:37:00"/>
    <n v="293.7500000034197"/>
    <s v="Waited for empties from trade"/>
    <d v="2025-04-07T17:51:00"/>
    <d v="2025-04-07T18:42:00"/>
    <n v="49.93749999863212"/>
    <s v="sorting delays"/>
    <n v="2.4729166666656965"/>
    <n v="3"/>
    <n v="0.52708333333430346"/>
    <n v="59.349999999976717"/>
    <n v="24"/>
    <n v="35.349999999976717"/>
    <n v="4.3451202263112068"/>
    <m/>
    <m/>
    <m/>
    <m/>
    <m/>
  </r>
  <r>
    <d v="2025-04-05T00:00:00"/>
    <x v="3"/>
    <s v="NBL"/>
    <s v="OMEWFYHRR"/>
    <m/>
    <s v="Kilabila Ismail"/>
    <s v="UBE 419T"/>
    <s v="KATO INVESTMENTS LIMITED-MASAK Tax No.: 1000098824"/>
    <n v="153.6"/>
    <s v="OMEWFYHRR"/>
    <s v="OM"/>
    <n v="596"/>
    <n v="595"/>
    <n v="-1"/>
    <m/>
    <d v="2025-04-05T10:34:00"/>
    <d v="2025-04-05T04:14:00"/>
    <d v="2025-04-05T11:13:00"/>
    <n v="417.06018518889323"/>
    <n v="38.819444445834961"/>
    <s v="pressure balancing"/>
    <d v="2025-04-05T13:13:00"/>
    <d v="2025-04-05T15:51:00"/>
    <n v="154.70833333492919"/>
    <m/>
    <d v="2025-04-06T11:00:00"/>
    <d v="2025-04-06T11:50:00"/>
    <n v="48.958333328773733"/>
    <s v="beer topup delays"/>
    <n v="0.99097222222189885"/>
    <n v="2"/>
    <n v="1.0090277777781012"/>
    <n v="23.783333333325572"/>
    <n v="0"/>
    <n v="23.783333333325572"/>
    <n v="6.4583041345501098"/>
    <m/>
    <m/>
    <m/>
    <m/>
    <m/>
  </r>
  <r>
    <d v="2025-04-05T00:00:00"/>
    <x v="3"/>
    <s v="NBL"/>
    <s v="OMXPJ8URR"/>
    <m/>
    <s v="Mugisha  George"/>
    <s v="UAV 203T"/>
    <s v="Rugoma Traders-Kanungu/Kihihi Tax No.: 1000249350"/>
    <n v="153.6"/>
    <s v="OMXPJ8URR"/>
    <s v="OM"/>
    <n v="272"/>
    <n v="271"/>
    <n v="-1"/>
    <m/>
    <d v="2025-04-05T08:00:00"/>
    <d v="2025-04-05T01:59:00"/>
    <d v="2025-04-05T08:39:00"/>
    <n v="398.14814815278322"/>
    <n v="38.819444445834961"/>
    <s v="found another truck waiting to be cleared at the gate"/>
    <d v="2025-04-05T13:50:00"/>
    <d v="2025-04-06T13:02:00"/>
    <n v="1363.0000000006839"/>
    <s v="Reached late and offloaded the next day"/>
    <d v="2025-04-06T18:06:00"/>
    <d v="2025-04-06T18:55:00"/>
    <n v="47.979166669174447"/>
    <s v="Fork Lift Breakdown"/>
    <n v="1.3937499999956344"/>
    <n v="2"/>
    <n v="0.60625000000436557"/>
    <n v="33.449999999895226"/>
    <n v="12"/>
    <n v="21.449999999895226"/>
    <n v="7.1608391608741382"/>
    <m/>
    <m/>
    <m/>
    <m/>
    <m/>
  </r>
  <r>
    <d v="2025-04-05T00:00:00"/>
    <x v="3"/>
    <s v="NBL"/>
    <s v="OM65TV2RR"/>
    <m/>
    <s v="Bisaso  Ronald"/>
    <s v="UBK 875R"/>
    <s v="Kabaco U Ltd-Mbarara Tax No.: 1000025425"/>
    <n v="153.6"/>
    <s v="OM65TV2RR"/>
    <s v="OM"/>
    <n v="20"/>
    <n v="18"/>
    <n v="-2"/>
    <m/>
    <d v="2025-04-05T11:28:00"/>
    <d v="2025-04-05T07:42:00"/>
    <d v="2025-04-05T11:54:00"/>
    <n v="250.83333333750488"/>
    <n v="25.879629630556639"/>
    <m/>
    <d v="2025-04-05T12:33:00"/>
    <d v="2025-04-05T17:02:00"/>
    <n v="263.39583333014161"/>
    <s v="Waited for empties from trade"/>
    <d v="2025-04-05T17:48:00"/>
    <d v="2025-04-05T18:29:00"/>
    <n v="40.145833330825553"/>
    <m/>
    <n v="0.24583333333430346"/>
    <n v="1"/>
    <n v="0.75416666666569654"/>
    <n v="5.9000000000232831"/>
    <n v="0"/>
    <n v="5.9000000000232831"/>
    <n v="26.033898304982007"/>
    <m/>
    <m/>
    <m/>
    <m/>
    <m/>
  </r>
  <r>
    <d v="2025-04-06T00:00:00"/>
    <x v="3"/>
    <s v="NBL"/>
    <s v="OMF7YJSRR"/>
    <m/>
    <s v="Abel Mark naffa"/>
    <s v="UBJ 415C"/>
    <s v="KATO INVESTMENTS LTD- KALISIZO Tax No.: 1000098824"/>
    <n v="153.6"/>
    <s v="OMF7YJSRR"/>
    <s v="OM"/>
    <n v="288"/>
    <n v="287"/>
    <n v="-1"/>
    <m/>
    <d v="2025-04-07T09:23:00"/>
    <d v="2025-04-06T10:00:00"/>
    <d v="2025-04-07T10:17:00"/>
    <n v="1450.2546296326425"/>
    <n v="53.749999997914223"/>
    <s v="network failures"/>
    <d v="2025-04-08T21:04:00"/>
    <d v="2025-04-08T23:21:00"/>
    <n v="134.14583332945767"/>
    <m/>
    <d v="2025-04-10T14:35:00"/>
    <d v="2025-04-10T15:27:00"/>
    <n v="50.916666668490507"/>
    <s v="empties confirmation delays"/>
    <n v="3.1791666666686069"/>
    <n v="2"/>
    <n v="-1.1791666666686069"/>
    <n v="76.300000000046566"/>
    <n v="36"/>
    <n v="40.300000000046566"/>
    <n v="3.8114143920551493"/>
    <m/>
    <m/>
    <m/>
    <m/>
    <m/>
  </r>
  <r>
    <d v="2025-04-06T00:00:00"/>
    <x v="3"/>
    <s v="NBL"/>
    <s v="OM2EAMURR"/>
    <m/>
    <s v="Tumusiime Robert"/>
    <s v="UBJ 988D"/>
    <s v="Kabaco U Ltd-Mbarara Tax No.: 1000025425"/>
    <n v="153.6"/>
    <s v="OM2EAMURR"/>
    <s v="OM"/>
    <n v="20"/>
    <n v="21"/>
    <n v="1"/>
    <m/>
    <d v="2025-04-06T07:23:00"/>
    <d v="2025-04-06T07:42:00"/>
    <d v="2025-04-06T08:05:00"/>
    <n v="22.893518520140788"/>
    <n v="41.805555556250816"/>
    <s v="Jam at the weigh bridge"/>
    <d v="2025-04-06T15:39:00"/>
    <d v="2025-04-07T14:23:00"/>
    <n v="1335.583333336981"/>
    <s v="Waited for empties from trade"/>
    <d v="2025-04-09T08:34:00"/>
    <d v="2025-04-09T09:15:00"/>
    <n v="40.145833330825553"/>
    <m/>
    <n v="3.0201388888890506"/>
    <n v="1"/>
    <n v="-2.0201388888890506"/>
    <n v="72.483333333337214"/>
    <n v="36"/>
    <n v="36.483333333337214"/>
    <n v="4.2101416171763448"/>
    <m/>
    <m/>
    <m/>
    <m/>
    <m/>
  </r>
  <r>
    <d v="2025-04-06T00:00:00"/>
    <x v="3"/>
    <s v="NBL"/>
    <s v="OMAQ2Y8RR"/>
    <m/>
    <s v="Isaac Tumuhimbise"/>
    <s v="UBE 287X"/>
    <s v="Kabaco U Ltd Tax No.: 1000025425"/>
    <n v="156"/>
    <s v="OMAQ2Y8RR"/>
    <s v="OM"/>
    <n v="304"/>
    <n v="303"/>
    <n v="-1"/>
    <m/>
    <d v="2025-04-05T13:47:00"/>
    <d v="2025-04-06T02:22:00"/>
    <d v="2025-04-05T14:26:00"/>
    <n v="-712.68518518263591"/>
    <n v="38.819444445834961"/>
    <s v="DJ failures "/>
    <d v="2025-04-05T16:58:00"/>
    <d v="2025-04-06T09:38:00"/>
    <n v="979.16666666780657"/>
    <s v="Reached late and offloaded the next day"/>
    <d v="2025-04-06T12:39:00"/>
    <d v="2025-04-06T13:30:00"/>
    <n v="49.93749999863212"/>
    <s v="found another truck waiting to offload"/>
    <n v="0.9256944444423425"/>
    <n v="2"/>
    <n v="1.0743055555576575"/>
    <n v="22.21666666661622"/>
    <n v="0"/>
    <n v="22.21666666661622"/>
    <n v="7.0217554388756591"/>
    <m/>
    <m/>
    <m/>
    <m/>
    <m/>
  </r>
  <r>
    <d v="2025-04-07T00:00:00"/>
    <x v="3"/>
    <s v="NBL"/>
    <s v="OM4MKX4RR"/>
    <m/>
    <s v="Stephen Musoke "/>
    <s v="UBJ 375N"/>
    <s v="Ntale &amp; Sons Tax No.: 1001371381"/>
    <n v="153.6"/>
    <s v="OM4MKX4RR"/>
    <s v="OM"/>
    <n v="810"/>
    <n v="809"/>
    <n v="-1"/>
    <m/>
    <d v="2025-04-07T10:43:00"/>
    <d v="2025-04-06T21:00:00"/>
    <d v="2025-04-07T11:11:00"/>
    <n v="847.06018518263591"/>
    <n v="27.870370367357584"/>
    <m/>
    <d v="2025-04-08T09:51:00"/>
    <d v="2025-04-08T14:59:00"/>
    <n v="301.58333333150949"/>
    <s v="Waited for empties from trade"/>
    <d v="2025-04-09T19:00:00"/>
    <d v="2025-04-09T19:38:00"/>
    <n v="37.208333331509493"/>
    <m/>
    <n v="2.3256944444437977"/>
    <n v="3"/>
    <n v="0.67430555555620231"/>
    <n v="55.816666666651145"/>
    <n v="24"/>
    <n v="31.816666666651145"/>
    <n v="4.827658459929018"/>
    <m/>
    <m/>
    <m/>
    <m/>
    <m/>
  </r>
  <r>
    <d v="2025-04-07T00:00:00"/>
    <x v="3"/>
    <s v="NBL"/>
    <s v="OM4RCL0RR"/>
    <m/>
    <s v="Mugisha  George"/>
    <s v="UAV 203T"/>
    <s v="Ntale &amp; Sons -Kakiri Tax No.: 1001371381"/>
    <n v="156"/>
    <s v="OM4RCL0RR"/>
    <s v="OM"/>
    <n v="620"/>
    <n v="617"/>
    <n v="-3"/>
    <m/>
    <d v="2025-04-06T22:35:00"/>
    <d v="2025-04-07T01:59:00"/>
    <d v="2025-04-06T22:59:00"/>
    <n v="-179.16666666666666"/>
    <n v="23.888888893755695"/>
    <m/>
    <d v="2025-04-07T15:45:00"/>
    <d v="2025-04-07T20:12:00"/>
    <n v="261.43750000068394"/>
    <s v="Waited for empties from trade"/>
    <d v="2025-04-08T12:56:00"/>
    <d v="2025-04-08T13:37:00"/>
    <n v="40.145833330825553"/>
    <m/>
    <n v="1.5812500000029104"/>
    <n v="3"/>
    <n v="1.4187499999970896"/>
    <n v="37.950000000069849"/>
    <n v="12"/>
    <n v="25.950000000069849"/>
    <n v="6.0115606936254373"/>
    <m/>
    <m/>
    <m/>
    <m/>
    <m/>
  </r>
  <r>
    <d v="2025-04-07T00:00:00"/>
    <x v="3"/>
    <s v="NBL"/>
    <s v="OMWJEXPRR"/>
    <m/>
    <s v="Isaac Tumuhimbise"/>
    <s v="UBE 287X"/>
    <s v="Kabaco U Ltd-Mbarara Tax No.: 1000025425"/>
    <n v="153.6"/>
    <s v="OMWJEXPRR"/>
    <s v="OM"/>
    <n v="20"/>
    <n v="19"/>
    <n v="-1"/>
    <m/>
    <d v="2025-04-06T20:40:00"/>
    <d v="2025-04-07T07:42:00"/>
    <d v="2025-04-06T21:04:00"/>
    <n v="-635.04629629096598"/>
    <n v="23.888888893755695"/>
    <m/>
    <d v="2025-04-07T12:29:00"/>
    <d v="2025-04-07T17:48:00"/>
    <n v="312.35416666917445"/>
    <m/>
    <d v="2025-04-08T09:45:00"/>
    <d v="2025-04-08T10:23:00"/>
    <n v="37.208333331509493"/>
    <m/>
    <n v="1.5284722222204437"/>
    <n v="1"/>
    <n v="-0.52847222222044365"/>
    <n v="36.683333333290648"/>
    <n v="12"/>
    <n v="24.683333333290648"/>
    <n v="6.2228224172963786"/>
    <m/>
    <m/>
    <m/>
    <m/>
    <m/>
  </r>
  <r>
    <d v="2025-04-08T00:00:00"/>
    <x v="3"/>
    <s v="NBL"/>
    <s v="OM5437GRR"/>
    <m/>
    <s v="Isaac Tumuhimbise"/>
    <s v="UBE 287X"/>
    <s v="KATO INVESTMENTS LIMITED-MASAK Tax No.: 1000098824"/>
    <n v="153.6"/>
    <s v="OM5437GRR"/>
    <s v="OM"/>
    <n v="596"/>
    <n v="595"/>
    <n v="-1"/>
    <m/>
    <d v="2025-04-08T12:59:00"/>
    <d v="2025-04-08T08:00:00"/>
    <d v="2025-04-08T13:25:00"/>
    <n v="323.49537037152913"/>
    <n v="25.879629630556639"/>
    <m/>
    <d v="2025-04-09T08:28:00"/>
    <d v="2025-04-09T11:39:00"/>
    <n v="187.02083333766495"/>
    <s v="Reached late and offloaded the next day"/>
    <d v="2025-04-09T17:01:00"/>
    <d v="2025-04-09T17:42:00"/>
    <n v="40.145833330825553"/>
    <m/>
    <n v="1.1499999999941792"/>
    <n v="2"/>
    <n v="0.85000000000582077"/>
    <n v="27.599999999860302"/>
    <n v="12"/>
    <n v="15.599999999860302"/>
    <n v="9.8461538462420179"/>
    <m/>
    <m/>
    <m/>
    <m/>
    <m/>
  </r>
  <r>
    <d v="2025-04-08T00:00:00"/>
    <x v="3"/>
    <s v="NBL"/>
    <s v="OMGF8R5RR"/>
    <m/>
    <s v="GODWIN  NIWENSIIMA"/>
    <s v="UAR 731Q"/>
    <s v="KATO INVESTMENTS LIMITED-MASAK Tax No.: 1000098824"/>
    <n v="153.6"/>
    <s v="OMGF8R5RR"/>
    <s v="OM"/>
    <n v="596"/>
    <n v="595"/>
    <n v="-1"/>
    <m/>
    <d v="2025-04-08T09:37:00"/>
    <d v="2025-04-08T08:00:00"/>
    <d v="2025-04-08T10:05:00"/>
    <n v="124.42129629513754"/>
    <n v="27.870370367357584"/>
    <m/>
    <d v="2025-04-08T13:08:00"/>
    <d v="2025-04-08T17:32:00"/>
    <n v="258.50000000136788"/>
    <s v="found another truck to be offloaded"/>
    <d v="2025-04-08T20:10:00"/>
    <d v="2025-04-08T21:00:00"/>
    <n v="48.958333328773733"/>
    <s v="fueling delays"/>
    <n v="0.42013888889050577"/>
    <n v="2"/>
    <n v="1.5798611111094942"/>
    <n v="10.083333333372138"/>
    <n v="0"/>
    <n v="10.083333333372138"/>
    <n v="15.233057851181046"/>
    <m/>
    <m/>
    <m/>
    <m/>
    <m/>
  </r>
  <r>
    <d v="2025-04-08T00:00:00"/>
    <x v="3"/>
    <s v="NBL"/>
    <s v="OMWC5MPRR"/>
    <m/>
    <s v="Benon Ssempijja"/>
    <s v="UAY 526V"/>
    <s v="RUGOMA TRADERS CO. LTD NTUNGAM Tax No.: 1000249350"/>
    <n v="153.6"/>
    <s v="OMWC5MPRR"/>
    <s v="OM"/>
    <n v="150"/>
    <n v="149"/>
    <n v="-1"/>
    <m/>
    <d v="2025-04-08T09:17:00"/>
    <d v="2025-04-08T08:08:00"/>
    <d v="2025-04-08T09:41:00"/>
    <n v="92.569444443749191"/>
    <n v="23.888888893755695"/>
    <m/>
    <d v="2025-04-09T13:10:00"/>
    <d v="2025-04-09T17:22:00"/>
    <n v="246.75000000410364"/>
    <s v="Waited for empties from trade"/>
    <d v="2025-04-08T16:12:00"/>
    <d v="2025-04-08T16:50:00"/>
    <n v="37.208333331509493"/>
    <m/>
    <n v="0.27152777778246673"/>
    <n v="1"/>
    <n v="0.72847222221753327"/>
    <n v="6.5166666667792015"/>
    <n v="0"/>
    <n v="6.5166666667792015"/>
    <n v="23.570332480411384"/>
    <m/>
    <m/>
    <m/>
    <m/>
    <m/>
  </r>
  <r>
    <d v="2025-04-08T00:00:00"/>
    <x v="3"/>
    <s v="KESH"/>
    <s v="OM6OBRWRR"/>
    <s v="DJ"/>
    <s v="MUKOSE MUZAMIRU"/>
    <s v="UBJ 417C"/>
    <s v="Sawan Distributors Ltd-Nabingo Tax No.: 1000186379"/>
    <n v="156"/>
    <s v="OM6OBRWRR"/>
    <s v="OM"/>
    <n v="560"/>
    <n v="559"/>
    <n v="-1"/>
    <m/>
    <d v="2025-04-07T20:59:00"/>
    <d v="2025-04-08T08:00:00"/>
    <d v="2025-04-07T21:23:00"/>
    <n v="-634.05092592777999"/>
    <n v="23.888888893755695"/>
    <m/>
    <d v="2025-04-08T14:56:00"/>
    <d v="2025-04-08T17:10:00"/>
    <n v="131.20833334040071"/>
    <m/>
    <d v="2025-04-10T19:19:00"/>
    <d v="2025-04-10T20:04:00"/>
    <n v="44.0625"/>
    <m/>
    <n v="2.913888888884685"/>
    <n v="2"/>
    <n v="-0.913888888884685"/>
    <n v="69.93333333323244"/>
    <n v="24"/>
    <n v="45.93333333323244"/>
    <n v="3.3962264151017996"/>
    <m/>
    <m/>
    <m/>
    <m/>
    <m/>
  </r>
  <r>
    <d v="2025-04-09T00:00:00"/>
    <x v="3"/>
    <s v="NBL"/>
    <s v="OMQ68G1RR"/>
    <m/>
    <s v="Abel Mark naffa"/>
    <s v="UBJ 415C"/>
    <s v="Rugoma Traders-Kanungu/Kihihi Tax No.: 1000249350"/>
    <n v="153.6"/>
    <s v="OMQ68G1RR"/>
    <s v="OM"/>
    <n v="272"/>
    <n v="270"/>
    <n v="-2"/>
    <m/>
    <d v="2025-04-10T18:43:00"/>
    <d v="2025-04-09T01:59:00"/>
    <d v="2025-04-10T19:09:00"/>
    <n v="2458.56481481945"/>
    <n v="25.879629630556639"/>
    <m/>
    <d v="2025-04-11T14:32:00"/>
    <d v="2025-04-11T16:39:00"/>
    <n v="124.35416666165111"/>
    <m/>
    <d v="2025-04-12T09:45:00"/>
    <d v="2025-04-12T10:26:00"/>
    <n v="40.145833330825553"/>
    <m/>
    <n v="1.6083333333299379"/>
    <n v="2"/>
    <n v="0.39166666667006211"/>
    <n v="38.599999999918509"/>
    <n v="12"/>
    <n v="26.599999999918509"/>
    <n v="5.7744360902432543"/>
    <m/>
    <m/>
    <m/>
    <m/>
    <m/>
  </r>
  <r>
    <d v="2025-04-09T00:00:00"/>
    <x v="3"/>
    <s v="NBL"/>
    <s v="OMDXV7BRR"/>
    <m/>
    <s v="ANGELO KYOSIGA "/>
    <s v="UAV 051U"/>
    <s v="Kabaco U Ltd Tax No.: 1000025425"/>
    <n v="156"/>
    <s v="OMDXV7BRR"/>
    <s v="OM"/>
    <n v="304"/>
    <n v="303"/>
    <n v="-1"/>
    <m/>
    <d v="2025-04-09T13:38:00"/>
    <d v="2025-04-09T02:22:00"/>
    <d v="2025-04-09T14:06:00"/>
    <n v="700.74074074097246"/>
    <n v="27.870370367357584"/>
    <m/>
    <d v="2025-04-09T18:04:00"/>
    <d v="2025-04-10T12:43:00"/>
    <n v="1095.6875000013679"/>
    <s v="truck faulty"/>
    <d v="2025-04-10T15:27:00"/>
    <d v="2025-04-10T16:08:00"/>
    <n v="40.145833330825553"/>
    <m/>
    <n v="1.0562500000014552"/>
    <n v="2"/>
    <n v="0.94374999999854481"/>
    <n v="25.350000000034925"/>
    <n v="12"/>
    <n v="13.350000000034925"/>
    <n v="11.685393258396397"/>
    <m/>
    <m/>
    <m/>
    <m/>
    <m/>
  </r>
  <r>
    <d v="2025-04-09T00:00:00"/>
    <x v="3"/>
    <s v="NBL"/>
    <s v="OM4C6O2RR"/>
    <m/>
    <s v="Bisaso  Ronald"/>
    <s v="UBK 875R"/>
    <s v="Ntale &amp; Sons Tax No.: 1001371381"/>
    <n v="153.6"/>
    <s v="OM4C6O2RR"/>
    <s v="OM"/>
    <n v="810"/>
    <n v="807"/>
    <n v="-3"/>
    <m/>
    <d v="2025-04-09T09:08:00"/>
    <d v="2025-04-08T22:00:00"/>
    <d v="2025-04-09T09:34:00"/>
    <n v="690.78703703611006"/>
    <n v="25.879629630556639"/>
    <m/>
    <d v="2025-04-10T15:15:00"/>
    <d v="2025-04-10T20:20:00"/>
    <n v="298.64583333219343"/>
    <s v="Reached late and offloaded the next day"/>
    <d v="2025-04-12T18:26:00"/>
    <d v="2025-04-12T19:15:00"/>
    <n v="47.979166669174447"/>
    <s v="Fork Lift Breakdown"/>
    <n v="3.3694444444481633"/>
    <n v="3"/>
    <n v="-0.36944444444816327"/>
    <n v="80.866666666755918"/>
    <n v="36"/>
    <n v="44.866666666755918"/>
    <n v="3.4234769687896236"/>
    <m/>
    <m/>
    <m/>
    <m/>
    <m/>
  </r>
  <r>
    <d v="2025-04-09T00:00:00"/>
    <x v="3"/>
    <s v="NBL"/>
    <s v="OMRWYG5RR"/>
    <m/>
    <s v="Konge Husein"/>
    <s v="UBJ 707D"/>
    <s v="KATO INVESTMENTS LIMITED-MASAK Tax No.: 1000098824"/>
    <n v="153.6"/>
    <s v="OMRWYG5RR"/>
    <s v="OM"/>
    <n v="596"/>
    <n v="593"/>
    <n v="-3"/>
    <m/>
    <d v="2025-04-09T13:55:00"/>
    <d v="2025-04-09T04:14:00"/>
    <d v="2025-04-09T14:45:00"/>
    <n v="628.0787037069482"/>
    <n v="49.768518513883464"/>
    <s v="DJ failures "/>
    <d v="2025-04-10T10:53:00"/>
    <d v="2025-04-10T15:50:00"/>
    <n v="290.81249999384454"/>
    <s v="less casuals and offloaded the next day"/>
    <d v="2025-04-11T13:01:00"/>
    <d v="2025-04-11T13:39:00"/>
    <n v="37.208333331509493"/>
    <m/>
    <n v="1.9277777777751908"/>
    <n v="2"/>
    <n v="7.2222222224809229E-2"/>
    <n v="46.266666666604578"/>
    <n v="12"/>
    <n v="34.266666666604578"/>
    <n v="4.4824902723816624"/>
    <m/>
    <m/>
    <m/>
    <m/>
    <m/>
  </r>
  <r>
    <d v="2025-04-09T00:00:00"/>
    <x v="3"/>
    <s v="NBL"/>
    <s v="OM4639BRR"/>
    <m/>
    <s v="Tumusiime Robert"/>
    <s v="UBJ 988D"/>
    <s v="RUGOMA TRADERS CO. LTD NTUNGAM Tax No.: 1000249350"/>
    <n v="153.6"/>
    <s v="OM4639BRR"/>
    <s v="OM"/>
    <n v="150"/>
    <n v="148"/>
    <n v="-2"/>
    <m/>
    <d v="2025-04-09T12:51:00"/>
    <d v="2025-04-09T06:15:00"/>
    <d v="2025-04-09T13:33:00"/>
    <n v="435.97222222500324"/>
    <n v="41.805555556250816"/>
    <s v="Water top up"/>
    <d v="2025-04-10T12:37:00"/>
    <d v="2025-04-10T14:49:00"/>
    <n v="129.25000000068394"/>
    <m/>
    <d v="2025-04-10T16:23:00"/>
    <d v="2025-04-10T17:14:00"/>
    <n v="49.93749999863212"/>
    <s v="found another truck waiting to offload"/>
    <n v="1.1180555555547471"/>
    <n v="1"/>
    <n v="-0.11805555555474712"/>
    <n v="26.833333333313931"/>
    <n v="12"/>
    <n v="14.833333333313931"/>
    <n v="10.355056179788825"/>
    <m/>
    <m/>
    <m/>
    <m/>
    <m/>
  </r>
  <r>
    <d v="2025-04-09T00:00:00"/>
    <x v="3"/>
    <s v="NBL"/>
    <s v="OMZ4IR6RR"/>
    <m/>
    <s v="Benon Ssempijja"/>
    <s v="UAY 526V"/>
    <s v="Kabaco U Ltd-Mbarara Tax No.: 1000025425"/>
    <n v="153.6"/>
    <s v="OMZ4IR6RR"/>
    <s v="OM"/>
    <n v="20"/>
    <n v="19"/>
    <n v="-1"/>
    <m/>
    <d v="2025-04-09T09:08:00"/>
    <d v="2025-04-09T06:15:00"/>
    <d v="2025-04-09T09:36:00"/>
    <n v="200.0694444500065"/>
    <n v="27.870370367357584"/>
    <m/>
    <d v="2025-04-08T10:20:00"/>
    <d v="2025-04-08T15:21:00"/>
    <n v="294.72916666301899"/>
    <s v="Waited for empties from trade"/>
    <d v="2025-04-09T20:02:00"/>
    <d v="2025-04-09T20:40:00"/>
    <n v="37.208333331509493"/>
    <m/>
    <n v="0.43472222222044365"/>
    <n v="1"/>
    <n v="0.56527777777955635"/>
    <n v="10.433333333290648"/>
    <n v="0"/>
    <n v="10.433333333290648"/>
    <n v="14.722044728494737"/>
    <m/>
    <m/>
    <m/>
    <m/>
    <m/>
  </r>
  <r>
    <d v="2025-04-09T00:00:00"/>
    <x v="3"/>
    <s v="NBL"/>
    <s v="OM0JKWQRR"/>
    <m/>
    <s v="Mugisha  George"/>
    <s v="UAV 203T"/>
    <s v="Kabaco U Ltd-Mbarara Tax No.: 1000025425"/>
    <n v="153.6"/>
    <s v="OM0JKWQRR"/>
    <s v="OM"/>
    <n v="20"/>
    <n v="19"/>
    <n v="-1"/>
    <m/>
    <d v="2025-04-09T09:39:00"/>
    <d v="2025-04-09T07:42:00"/>
    <d v="2025-04-09T10:05:00"/>
    <n v="142.33796296806153"/>
    <n v="25.879629630556639"/>
    <m/>
    <d v="2025-04-09T10:55:00"/>
    <d v="2025-04-09T16:00:00"/>
    <n v="298.64583333219343"/>
    <s v="Waited for empties from trade"/>
    <d v="2025-04-09T17:01:00"/>
    <d v="2025-04-09T17:53:00"/>
    <n v="50.916666668490507"/>
    <s v="sorting delays"/>
    <n v="0.288888888884685"/>
    <n v="1"/>
    <n v="0.711111111115315"/>
    <n v="6.9333333332324401"/>
    <n v="0"/>
    <n v="6.9333333332324401"/>
    <n v="22.153846154168534"/>
    <m/>
    <m/>
    <m/>
    <m/>
    <m/>
  </r>
  <r>
    <d v="2025-04-09T00:00:00"/>
    <x v="3"/>
    <s v="NBL"/>
    <s v="OMCRG1XRR"/>
    <m/>
    <s v="Kilabila Ismail"/>
    <s v="UBE 419T"/>
    <s v="KATO INVESTMENTS LIMITED-MASAK Tax No.: 1000098824"/>
    <n v="153.6"/>
    <s v="OMCRG1XRR"/>
    <s v="OM"/>
    <n v="596"/>
    <n v="595"/>
    <n v="-1"/>
    <m/>
    <d v="2025-04-08T20:32:00"/>
    <d v="2025-04-09T04:14:00"/>
    <d v="2025-04-08T20:58:00"/>
    <n v="-433.98148147777346"/>
    <n v="25.879629630556639"/>
    <m/>
    <d v="2025-04-09T10:16:00"/>
    <d v="2025-04-09T18:11:00"/>
    <n v="465.10416667464597"/>
    <s v="space consquents"/>
    <d v="2025-04-10T12:32:00"/>
    <d v="2025-04-10T13:24:00"/>
    <n v="50.916666668490507"/>
    <s v="Failed batteries at the gate"/>
    <n v="1.648611111108039"/>
    <n v="2"/>
    <n v="0.35138888889196096"/>
    <n v="39.566666666592937"/>
    <n v="12"/>
    <n v="27.566666666592937"/>
    <n v="5.5719467956618187"/>
    <m/>
    <m/>
    <m/>
    <m/>
    <m/>
  </r>
  <r>
    <d v="2025-04-09T00:00:00"/>
    <x v="3"/>
    <s v="NBL"/>
    <s v="OMC9Q76RR"/>
    <m/>
    <s v="Luyaga Isaac"/>
    <s v="UAY 265V"/>
    <s v="KATO INVESTMENTS LIMITED-MASAK Tax No.: 1000098824"/>
    <n v="153.6"/>
    <s v="OMC9Q76RR"/>
    <s v="OM"/>
    <n v="596"/>
    <n v="595"/>
    <n v="-1"/>
    <m/>
    <d v="2025-04-08T19:43:00"/>
    <d v="2025-04-09T04:14:00"/>
    <d v="2025-04-08T20:37:00"/>
    <n v="-454.8842592611133"/>
    <n v="53.749999997914223"/>
    <s v="stock recon delays"/>
    <d v="2025-04-09T08:51:00"/>
    <d v="2025-04-09T15:03:00"/>
    <n v="364.24999999726424"/>
    <s v="Reached late and offloaded the next day"/>
    <d v="2025-04-10T10:00:00"/>
    <d v="2025-04-10T10:38:00"/>
    <n v="37.208333331509493"/>
    <m/>
    <n v="1.5576388888875954"/>
    <n v="2"/>
    <n v="0.44236111111240461"/>
    <n v="37.383333333302289"/>
    <n v="12"/>
    <n v="25.383333333302289"/>
    <n v="6.0512147078209262"/>
    <m/>
    <m/>
    <m/>
    <m/>
    <m/>
  </r>
  <r>
    <d v="2025-04-10T00:00:00"/>
    <x v="3"/>
    <s v="NBL"/>
    <s v="OMY9837RR"/>
    <m/>
    <s v="ANGELO KYOSIGA "/>
    <s v="UAV 051U"/>
    <s v="Ntale &amp; Sons Tax No.: 1001371381"/>
    <n v="153.6"/>
    <s v="OMY9837RR"/>
    <s v="OM"/>
    <n v="810"/>
    <n v="809"/>
    <n v="-1"/>
    <m/>
    <d v="2025-04-11T06:33:00"/>
    <d v="2025-04-10T16:40:00"/>
    <d v="2025-04-11T07:01:00"/>
    <n v="857.01388888749841"/>
    <n v="27.870370367357584"/>
    <m/>
    <d v="2025-04-11T19:04:00"/>
    <d v="2025-04-12T14:06:00"/>
    <n v="1118.2083333362971"/>
    <s v="Waited for empties from trade"/>
    <d v="2025-04-13T14:20:00"/>
    <d v="2025-04-13T14:58:00"/>
    <n v="37.208333331509493"/>
    <m/>
    <n v="2.304861111108039"/>
    <n v="3"/>
    <n v="0.69513888889196096"/>
    <n v="55.316666666592937"/>
    <n v="24"/>
    <n v="31.316666666592937"/>
    <n v="4.9047365620126113"/>
    <m/>
    <m/>
    <m/>
    <m/>
    <m/>
  </r>
  <r>
    <d v="2025-04-10T00:00:00"/>
    <x v="3"/>
    <s v="NBL"/>
    <s v="OM4BBA2RR"/>
    <m/>
    <s v="Stephen Musoke "/>
    <s v="UBJ 375N"/>
    <s v="Kabaco U Ltd-Mbarara Tax No.: 1000025425"/>
    <n v="153.6"/>
    <s v="OM4BBA2RR"/>
    <s v="OM"/>
    <n v="20"/>
    <n v="19"/>
    <n v="-1"/>
    <m/>
    <d v="2025-04-10T14:13:00"/>
    <d v="2025-04-10T08:00:00"/>
    <d v="2025-04-10T14:39:00"/>
    <n v="397.15277777916828"/>
    <n v="25.879629630556639"/>
    <m/>
    <d v="2025-04-10T19:11:00"/>
    <d v="2025-04-11T14:41:00"/>
    <n v="1145.625"/>
    <s v="Waited for empties from trade"/>
    <d v="2025-04-11T19:33:00"/>
    <d v="2025-04-11T20:13:00"/>
    <n v="39.166666671226267"/>
    <m/>
    <n v="1.2041666666627862"/>
    <n v="1"/>
    <n v="-0.20416666666278616"/>
    <n v="28.899999999906868"/>
    <n v="12"/>
    <n v="16.899999999906868"/>
    <n v="9.0887573964997905"/>
    <m/>
    <m/>
    <m/>
    <m/>
    <m/>
  </r>
  <r>
    <d v="2025-04-10T00:00:00"/>
    <x v="3"/>
    <s v="NBL"/>
    <s v="OMUDJKKRR"/>
    <m/>
    <s v="Kabene John"/>
    <s v="UBA 523T"/>
    <s v="Kabaco U Ltd Tax No.: 1000025425"/>
    <n v="156"/>
    <s v="OMUDJKKRR"/>
    <s v="OM"/>
    <n v="304"/>
    <n v="302"/>
    <n v="-2"/>
    <m/>
    <d v="2025-04-10T12:07:00"/>
    <d v="2025-04-10T08:00:00"/>
    <d v="2025-04-10T12:33:00"/>
    <n v="271.73611111041583"/>
    <n v="25.879629630556639"/>
    <m/>
    <d v="2025-04-11T08:01:00"/>
    <d v="2025-04-11T12:26:00"/>
    <n v="259.47916667122627"/>
    <s v="truck faulty"/>
    <d v="2025-04-11T17:17:00"/>
    <d v="2025-04-11T18:06:00"/>
    <n v="47.979166669174447"/>
    <s v="dj failures at the gate"/>
    <n v="1.1972222222175333"/>
    <n v="2"/>
    <n v="0.80277777778246673"/>
    <n v="28.733333333220799"/>
    <n v="12"/>
    <n v="16.733333333220799"/>
    <n v="9.3227091634093107"/>
    <m/>
    <m/>
    <m/>
    <m/>
    <m/>
  </r>
  <r>
    <d v="2025-04-10T00:00:00"/>
    <x v="3"/>
    <s v="NBL"/>
    <s v="OM3S7MFRR"/>
    <m/>
    <s v="Isaac Tumuhimbise"/>
    <s v="UBE 287X"/>
    <s v="KATO INVESTMENTS LIMITED-MASAK Tax No.: 1000098824"/>
    <n v="153.6"/>
    <s v="OM3S7MFRR"/>
    <s v="OM"/>
    <n v="596"/>
    <n v="595"/>
    <n v="-1"/>
    <m/>
    <d v="2025-04-09T21:43:00"/>
    <d v="2025-04-10T09:00:00"/>
    <d v="2025-04-09T22:11:00"/>
    <n v="-645.99537036944332"/>
    <n v="27.870370367357584"/>
    <m/>
    <d v="2025-04-10T14:22:00"/>
    <d v="2025-04-10T16:28:00"/>
    <n v="123.37500000205182"/>
    <m/>
    <d v="2025-04-11T11:53:00"/>
    <d v="2025-04-11T12:43:00"/>
    <n v="48.958333328773733"/>
    <s v="found another truck waiting to offload"/>
    <n v="1.5708333333313931"/>
    <n v="2"/>
    <n v="0.42916666666860692"/>
    <n v="37.699999999953434"/>
    <n v="12"/>
    <n v="25.699999999953434"/>
    <n v="5.9766536965088832"/>
    <m/>
    <m/>
    <m/>
    <m/>
    <m/>
  </r>
  <r>
    <d v="2025-04-10T00:00:00"/>
    <x v="3"/>
    <s v="NBL"/>
    <s v="OMSM5ZMRR"/>
    <m/>
    <s v="GODWIN  NIWENSIIMA"/>
    <s v="UAR 731Q"/>
    <s v="Kabaco U Ltd Tax No.: 1000025425"/>
    <n v="156"/>
    <s v="OMSM5ZMRR"/>
    <s v="OM"/>
    <n v="304"/>
    <n v="303"/>
    <n v="-1"/>
    <m/>
    <d v="2025-04-09T19:00:00"/>
    <d v="2025-04-10T08:00:00"/>
    <d v="2025-04-09T19:26:00"/>
    <n v="-750.50925926528487"/>
    <n v="25.879629630556639"/>
    <m/>
    <d v="2025-04-10T09:38:00"/>
    <d v="2025-04-10T17:41:00"/>
    <n v="472.93750000273576"/>
    <s v="found another truck to be offloaded"/>
    <d v="2025-04-10T19:49:00"/>
    <d v="2025-04-10T20:39:00"/>
    <n v="48.958333328773733"/>
    <s v="fueling delays"/>
    <n v="1.015972222223354"/>
    <n v="2"/>
    <n v="0.98402777777664596"/>
    <n v="24.383333333360497"/>
    <n v="12"/>
    <n v="12.383333333360497"/>
    <n v="12.597577388936028"/>
    <m/>
    <m/>
    <m/>
    <m/>
    <m/>
  </r>
  <r>
    <d v="2025-04-10T00:00:00"/>
    <x v="3"/>
    <s v="NBL"/>
    <s v="OMBPTEPRR"/>
    <m/>
    <s v="James  Kironde"/>
    <s v="UBK 881R"/>
    <s v="KATO INVESTMENTS LIMITED-MASAK Tax No.: 1000098824"/>
    <n v="153.6"/>
    <s v="OMBPTEPRR"/>
    <s v="OM"/>
    <n v="596"/>
    <n v="595"/>
    <n v="-1"/>
    <m/>
    <d v="2025-04-09T19:33:00"/>
    <d v="2025-04-10T09:00:00"/>
    <d v="2025-04-09T19:59:00"/>
    <n v="-777.38425925902754"/>
    <n v="25.879629630556639"/>
    <m/>
    <d v="2025-04-10T09:41:00"/>
    <d v="2025-04-10T12:39:00"/>
    <n v="174.29166667054233"/>
    <m/>
    <d v="2025-04-10T19:07:00"/>
    <d v="2025-04-10T19:47:00"/>
    <n v="39.166666671226267"/>
    <m/>
    <n v="0.96388888888759539"/>
    <n v="2"/>
    <n v="1.0361111111124046"/>
    <n v="23.133333333302289"/>
    <n v="0"/>
    <n v="23.133333333302289"/>
    <n v="6.639769452458478"/>
    <m/>
    <m/>
    <m/>
    <m/>
    <m/>
  </r>
  <r>
    <d v="2025-04-11T00:00:00"/>
    <x v="3"/>
    <s v="NBL"/>
    <s v="OMEUP5CRR"/>
    <m/>
    <s v="Konge Husein"/>
    <s v="UBJ 707D"/>
    <s v="Ntale &amp; Sons -Kakiri Tax No.: 1001371381"/>
    <n v="156"/>
    <s v="OMEUP5CRR"/>
    <s v="OM"/>
    <n v="620"/>
    <n v="617"/>
    <n v="-3"/>
    <m/>
    <d v="2025-04-11T18:11:00"/>
    <d v="2025-04-11T01:59:00"/>
    <d v="2025-04-11T18:39:00"/>
    <n v="995.37037037152913"/>
    <n v="27.870370367357584"/>
    <m/>
    <d v="2025-04-13T08:33:00"/>
    <d v="2025-04-13T12:36:00"/>
    <n v="237.93750000615546"/>
    <s v="Waited for empties from trade"/>
    <d v="2025-04-15T09:24:00"/>
    <d v="2025-04-15T10:16:00"/>
    <n v="50.916666668490507"/>
    <s v="Failed batteries at the gate"/>
    <n v="3.6145833333357587"/>
    <n v="3"/>
    <n v="-0.61458333333575865"/>
    <n v="86.750000000058208"/>
    <n v="36"/>
    <n v="50.750000000058208"/>
    <n v="3.0738916256122382"/>
    <m/>
    <m/>
    <m/>
    <m/>
    <m/>
  </r>
  <r>
    <d v="2025-04-11T00:00:00"/>
    <x v="3"/>
    <s v="NBL"/>
    <s v="OMFOGCTRR"/>
    <m/>
    <s v="James  Kironde"/>
    <s v="UBK 881R"/>
    <s v="Kato Investment Ltd -Mityana Tax No.: 1000098824"/>
    <n v="156"/>
    <s v="OMFOGCTRR"/>
    <s v="OM"/>
    <n v="690"/>
    <n v="689"/>
    <n v="-1"/>
    <m/>
    <d v="2025-04-11T08:02:00"/>
    <d v="2025-04-10T20:01:00"/>
    <d v="2025-04-11T08:56:00"/>
    <n v="771.41203703819576"/>
    <n v="53.749999997914223"/>
    <s v="DJ failures "/>
    <d v="2025-04-11T18:40:00"/>
    <d v="2025-04-12T15:18:00"/>
    <n v="1212.2083333246701"/>
    <s v="Waited for empties from trade"/>
    <d v="2025-04-14T21:30:00"/>
    <d v="2025-04-14T22:10:00"/>
    <n v="39.166666671226267"/>
    <m/>
    <n v="3.523611111115315"/>
    <n v="3"/>
    <n v="-0.523611111115315"/>
    <n v="84.56666666676756"/>
    <n v="36"/>
    <n v="48.56666666676756"/>
    <n v="3.2120796156419202"/>
    <m/>
    <m/>
    <m/>
    <m/>
    <m/>
  </r>
  <r>
    <d v="2025-04-11T00:00:00"/>
    <x v="3"/>
    <s v="NBL"/>
    <s v="OM9E0QKRR"/>
    <m/>
    <s v="Isaac Tumuhimbise"/>
    <s v="UBE 287X"/>
    <s v="Kabaco U Ltd Tax No.: 1000025425"/>
    <n v="156"/>
    <s v="OM9E0QKRR"/>
    <s v="OM"/>
    <n v="304"/>
    <n v="303"/>
    <n v="-1"/>
    <m/>
    <d v="2025-04-11T13:56:00"/>
    <d v="2025-04-11T02:22:00"/>
    <d v="2025-04-11T14:49:00"/>
    <n v="743.54166666040931"/>
    <n v="52.75462963472819"/>
    <s v="Water top up"/>
    <d v="2025-04-12T09:50:00"/>
    <d v="2025-04-12T13:08:00"/>
    <n v="193.87500000615546"/>
    <s v="truck faulty"/>
    <d v="2025-04-12T19:22:00"/>
    <d v="2025-04-12T20:07:00"/>
    <n v="44.0625"/>
    <m/>
    <n v="1.1895833333328483"/>
    <n v="2"/>
    <n v="0.81041666666715173"/>
    <n v="28.549999999988358"/>
    <n v="12"/>
    <n v="16.549999999988358"/>
    <n v="9.4259818731184133"/>
    <m/>
    <m/>
    <m/>
    <m/>
    <m/>
  </r>
  <r>
    <d v="2025-04-11T00:00:00"/>
    <x v="3"/>
    <s v="NBL"/>
    <s v="OMDYYTVRR"/>
    <m/>
    <s v="Kilabila Ismail"/>
    <s v="UBE 419T"/>
    <s v="KATO INVESTMENTS LTD- KALISIZO Tax No.: 1000098824"/>
    <n v="153.6"/>
    <s v="OMDYYTVRR"/>
    <s v="OM"/>
    <n v="288"/>
    <n v="287"/>
    <n v="-1"/>
    <m/>
    <d v="2025-04-11T06:39:00"/>
    <d v="2025-04-11T03:43:00"/>
    <d v="2025-04-11T07:00:00"/>
    <n v="196.08796295554689"/>
    <n v="20.902777772910969"/>
    <m/>
    <d v="2025-04-11T13:10:00"/>
    <d v="2025-04-11T18:09:00"/>
    <n v="292.77083333356131"/>
    <s v="Reached late and offloaded the next day"/>
    <d v="2025-04-12T14:02:00"/>
    <d v="2025-04-12T14:40:00"/>
    <n v="37.208333331509493"/>
    <m/>
    <n v="1.2930555555576575"/>
    <n v="2"/>
    <n v="0.7069444444423425"/>
    <n v="31.03333333338378"/>
    <n v="12"/>
    <n v="19.03333333338378"/>
    <n v="8.0700525393831644"/>
    <m/>
    <m/>
    <m/>
    <m/>
    <m/>
  </r>
  <r>
    <d v="2025-04-11T00:00:00"/>
    <x v="3"/>
    <s v="NBL"/>
    <s v="OMXXPJNRR"/>
    <m/>
    <s v="Tumusiime Robert"/>
    <s v="UBJ 988D"/>
    <s v="Kabaco U Ltd-Mbarara Tax No.: 1000025425"/>
    <n v="153.6"/>
    <s v="OMXXPJNRR"/>
    <s v="OM"/>
    <n v="20"/>
    <n v="19"/>
    <n v="-1"/>
    <m/>
    <d v="2025-04-11T07:50:00"/>
    <d v="2025-04-11T07:42:00"/>
    <d v="2025-04-11T08:16:00"/>
    <n v="33.842592598618161"/>
    <n v="25.879629630556639"/>
    <m/>
    <d v="2025-04-11T09:16:00"/>
    <d v="2025-04-11T11:16:00"/>
    <n v="117.5000000034197"/>
    <m/>
    <d v="2025-04-11T13:05:00"/>
    <d v="2025-04-11T13:56:00"/>
    <n v="49.93749999863212"/>
    <s v="dj failures at the gate"/>
    <n v="0.20069444444379769"/>
    <n v="1"/>
    <n v="0.79930555555620231"/>
    <n v="4.8166666666511446"/>
    <n v="0"/>
    <n v="4.8166666666511446"/>
    <n v="31.889273356504148"/>
    <m/>
    <m/>
    <m/>
    <m/>
    <m/>
  </r>
  <r>
    <d v="2025-04-11T00:00:00"/>
    <x v="3"/>
    <s v="NBL"/>
    <s v="OMZU2Z9RR"/>
    <m/>
    <s v="Jacob Oneka"/>
    <s v="UBE 422T"/>
    <s v="KATO INVESTMENTS LTD-KATIKARA Tax No.: 1000098824"/>
    <n v="156"/>
    <s v="OMZU2Z9RR"/>
    <s v="OM"/>
    <n v="790"/>
    <n v="789"/>
    <n v="-1"/>
    <m/>
    <d v="2025-04-10T18:03:00"/>
    <d v="2025-04-10T20:00:00"/>
    <d v="2025-04-10T18:45:00"/>
    <n v="-74.652777781254073"/>
    <n v="41.805555556250816"/>
    <s v="network failures"/>
    <d v="2025-04-11T15:12:00"/>
    <d v="2025-04-12T13:53:00"/>
    <n v="1332.645833337665"/>
    <s v="Waited for empties from trade"/>
    <d v="2025-04-13T13:35:00"/>
    <d v="2025-04-13T14:15:00"/>
    <n v="39.166666671226267"/>
    <m/>
    <n v="2.7847222222189885"/>
    <n v="3"/>
    <n v="0.21527777778101154"/>
    <n v="66.833333333255723"/>
    <n v="24"/>
    <n v="42.833333333255723"/>
    <n v="3.6420233463101011"/>
    <m/>
    <m/>
    <m/>
    <m/>
    <m/>
  </r>
  <r>
    <d v="2025-04-11T00:00:00"/>
    <x v="3"/>
    <s v="NBL"/>
    <s v="OMIBKZ2RR"/>
    <m/>
    <s v="Benon Ssempijja"/>
    <s v="UAY 526V"/>
    <s v="KATO INVESTMENTS LIMITED-MASAK Tax No.: 1000098824"/>
    <n v="153.6"/>
    <s v="OMIBKZ2RR"/>
    <s v="OM"/>
    <n v="596"/>
    <n v="593"/>
    <n v="-3"/>
    <m/>
    <d v="2025-04-10T18:47:00"/>
    <d v="2025-04-11T04:14:00"/>
    <d v="2025-04-10T19:37:00"/>
    <n v="-514.60648147985921"/>
    <n v="49.768518513883464"/>
    <s v="stock recon delays"/>
    <d v="2025-04-11T08:43:00"/>
    <d v="2025-04-11T12:55:00"/>
    <n v="246.75000000410364"/>
    <s v="Waited for empties from trade"/>
    <d v="2025-04-12T13:30:00"/>
    <d v="2025-04-12T14:20:00"/>
    <n v="48.958333328773733"/>
    <s v="beer topup delays"/>
    <n v="1.7451388888875954"/>
    <n v="2"/>
    <n v="0.25486111111240461"/>
    <n v="41.883333333302289"/>
    <n v="12"/>
    <n v="29.883333333302289"/>
    <n v="5.1399888455156573"/>
    <m/>
    <m/>
    <m/>
    <m/>
    <m/>
  </r>
  <r>
    <d v="2025-04-12T00:00:00"/>
    <x v="3"/>
    <s v="NBL"/>
    <s v="OMB4NO9RR"/>
    <m/>
    <s v="Kabene John"/>
    <s v="UBA 523T"/>
    <s v="Kabaco U Ltd-Mbarara Tax No.: 1000025425"/>
    <n v="153.6"/>
    <s v="OMB4NO9RR"/>
    <s v="OM"/>
    <n v="20"/>
    <n v="19"/>
    <n v="-1"/>
    <m/>
    <d v="2025-04-12T11:35:00"/>
    <d v="2025-04-12T07:42:00"/>
    <d v="2025-04-12T12:03:00"/>
    <n v="259.79166666875244"/>
    <n v="27.870370367357584"/>
    <m/>
    <d v="2025-04-12T12:33:00"/>
    <d v="2025-04-12T16:59:00"/>
    <n v="260.45833333082555"/>
    <s v="Waited for empties from trade"/>
    <d v="2025-04-12T17:45:00"/>
    <d v="2025-04-12T18:25:00"/>
    <n v="39.166666671226267"/>
    <m/>
    <n v="0.23750000000291038"/>
    <n v="1"/>
    <n v="0.76249999999708962"/>
    <n v="5.7000000000698492"/>
    <n v="0"/>
    <n v="5.7000000000698492"/>
    <n v="26.947368420722412"/>
    <m/>
    <m/>
    <m/>
    <m/>
    <m/>
  </r>
  <r>
    <d v="2025-04-12T00:00:00"/>
    <x v="3"/>
    <s v="NBL"/>
    <s v="OMVC0I5RR"/>
    <m/>
    <s v="Tumusiime Robert"/>
    <s v="UBJ 988D"/>
    <s v="KATO INVESTMENTS LIMITED-MASAK Tax No.: 1000098824"/>
    <n v="153.6"/>
    <s v="OMVC0I5RR"/>
    <s v="OM"/>
    <n v="596"/>
    <n v="595"/>
    <n v="-1"/>
    <m/>
    <d v="2025-04-12T06:36:00"/>
    <d v="2025-04-12T04:14:00"/>
    <d v="2025-04-12T07:30:00"/>
    <n v="195.09259259236083"/>
    <n v="53.749999997914223"/>
    <s v="DJ failures "/>
    <d v="2025-04-12T12:54:00"/>
    <d v="2025-04-13T09:42:00"/>
    <n v="1222.0000000027358"/>
    <s v="truck faulty"/>
    <d v="2025-04-13T15:53:00"/>
    <d v="2025-04-13T16:38:00"/>
    <n v="44.0625"/>
    <m/>
    <n v="1.3493055555591127"/>
    <n v="2"/>
    <n v="0.65069444444088731"/>
    <n v="32.383333333418705"/>
    <n v="12"/>
    <n v="20.383333333418705"/>
    <n v="7.5355682747026984"/>
    <m/>
    <m/>
    <m/>
    <m/>
    <m/>
  </r>
  <r>
    <d v="2025-04-12T00:00:00"/>
    <x v="3"/>
    <s v="NBL"/>
    <s v="OM2JM1BRR"/>
    <m/>
    <s v="Mugisha  George"/>
    <s v="UAV 203T"/>
    <s v="Ntale &amp; Sons -Kakiri Tax No.: 1001371381"/>
    <n v="156"/>
    <s v="OM2JM1BRR"/>
    <s v="OM"/>
    <n v="620"/>
    <n v="619"/>
    <n v="-1"/>
    <m/>
    <d v="2025-04-11T19:23:00"/>
    <d v="2025-04-12T01:59:00"/>
    <d v="2025-04-11T20:02:00"/>
    <n v="-355.34722222291748"/>
    <n v="38.819444445834961"/>
    <s v="Pre-Trip inspection defect closure"/>
    <d v="2025-04-12T18:30:00"/>
    <d v="2025-04-13T08:58:00"/>
    <n v="849.91666666712263"/>
    <s v="Reached late and offloaded the next day"/>
    <d v="2025-04-14T12:33:00"/>
    <d v="2025-04-14T13:11:00"/>
    <n v="37.208333331509493"/>
    <m/>
    <n v="2.6881944444467081"/>
    <n v="3"/>
    <n v="0.31180555555329192"/>
    <n v="64.516666666720994"/>
    <n v="24"/>
    <n v="40.516666666720994"/>
    <n v="3.8502673796739817"/>
    <m/>
    <m/>
    <m/>
    <m/>
    <m/>
  </r>
  <r>
    <d v="2025-04-12T00:00:00"/>
    <x v="3"/>
    <s v="NBL"/>
    <s v="OM36BOPRR"/>
    <m/>
    <s v="Luyaga Isaac"/>
    <s v="UAY 265V"/>
    <s v="Sawan Distributors Ltd-Nabingo Tax No.: 1000186379"/>
    <n v="156"/>
    <s v="OM36BOPRR"/>
    <s v="OM"/>
    <n v="560"/>
    <n v="559"/>
    <n v="-1"/>
    <m/>
    <d v="2025-04-11T19:22:00"/>
    <d v="2025-04-12T02:30:00"/>
    <d v="2025-04-11T19:50:00"/>
    <n v="-398.14814814235433"/>
    <n v="27.870370367357584"/>
    <m/>
    <d v="2025-04-12T13:43:00"/>
    <d v="2025-04-12T17:28:00"/>
    <n v="220.3125"/>
    <s v="Waited for empties from trade"/>
    <d v="2025-04-13T18:23:00"/>
    <d v="2025-04-13T19:14:00"/>
    <n v="49.93749999863212"/>
    <s v="found another truck waiting to offload"/>
    <n v="1.9395833333328483"/>
    <n v="2"/>
    <n v="6.0416666667151731E-2"/>
    <n v="46.549999999988358"/>
    <n v="12"/>
    <n v="34.549999999988358"/>
    <n v="4.515195369031912"/>
    <m/>
    <m/>
    <m/>
    <m/>
    <m/>
  </r>
  <r>
    <d v="2025-04-13T00:00:00"/>
    <x v="3"/>
    <s v="NBL"/>
    <s v="OM6IVKZRR"/>
    <m/>
    <s v="Abel Mark naffa"/>
    <s v="UBJ 415C"/>
    <s v="Kabaco U Ltd-Mbarara Tax No.: 1000025425"/>
    <n v="153.6"/>
    <s v="OM6IVKZRR"/>
    <s v="OM"/>
    <n v="20"/>
    <n v="21"/>
    <n v="1"/>
    <m/>
    <d v="2025-04-13T07:04:00"/>
    <d v="2025-04-13T07:42:00"/>
    <d v="2025-04-13T07:30:00"/>
    <n v="-11.944444441663412"/>
    <n v="25.879629630556639"/>
    <m/>
    <d v="2025-04-13T15:37:00"/>
    <d v="2025-04-13T18:36:00"/>
    <n v="175.27083334040071"/>
    <m/>
    <d v="2025-04-14T08:34:00"/>
    <d v="2025-04-14T09:25:00"/>
    <n v="49.93749999863212"/>
    <s v="fueling delays"/>
    <n v="1.0444444444437977"/>
    <n v="1"/>
    <n v="-4.4444444443797693E-2"/>
    <n v="25.066666666651145"/>
    <n v="12"/>
    <n v="13.066666666651145"/>
    <n v="11.755102040830289"/>
    <m/>
    <m/>
    <m/>
    <m/>
    <m/>
  </r>
  <r>
    <d v="2025-04-13T00:00:00"/>
    <x v="3"/>
    <s v="NBL"/>
    <s v="OMYMRNDRR"/>
    <m/>
    <s v="Stephen Musoke "/>
    <s v="UBJ 375N"/>
    <s v="Kobusinge Steven-FPortal Tax No.: 1000977837"/>
    <n v="156"/>
    <s v="OMYMRNDRR"/>
    <s v="OM"/>
    <n v="304"/>
    <n v="303"/>
    <n v="-1"/>
    <m/>
    <d v="2025-04-12T18:21:00"/>
    <d v="2025-04-12T20:25:00"/>
    <d v="2025-04-12T18:49:00"/>
    <n v="-95.555555554165039"/>
    <n v="27.870370367357584"/>
    <m/>
    <d v="2025-04-13T11:51:00"/>
    <d v="2025-04-14T15:41:00"/>
    <n v="1635.2083333287737"/>
    <s v="truck faulty"/>
    <d v="2025-04-15T10:41:00"/>
    <d v="2025-04-15T11:23:00"/>
    <n v="41.12500000068394"/>
    <m/>
    <n v="2.6611111111124046"/>
    <n v="2"/>
    <n v="-0.66111111111240461"/>
    <n v="63.866666666697711"/>
    <n v="24"/>
    <n v="39.866666666697711"/>
    <n v="3.9130434782578223"/>
    <m/>
    <m/>
    <m/>
    <m/>
    <m/>
  </r>
  <r>
    <d v="2025-04-13T00:00:00"/>
    <x v="3"/>
    <s v="NBL"/>
    <s v="OM006PBRR"/>
    <m/>
    <s v="Kilabila Ismail"/>
    <s v="UBE 419T"/>
    <s v="Kabaco U Ltd Tax No.: 1000025425"/>
    <n v="156"/>
    <s v="OM006PBRR"/>
    <s v="OM"/>
    <n v="304"/>
    <n v="301"/>
    <n v="-3"/>
    <m/>
    <d v="2025-04-12T17:46:00"/>
    <d v="2025-04-13T02:22:00"/>
    <d v="2025-04-12T18:14:00"/>
    <n v="-485.7407407388867"/>
    <n v="27.870370367357584"/>
    <m/>
    <d v="2025-04-13T10:32:00"/>
    <d v="2025-04-13T16:15:00"/>
    <n v="335.85416667396203"/>
    <s v="Reached late and offloaded the next day"/>
    <d v="2025-04-14T12:20:00"/>
    <d v="2025-04-14T13:01:00"/>
    <n v="40.145833330825553"/>
    <m/>
    <n v="1.7541666666656965"/>
    <n v="2"/>
    <n v="0.24583333333430346"/>
    <n v="42.099999999976717"/>
    <n v="12"/>
    <n v="30.099999999976717"/>
    <n v="5.1827242524957029"/>
    <m/>
    <m/>
    <m/>
    <m/>
    <m/>
  </r>
  <r>
    <d v="2025-04-14T00:00:00"/>
    <x v="3"/>
    <s v="NBL"/>
    <s v="OMPHJ0CRR"/>
    <m/>
    <s v="ANGELO KYOSIGA "/>
    <s v="UAV 051U"/>
    <s v="Kato Investment Ltd -Mityana Tax No.: 1000098824"/>
    <n v="156"/>
    <s v="OMPHJ0CRR"/>
    <s v="OM"/>
    <n v="690"/>
    <n v="689"/>
    <n v="-1"/>
    <m/>
    <d v="2025-04-14T15:11:00"/>
    <d v="2025-04-14T19:35:00"/>
    <d v="2025-04-14T15:39:00"/>
    <n v="-234.90740740138185"/>
    <n v="27.870370367357584"/>
    <m/>
    <d v="2025-04-15T08:31:00"/>
    <d v="2025-04-15T15:21:00"/>
    <n v="401.45833332877373"/>
    <s v="Waited for empties from trade"/>
    <d v="2025-04-16T15:44:00"/>
    <d v="2025-04-16T16:26:00"/>
    <n v="41.12500000068394"/>
    <m/>
    <n v="2.0034722222189885"/>
    <n v="3"/>
    <n v="0.99652777778101154"/>
    <n v="48.083333333255723"/>
    <n v="24"/>
    <n v="24.083333333255723"/>
    <n v="6.4775086505399058"/>
    <m/>
    <m/>
    <m/>
    <m/>
    <m/>
  </r>
  <r>
    <d v="2025-04-14T00:00:00"/>
    <x v="3"/>
    <s v="NBL"/>
    <s v="OMULNXXRR"/>
    <m/>
    <s v="Jacob Oneka"/>
    <s v="UBE 422T"/>
    <s v="Ntale &amp; Sons Tax No.: 1001371381"/>
    <n v="153.6"/>
    <s v="OMULNXXRR"/>
    <s v="OM"/>
    <n v="810"/>
    <n v="809"/>
    <n v="-1"/>
    <m/>
    <d v="2025-04-14T08:50:00"/>
    <d v="2025-04-14T16:40:00"/>
    <d v="2025-04-14T09:16:00"/>
    <n v="-441.94444444583496"/>
    <n v="25.879629630556639"/>
    <m/>
    <d v="2025-04-14T19:44:00"/>
    <d v="2025-04-15T17:37:00"/>
    <n v="1285.6458333280898"/>
    <s v="Waited for empties from trade"/>
    <d v="2025-04-16T19:02:00"/>
    <d v="2025-04-16T19:52:00"/>
    <n v="48.958333328773733"/>
    <s v="fueling delays"/>
    <n v="2.4069444444467081"/>
    <n v="3"/>
    <n v="0.59305555555329192"/>
    <n v="57.766666666720994"/>
    <n v="24"/>
    <n v="33.766666666720994"/>
    <n v="4.5488647581368076"/>
    <m/>
    <m/>
    <m/>
    <m/>
    <m/>
  </r>
  <r>
    <d v="2025-04-14T00:00:00"/>
    <x v="3"/>
    <s v="NBL"/>
    <s v="OM5V83IRR"/>
    <m/>
    <s v="Bisaso  Ronald"/>
    <s v="UBK 875R"/>
    <s v="Kabaco U Ltd Tax No.: 1000025425"/>
    <n v="156"/>
    <s v="OM5V83IRR"/>
    <s v="OM"/>
    <n v="304"/>
    <n v="303"/>
    <n v="-1"/>
    <m/>
    <d v="2025-04-13T18:56:00"/>
    <d v="2025-04-14T08:00:00"/>
    <d v="2025-04-13T19:22:00"/>
    <n v="-754.49074074931559"/>
    <n v="25.879629630556639"/>
    <m/>
    <d v="2025-04-14T11:15:00"/>
    <d v="2025-04-14T15:21:00"/>
    <n v="240.87499999521242"/>
    <s v="Waited for empties from trade"/>
    <d v="2025-04-15T10:14:00"/>
    <d v="2025-04-15T10:55:00"/>
    <n v="40.145833330825553"/>
    <m/>
    <n v="1.6194444444481633"/>
    <n v="2"/>
    <n v="0.38055555555183673"/>
    <n v="38.866666666755918"/>
    <n v="12"/>
    <n v="26.866666666755918"/>
    <n v="5.8064516128839365"/>
    <m/>
    <m/>
    <m/>
    <m/>
    <m/>
  </r>
  <r>
    <d v="2025-04-14T00:00:00"/>
    <x v="3"/>
    <s v="NBL"/>
    <s v="OMAI56GRR"/>
    <m/>
    <s v="Benon Ssempijja"/>
    <s v="UAY 526V"/>
    <s v="Rugoma Traders-Rukungiri Tax No.: 1000249350"/>
    <n v="156"/>
    <s v="OMAI56GRR"/>
    <s v="OM"/>
    <n v="256"/>
    <n v="255"/>
    <n v="-1"/>
    <m/>
    <d v="2025-04-13T18:02:00"/>
    <d v="2025-04-14T08:00:00"/>
    <d v="2025-04-13T18:56:00"/>
    <n v="-780.37037036944332"/>
    <n v="53.749999997914223"/>
    <s v="network failures"/>
    <d v="2025-04-14T09:34:00"/>
    <d v="2025-04-14T14:42:00"/>
    <n v="301.58333334176859"/>
    <s v="truck faulty"/>
    <d v="2025-04-14T18:55:00"/>
    <d v="2025-04-14T19:37:00"/>
    <n v="41.12500000068394"/>
    <m/>
    <n v="0.99930555555329192"/>
    <n v="2"/>
    <n v="1.0006944444467081"/>
    <n v="23.983333333279006"/>
    <n v="0"/>
    <n v="23.983333333279006"/>
    <n v="6.5045170257270346"/>
    <m/>
    <m/>
    <m/>
    <m/>
    <m/>
  </r>
  <r>
    <d v="2025-04-14T00:00:00"/>
    <x v="3"/>
    <s v="NBL"/>
    <s v="OMT3S9HRR"/>
    <m/>
    <s v="Kabene John"/>
    <s v="UBA 523T"/>
    <s v="Ntale &amp; Sons Tax No.: 1001371381"/>
    <n v="153.6"/>
    <s v="OMT3S9HRR"/>
    <s v="OM"/>
    <n v="810"/>
    <n v="809"/>
    <n v="-1"/>
    <m/>
    <d v="2025-04-13T18:54:00"/>
    <d v="2025-04-14T16:40:00"/>
    <d v="2025-04-13T19:18:00"/>
    <n v="-1276.0648148131925"/>
    <n v="23.888888893755695"/>
    <m/>
    <d v="2025-04-14T17:53:00"/>
    <d v="2025-04-15T13:00:00"/>
    <n v="1123.1041666650708"/>
    <s v="Reached late and offloaded the next day"/>
    <d v="2025-04-16T14:21:00"/>
    <d v="2025-04-16T15:06:00"/>
    <n v="44.0625"/>
    <m/>
    <n v="2.7937499999970896"/>
    <n v="3"/>
    <n v="0.20625000000291038"/>
    <n v="67.049999999930151"/>
    <n v="24"/>
    <n v="43.049999999930151"/>
    <n v="3.5679442508768688"/>
    <m/>
    <m/>
    <m/>
    <m/>
    <m/>
  </r>
  <r>
    <d v="2025-04-14T00:00:00"/>
    <x v="3"/>
    <s v="NBL"/>
    <s v="OMMUSBERR"/>
    <m/>
    <s v="Isaac Tumuhimbise"/>
    <s v="UBE 287X"/>
    <s v="Kobusinge Steven-FPortal Tax No.: 1000977837"/>
    <n v="156"/>
    <s v="OMMUSBERR"/>
    <s v="OM"/>
    <n v="304"/>
    <n v="307"/>
    <n v="3"/>
    <m/>
    <d v="2025-04-13T18:16:00"/>
    <d v="2025-04-14T20:25:00"/>
    <d v="2025-04-13T18:58:00"/>
    <n v="-1519.9305555562507"/>
    <n v="41.805555556250816"/>
    <s v="Jam at the weigh bridge"/>
    <d v="2025-04-14T15:53:00"/>
    <d v="2025-04-15T11:28:00"/>
    <n v="1150.5208333287737"/>
    <s v="less casuals and offloaded the next day"/>
    <d v="2025-04-16T11:07:00"/>
    <d v="2025-04-16T11:48:00"/>
    <n v="40.145833330825553"/>
    <m/>
    <n v="2.6729166666627862"/>
    <n v="2"/>
    <n v="-0.67291666666278616"/>
    <n v="64.149999999906868"/>
    <n v="24"/>
    <n v="40.149999999906868"/>
    <n v="3.8854296388633092"/>
    <m/>
    <m/>
    <m/>
    <m/>
    <m/>
  </r>
  <r>
    <d v="2025-04-15T00:00:00"/>
    <x v="3"/>
    <s v="NBL"/>
    <s v="OMHQOVMRR"/>
    <m/>
    <s v="Bisaso  Ronald"/>
    <s v="UBK 875R"/>
    <s v="KATO INVESTMENTS LTD- KALISIZO Tax No.: 1000098824"/>
    <n v="153.6"/>
    <s v="OMHQOVMRR"/>
    <s v="OM"/>
    <n v="288"/>
    <n v="287"/>
    <n v="-1"/>
    <m/>
    <d v="2025-04-16T19:35:00"/>
    <d v="2025-04-15T03:43:00"/>
    <d v="2025-04-16T20:01:00"/>
    <n v="2406.8055555479077"/>
    <n v="25.879629630556639"/>
    <m/>
    <d v="2025-04-17T11:48:00"/>
    <d v="2025-04-17T17:27:00"/>
    <n v="331.93749999452848"/>
    <s v="found another truck to be offloaded"/>
    <d v="2025-04-18T13:10:00"/>
    <d v="2025-04-18T14:02:00"/>
    <n v="50.916666668490507"/>
    <s v="found another truck waiting to offload"/>
    <n v="1.7145833333343035"/>
    <n v="2"/>
    <n v="0.28541666666569654"/>
    <n v="41.150000000023283"/>
    <n v="12"/>
    <n v="29.150000000023283"/>
    <n v="5.2692967409906455"/>
    <m/>
    <m/>
    <m/>
    <m/>
    <m/>
  </r>
  <r>
    <d v="2025-04-15T00:00:00"/>
    <x v="3"/>
    <s v="NBL"/>
    <s v="OMY9LNNRR"/>
    <m/>
    <s v="Konge Husein"/>
    <s v="UBJ 707D"/>
    <s v="Rugoma Traders-Kanungu/Kihihi Tax No.: 1000249350"/>
    <n v="153.6"/>
    <s v="OMY9LNNRR"/>
    <s v="OM"/>
    <n v="272"/>
    <n v="271"/>
    <n v="-1"/>
    <m/>
    <d v="2025-04-17T09:27:00"/>
    <d v="2025-04-16T01:59:00"/>
    <d v="2025-04-17T09:53:00"/>
    <n v="1905.1388888937556"/>
    <n v="25.879629630556639"/>
    <m/>
    <d v="2025-04-17T19:32:00"/>
    <d v="2025-04-18T13:19:00"/>
    <n v="1044.7708333328774"/>
    <s v="Waited for empties from trade"/>
    <d v="2025-04-18T19:23:00"/>
    <d v="2025-04-18T20:01:00"/>
    <n v="37.208333331509493"/>
    <m/>
    <n v="1.3958333333284827"/>
    <n v="2"/>
    <n v="0.60416666667151731"/>
    <n v="33.499999999883585"/>
    <n v="12"/>
    <n v="21.499999999883585"/>
    <n v="7.1441860465503106"/>
    <m/>
    <m/>
    <m/>
    <m/>
    <m/>
  </r>
  <r>
    <d v="2025-04-15T00:00:00"/>
    <x v="3"/>
    <s v="NBL"/>
    <s v="OMW92Y7RR"/>
    <m/>
    <s v="Stephen Musoke "/>
    <s v="UBJ 375N"/>
    <s v="Ntale &amp; Sons Tax No.: 1001371381"/>
    <n v="153.6"/>
    <s v="OMW92Y7RR"/>
    <s v="OM"/>
    <n v="810"/>
    <n v="807"/>
    <n v="-3"/>
    <m/>
    <d v="2025-04-15T19:10:00"/>
    <d v="2025-04-14T21:00:00"/>
    <d v="2025-04-15T19:34:00"/>
    <n v="1347.7314814840308"/>
    <n v="23.888888893755695"/>
    <m/>
    <d v="2025-04-16T18:45:00"/>
    <d v="2025-04-17T16:02:00"/>
    <n v="1250.3958333362971"/>
    <s v="Waited for empties from trade"/>
    <d v="2025-04-18T17:52:00"/>
    <d v="2025-04-18T18:41:00"/>
    <n v="47.979166669174447"/>
    <s v="sorting delays"/>
    <n v="2.929166666661331"/>
    <n v="3"/>
    <n v="7.0833333338669036E-2"/>
    <n v="70.299999999871943"/>
    <n v="24"/>
    <n v="46.299999999871943"/>
    <n v="3.3174946004411408"/>
    <m/>
    <m/>
    <m/>
    <m/>
    <m/>
  </r>
  <r>
    <d v="2025-04-15T00:00:00"/>
    <x v="3"/>
    <s v="NBL"/>
    <s v="OMK7BMWRR"/>
    <m/>
    <s v="Isaac Tumuhimbise"/>
    <s v="UBE 287X"/>
    <s v="Rugoma Traders-Kanungu/Kihihi Tax No.: 1000249350"/>
    <n v="153.6"/>
    <s v="OMK7BMWRR"/>
    <s v="OM"/>
    <n v="272"/>
    <n v="271"/>
    <n v="-1"/>
    <m/>
    <d v="2025-04-16T15:29:00"/>
    <d v="2025-04-16T01:59:00"/>
    <d v="2025-04-16T16:19:00"/>
    <n v="856.01851851388346"/>
    <n v="49.768518513883464"/>
    <s v="DJ failures "/>
    <d v="2025-04-17T10:12:00"/>
    <d v="2025-04-17T14:55:00"/>
    <n v="277.10416666712263"/>
    <s v="space consquents"/>
    <d v="2025-04-18T09:13:00"/>
    <d v="2025-04-18T09:54:00"/>
    <n v="40.145833330825553"/>
    <m/>
    <n v="1.7041666666700621"/>
    <n v="2"/>
    <n v="0.29583333332993789"/>
    <n v="40.900000000081491"/>
    <n v="12"/>
    <n v="28.900000000081491"/>
    <n v="5.3148788927185775"/>
    <m/>
    <m/>
    <m/>
    <m/>
    <m/>
  </r>
  <r>
    <d v="2025-04-15T00:00:00"/>
    <x v="3"/>
    <s v="NBL"/>
    <s v="OMQ88K5RR"/>
    <m/>
    <s v="Abel Mark naffa"/>
    <s v="UBJ 415C"/>
    <s v="KATO INVESTMENTS LTD- KALISIZO Tax No.: 1000098824"/>
    <n v="153.6"/>
    <s v="OMQ88K5RR"/>
    <s v="OM"/>
    <n v="288"/>
    <n v="286"/>
    <n v="-2"/>
    <m/>
    <d v="2025-04-15T11:37:00"/>
    <d v="2025-04-15T03:43:00"/>
    <d v="2025-04-15T12:01:00"/>
    <n v="495.69444444374921"/>
    <n v="23.888888893755695"/>
    <m/>
    <d v="2025-04-16T12:59:00"/>
    <d v="2025-04-16T15:08:00"/>
    <n v="126.31250000136788"/>
    <m/>
    <d v="2025-04-16T18:12:00"/>
    <d v="2025-04-16T18:54:00"/>
    <n v="41.12500000068394"/>
    <m/>
    <n v="1.257638888884685"/>
    <n v="2"/>
    <n v="0.742361111115315"/>
    <n v="30.18333333323244"/>
    <n v="12"/>
    <n v="18.18333333323244"/>
    <n v="8.4472960587086483"/>
    <m/>
    <m/>
    <m/>
    <m/>
    <m/>
  </r>
  <r>
    <d v="2025-04-15T00:00:00"/>
    <x v="3"/>
    <s v="NBL"/>
    <s v="OMS6KKIRR"/>
    <m/>
    <s v="Benon Ssempijja"/>
    <s v="UAY 526V"/>
    <s v="KATO INVESTMENTS LIMITED-MASAK Tax No.: 1000098824"/>
    <n v="153.6"/>
    <s v="OMS6KKIRR"/>
    <s v="OM"/>
    <n v="596"/>
    <n v="595"/>
    <n v="-1"/>
    <m/>
    <d v="2025-04-15T11:38:00"/>
    <d v="2025-04-15T04:14:00"/>
    <d v="2025-04-15T12:02:00"/>
    <n v="465.8333333291618"/>
    <n v="23.888888893755695"/>
    <m/>
    <d v="2025-04-15T19:19:00"/>
    <d v="2025-04-16T13:22:00"/>
    <n v="1060.4374999993161"/>
    <s v="Reached late and offloaded the next day"/>
    <d v="2025-04-16T19:26:00"/>
    <d v="2025-04-16T20:18:00"/>
    <n v="50.916666668490507"/>
    <s v="found another truck waiting to offload"/>
    <n v="1.3083333333343035"/>
    <n v="2"/>
    <n v="0.69166666666569654"/>
    <n v="31.400000000023283"/>
    <n v="12"/>
    <n v="19.400000000023283"/>
    <n v="7.917525773186374"/>
    <m/>
    <m/>
    <m/>
    <m/>
    <m/>
  </r>
  <r>
    <d v="2025-04-15T00:00:00"/>
    <x v="3"/>
    <s v="NBL"/>
    <s v="OMQWSBARR"/>
    <m/>
    <s v="James  Kironde"/>
    <s v="UBK 881R"/>
    <s v="KATO INVESTMENTS LIMITED-MASAK Tax No.: 1000098824"/>
    <n v="153.6"/>
    <s v="OMQWSBARR"/>
    <s v="OM"/>
    <n v="596"/>
    <n v="595"/>
    <n v="-1"/>
    <m/>
    <d v="2025-04-15T10:30:00"/>
    <d v="2025-04-15T07:42:00"/>
    <d v="2025-04-15T10:56:00"/>
    <n v="193.10185185555989"/>
    <n v="25.879629630556639"/>
    <m/>
    <d v="2025-04-15T21:36:00"/>
    <d v="2025-04-16T11:34:00"/>
    <n v="820.54166666370293"/>
    <s v="Waited for empties from trade"/>
    <d v="2025-04-16T16:01:00"/>
    <d v="2025-04-16T16:46:00"/>
    <n v="44.0625"/>
    <m/>
    <n v="1.2118055555547471"/>
    <n v="2"/>
    <n v="0.78819444444525288"/>
    <n v="29.083333333313931"/>
    <n v="12"/>
    <n v="17.083333333313931"/>
    <n v="8.9912195122053333"/>
    <m/>
    <m/>
    <m/>
    <m/>
    <m/>
  </r>
  <r>
    <d v="2025-04-15T00:00:00"/>
    <x v="3"/>
    <s v="NBL"/>
    <s v="OMADN1KRR"/>
    <m/>
    <s v="GODWIN  NIWENSIIMA"/>
    <s v="UAR 731Q"/>
    <s v="KATO INVESTMENTS LIMITED-MASAK Tax No.: 1000098824"/>
    <n v="153.6"/>
    <s v="OMADN1KRR"/>
    <s v="OM"/>
    <n v="596"/>
    <n v="595"/>
    <n v="-1"/>
    <m/>
    <d v="2025-04-14T14:19:00"/>
    <d v="2025-04-14T15:00:00"/>
    <d v="2025-04-14T15:13:00"/>
    <n v="12.93981481527832"/>
    <n v="53.749999997914223"/>
    <s v="DJ failures "/>
    <d v="2025-04-15T10:03:00"/>
    <d v="2025-04-15T16:08:00"/>
    <n v="357.39583333903283"/>
    <s v="Waited for empties from trade"/>
    <d v="2025-04-16T12:39:00"/>
    <d v="2025-04-16T13:21:00"/>
    <n v="41.12500000068394"/>
    <m/>
    <n v="1.8930555555562023"/>
    <n v="2"/>
    <n v="0.10694444444379769"/>
    <n v="45.433333333348855"/>
    <n v="12"/>
    <n v="33.433333333348855"/>
    <n v="4.5942173479539985"/>
    <m/>
    <m/>
    <m/>
    <m/>
    <m/>
  </r>
  <r>
    <d v="2025-04-15T00:00:00"/>
    <x v="3"/>
    <s v="NBL"/>
    <s v="OMB5DYDRR"/>
    <m/>
    <s v="Mugisha  George"/>
    <s v="UAV 203T"/>
    <s v="Kato Investment Ltd -Kagadi Tax No.: 1000098824"/>
    <n v="156"/>
    <s v="OMB5DYDRR"/>
    <s v="OM"/>
    <n v="670"/>
    <n v="669"/>
    <n v="-1"/>
    <m/>
    <d v="2025-04-14T16:24:00"/>
    <d v="2025-04-14T17:46:00"/>
    <d v="2025-04-14T17:14:00"/>
    <n v="-31.851851851388346"/>
    <n v="49.768518513883464"/>
    <s v="Water top up"/>
    <d v="2025-04-15T12:03:00"/>
    <d v="2025-04-15T17:23:00"/>
    <n v="313.33333333903283"/>
    <s v="truck faulty"/>
    <d v="2025-04-16T18:39:00"/>
    <d v="2025-04-16T19:21:00"/>
    <n v="41.12500000068394"/>
    <m/>
    <n v="2.0590277777810115"/>
    <n v="2"/>
    <n v="-5.9027777781011537E-2"/>
    <n v="49.416666666744277"/>
    <n v="24"/>
    <n v="25.416666666744277"/>
    <n v="6.1377049180140455"/>
    <m/>
    <m/>
    <m/>
    <m/>
    <m/>
  </r>
  <r>
    <d v="2025-04-15T00:00:00"/>
    <x v="3"/>
    <s v="KESH"/>
    <s v="OM1QSM2RR"/>
    <s v="DJ"/>
    <s v="MUKOSE MUZAMIRU"/>
    <s v="UBJ 417C"/>
    <s v="Kobusinge Acaali- Kyenjojo Tax No.: 1000977837"/>
    <n v="156"/>
    <s v="OM1QSM2RR"/>
    <s v="OM"/>
    <n v="580"/>
    <n v="579"/>
    <n v="-1"/>
    <m/>
    <d v="2025-04-14T22:10:00"/>
    <d v="2025-04-15T03:17:00"/>
    <d v="2025-04-14T22:34:00"/>
    <n v="-281.68981481527834"/>
    <n v="23.888888893755695"/>
    <m/>
    <d v="2025-04-15T10:17:00"/>
    <d v="2025-04-15T15:58:00"/>
    <n v="333.89583333424525"/>
    <s v="Reached late and offloaded the next day"/>
    <d v="2025-04-15T22:20:00"/>
    <d v="2025-04-15T23:01:00"/>
    <n v="40.145833330825553"/>
    <m/>
    <n v="0.99027777777519077"/>
    <n v="2"/>
    <n v="1.0097222222248092"/>
    <n v="23.766666666604578"/>
    <n v="0"/>
    <n v="23.766666666604578"/>
    <n v="6.5638148667773155"/>
    <m/>
    <m/>
    <m/>
    <m/>
    <m/>
  </r>
  <r>
    <d v="2025-04-15T00:00:00"/>
    <x v="3"/>
    <s v="NBL"/>
    <s v="OMRDJTARR"/>
    <m/>
    <s v="Luyaga Isaac"/>
    <s v="UAY 265V"/>
    <s v="Kato Investments Ltd- Kyegegwa Tax No.: 1000098824"/>
    <n v="156"/>
    <s v="OMRDJTARR"/>
    <s v="OM"/>
    <n v="600"/>
    <n v="599"/>
    <n v="-1"/>
    <m/>
    <d v="2025-04-14T12:32:00"/>
    <d v="2025-04-14T20:24:00"/>
    <d v="2025-04-14T12:56:00"/>
    <n v="-445.92592591943685"/>
    <n v="23.888888893755695"/>
    <m/>
    <d v="2025-04-15T07:32:00"/>
    <d v="2025-04-15T11:44:00"/>
    <n v="246.75000000410364"/>
    <s v="found another truck to be offloaded"/>
    <d v="2025-04-16T08:28:00"/>
    <d v="2025-04-16T09:13:00"/>
    <n v="44.0625"/>
    <m/>
    <n v="1.8138888888861402"/>
    <n v="2"/>
    <n v="0.18611111111385981"/>
    <n v="43.533333333267365"/>
    <n v="12"/>
    <n v="31.533333333267365"/>
    <n v="4.9471458773887855"/>
    <m/>
    <m/>
    <m/>
    <m/>
    <m/>
  </r>
  <r>
    <d v="2025-04-15T00:00:00"/>
    <x v="3"/>
    <s v="NBL"/>
    <s v="OMPC74IRR"/>
    <m/>
    <s v="James  Kironde"/>
    <s v="UBK 881R"/>
    <s v="Kabaco U Ltd-Mbarara Tax No.: 1000025425"/>
    <n v="153.6"/>
    <s v="OMPC74IRR"/>
    <s v="OM"/>
    <n v="20"/>
    <n v="18"/>
    <n v="-2"/>
    <m/>
    <d v="2025-04-15T18:33:00"/>
    <d v="2025-04-16T04:14:00"/>
    <d v="2025-04-15T19:26:00"/>
    <n v="-525.55555555833655"/>
    <n v="52.75462963472819"/>
    <s v="network failures"/>
    <d v="2025-04-15T12:27:00"/>
    <d v="2025-04-15T16:26:00"/>
    <n v="234.02083332672191"/>
    <s v="Waited for empties from trade"/>
    <d v="2025-04-15T17:00:00"/>
    <d v="2025-04-15T17:50:00"/>
    <n v="48.958333328773733"/>
    <s v="fueling delays"/>
    <n v="-0.101388888884685"/>
    <n v="1"/>
    <n v="1.101388888884685"/>
    <n v="-2.4333333332324401"/>
    <n v="-12"/>
    <n v="9.5666666667675599"/>
    <n v="16.055749128750531"/>
    <m/>
    <m/>
    <m/>
    <m/>
    <m/>
  </r>
  <r>
    <d v="2025-04-15T00:00:00"/>
    <x v="3"/>
    <s v="NBL"/>
    <s v="OMDHRHTRR"/>
    <m/>
    <s v="Kilabila Ismail"/>
    <s v="UBE 419T"/>
    <s v="Sawan Distributors Ltd-Kayabwe Tax No.: 1000186379"/>
    <n v="156"/>
    <s v="OMDHRHTRR"/>
    <s v="OM"/>
    <n v="382"/>
    <n v="381"/>
    <n v="-1"/>
    <m/>
    <d v="2025-04-14T16:34:00"/>
    <d v="2025-04-15T04:19:00"/>
    <d v="2025-04-14T17:00:00"/>
    <n v="-675.85648147360189"/>
    <n v="25.879629630556639"/>
    <m/>
    <d v="2025-04-15T10:34:00"/>
    <d v="2025-04-15T12:36:00"/>
    <n v="119.45833333287737"/>
    <m/>
    <d v="2025-04-16T11:03:00"/>
    <d v="2025-04-16T11:48:00"/>
    <n v="44.0625"/>
    <m/>
    <n v="1.7520833333328483"/>
    <n v="2"/>
    <n v="0.24791666666715173"/>
    <n v="42.049999999988358"/>
    <n v="12"/>
    <n v="30.049999999988358"/>
    <n v="5.191347753745772"/>
    <m/>
    <m/>
    <m/>
    <m/>
    <m/>
  </r>
  <r>
    <d v="2025-04-15T00:00:00"/>
    <x v="3"/>
    <s v="NBL"/>
    <s v="OMSEDWTRR"/>
    <m/>
    <s v="Bisaso  Ronald"/>
    <s v="UBK 875R"/>
    <s v="RUGOMA TRADERS CO. LTD NTUNGAM Tax No.: 1000249350"/>
    <n v="153.6"/>
    <s v="OMSEDWTRR"/>
    <s v="OM"/>
    <n v="150"/>
    <n v="149"/>
    <n v="-1"/>
    <m/>
    <d v="2025-04-15T17:40:00"/>
    <d v="2025-04-16T06:15:00"/>
    <d v="2025-04-15T18:04:00"/>
    <n v="-727.61574073471513"/>
    <n v="23.888888893755695"/>
    <m/>
    <d v="2025-04-16T09:43:00"/>
    <d v="2025-04-16T14:22:00"/>
    <n v="273.18749999794818"/>
    <s v="Waited for empties from trade"/>
    <d v="2025-04-16T16:49:00"/>
    <d v="2025-04-16T17:30:00"/>
    <n v="40.145833330825553"/>
    <m/>
    <n v="0.94791666666424135"/>
    <n v="1"/>
    <n v="5.2083333335758653E-2"/>
    <n v="22.749999999941792"/>
    <n v="0"/>
    <n v="22.749999999941792"/>
    <n v="6.7516483516656258"/>
    <m/>
    <m/>
    <m/>
    <m/>
    <m/>
  </r>
  <r>
    <d v="2025-04-16T00:00:00"/>
    <x v="3"/>
    <s v="NBL"/>
    <s v="OMVHCQMRR"/>
    <m/>
    <s v="GODWIN  NIWENSIIMA"/>
    <s v="UAR 731Q"/>
    <s v="Kabaco U Ltd Tax No.: 1000025425"/>
    <n v="156"/>
    <s v="OMVHCQMRR"/>
    <s v="OM"/>
    <n v="304"/>
    <n v="301"/>
    <n v="-3"/>
    <m/>
    <d v="2025-04-16T17:05:00"/>
    <d v="2025-04-16T02:22:00"/>
    <d v="2025-04-16T17:32:00"/>
    <n v="905.78703703819576"/>
    <n v="26.87500000417155"/>
    <m/>
    <d v="2025-04-17T12:06:00"/>
    <d v="2025-04-17T16:52:00"/>
    <n v="280.04166666643869"/>
    <s v="truck faulty"/>
    <d v="2025-04-18T11:48:00"/>
    <d v="2025-04-18T12:30:00"/>
    <n v="41.12500000068394"/>
    <m/>
    <n v="1.7611111111109494"/>
    <n v="2"/>
    <n v="0.23888888888905058"/>
    <n v="42.266666666662786"/>
    <n v="12"/>
    <n v="30.266666666662786"/>
    <n v="5.1541850220270922"/>
    <m/>
    <m/>
    <m/>
    <m/>
    <m/>
  </r>
  <r>
    <d v="2025-04-16T00:00:00"/>
    <x v="3"/>
    <s v="NBL"/>
    <s v="OMM41O1RR"/>
    <m/>
    <s v="Kilabila Ismail"/>
    <s v="UBE 419T"/>
    <s v="KATO INVESTMENTS LIMITED-MASAK Tax No.: 1000098824"/>
    <n v="153.6"/>
    <s v="OMM41O1RR"/>
    <s v="OM"/>
    <n v="596"/>
    <n v="595"/>
    <n v="-1"/>
    <m/>
    <d v="2025-04-17T16:48:00"/>
    <d v="2025-04-17T04:14:00"/>
    <d v="2025-04-17T17:14:00"/>
    <n v="776.3888888854126"/>
    <n v="25.879629630556639"/>
    <m/>
    <d v="2025-04-17T21:45:00"/>
    <d v="2025-04-18T13:46:00"/>
    <n v="940.97916666643869"/>
    <s v="Reached late and offloaded the next day"/>
    <d v="2025-04-18T18:29:00"/>
    <d v="2025-04-18T19:11:00"/>
    <n v="41.12500000068394"/>
    <m/>
    <n v="1.0520833333357587"/>
    <n v="2"/>
    <n v="0.94791666666424135"/>
    <n v="25.250000000058208"/>
    <n v="12"/>
    <n v="13.250000000058208"/>
    <n v="11.592452830137752"/>
    <m/>
    <m/>
    <m/>
    <m/>
    <m/>
  </r>
  <r>
    <d v="2025-04-16T00:00:00"/>
    <x v="3"/>
    <s v="NBL"/>
    <s v="OMM3RS8RR"/>
    <m/>
    <s v="Luyaga Isaac"/>
    <s v="UAY 265V"/>
    <s v="KATO INVESTMENTS LIMITED-MASAK Tax No.: 1000098824"/>
    <n v="153.6"/>
    <s v="OMM3RS8RR"/>
    <s v="OM"/>
    <n v="596"/>
    <n v="595"/>
    <n v="-1"/>
    <m/>
    <d v="2025-04-16T16:01:00"/>
    <d v="2025-04-16T04:14:00"/>
    <d v="2025-04-16T16:55:00"/>
    <n v="757.47685184930253"/>
    <n v="53.749999997914223"/>
    <s v="found another truck waiting to be cleared at the gate"/>
    <d v="2025-04-17T11:34:00"/>
    <d v="2025-04-17T13:54:00"/>
    <n v="137.08333333903283"/>
    <m/>
    <d v="2025-04-18T09:21:00"/>
    <d v="2025-04-18T10:03:00"/>
    <n v="41.12500000068394"/>
    <m/>
    <n v="1.6847222222204437"/>
    <n v="2"/>
    <n v="0.31527777777955635"/>
    <n v="40.433333333290648"/>
    <n v="12"/>
    <n v="28.433333333290648"/>
    <n v="5.40211019930471"/>
    <m/>
    <m/>
    <m/>
    <m/>
    <m/>
  </r>
  <r>
    <d v="2025-04-16T00:00:00"/>
    <x v="3"/>
    <s v="NBL"/>
    <s v="OMNJM9ARR"/>
    <m/>
    <s v="Kabene John"/>
    <s v="UBA 523T"/>
    <s v="RUGOMA TRADERS CO. LTD NTUNGAM Tax No.: 1000249350"/>
    <n v="153.6"/>
    <s v="OMNJM9ARR"/>
    <s v="OM"/>
    <n v="150"/>
    <n v="149"/>
    <n v="-1"/>
    <m/>
    <d v="2025-04-16T18:29:00"/>
    <d v="2025-04-16T06:15:00"/>
    <d v="2025-04-16T18:53:00"/>
    <n v="754.49074074931559"/>
    <n v="23.888888893755695"/>
    <m/>
    <d v="2025-04-17T09:35:00"/>
    <d v="2025-04-17T15:11:00"/>
    <n v="329.00000000547152"/>
    <s v="found another truck to be offloaded"/>
    <d v="2025-04-17T17:30:00"/>
    <d v="2025-04-17T18:22:00"/>
    <n v="50.916666668490507"/>
    <s v="empties confirmation delays"/>
    <n v="0.94236111110512866"/>
    <n v="1"/>
    <n v="5.7638888894871343E-2"/>
    <n v="22.616666666523088"/>
    <n v="0"/>
    <n v="22.616666666523088"/>
    <n v="6.7914517318043526"/>
    <m/>
    <m/>
    <m/>
    <m/>
    <m/>
  </r>
  <r>
    <d v="2025-04-16T00:00:00"/>
    <x v="3"/>
    <s v="NBL"/>
    <s v="OMR5MLBRR"/>
    <m/>
    <s v="Kilabila Ismail"/>
    <s v="UBE 419T"/>
    <s v="Kabaco U Ltd-Mbarara Tax No.: 1000025425"/>
    <n v="153.6"/>
    <s v="OMR5MLBRR"/>
    <s v="OM"/>
    <n v="20"/>
    <n v="21"/>
    <n v="1"/>
    <m/>
    <d v="2025-04-16T17:02:00"/>
    <d v="2025-04-16T07:42:00"/>
    <d v="2025-04-16T17:52:00"/>
    <n v="607.17592592360836"/>
    <n v="49.768518513883464"/>
    <s v="pressure balancing"/>
    <d v="2025-04-16T18:39:00"/>
    <d v="2025-04-17T12:23:00"/>
    <n v="1041.8333333335613"/>
    <s v="Waited for empties from trade"/>
    <d v="2025-04-17T13:04:00"/>
    <d v="2025-04-17T13:53:00"/>
    <n v="47.979166669174447"/>
    <s v="found another truck waiting to offload"/>
    <n v="0.80000000000291038"/>
    <n v="1"/>
    <n v="0.19999999999708962"/>
    <n v="19.200000000069849"/>
    <n v="0"/>
    <n v="19.200000000069849"/>
    <n v="7.9999999999708962"/>
    <m/>
    <m/>
    <m/>
    <m/>
    <m/>
  </r>
  <r>
    <d v="2025-04-16T00:00:00"/>
    <x v="3"/>
    <s v="KESH"/>
    <s v="OMG8VA0RR"/>
    <s v="DJ"/>
    <s v="ALLEX TAIMWA"/>
    <s v="UBJ 705D"/>
    <s v="Kato Investment Ltd -Mubende Tax No.: 1000098824"/>
    <n v="156"/>
    <s v="OMG8VA0RR"/>
    <s v="OM"/>
    <n v="680"/>
    <n v="677"/>
    <n v="-3"/>
    <m/>
    <d v="2025-04-16T06:21:00"/>
    <d v="2025-04-15T22:00:00"/>
    <d v="2025-04-16T06:47:00"/>
    <n v="524.56018518472172"/>
    <n v="25.879629630556639"/>
    <m/>
    <d v="2025-04-16T19:42:00"/>
    <d v="2025-04-17T12:38:00"/>
    <n v="994.83333333424525"/>
    <s v="Waited for empties from trade"/>
    <d v="2025-04-18T06:08:00"/>
    <d v="2025-04-18T06:53:00"/>
    <n v="44.0625"/>
    <m/>
    <n v="1.9729166666729725"/>
    <n v="3"/>
    <n v="1.0270833333270275"/>
    <n v="47.35000000015134"/>
    <n v="12"/>
    <n v="35.35000000015134"/>
    <n v="4.4130127298255202"/>
    <m/>
    <m/>
    <m/>
    <m/>
    <m/>
  </r>
  <r>
    <d v="2025-04-16T00:00:00"/>
    <x v="3"/>
    <s v="KESH"/>
    <s v="OM01H1MRR"/>
    <s v="DJ"/>
    <s v="SENTONG DAVID"/>
    <s v="UBP 298H"/>
    <s v="Boniface Harera Tax No.: 1000317747"/>
    <n v="156"/>
    <s v="OM01H1MRR"/>
    <s v="OM"/>
    <n v="448"/>
    <n v="447"/>
    <n v="-1"/>
    <m/>
    <d v="2025-04-15T12:17:00"/>
    <d v="2025-04-16T01:30:00"/>
    <d v="2025-04-15T12:41:00"/>
    <n v="-765.43981481736409"/>
    <n v="23.888888893755695"/>
    <m/>
    <d v="2025-04-16T08:32:00"/>
    <d v="2025-04-16T17:26:00"/>
    <n v="522.87500000136788"/>
    <s v="space consquents"/>
    <d v="2025-04-17T08:20:00"/>
    <d v="2025-04-17T09:02:00"/>
    <n v="41.12500000068394"/>
    <m/>
    <n v="1.8187499999985448"/>
    <n v="2"/>
    <n v="0.18125000000145519"/>
    <n v="43.649999999965075"/>
    <n v="12"/>
    <n v="31.649999999965075"/>
    <n v="4.9289099526120737"/>
    <m/>
    <m/>
    <m/>
    <m/>
    <m/>
  </r>
  <r>
    <d v="2025-04-17T00:00:00"/>
    <x v="3"/>
    <s v="NBL"/>
    <s v="OMGG1SURR"/>
    <m/>
    <s v="Mugisha  George"/>
    <s v="UAV 203T"/>
    <s v="Kato Investment Ltd -Kagadi Tax No.: 1000098824"/>
    <n v="156"/>
    <s v="OMGG1SURR"/>
    <s v="OM"/>
    <n v="670"/>
    <n v="671"/>
    <n v="1"/>
    <m/>
    <d v="2025-04-17T14:10:00"/>
    <d v="2025-04-16T21:00:00"/>
    <d v="2025-04-17T14:36:00"/>
    <n v="1051.1111111062444"/>
    <n v="25.879629630556639"/>
    <m/>
    <d v="2025-04-18T12:03:00"/>
    <d v="2025-04-18T17:47:00"/>
    <n v="336.83333333356131"/>
    <s v="Reached late and offloaded the next day"/>
    <d v="2025-04-21T09:08:00"/>
    <d v="2025-04-21T09:50:00"/>
    <n v="41.12500000068394"/>
    <m/>
    <n v="3.7722222222291748"/>
    <n v="2"/>
    <n v="-1.7722222222291748"/>
    <n v="90.533333333500195"/>
    <n v="36"/>
    <n v="54.533333333500195"/>
    <n v="2.8606356968127629"/>
    <m/>
    <m/>
    <m/>
    <m/>
    <m/>
  </r>
  <r>
    <d v="2025-04-17T00:00:00"/>
    <x v="3"/>
    <s v="NBL"/>
    <s v="OMV8ARVRR"/>
    <m/>
    <s v="Jacob Oneka"/>
    <s v="UBE 422T"/>
    <s v="Rugoma Traders-Kanungu/Kihihi Tax No.: 1000249350"/>
    <n v="153.6"/>
    <s v="OMV8ARVRR"/>
    <s v="OM"/>
    <n v="272"/>
    <n v="271"/>
    <n v="-1"/>
    <m/>
    <d v="2025-04-17T17:13:00"/>
    <d v="2025-04-17T01:59:00"/>
    <d v="2025-04-17T17:52:00"/>
    <n v="948.58796295763261"/>
    <n v="38.819444445834961"/>
    <s v="network failures"/>
    <d v="2025-04-18T10:57:00"/>
    <d v="2025-04-18T17:48:00"/>
    <n v="402.43749999863212"/>
    <s v="Waited for empties from trade"/>
    <d v="2025-04-19T10:52:00"/>
    <d v="2025-04-19T11:34:00"/>
    <n v="41.12500000068394"/>
    <m/>
    <n v="1.7083333333357587"/>
    <n v="2"/>
    <n v="0.29166666666424135"/>
    <n v="41.000000000058208"/>
    <n v="12"/>
    <n v="29.000000000058208"/>
    <n v="5.2965517241272995"/>
    <m/>
    <m/>
    <m/>
    <m/>
    <m/>
  </r>
  <r>
    <d v="2025-04-17T00:00:00"/>
    <x v="3"/>
    <s v="NBL"/>
    <s v="OMWNC5GRR"/>
    <m/>
    <s v="Benon Ssempijja"/>
    <s v="UAY 526V"/>
    <s v="KATO INVESTMENTS LTD- KALISIZO Tax No.: 1000098824"/>
    <n v="153.6"/>
    <s v="OMWNC5GRR"/>
    <s v="OM"/>
    <n v="288"/>
    <n v="286"/>
    <n v="-2"/>
    <m/>
    <d v="2025-04-17T09:33:00"/>
    <d v="2025-04-17T03:43:00"/>
    <d v="2025-04-17T09:57:00"/>
    <n v="372.26851851179771"/>
    <n v="23.888888893755695"/>
    <m/>
    <d v="2025-04-17T14:46:00"/>
    <d v="2025-04-17T21:33:00"/>
    <n v="398.52083333971677"/>
    <s v="Waited for empties from trade"/>
    <d v="2025-04-18T13:24:00"/>
    <d v="2025-04-18T14:02:00"/>
    <n v="37.208333331509493"/>
    <m/>
    <n v="1.1437500000029104"/>
    <n v="2"/>
    <n v="0.85624999999708962"/>
    <n v="27.450000000069849"/>
    <n v="12"/>
    <n v="15.450000000069849"/>
    <n v="9.9417475727705877"/>
    <m/>
    <m/>
    <m/>
    <m/>
    <m/>
  </r>
  <r>
    <d v="2025-04-17T00:00:00"/>
    <x v="3"/>
    <s v="NBL"/>
    <s v="OMZAGCBRR"/>
    <m/>
    <s v="Tumusiime Robert"/>
    <s v="UBJ 988D"/>
    <s v="RUGOMA TRADERS CO. LTD NTUNGAM Tax No.: 1000249350"/>
    <n v="153.6"/>
    <s v="OMZAGCBRR"/>
    <s v="OM"/>
    <n v="150"/>
    <n v="148"/>
    <n v="-2"/>
    <m/>
    <d v="2025-04-17T11:28:00"/>
    <d v="2025-04-17T06:15:00"/>
    <d v="2025-04-17T11:52:00"/>
    <n v="335.43981481319253"/>
    <n v="23.888888893755695"/>
    <m/>
    <d v="2025-04-17T14:01:00"/>
    <d v="2025-04-17T20:09:00"/>
    <n v="360.33333333834889"/>
    <s v="truck faulty"/>
    <d v="2025-04-18T10:32:00"/>
    <d v="2025-04-18T11:14:00"/>
    <n v="41.12500000068394"/>
    <m/>
    <n v="0.94444444444525288"/>
    <n v="1"/>
    <n v="5.5555555554747116E-2"/>
    <n v="22.666666666686069"/>
    <n v="0"/>
    <n v="22.666666666686069"/>
    <n v="6.7764705882294933"/>
    <m/>
    <m/>
    <m/>
    <m/>
    <m/>
  </r>
  <r>
    <d v="2025-04-17T00:00:00"/>
    <x v="3"/>
    <s v="KESH"/>
    <s v="OM2RNADRR"/>
    <s v="DJ"/>
    <s v="MUKOSE MUZAMIRU"/>
    <s v="UBJ 417C"/>
    <s v="Boniface Harera Tax No.: 1000317747"/>
    <n v="156"/>
    <s v="OM2RNADRR"/>
    <s v="OM"/>
    <n v="448"/>
    <n v="447"/>
    <n v="-1"/>
    <m/>
    <d v="2025-04-16T22:13:00"/>
    <d v="2025-04-17T01:30:00"/>
    <d v="2025-04-16T22:37:00"/>
    <n v="-172.19907407222004"/>
    <n v="23.888888893755695"/>
    <m/>
    <d v="2025-04-17T17:04:00"/>
    <d v="2025-04-18T12:53:00"/>
    <n v="1164.2291666760138"/>
    <s v="Reached late and offloaded the next day"/>
    <d v="2025-04-18T20:33:00"/>
    <d v="2025-04-18T21:25:00"/>
    <n v="50.916666668490507"/>
    <s v="dj failures at the gate"/>
    <n v="1.913888888884685"/>
    <n v="2"/>
    <n v="8.6111111115314998E-2"/>
    <n v="45.93333333323244"/>
    <n v="12"/>
    <n v="33.93333333323244"/>
    <n v="4.5972495088545333"/>
    <m/>
    <m/>
    <m/>
    <m/>
    <m/>
  </r>
  <r>
    <d v="2025-04-17T00:00:00"/>
    <x v="3"/>
    <s v="NBL"/>
    <s v="OMBDVRIRR"/>
    <m/>
    <s v="Abel Mark naffa"/>
    <s v="UBJ 415C"/>
    <s v="KATO INVESTMENTS LIMITED-MASAK Tax No.: 1000098824"/>
    <n v="153.6"/>
    <s v="OMBDVRIRR"/>
    <s v="OM"/>
    <n v="596"/>
    <n v="593"/>
    <n v="-3"/>
    <m/>
    <d v="2025-04-16T21:17:00"/>
    <d v="2025-04-17T04:14:00"/>
    <d v="2025-04-16T21:43:00"/>
    <n v="-389.18981481110677"/>
    <n v="25.879629630556639"/>
    <m/>
    <d v="2025-04-17T14:14:00"/>
    <d v="2025-04-17T16:41:00"/>
    <n v="143.93750000752334"/>
    <m/>
    <d v="2025-04-18T07:28:00"/>
    <d v="2025-04-18T08:06:00"/>
    <n v="37.208333331509493"/>
    <m/>
    <n v="1.40625"/>
    <n v="2"/>
    <n v="0.59375"/>
    <n v="33.75"/>
    <n v="12"/>
    <n v="21.75"/>
    <n v="7.0620689655172413"/>
    <m/>
    <m/>
    <m/>
    <m/>
    <m/>
  </r>
  <r>
    <d v="2025-04-18T00:00:00"/>
    <x v="3"/>
    <s v="NBL"/>
    <s v="OM5C607RR"/>
    <m/>
    <s v="ANGELO KYOSIGA "/>
    <s v="UAV 051U"/>
    <s v="KATO INVESTMENTS LTD- KALISIZO Tax No.: 1000098824"/>
    <n v="153.6"/>
    <s v="OM5C607RR"/>
    <s v="OM"/>
    <n v="288"/>
    <n v="287"/>
    <n v="-1"/>
    <m/>
    <d v="2025-04-19T10:15:00"/>
    <d v="2025-04-18T03:43:00"/>
    <d v="2025-04-19T10:43:00"/>
    <n v="1851.3888888854126"/>
    <n v="27.870370367357584"/>
    <m/>
    <d v="2025-04-19T19:53:00"/>
    <d v="2025-04-20T12:10:00"/>
    <n v="956.64583333287737"/>
    <s v="Waited for empties from trade"/>
    <d v="2025-04-20T17:14:00"/>
    <d v="2025-04-20T18:04:00"/>
    <n v="48.958333328773733"/>
    <s v="beer topup delays"/>
    <n v="1.2715277777751908"/>
    <n v="2"/>
    <n v="0.72847222222480923"/>
    <n v="30.516666666604578"/>
    <n v="12"/>
    <n v="18.516666666604578"/>
    <n v="8.2952295229801098"/>
    <m/>
    <m/>
    <m/>
    <m/>
    <m/>
  </r>
  <r>
    <d v="2025-04-18T00:00:00"/>
    <x v="3"/>
    <s v="NBL"/>
    <s v="OMTN5Q3RR"/>
    <m/>
    <s v="Benon Ssempijja"/>
    <s v="UAY 526V"/>
    <s v="Sawan Distributors Ltd-Nabingo Tax No.: 1000186379"/>
    <n v="156"/>
    <s v="OMTN5Q3RR"/>
    <s v="OM"/>
    <n v="560"/>
    <n v="559"/>
    <n v="-1"/>
    <m/>
    <d v="2025-04-19T09:01:00"/>
    <d v="2025-04-18T02:30:00"/>
    <d v="2025-04-19T09:26:00"/>
    <n v="1847.4074074118107"/>
    <n v="24.884259256941732"/>
    <m/>
    <d v="2025-04-18T17:30:00"/>
    <d v="2025-04-18T20:29:00"/>
    <n v="175.27083334040071"/>
    <m/>
    <d v="2025-04-21T18:17:00"/>
    <d v="2025-04-21T18:59:00"/>
    <n v="41.12500000068394"/>
    <m/>
    <n v="2.3687500000014552"/>
    <n v="2"/>
    <n v="-0.36875000000145519"/>
    <n v="56.850000000034925"/>
    <n v="24"/>
    <n v="32.850000000034925"/>
    <n v="4.7488584474835358"/>
    <m/>
    <m/>
    <m/>
    <m/>
    <m/>
  </r>
  <r>
    <d v="2025-04-18T00:00:00"/>
    <x v="3"/>
    <s v="NBL"/>
    <s v="OMEFD9TRR"/>
    <m/>
    <s v="Bisaso  Ronald"/>
    <s v="UBK 875R"/>
    <s v="Ntale &amp; Sons -Kakiri Tax No.: 1001371381"/>
    <n v="156"/>
    <s v="OMEFD9TRR"/>
    <s v="OM"/>
    <n v="620"/>
    <n v="617"/>
    <n v="-3"/>
    <m/>
    <d v="2025-04-19T06:11:00"/>
    <d v="2025-04-18T01:59:00"/>
    <d v="2025-04-19T06:53:00"/>
    <n v="1725.9722222270891"/>
    <n v="41.805555556250816"/>
    <s v="pressure balancing"/>
    <d v="2025-04-19T15:30:00"/>
    <d v="2025-04-19T20:56:00"/>
    <n v="319.20833332740585"/>
    <s v="Reached late and offloaded the next day"/>
    <d v="2025-04-21T20:04:00"/>
    <d v="2025-04-21T20:46:00"/>
    <n v="41.12500000068394"/>
    <m/>
    <n v="2.5493055555489263"/>
    <n v="3"/>
    <n v="0.45069444445107365"/>
    <n v="61.183333333174232"/>
    <n v="24"/>
    <n v="37.183333333174232"/>
    <n v="4.1954280591842448"/>
    <m/>
    <m/>
    <m/>
    <m/>
    <m/>
  </r>
  <r>
    <d v="2025-04-18T00:00:00"/>
    <x v="3"/>
    <s v="KESH"/>
    <s v="OMKDJQPRR"/>
    <s v="DJ"/>
    <s v="ALLEX TAIMWA"/>
    <s v="UBJ 705D"/>
    <s v="Kato Investment Ltd -Mityana Tax No.: 1000098824"/>
    <n v="156"/>
    <s v="OMKDJQPRR"/>
    <s v="OM"/>
    <n v="690"/>
    <n v="688"/>
    <n v="-2"/>
    <m/>
    <d v="2025-04-18T09:18:00"/>
    <d v="2025-04-17T21:00:00"/>
    <d v="2025-04-18T10:12:00"/>
    <n v="788.33333333750488"/>
    <n v="53.749999997914223"/>
    <s v="Water top up"/>
    <d v="2025-04-19T09:49:00"/>
    <d v="2025-04-19T17:38:00"/>
    <n v="459.22916666575475"/>
    <s v="found another truck to be offloaded"/>
    <d v="2025-04-20T17:46:00"/>
    <d v="2025-04-20T18:38:00"/>
    <n v="50.916666668490507"/>
    <s v="found another truck waiting to offload"/>
    <n v="2.3152777777722804"/>
    <n v="3"/>
    <n v="0.68472222222771961"/>
    <n v="55.566666666534729"/>
    <n v="24"/>
    <n v="31.566666666534729"/>
    <n v="4.9419218585211837"/>
    <m/>
    <m/>
    <m/>
    <m/>
    <m/>
  </r>
  <r>
    <d v="2025-04-18T00:00:00"/>
    <x v="3"/>
    <s v="NBL"/>
    <s v="OMWD15ERR"/>
    <m/>
    <s v="Isaac Tumuhimbise"/>
    <s v="UBE 287X"/>
    <s v="KATO INVESTMENTS LTD- KALISIZO Tax No.: 1000098824"/>
    <n v="153.6"/>
    <s v="OMWD15ERR"/>
    <s v="OM"/>
    <n v="288"/>
    <n v="286"/>
    <n v="-2"/>
    <m/>
    <d v="2025-04-18T15:46:00"/>
    <d v="2025-04-18T03:43:00"/>
    <d v="2025-04-18T16:14:00"/>
    <n v="747.52314814444014"/>
    <n v="27.870370367357584"/>
    <m/>
    <d v="2025-04-19T09:58:00"/>
    <d v="2025-04-19T13:27:00"/>
    <n v="204.64583333356131"/>
    <s v="Waited for empties from trade"/>
    <d v="2025-04-20T10:17:00"/>
    <d v="2025-04-20T10:55:00"/>
    <n v="37.208333331509493"/>
    <m/>
    <n v="1.7520833333328483"/>
    <n v="2"/>
    <n v="0.24791666666715173"/>
    <n v="42.049999999988358"/>
    <n v="12"/>
    <n v="30.049999999988358"/>
    <n v="5.1114808652266053"/>
    <m/>
    <m/>
    <m/>
    <m/>
    <m/>
  </r>
  <r>
    <d v="2025-04-18T00:00:00"/>
    <x v="3"/>
    <s v="NBL"/>
    <s v="OMVSA1TRR"/>
    <m/>
    <s v="Abel Mark naffa"/>
    <s v="UBJ 415C"/>
    <s v="Kabaco U Ltd Tax No.: 1000025425"/>
    <n v="156"/>
    <s v="OMVSA1TRR"/>
    <s v="OM"/>
    <n v="304"/>
    <n v="302"/>
    <n v="-2"/>
    <m/>
    <d v="2025-04-18T12:59:00"/>
    <d v="2025-04-18T02:22:00"/>
    <d v="2025-04-18T13:27:00"/>
    <n v="661.92129629513749"/>
    <n v="27.870370367357584"/>
    <m/>
    <d v="2025-04-19T08:11:00"/>
    <d v="2025-04-19T10:58:00"/>
    <n v="163.52083333287737"/>
    <m/>
    <d v="2025-04-19T11:31:00"/>
    <d v="2025-04-19T12:20:00"/>
    <n v="47.979166669174447"/>
    <s v="sorting delays"/>
    <n v="0.91944444444379769"/>
    <n v="2"/>
    <n v="1.0805555555562023"/>
    <n v="22.066666666651145"/>
    <n v="0"/>
    <n v="22.066666666651145"/>
    <n v="7.06948640483881"/>
    <m/>
    <m/>
    <m/>
    <m/>
    <m/>
  </r>
  <r>
    <d v="2025-04-18T00:00:00"/>
    <x v="3"/>
    <s v="NBL"/>
    <s v="OMDLVFYRR"/>
    <m/>
    <s v="Luyaga Isaac"/>
    <s v="UAY 265V"/>
    <s v="KATO INVESTMENTS LIMITED-MASAK Tax No.: 1000098824"/>
    <n v="153.6"/>
    <s v="OMDLVFYRR"/>
    <s v="OM"/>
    <n v="596"/>
    <n v="595"/>
    <n v="-1"/>
    <m/>
    <d v="2025-04-18T14:30:00"/>
    <d v="2025-04-18T04:14:00"/>
    <d v="2025-04-18T14:58:00"/>
    <n v="641.0185185222266"/>
    <n v="27.870370367357584"/>
    <m/>
    <d v="2025-04-18T20:45:00"/>
    <d v="2025-04-18T22:59:00"/>
    <n v="131.20833333014161"/>
    <m/>
    <d v="2025-04-19T07:53:00"/>
    <d v="2025-04-19T08:35:00"/>
    <n v="41.12500000068394"/>
    <m/>
    <n v="0.70486111110949423"/>
    <n v="2"/>
    <n v="1.2951388888905058"/>
    <n v="16.916666666627862"/>
    <n v="0"/>
    <n v="16.916666666627862"/>
    <n v="9.079802955685853"/>
    <m/>
    <m/>
    <m/>
    <m/>
    <m/>
  </r>
  <r>
    <d v="2025-04-18T00:00:00"/>
    <x v="3"/>
    <s v="NBL"/>
    <s v="OMCAO90RR"/>
    <m/>
    <s v="Tumusiime Robert"/>
    <s v="UBJ 988D"/>
    <s v="Kabaco U Ltd-Mbarara Tax No.: 1000025425"/>
    <n v="153.6"/>
    <s v="OMCAO90RR"/>
    <s v="OM"/>
    <n v="20"/>
    <n v="19"/>
    <n v="-1"/>
    <m/>
    <d v="2025-04-18T14:56:00"/>
    <d v="2025-04-18T07:42:00"/>
    <d v="2025-04-18T15:22:00"/>
    <n v="457.87037037152913"/>
    <n v="25.879629630556639"/>
    <m/>
    <d v="2025-04-19T19:34:00"/>
    <d v="2025-04-20T13:39:00"/>
    <n v="1062.3958333287737"/>
    <s v="truck faulty"/>
    <d v="2025-04-21T09:55:00"/>
    <d v="2025-04-21T10:44:00"/>
    <n v="47.979166669174447"/>
    <s v="offloading delays"/>
    <n v="2.7729166666686069"/>
    <n v="1"/>
    <n v="-1.7729166666686069"/>
    <n v="66.550000000046566"/>
    <n v="24"/>
    <n v="42.550000000046566"/>
    <n v="3.6098707403015724"/>
    <m/>
    <m/>
    <m/>
    <m/>
    <m/>
  </r>
  <r>
    <d v="2025-04-18T00:00:00"/>
    <x v="3"/>
    <s v="NBL"/>
    <s v="OMBB5YORR"/>
    <m/>
    <s v="Kabene John"/>
    <s v="UBA 523T"/>
    <s v="RUGOMA TRADERS CO. LTD NTUNGAM Tax No.: 1000249350"/>
    <n v="153.6"/>
    <s v="OMBB5YORR"/>
    <s v="OM"/>
    <n v="150"/>
    <n v="149"/>
    <n v="-1"/>
    <m/>
    <d v="2025-04-18T09:28:00"/>
    <d v="2025-04-18T04:14:00"/>
    <d v="2025-04-18T09:54:00"/>
    <n v="338.42592592360842"/>
    <n v="25.879629630556639"/>
    <m/>
    <d v="2025-04-20T10:53:00"/>
    <d v="2025-04-20T14:59:00"/>
    <n v="240.87499999521242"/>
    <s v="Reached late and offloaded the next day"/>
    <d v="2025-04-19T12:21:00"/>
    <d v="2025-04-19T13:03:00"/>
    <n v="41.12500000068394"/>
    <m/>
    <n v="1.1020833333313931"/>
    <n v="1"/>
    <n v="-0.10208333333139308"/>
    <n v="26.449999999953434"/>
    <n v="12"/>
    <n v="14.449999999953434"/>
    <n v="10.629757785501383"/>
    <m/>
    <m/>
    <m/>
    <m/>
    <m/>
  </r>
  <r>
    <d v="2025-04-18T00:00:00"/>
    <x v="3"/>
    <s v="KESH"/>
    <s v="OM2B6ZERR"/>
    <s v="DJ"/>
    <s v="SENTONG DAVID"/>
    <s v="UBP 298H"/>
    <s v="Kabaco U Ltd Tax No.: 1000025425"/>
    <n v="156"/>
    <s v="OM2B6ZERR"/>
    <s v="OM"/>
    <n v="304"/>
    <n v="303"/>
    <n v="-1"/>
    <m/>
    <d v="2025-04-17T21:27:00"/>
    <d v="2025-04-18T02:22:00"/>
    <d v="2025-04-17T21:55:00"/>
    <n v="-265.76388888958417"/>
    <n v="27.870370367357584"/>
    <m/>
    <d v="2025-04-18T07:58:00"/>
    <d v="2025-04-18T16:54:00"/>
    <n v="524.83333334108465"/>
    <s v="less casuals and offloaded the next day"/>
    <d v="2025-04-19T10:21:00"/>
    <d v="2025-04-19T10:59:00"/>
    <n v="37.208333331509493"/>
    <m/>
    <n v="1.5180555555562023"/>
    <n v="2"/>
    <n v="0.48194444444379769"/>
    <n v="36.433333333348855"/>
    <n v="12"/>
    <n v="24.433333333348855"/>
    <n v="6.3847203274174991"/>
    <m/>
    <m/>
    <m/>
    <m/>
    <m/>
  </r>
  <r>
    <d v="2025-04-18T00:00:00"/>
    <x v="3"/>
    <s v="NBL"/>
    <s v="OMXH4DRRR"/>
    <m/>
    <s v="Benon Ssempijja"/>
    <s v="UAY 526V"/>
    <s v="Kabaco U Ltd-Mbarara Tax No.: 1000025425"/>
    <n v="153.6"/>
    <s v="OMXH4DRRR"/>
    <s v="OM"/>
    <n v="20"/>
    <n v="21"/>
    <n v="1"/>
    <m/>
    <d v="2025-04-18T16:22:00"/>
    <d v="2025-04-19T07:42:00"/>
    <d v="2025-04-18T17:01:00"/>
    <n v="-876.92129629722331"/>
    <n v="38.819444445834961"/>
    <s v="Pre-Trip inspection defect closure"/>
    <d v="2025-04-19T16:35:00"/>
    <d v="2025-04-19T19:57:00"/>
    <n v="197.79166667532991"/>
    <s v="found another truck to be offloaded"/>
    <d v="2025-04-18T20:58:00"/>
    <d v="2025-04-18T21:47:00"/>
    <n v="47.979166669174447"/>
    <s v="found another truck waiting to offload"/>
    <n v="0.16458333333866904"/>
    <n v="1"/>
    <n v="0.83541666666133096"/>
    <n v="3.9500000001280569"/>
    <n v="0"/>
    <n v="3.9500000001280569"/>
    <n v="38.886075948106424"/>
    <m/>
    <m/>
    <m/>
    <m/>
    <m/>
  </r>
  <r>
    <d v="2025-04-18T00:00:00"/>
    <x v="3"/>
    <s v="NBL"/>
    <s v="OMRSQ20RR"/>
    <m/>
    <s v="Bisaso  Ronald"/>
    <s v="UBK 875R"/>
    <s v="Kabaco U Ltd-Mbarara Tax No.: 1000025425"/>
    <n v="153.6"/>
    <s v="OMRSQ20RR"/>
    <s v="OM"/>
    <n v="20"/>
    <n v="18"/>
    <n v="-2"/>
    <m/>
    <d v="2025-04-18T15:57:00"/>
    <d v="2025-04-19T07:42:00"/>
    <d v="2025-04-18T16:23:00"/>
    <n v="-914.74537036944332"/>
    <n v="25.879629630556639"/>
    <m/>
    <d v="2025-04-18T16:54:00"/>
    <d v="2025-04-18T18:47:00"/>
    <n v="110.64583332467009"/>
    <m/>
    <d v="2025-04-18T19:14:00"/>
    <d v="2025-04-18T19:59:00"/>
    <n v="44.0625"/>
    <m/>
    <n v="0.11875000000145519"/>
    <n v="1"/>
    <n v="0.88124999999854481"/>
    <n v="2.8500000000349246"/>
    <n v="0"/>
    <n v="2.8500000000349246"/>
    <n v="53.894736841444825"/>
    <m/>
    <m/>
    <m/>
    <m/>
    <m/>
  </r>
  <r>
    <d v="2025-04-19T00:00:00"/>
    <x v="3"/>
    <s v="NBL"/>
    <s v="OM5UP8WRR"/>
    <m/>
    <s v="Kabene John"/>
    <s v="UBA 523T"/>
    <s v="KATO INVESTMENTS LIMITED-MASAK Tax No.: 1000098824"/>
    <n v="153.6"/>
    <s v="OM5UP8WRR"/>
    <s v="OM"/>
    <n v="596"/>
    <n v="595"/>
    <n v="-1"/>
    <m/>
    <d v="2025-04-19T18:04:00"/>
    <d v="2025-04-19T10:00:00"/>
    <d v="2025-04-19T18:42:00"/>
    <n v="519.58333333750488"/>
    <n v="37.82407407222005"/>
    <s v="pressure balancing"/>
    <d v="2025-04-18T14:49:00"/>
    <d v="2025-04-18T18:47:00"/>
    <n v="233.04166666712263"/>
    <s v="Waited for empties from trade"/>
    <d v="2025-04-20T17:12:00"/>
    <d v="2025-04-20T17:54:00"/>
    <n v="41.12500000068394"/>
    <m/>
    <n v="0.9375"/>
    <n v="2"/>
    <n v="1.0625"/>
    <n v="22.5"/>
    <n v="0"/>
    <n v="22.5"/>
    <n v="6.8266666666666662"/>
    <m/>
    <m/>
    <m/>
    <m/>
    <m/>
  </r>
  <r>
    <d v="2025-04-19T00:00:00"/>
    <x v="3"/>
    <s v="NBL"/>
    <s v="OM7TJ2URR"/>
    <m/>
    <s v="Konge Husein"/>
    <s v="UBJ 707D"/>
    <s v="KATO INVESTMENTS LIMITED-MASAK Tax No.: 1000098824"/>
    <n v="153.6"/>
    <s v="OM7TJ2URR"/>
    <s v="OM"/>
    <n v="596"/>
    <n v="593"/>
    <n v="-3"/>
    <m/>
    <d v="2025-04-19T06:18:00"/>
    <d v="2025-04-19T10:00:00"/>
    <d v="2025-04-19T06:57:00"/>
    <n v="-182.15277777708252"/>
    <n v="38.819444445834961"/>
    <s v="pressure balancing"/>
    <d v="2025-04-19T16:05:00"/>
    <d v="2025-04-20T11:51:00"/>
    <n v="1161.2916666664387"/>
    <s v="space consquents"/>
    <d v="2025-04-21T16:35:00"/>
    <d v="2025-04-21T17:16:00"/>
    <n v="40.145833330825553"/>
    <m/>
    <n v="2.4013888888875954"/>
    <n v="2"/>
    <n v="-0.40138888888759539"/>
    <n v="57.633333333302289"/>
    <n v="24"/>
    <n v="33.633333333302289"/>
    <n v="4.5668979187356324"/>
    <m/>
    <m/>
    <m/>
    <m/>
    <m/>
  </r>
  <r>
    <d v="2025-04-19T00:00:00"/>
    <x v="3"/>
    <s v="KESH"/>
    <s v="OM6PID7RR"/>
    <s v="DJ"/>
    <s v="ZIWA ABASI"/>
    <s v="UBJ 420C"/>
    <s v="Kato Investment Ltd -Kagadi Tax No.: 1000098824"/>
    <n v="156"/>
    <s v="OM6PID7RR"/>
    <s v="OM"/>
    <n v="670"/>
    <n v="669"/>
    <n v="-1"/>
    <m/>
    <d v="2025-04-18T16:49:00"/>
    <d v="2025-04-18T22:00:00"/>
    <d v="2025-04-18T17:27:00"/>
    <n v="-271.73611111041583"/>
    <n v="37.82407407222005"/>
    <s v="Water top up"/>
    <d v="2025-04-19T14:53:00"/>
    <d v="2025-04-19T20:05:00"/>
    <n v="305.50000000068394"/>
    <s v="Reached late and offloaded the next day"/>
    <d v="2025-04-20T17:31:00"/>
    <d v="2025-04-20T18:16:00"/>
    <n v="44.0625"/>
    <m/>
    <n v="2.0027777777795563"/>
    <n v="2"/>
    <n v="-2.7777777795563452E-3"/>
    <n v="48.066666666709352"/>
    <n v="24"/>
    <n v="24.066666666709352"/>
    <n v="6.4819944598222987"/>
    <m/>
    <m/>
    <m/>
    <m/>
    <m/>
  </r>
  <r>
    <d v="2025-04-19T00:00:00"/>
    <x v="3"/>
    <s v="NBL"/>
    <s v="OMB7MRURR"/>
    <m/>
    <s v="Jacob Oneka"/>
    <s v="UBE 422T"/>
    <s v="Boniface Harera Tax No.: 1000317747"/>
    <n v="156"/>
    <s v="OMB7MRURR"/>
    <s v="OM"/>
    <n v="448"/>
    <n v="446"/>
    <n v="-2"/>
    <m/>
    <d v="2025-04-19T17:55:00"/>
    <d v="2025-04-20T01:30:00"/>
    <d v="2025-04-19T18:23:00"/>
    <n v="-425.0231481465259"/>
    <n v="27.870370367357584"/>
    <m/>
    <d v="2025-04-24T15:23:00"/>
    <d v="2025-04-25T16:40:00"/>
    <n v="1485.3958333328774"/>
    <s v="Waited for empties from trade"/>
    <d v="2025-04-26T10:24:00"/>
    <d v="2025-04-26T11:14:00"/>
    <n v="48.958333328773733"/>
    <s v="fueling delays"/>
    <n v="6.6673611111109494"/>
    <n v="2"/>
    <n v="-4.6673611111109494"/>
    <n v="160.01666666666279"/>
    <n v="72"/>
    <n v="88.016666666662786"/>
    <n v="1.7723915925014984"/>
    <m/>
    <m/>
    <m/>
    <m/>
    <m/>
  </r>
  <r>
    <d v="2025-04-19T00:00:00"/>
    <x v="3"/>
    <s v="NBL"/>
    <s v="OMVZBUHRR"/>
    <m/>
    <s v="Stephen Musoke "/>
    <s v="UBJ 375N"/>
    <s v="Rugoma Traders-Kanungu/Kihihi Tax No.: 1000249350"/>
    <n v="153.6"/>
    <s v="OMVZBUHRR"/>
    <s v="OM"/>
    <n v="272"/>
    <n v="270"/>
    <n v="-2"/>
    <m/>
    <d v="2025-04-19T08:20:00"/>
    <d v="2025-04-20T01:59:00"/>
    <d v="2025-04-19T08:48:00"/>
    <n v="-1026.2268518493026"/>
    <n v="27.870370367357584"/>
    <m/>
    <d v="2025-04-19T17:14:00"/>
    <d v="2025-04-20T13:22:00"/>
    <n v="1182.8333333315095"/>
    <s v="Reached late and offloaded the next day"/>
    <d v="2025-04-20T18:44:00"/>
    <d v="2025-04-20T19:22:00"/>
    <n v="37.208333331509493"/>
    <m/>
    <n v="1.413888888884685"/>
    <n v="2"/>
    <n v="0.586111111115315"/>
    <n v="33.93333333323244"/>
    <n v="12"/>
    <n v="21.93333333323244"/>
    <n v="7.003039513710025"/>
    <m/>
    <m/>
    <m/>
    <m/>
    <m/>
  </r>
  <r>
    <d v="2025-04-20T00:00:00"/>
    <x v="3"/>
    <s v="NBL"/>
    <s v="OMF3MAWRR"/>
    <m/>
    <s v="Konge Husein"/>
    <s v="UBJ 707D"/>
    <s v="Kato Investments Ltd-Bulenga Tax No.: 1000098824"/>
    <n v="156"/>
    <s v="OMF3MAWRR"/>
    <s v="OM"/>
    <n v="514"/>
    <n v="513"/>
    <n v="-1"/>
    <m/>
    <d v="2025-04-22T06:55:00"/>
    <d v="2025-04-20T20:13:00"/>
    <d v="2025-04-22T07:23:00"/>
    <n v="2100.2314814756878"/>
    <n v="27.870370367357584"/>
    <m/>
    <d v="2025-04-22T17:40:00"/>
    <d v="2025-04-23T15:08:00"/>
    <n v="1261.166666673962"/>
    <s v="Waited for empties from trade"/>
    <d v="2025-04-24T10:36:00"/>
    <d v="2025-04-24T11:17:00"/>
    <n v="40.145833330825553"/>
    <m/>
    <n v="2.1340277777781012"/>
    <n v="3"/>
    <n v="0.86597222222189885"/>
    <n v="51.216666666674428"/>
    <n v="24"/>
    <n v="27.216666666674428"/>
    <n v="5.7317819963241465"/>
    <m/>
    <m/>
    <m/>
    <m/>
    <m/>
  </r>
  <r>
    <d v="2025-04-20T00:00:00"/>
    <x v="3"/>
    <s v="NBL"/>
    <s v="OMZ0XTFRR"/>
    <m/>
    <s v="Isaac Tumuhimbise"/>
    <s v="UBE 287X"/>
    <s v="KATO INVESTMENTS LIMITED-MASAK Tax No.: 1000098824"/>
    <n v="153.6"/>
    <s v="OMZ0XTFRR"/>
    <s v="OM"/>
    <n v="596"/>
    <n v="593"/>
    <n v="-3"/>
    <m/>
    <d v="2025-04-20T15:33:00"/>
    <d v="2025-04-20T10:00:00"/>
    <d v="2025-04-20T16:15:00"/>
    <n v="373.26388889584149"/>
    <n v="41.805555556250816"/>
    <s v="stock recon delays"/>
    <d v="2025-04-21T12:42:00"/>
    <d v="2025-04-21T15:57:00"/>
    <n v="190.9374999965803"/>
    <s v="Waited for empties from trade"/>
    <d v="2025-04-22T10:17:00"/>
    <d v="2025-04-22T10:59:00"/>
    <n v="41.12500000068394"/>
    <m/>
    <n v="1.7513888888861402"/>
    <n v="2"/>
    <n v="0.24861111111385981"/>
    <n v="42.033333333267365"/>
    <n v="12"/>
    <n v="30.033333333267365"/>
    <n v="5.1143174250944741"/>
    <m/>
    <m/>
    <m/>
    <m/>
    <m/>
  </r>
  <r>
    <d v="2025-04-20T00:00:00"/>
    <x v="3"/>
    <s v="NBL"/>
    <s v="OM54FOHRR"/>
    <m/>
    <s v="Luyaga Isaac"/>
    <s v="UAY 265V"/>
    <s v="Kabaco U Ltd-Mbarara Tax No.: 1000025425"/>
    <n v="153.6"/>
    <s v="OM54FOHRR"/>
    <s v="OM"/>
    <n v="20"/>
    <n v="19"/>
    <n v="-1"/>
    <m/>
    <d v="2025-04-20T10:26:00"/>
    <d v="2025-04-20T08:00:00"/>
    <d v="2025-04-20T11:08:00"/>
    <n v="187.12962962429933"/>
    <n v="41.805555556250816"/>
    <s v="Jam at the weigh bridge"/>
    <d v="2025-04-20T11:35:00"/>
    <d v="2025-04-20T13:31:00"/>
    <n v="113.58333333424525"/>
    <m/>
    <d v="2025-04-20T14:05:00"/>
    <d v="2025-04-20T14:47:00"/>
    <n v="41.12500000068394"/>
    <m/>
    <n v="0.12291666666715173"/>
    <n v="1"/>
    <n v="0.87708333333284827"/>
    <n v="2.9500000000116415"/>
    <n v="0"/>
    <n v="2.9500000000116415"/>
    <n v="52.067796609964013"/>
    <m/>
    <m/>
    <m/>
    <m/>
    <m/>
  </r>
  <r>
    <d v="2025-04-20T00:00:00"/>
    <x v="3"/>
    <s v="NBL"/>
    <s v="OMDI5BMRR"/>
    <m/>
    <s v="Luyaga Isaac"/>
    <s v="UAY 265V"/>
    <s v="Ntale &amp; Sons Tax No.: 1001371381"/>
    <n v="153.6"/>
    <s v="OMDI5BMRR"/>
    <s v="OM"/>
    <n v="810"/>
    <n v="809"/>
    <n v="-1"/>
    <m/>
    <d v="2025-04-20T17:29:00"/>
    <d v="2025-04-20T16:40:00"/>
    <d v="2025-04-20T17:56:00"/>
    <n v="75.6481481444401"/>
    <n v="26.87500000417155"/>
    <m/>
    <d v="2025-04-22T09:28:00"/>
    <d v="2025-04-22T18:24:00"/>
    <n v="524.83333334108465"/>
    <s v="Reached late and offloaded the next day"/>
    <d v="2025-04-25T07:17:00"/>
    <d v="2025-04-25T08:07:00"/>
    <n v="48.958333328773733"/>
    <s v="Fork Lift Breakdown"/>
    <n v="4.5562500000014552"/>
    <n v="3"/>
    <n v="-1.5562500000014552"/>
    <n v="109.35000000003492"/>
    <n v="48"/>
    <n v="61.350000000034925"/>
    <n v="2.5036674816611661"/>
    <m/>
    <m/>
    <m/>
    <m/>
    <m/>
  </r>
  <r>
    <d v="2025-04-20T00:00:00"/>
    <x v="3"/>
    <s v="KESH"/>
    <s v="OMUF23RRR"/>
    <s v="DJ"/>
    <s v="MUKOSE MUZAMIRU"/>
    <s v="UBJ 417C"/>
    <s v="Kato Investment Ltd -Mityana Tax No.: 1000098824"/>
    <n v="156"/>
    <s v="OMUF23RRR"/>
    <s v="OM"/>
    <n v="690"/>
    <n v="689"/>
    <n v="-1"/>
    <m/>
    <d v="2025-04-19T16:03:00"/>
    <d v="2025-04-19T19:35:00"/>
    <d v="2025-04-19T16:31:00"/>
    <n v="-183.14814814026855"/>
    <n v="27.870370367357584"/>
    <m/>
    <d v="2025-04-20T11:56:00"/>
    <d v="2025-04-20T17:43:00"/>
    <n v="339.77083333287737"/>
    <s v="found another truck to be offloaded"/>
    <d v="2025-04-21T17:20:00"/>
    <d v="2025-04-21T18:01:00"/>
    <n v="40.145833330825553"/>
    <m/>
    <n v="2.0340277777722804"/>
    <n v="3"/>
    <n v="0.96597222222771961"/>
    <n v="48.816666666534729"/>
    <n v="24"/>
    <n v="24.816666666534729"/>
    <n v="6.2860980524175707"/>
    <m/>
    <m/>
    <m/>
    <m/>
    <m/>
  </r>
  <r>
    <d v="2025-04-20T00:00:00"/>
    <x v="3"/>
    <s v="NBL"/>
    <s v="OMLIPECRR"/>
    <m/>
    <s v="Kilabila Ismail"/>
    <s v="UBE 419T"/>
    <s v="Ntale &amp; Sons Tax No.: 1001371381"/>
    <n v="153.6"/>
    <s v="OMLIPECRR"/>
    <s v="OM"/>
    <n v="810"/>
    <n v="809"/>
    <n v="-1"/>
    <m/>
    <d v="2025-04-19T12:05:00"/>
    <d v="2025-04-19T16:40:00"/>
    <d v="2025-04-19T12:31:00"/>
    <n v="-247.84722222708902"/>
    <n v="25.879629630556639"/>
    <m/>
    <d v="2025-04-20T08:56:00"/>
    <d v="2025-04-20T15:27:00"/>
    <n v="382.85416667327809"/>
    <s v="Waited for empties from trade"/>
    <d v="2025-04-21T18:11:00"/>
    <d v="2025-04-21T18:52:00"/>
    <n v="40.145833330825553"/>
    <m/>
    <n v="2.2361111111167702"/>
    <n v="3"/>
    <n v="0.76388888888322981"/>
    <n v="53.666666666802485"/>
    <n v="24"/>
    <n v="29.666666666802485"/>
    <n v="5.1775280898639364"/>
    <m/>
    <m/>
    <m/>
    <m/>
    <m/>
  </r>
  <r>
    <d v="2025-04-20T00:00:00"/>
    <x v="3"/>
    <s v="NBL"/>
    <s v="OM5O3XSRR"/>
    <m/>
    <s v="Abel Mark naffa"/>
    <s v="UBJ 415C"/>
    <s v="KATO INVESTMENTS LIMITED-MASAK Tax No.: 1000098824"/>
    <n v="153.6"/>
    <s v="OM5O3XSRR"/>
    <s v="OM"/>
    <n v="596"/>
    <n v="595"/>
    <n v="-1"/>
    <m/>
    <d v="2025-04-19T18:32:00"/>
    <d v="2025-04-20T10:00:00"/>
    <d v="2025-04-19T19:22:00"/>
    <n v="-873.93518518680742"/>
    <n v="49.768518513883464"/>
    <s v="pressure balancing"/>
    <d v="2025-04-20T13:39:00"/>
    <d v="2025-04-20T17:07:00"/>
    <n v="203.66666666370293"/>
    <m/>
    <d v="2025-04-22T13:25:00"/>
    <d v="2025-04-22T14:03:00"/>
    <n v="37.208333331509493"/>
    <m/>
    <n v="2.7520833333401242"/>
    <n v="2"/>
    <n v="-0.75208333334012423"/>
    <n v="66.050000000162981"/>
    <n v="24"/>
    <n v="42.050000000162981"/>
    <n v="3.6527942924947601"/>
    <m/>
    <m/>
    <m/>
    <m/>
    <m/>
  </r>
  <r>
    <d v="2025-04-21T00:00:00"/>
    <x v="3"/>
    <s v="NBL"/>
    <s v="OMJZ4D6RR"/>
    <m/>
    <s v="ANGELO KYOSIGA "/>
    <s v="UAV 051U"/>
    <s v="Ntale &amp; Sons Tax No.: 1001371381"/>
    <n v="153.6"/>
    <s v="OMJZ4D6RR"/>
    <s v="OM"/>
    <n v="810"/>
    <n v="807"/>
    <n v="-3"/>
    <m/>
    <d v="2025-04-21T20:31:00"/>
    <d v="2025-04-20T20:00:00"/>
    <d v="2025-04-21T21:10:00"/>
    <n v="1503.0092592569417"/>
    <n v="38.819444445834961"/>
    <s v="pressure balancing"/>
    <d v="2025-04-22T19:04:00"/>
    <d v="2025-04-23T15:11:00"/>
    <n v="1181.8541666719102"/>
    <s v="truck faulty"/>
    <d v="2025-04-24T15:11:00"/>
    <d v="2025-04-24T15:53:00"/>
    <n v="41.12500000068394"/>
    <m/>
    <n v="2.7506944444467081"/>
    <n v="3"/>
    <n v="0.24930555555329192"/>
    <n v="66.016666666720994"/>
    <n v="24"/>
    <n v="42.016666666720994"/>
    <n v="3.6556921856358917"/>
    <m/>
    <m/>
    <m/>
    <m/>
    <m/>
  </r>
  <r>
    <d v="2025-04-21T00:00:00"/>
    <x v="3"/>
    <s v="NBL"/>
    <s v="OMQFKRLRR"/>
    <m/>
    <s v="Kabene John"/>
    <s v="UBA 523T"/>
    <s v="KATO INVESTMENTS LTD- KALISIZO Tax No.: 1000098824"/>
    <n v="153.6"/>
    <s v="OMQFKRLRR"/>
    <s v="OM"/>
    <n v="288"/>
    <n v="287"/>
    <n v="-1"/>
    <m/>
    <d v="2025-04-21T15:02:00"/>
    <d v="2025-04-22T03:43:00"/>
    <d v="2025-04-21T15:40:00"/>
    <n v="-719.65277777708252"/>
    <n v="37.82407407222005"/>
    <s v="Water top up"/>
    <d v="2025-04-22T10:47:00"/>
    <d v="2025-04-22T16:28:00"/>
    <n v="333.89583333424525"/>
    <s v="Reached late and offloaded the next day"/>
    <d v="2025-04-23T11:16:00"/>
    <d v="2025-04-23T11:54:00"/>
    <n v="37.208333331509493"/>
    <m/>
    <n v="1.8166666666656965"/>
    <n v="2"/>
    <n v="0.18333333333430346"/>
    <n v="43.599999999976717"/>
    <n v="12"/>
    <n v="31.599999999976717"/>
    <n v="4.8607594936744674"/>
    <m/>
    <m/>
    <m/>
    <m/>
    <m/>
  </r>
  <r>
    <d v="2025-04-21T00:00:00"/>
    <x v="3"/>
    <s v="NBL"/>
    <s v="OMS8SICRR"/>
    <m/>
    <s v="Kabene John"/>
    <s v="UBA 523T"/>
    <s v="Kabaco U Ltd-Mbarara Tax No.: 1000025425"/>
    <n v="153.6"/>
    <s v="OMS8SICRR"/>
    <s v="OM"/>
    <n v="20"/>
    <n v="21"/>
    <n v="1"/>
    <m/>
    <d v="2025-04-20T18:35:00"/>
    <d v="2025-04-21T07:42:00"/>
    <d v="2025-04-20T19:03:00"/>
    <n v="-755.48611111250159"/>
    <n v="27.870370367357584"/>
    <m/>
    <d v="2025-04-20T19:45:00"/>
    <d v="2025-04-21T12:02:00"/>
    <n v="956.64583333287737"/>
    <s v="less casuals and offloaded the next day"/>
    <d v="2025-04-21T12:53:00"/>
    <d v="2025-04-21T13:35:00"/>
    <n v="41.12500000068394"/>
    <m/>
    <n v="0.74305555556202307"/>
    <n v="1"/>
    <n v="0.25694444443797693"/>
    <n v="17.833333333488554"/>
    <n v="0"/>
    <n v="17.833333333488554"/>
    <n v="8.6130841120745654"/>
    <m/>
    <m/>
    <m/>
    <m/>
    <m/>
  </r>
  <r>
    <d v="2025-04-22T00:00:00"/>
    <x v="3"/>
    <s v="NBL"/>
    <s v="OMR4630RR"/>
    <m/>
    <s v="Abel Mark naffa"/>
    <s v="UBJ 415C"/>
    <s v="KATO INVESTMENTS LIMITED-MASAK Tax No.: 1000098824"/>
    <n v="153.6"/>
    <s v="OMR4630RR"/>
    <s v="OM"/>
    <n v="596"/>
    <n v="595"/>
    <n v="-1"/>
    <m/>
    <d v="2025-04-22T19:49:00"/>
    <d v="2025-04-22T04:14:00"/>
    <d v="2025-04-22T20:17:00"/>
    <n v="958.54166666249512"/>
    <n v="27.870370367357584"/>
    <m/>
    <d v="2025-04-23T11:19:00"/>
    <d v="2025-04-23T13:58:00"/>
    <n v="155.68749999452848"/>
    <m/>
    <d v="2025-04-24T10:04:00"/>
    <d v="2025-04-24T10:45:00"/>
    <n v="40.145833330825553"/>
    <m/>
    <n v="1.5743055555576575"/>
    <n v="2"/>
    <n v="0.4256944444423425"/>
    <n v="37.78333333338378"/>
    <n v="12"/>
    <n v="25.78333333338378"/>
    <n v="5.9573367808545363"/>
    <m/>
    <m/>
    <m/>
    <m/>
    <m/>
  </r>
  <r>
    <d v="2025-04-22T00:00:00"/>
    <x v="3"/>
    <s v="NBL"/>
    <s v="OMHQ4ESRR"/>
    <m/>
    <s v="Kilabila Ismail"/>
    <s v="UBE 419T"/>
    <s v="Kabaco U Ltd-Mbarara Tax No.: 1000025425"/>
    <n v="153.6"/>
    <s v="OMHQ4ESRR"/>
    <s v="OM"/>
    <n v="20"/>
    <n v="19"/>
    <n v="-1"/>
    <m/>
    <d v="2025-04-22T12:10:00"/>
    <d v="2025-04-22T08:00:00"/>
    <d v="2025-04-22T12:36:00"/>
    <n v="274.72222222083172"/>
    <n v="25.879629630556639"/>
    <m/>
    <d v="2025-04-22T16:06:00"/>
    <d v="2025-04-22T18:14:00"/>
    <n v="125.33333334176859"/>
    <m/>
    <d v="2025-04-22T16:50:00"/>
    <d v="2025-04-22T17:28:00"/>
    <n v="37.208333331509493"/>
    <m/>
    <n v="0.17638888888905058"/>
    <n v="1"/>
    <n v="0.82361111111094942"/>
    <n v="4.2333333333372138"/>
    <n v="0"/>
    <n v="4.2333333333372138"/>
    <n v="36.283464566895873"/>
    <m/>
    <m/>
    <m/>
    <m/>
    <m/>
  </r>
  <r>
    <d v="2025-04-22T00:00:00"/>
    <x v="3"/>
    <s v="NBL"/>
    <s v="OMK8I03RR"/>
    <m/>
    <s v="Benon Ssempijja"/>
    <s v="UAY 526V"/>
    <s v="KATO INVESTMENTS LIMITED-MASAK Tax No.: 1000098824"/>
    <n v="153.6"/>
    <s v="OMK8I03RR"/>
    <s v="OM"/>
    <n v="596"/>
    <n v="595"/>
    <n v="-1"/>
    <m/>
    <d v="2025-04-22T06:40:00"/>
    <d v="2025-04-22T04:14:00"/>
    <d v="2025-04-22T07:34:00"/>
    <n v="199.07407407639161"/>
    <n v="53.749999997914223"/>
    <s v="stock recon delays"/>
    <d v="2025-04-22T12:13:00"/>
    <d v="2025-04-22T16:49:00"/>
    <n v="270.24999999863212"/>
    <s v="Waited for empties from trade"/>
    <d v="2025-04-23T10:47:00"/>
    <d v="2025-04-23T11:25:00"/>
    <n v="37.208333331509493"/>
    <m/>
    <n v="1.1340277777781012"/>
    <n v="2"/>
    <n v="0.86597222222189885"/>
    <n v="27.216666666674428"/>
    <n v="12"/>
    <n v="15.216666666674428"/>
    <n v="10.094194961659692"/>
    <m/>
    <m/>
    <m/>
    <m/>
    <m/>
  </r>
  <r>
    <d v="2025-04-22T00:00:00"/>
    <x v="3"/>
    <s v="NBL"/>
    <s v="OMZS6CPRR"/>
    <m/>
    <s v="James  Kironde"/>
    <s v="UBK 881R"/>
    <s v="Kabaco U Ltd-Mbarara Tax No.: 1000025425"/>
    <n v="153.6"/>
    <s v="OMZS6CPRR"/>
    <s v="OM"/>
    <n v="20"/>
    <n v="19"/>
    <n v="-1"/>
    <m/>
    <d v="2025-04-21T13:59:00"/>
    <d v="2025-04-21T15:00:00"/>
    <d v="2025-04-21T14:41:00"/>
    <n v="-18.912037036110025"/>
    <n v="41.805555556250816"/>
    <s v="Jam at the weigh bridge"/>
    <d v="2025-04-22T11:45:00"/>
    <d v="2025-04-22T13:29:00"/>
    <n v="101.83333332672191"/>
    <m/>
    <d v="2025-04-22T17:47:00"/>
    <d v="2025-04-22T18:29:00"/>
    <n v="41.12500000068394"/>
    <m/>
    <n v="1.1291666666656965"/>
    <n v="1"/>
    <n v="-0.12916666666569654"/>
    <n v="27.099999999976717"/>
    <n v="12"/>
    <n v="15.099999999976717"/>
    <n v="10.17218543047926"/>
    <m/>
    <m/>
    <m/>
    <m/>
    <m/>
  </r>
  <r>
    <d v="2025-04-22T00:00:00"/>
    <x v="3"/>
    <s v="KESH"/>
    <s v="OMYIAO8RR"/>
    <s v="DJ"/>
    <s v="SENTONG DAVID"/>
    <s v="UBP 298H"/>
    <s v="Kobusinge Steven-FPortal Tax No.: 1000977837"/>
    <n v="156"/>
    <s v="OMYIAO8RR"/>
    <s v="OM"/>
    <n v="304"/>
    <n v="303"/>
    <n v="-1"/>
    <m/>
    <d v="2025-04-22T19:05:00"/>
    <d v="2025-04-22T20:25:00"/>
    <d v="2025-04-22T19:58:00"/>
    <n v="-26.87500000417155"/>
    <n v="52.75462963472819"/>
    <s v="DJ failures "/>
    <d v="2025-04-23T16:11:00"/>
    <d v="2025-04-24T16:23:00"/>
    <n v="1421.7499999972642"/>
    <s v="Reached late and offloaded the next day"/>
    <d v="2025-04-25T07:47:00"/>
    <d v="2025-04-25T08:28:00"/>
    <n v="40.145833330825553"/>
    <m/>
    <n v="2.492361111115315"/>
    <n v="2"/>
    <n v="-0.492361111115315"/>
    <n v="59.81666666676756"/>
    <n v="24"/>
    <n v="35.81666666676756"/>
    <n v="4.3555141926354741"/>
    <m/>
    <m/>
    <m/>
    <m/>
    <m/>
  </r>
  <r>
    <d v="2025-04-22T00:00:00"/>
    <x v="3"/>
    <s v="KESH"/>
    <s v="OMB4KHTRR"/>
    <s v="DJ"/>
    <s v="MUKOSE MUZAMIRU"/>
    <s v="UBJ 417C"/>
    <s v="Kobusinge Acaali- Kyenjojo Tax No.: 1000977837"/>
    <n v="156"/>
    <s v="OMB4KHTRR"/>
    <s v="OM"/>
    <n v="580"/>
    <n v="577"/>
    <n v="-3"/>
    <m/>
    <d v="2025-04-21T20:09:00"/>
    <d v="2025-04-22T03:17:00"/>
    <d v="2025-04-21T20:48:00"/>
    <n v="-387.19907407430583"/>
    <n v="38.819444445834961"/>
    <s v="Pre-Trip inspection defect closure"/>
    <d v="2025-04-22T12:23:00"/>
    <d v="2025-04-22T17:44:00"/>
    <n v="314.31249999863212"/>
    <s v="Waited for empties from trade"/>
    <d v="2025-04-23T08:34:00"/>
    <d v="2025-04-23T09:19:00"/>
    <n v="44.0625"/>
    <m/>
    <n v="1.4902777777751908"/>
    <n v="2"/>
    <n v="0.50972222222480923"/>
    <n v="35.766666666604578"/>
    <n v="12"/>
    <n v="23.766666666604578"/>
    <n v="6.5638148667773155"/>
    <m/>
    <m/>
    <m/>
    <m/>
    <m/>
  </r>
  <r>
    <d v="2025-04-22T00:00:00"/>
    <x v="3"/>
    <s v="KESH"/>
    <s v="OMFTSA9RR"/>
    <s v="DJ"/>
    <s v="ALLEX TAIMWA"/>
    <s v="UBJ 705D"/>
    <s v="Kobusinge Steven-Kamwenge Tax No.: 1000977837"/>
    <n v="156"/>
    <s v="OMFTSA9RR"/>
    <s v="OM"/>
    <n v="228"/>
    <n v="227"/>
    <n v="-1"/>
    <m/>
    <d v="2025-04-21T20:22:00"/>
    <d v="2025-04-22T03:17:00"/>
    <d v="2025-04-21T20:48:00"/>
    <n v="-387.19907407430583"/>
    <n v="25.879629630556639"/>
    <m/>
    <d v="2025-04-22T13:20:00"/>
    <d v="2025-04-22T17:55:00"/>
    <n v="269.27083333903283"/>
    <m/>
    <d v="2025-04-22T18:51:00"/>
    <d v="2025-04-22T19:29:00"/>
    <n v="37.208333331509493"/>
    <m/>
    <n v="0.91874999999708962"/>
    <n v="2"/>
    <n v="1.0812500000029104"/>
    <n v="22.049999999930151"/>
    <n v="0"/>
    <n v="22.049999999930151"/>
    <n v="7.0748299319952004"/>
    <m/>
    <m/>
    <m/>
    <m/>
    <m/>
  </r>
  <r>
    <d v="2025-04-22T00:00:00"/>
    <x v="3"/>
    <s v="NBL"/>
    <s v="OMP86T1RR"/>
    <m/>
    <s v="Mugisha  George"/>
    <s v="UAV 203T"/>
    <s v="KATO INVESTMENTS LTD- KALISIZO Tax No.: 1000098824"/>
    <n v="153.6"/>
    <s v="OMP86T1RR"/>
    <s v="OM"/>
    <n v="288"/>
    <n v="287"/>
    <n v="-1"/>
    <m/>
    <d v="2025-04-21T15:26:00"/>
    <d v="2025-04-22T03:43:00"/>
    <d v="2025-04-21T16:20:00"/>
    <n v="-679.83796296806156"/>
    <n v="53.749999997914223"/>
    <s v="pressure balancing"/>
    <d v="2025-04-22T08:15:00"/>
    <d v="2025-04-22T12:23:00"/>
    <n v="242.83333333492919"/>
    <s v="Waited for empties from trade"/>
    <d v="2025-04-23T09:42:00"/>
    <d v="2025-04-23T10:32:00"/>
    <n v="48.958333328773733"/>
    <s v="found another truck waiting to offload"/>
    <n v="1.7236111111124046"/>
    <n v="2"/>
    <n v="0.27638888888759539"/>
    <n v="41.366666666697711"/>
    <n v="12"/>
    <n v="29.366666666697711"/>
    <n v="5.2304199772929953"/>
    <m/>
    <m/>
    <m/>
    <m/>
    <m/>
  </r>
  <r>
    <d v="2025-04-23T00:00:00"/>
    <x v="3"/>
    <s v="NBL"/>
    <s v="OMNI74URR"/>
    <m/>
    <s v="GODWIN  NIWENSIIMA"/>
    <s v="UAR 731Q"/>
    <s v="KATO INVESTMENTS LIMITED-MASAK Tax No.: 1000098824"/>
    <n v="153.6"/>
    <s v="OMNI74URR"/>
    <s v="OM"/>
    <n v="596"/>
    <n v="595"/>
    <n v="-1"/>
    <m/>
    <d v="2025-04-24T10:23:00"/>
    <d v="2025-04-23T04:14:00"/>
    <d v="2025-04-24T11:02:00"/>
    <n v="1839.4444444437493"/>
    <n v="38.819444445834961"/>
    <s v="pressure balancing"/>
    <d v="2025-04-25T08:11:00"/>
    <d v="2025-04-25T11:51:00"/>
    <n v="215.41666667122627"/>
    <s v="Waited for empties from trade"/>
    <d v="2025-04-25T16:04:00"/>
    <d v="2025-04-25T16:44:00"/>
    <n v="39.166666671226267"/>
    <m/>
    <n v="1.2097222222218988"/>
    <n v="2"/>
    <n v="0.79027777777810115"/>
    <n v="29.033333333325572"/>
    <n v="12"/>
    <n v="17.033333333325572"/>
    <n v="9.0176125244659477"/>
    <m/>
    <m/>
    <m/>
    <m/>
    <m/>
  </r>
  <r>
    <d v="2025-04-23T00:00:00"/>
    <x v="3"/>
    <s v="NBL"/>
    <s v="OM0DYRERR"/>
    <m/>
    <s v="Isaac Tumuhimbise"/>
    <s v="UBE 287X"/>
    <s v="KATO INVESTMENTS LTD- KALISIZO Tax No.: 1000098824"/>
    <n v="153.6"/>
    <s v="OM0DYRERR"/>
    <s v="OM"/>
    <n v="288"/>
    <n v="286"/>
    <n v="-2"/>
    <m/>
    <d v="2025-04-23T19:19:00"/>
    <d v="2025-04-23T03:43:00"/>
    <d v="2025-04-23T20:01:00"/>
    <n v="973.47222221457434"/>
    <n v="41.805555556250816"/>
    <s v="pressure balancing"/>
    <d v="2025-04-24T10:59:00"/>
    <d v="2025-04-24T13:13:00"/>
    <n v="131.20833333014161"/>
    <m/>
    <d v="2025-04-25T08:07:00"/>
    <d v="2025-04-25T08:59:00"/>
    <n v="50.916666668490507"/>
    <s v="sorting delays"/>
    <n v="1.5041666666656965"/>
    <n v="2"/>
    <n v="0.49583333333430346"/>
    <n v="36.099999999976717"/>
    <n v="12"/>
    <n v="24.099999999976717"/>
    <n v="6.3734439834086469"/>
    <m/>
    <m/>
    <m/>
    <m/>
    <m/>
  </r>
  <r>
    <d v="2025-04-23T00:00:00"/>
    <x v="3"/>
    <s v="NBL"/>
    <s v="OMXCT9ARR"/>
    <m/>
    <s v="Isaac Tumuhimbise"/>
    <s v="UBE 287X"/>
    <s v="RUGOMA TRADERS CO. LTD NTUNGAM Tax No.: 1000249350"/>
    <n v="153.6"/>
    <s v="OMXCT9ARR"/>
    <s v="OM"/>
    <n v="150"/>
    <n v="148"/>
    <n v="-2"/>
    <m/>
    <d v="2025-04-22T14:26:00"/>
    <d v="2025-04-22T12:00:00"/>
    <d v="2025-04-22T14:53:00"/>
    <n v="172.19907407222004"/>
    <n v="26.87500000417155"/>
    <m/>
    <d v="2025-04-22T17:59:00"/>
    <d v="2025-04-23T13:23:00"/>
    <n v="1139.7500000013679"/>
    <s v="Reached late and offloaded the next day"/>
    <d v="2025-04-23T17:00:00"/>
    <d v="2025-04-23T17:45:00"/>
    <n v="44.0625"/>
    <m/>
    <n v="1.0881944444481633"/>
    <n v="1"/>
    <n v="-8.8194444448163267E-2"/>
    <n v="26.116666666755918"/>
    <n v="12"/>
    <n v="14.116666666755918"/>
    <n v="10.880755607959543"/>
    <m/>
    <m/>
    <m/>
    <m/>
    <m/>
  </r>
  <r>
    <d v="2025-04-23T00:00:00"/>
    <x v="3"/>
    <s v="NBL"/>
    <s v="OML19JTRR"/>
    <m/>
    <s v="Kilabila Ismail"/>
    <s v="UBE 419T"/>
    <s v="Kato Investment Ltd -Mityana Tax No.: 1000098824"/>
    <n v="156"/>
    <s v="OML19JTRR"/>
    <s v="OM"/>
    <n v="690"/>
    <n v="688"/>
    <n v="-2"/>
    <m/>
    <d v="2025-04-22T20:27:00"/>
    <d v="2025-04-22T20:00:00"/>
    <d v="2025-04-22T20:53:00"/>
    <n v="52.754629624299319"/>
    <n v="25.879629630556639"/>
    <m/>
    <d v="2025-04-23T15:26:00"/>
    <d v="2025-04-24T13:06:00"/>
    <n v="1272.9166666609672"/>
    <s v="found another truck to be offloaded"/>
    <d v="2025-04-25T10:58:00"/>
    <d v="2025-04-25T11:50:00"/>
    <n v="50.916666668490507"/>
    <s v="offloading delays"/>
    <n v="2.5868055555547471"/>
    <n v="3"/>
    <n v="0.41319444444525288"/>
    <n v="62.083333333313931"/>
    <n v="24"/>
    <n v="38.083333333313931"/>
    <n v="4.096280087529439"/>
    <m/>
    <m/>
    <m/>
    <m/>
    <m/>
  </r>
  <r>
    <d v="2025-04-23T00:00:00"/>
    <x v="3"/>
    <s v="NBL"/>
    <s v="OMTSVUORR"/>
    <m/>
    <s v="Stephen Musoke "/>
    <s v="UBJ 375N"/>
    <s v="KATO INVESTMENTS LIMITED-MASAK Tax No.: 1000098824"/>
    <n v="153.6"/>
    <s v="OMTSVUORR"/>
    <s v="OM"/>
    <n v="596"/>
    <n v="595"/>
    <n v="-1"/>
    <m/>
    <d v="2025-04-22T19:15:00"/>
    <d v="2025-04-23T04:14:00"/>
    <d v="2025-04-22T19:41:00"/>
    <n v="-510.62499999582843"/>
    <n v="25.879629630556639"/>
    <m/>
    <d v="2025-04-23T13:22:00"/>
    <d v="2025-04-23T19:10:00"/>
    <n v="340.75000000273576"/>
    <s v="Waited for empties from trade"/>
    <d v="2025-04-24T13:58:00"/>
    <d v="2025-04-24T14:40:00"/>
    <n v="41.12500000068394"/>
    <m/>
    <n v="1.7618055555503815"/>
    <n v="2"/>
    <n v="0.23819444444961846"/>
    <n v="42.283333333209157"/>
    <n v="12"/>
    <n v="30.283333333209157"/>
    <n v="5.0720968629817227"/>
    <m/>
    <m/>
    <m/>
    <m/>
    <m/>
  </r>
  <r>
    <d v="2025-04-23T00:00:00"/>
    <x v="3"/>
    <s v="NBL"/>
    <s v="OM5JGJVRR"/>
    <m/>
    <s v="Bisaso  Ronald"/>
    <s v="UBK 875R"/>
    <s v="KATO INVESTMENTS LIMITED-MASAK Tax No.: 1000098824"/>
    <n v="153.6"/>
    <s v="OM5JGJVRR"/>
    <s v="OM"/>
    <n v="596"/>
    <n v="594"/>
    <n v="-2"/>
    <m/>
    <d v="2025-04-22T10:26:00"/>
    <d v="2025-04-23T04:14:00"/>
    <d v="2025-04-22T11:05:00"/>
    <n v="-1024.2361111125017"/>
    <n v="38.819444445834961"/>
    <s v="network failures"/>
    <d v="2025-04-22T13:06:00"/>
    <d v="2025-04-22T18:09:00"/>
    <n v="296.68750000273576"/>
    <s v="Waited for empties from trade"/>
    <d v="2025-04-23T11:02:00"/>
    <d v="2025-04-23T11:54:00"/>
    <n v="50.916666668490507"/>
    <s v="fueling delays"/>
    <n v="0.99791666666715173"/>
    <n v="2"/>
    <n v="1.0020833333328483"/>
    <n v="23.950000000011642"/>
    <n v="0"/>
    <n v="23.950000000011642"/>
    <n v="6.4133611690991792"/>
    <m/>
    <m/>
    <m/>
    <m/>
    <m/>
  </r>
  <r>
    <d v="2025-04-24T00:00:00"/>
    <x v="3"/>
    <s v="NBL"/>
    <s v="OMYW9FURR"/>
    <m/>
    <s v="Abel Mark naffa"/>
    <s v="UBJ 415C"/>
    <s v="Rugoma Traders-Kanungu/Kihihi Tax No.: 1000249350"/>
    <n v="153.6"/>
    <s v="OMYW9FURR"/>
    <s v="OM"/>
    <n v="272"/>
    <n v="270"/>
    <n v="-2"/>
    <m/>
    <d v="2025-04-24T17:05:00"/>
    <d v="2025-04-24T01:59:00"/>
    <d v="2025-04-24T17:31:00"/>
    <n v="927.68518518472172"/>
    <n v="25.879629630556639"/>
    <m/>
    <d v="2025-04-25T13:41:00"/>
    <d v="2025-04-25T15:46:00"/>
    <n v="122.39583333219343"/>
    <m/>
    <d v="2025-04-26T10:49:00"/>
    <d v="2025-04-26T11:34:00"/>
    <n v="44.0625"/>
    <m/>
    <n v="1.7208333333328483"/>
    <n v="2"/>
    <n v="0.27916666666715173"/>
    <n v="41.299999999988358"/>
    <n v="12"/>
    <n v="29.299999999988358"/>
    <n v="5.2423208191147106"/>
    <m/>
    <m/>
    <m/>
    <m/>
    <m/>
  </r>
  <r>
    <d v="2025-04-24T00:00:00"/>
    <x v="3"/>
    <s v="KESH"/>
    <s v="OM0UQ97RR"/>
    <s v="DJ"/>
    <s v="ALLEX TAIMWA"/>
    <s v="UBJ 705D"/>
    <s v="Kato Investment Ltd -Kagadi Tax No.: 1000098824"/>
    <n v="156"/>
    <s v="OM0UQ97RR"/>
    <s v="OM"/>
    <n v="670"/>
    <n v="668"/>
    <n v="-2"/>
    <m/>
    <d v="2025-04-23T21:07:00"/>
    <d v="2025-04-23T21:00:00"/>
    <d v="2025-04-23T21:45:00"/>
    <n v="44.791666666666664"/>
    <n v="37.82407407222005"/>
    <s v="Jam at the weigh bridge"/>
    <d v="2025-04-24T15:56:00"/>
    <d v="2025-04-24T19:52:00"/>
    <n v="231.08333332740585"/>
    <s v="truck faulty"/>
    <d v="2025-04-25T15:05:00"/>
    <d v="2025-04-25T15:56:00"/>
    <n v="49.93749999863212"/>
    <s v="sorting delays"/>
    <n v="1.7222222222189885"/>
    <n v="2"/>
    <n v="0.27777777778101154"/>
    <n v="41.333333333255723"/>
    <n v="12"/>
    <n v="29.333333333255723"/>
    <n v="5.3181818181958889"/>
    <m/>
    <m/>
    <m/>
    <m/>
    <m/>
  </r>
  <r>
    <d v="2025-04-24T00:00:00"/>
    <x v="3"/>
    <s v="NBL"/>
    <s v="OMDCZXARR"/>
    <m/>
    <s v="Bisaso  Ronald"/>
    <s v="UBK 875R"/>
    <s v="KATO INVESTMENTS LTD- KALISIZO Tax No.: 1000098824"/>
    <n v="153.6"/>
    <s v="OMDCZXARR"/>
    <s v="OM"/>
    <n v="288"/>
    <n v="286"/>
    <n v="-2"/>
    <m/>
    <d v="2025-04-23T19:29:00"/>
    <d v="2025-04-24T03:43:00"/>
    <d v="2025-04-23T19:53:00"/>
    <n v="-467.82407407639158"/>
    <n v="23.888888893755695"/>
    <m/>
    <d v="2025-04-24T12:49:00"/>
    <d v="2025-04-24T16:50:00"/>
    <n v="235.97916666643869"/>
    <s v="Reached late and offloaded the next day"/>
    <d v="2025-04-25T10:45:00"/>
    <d v="2025-04-25T11:35:00"/>
    <n v="48.958333328773733"/>
    <s v="beer topup delays"/>
    <n v="1.6194444444408873"/>
    <n v="2"/>
    <n v="0.38055555555911269"/>
    <n v="38.866666666581295"/>
    <n v="12"/>
    <n v="26.866666666581295"/>
    <n v="5.7171215881074966"/>
    <m/>
    <m/>
    <m/>
    <m/>
    <m/>
  </r>
  <r>
    <d v="2025-04-24T00:00:00"/>
    <x v="3"/>
    <s v="NBL"/>
    <s v="OM872UZRR"/>
    <m/>
    <s v="Benon Ssempijja"/>
    <s v="UAY 526V"/>
    <s v="KATO INVESTMENTS LTD- KALISIZO Tax No.: 1000098824"/>
    <n v="153.6"/>
    <s v="OM872UZRR"/>
    <s v="OM"/>
    <n v="288"/>
    <n v="286"/>
    <n v="-2"/>
    <m/>
    <d v="2025-04-23T19:05:00"/>
    <d v="2025-04-24T03:43:00"/>
    <d v="2025-04-23T19:43:00"/>
    <n v="-477.77777778125409"/>
    <n v="37.82407407222005"/>
    <s v="Pre-Trip inspection defect closure"/>
    <d v="2025-04-24T14:11:00"/>
    <d v="2025-04-24T19:14:00"/>
    <n v="296.68750000273576"/>
    <s v="less casuals and offloaded the next day"/>
    <d v="2025-04-25T15:30:00"/>
    <d v="2025-04-25T16:11:00"/>
    <n v="40.145833330825553"/>
    <m/>
    <n v="1.8243055555576575"/>
    <n v="2"/>
    <n v="0.1756944444423425"/>
    <n v="43.78333333338378"/>
    <n v="12"/>
    <n v="31.78333333338378"/>
    <n v="4.8327215521685218"/>
    <m/>
    <m/>
    <m/>
    <m/>
    <m/>
  </r>
  <r>
    <d v="2025-04-24T00:00:00"/>
    <x v="3"/>
    <s v="NBL"/>
    <s v="OM3QNLRRR"/>
    <m/>
    <s v="Mugisha  George"/>
    <s v="UAV 203T"/>
    <s v="KATO INVESTMENTS LIMITED-MASAK Tax No.: 1000098824"/>
    <n v="153.6"/>
    <s v="OM3QNLRRR"/>
    <s v="OM"/>
    <n v="596"/>
    <n v="594"/>
    <n v="-2"/>
    <m/>
    <d v="2025-04-24T16:02:00"/>
    <d v="2025-04-25T04:14:00"/>
    <d v="2025-04-24T16:28:00"/>
    <n v="-702.7314814777734"/>
    <n v="25.879629630556639"/>
    <m/>
    <d v="2025-04-24T19:22:00"/>
    <d v="2025-04-25T11:32:00"/>
    <n v="949.79166667464597"/>
    <s v="found another truck to be offloaded"/>
    <d v="2025-04-25T14:41:00"/>
    <d v="2025-04-25T15:23:00"/>
    <n v="41.12500000068394"/>
    <m/>
    <n v="0.9256944444423425"/>
    <n v="2"/>
    <n v="1.0743055555576575"/>
    <n v="22.21666666661622"/>
    <n v="0"/>
    <n v="22.21666666661622"/>
    <n v="6.9137284321237251"/>
    <m/>
    <m/>
    <m/>
    <m/>
    <m/>
  </r>
  <r>
    <d v="2025-04-24T00:00:00"/>
    <x v="3"/>
    <s v="NBL"/>
    <s v="OMZW3RNRR"/>
    <m/>
    <s v="Mugisha  George"/>
    <s v="UAV 203T"/>
    <s v="Kabaco U Ltd-Mbarara Tax No.: 1000025425"/>
    <n v="153.6"/>
    <s v="OMZW3RNRR"/>
    <s v="OM"/>
    <n v="20"/>
    <n v="19"/>
    <n v="-1"/>
    <m/>
    <d v="2025-04-23T19:16:00"/>
    <d v="2025-04-24T07:42:00"/>
    <d v="2025-04-23T19:40:00"/>
    <n v="-718.65740740346757"/>
    <n v="23.888888893755695"/>
    <m/>
    <d v="2025-04-23T20:10:00"/>
    <d v="2025-04-24T10:08:00"/>
    <n v="820.54166666370293"/>
    <s v="Waited for empties from trade"/>
    <d v="2025-04-24T10:57:00"/>
    <d v="2025-04-24T11:49:00"/>
    <n v="50.916666668490507"/>
    <s v="empties confirmation delays"/>
    <n v="0.6368055555576575"/>
    <n v="1"/>
    <n v="0.3631944444423425"/>
    <n v="15.28333333338378"/>
    <n v="0"/>
    <n v="15.28333333338378"/>
    <n v="10.050163576847961"/>
    <m/>
    <m/>
    <m/>
    <m/>
    <m/>
  </r>
  <r>
    <d v="2025-04-24T00:00:00"/>
    <x v="3"/>
    <s v="NBL"/>
    <s v="OM6T75SRR"/>
    <m/>
    <s v="Konge Husein"/>
    <s v="UBJ 707D"/>
    <s v="RUGOMA TRADERS CO. LTD NTUNGAM Tax No.: 1000249350"/>
    <n v="153.6"/>
    <s v="OM6T75SRR"/>
    <s v="OM"/>
    <n v="150"/>
    <n v="148"/>
    <n v="-2"/>
    <m/>
    <d v="2025-04-24T16:29:00"/>
    <d v="2025-04-25T06:15:00"/>
    <d v="2025-04-24T16:52:00"/>
    <n v="-799.28240740555339"/>
    <n v="22.893518520140788"/>
    <m/>
    <d v="2025-04-25T07:38:00"/>
    <d v="2025-04-25T13:20:00"/>
    <n v="334.87499999384454"/>
    <s v="Waited for empties from trade"/>
    <d v="2025-04-25T15:37:00"/>
    <d v="2025-04-25T16:28:00"/>
    <n v="49.93749999863212"/>
    <s v="found another truck waiting to offload"/>
    <n v="0.94791666666424135"/>
    <n v="1"/>
    <n v="5.2083333335758653E-2"/>
    <n v="22.749999999941792"/>
    <n v="0"/>
    <n v="22.749999999941792"/>
    <n v="6.7516483516656258"/>
    <m/>
    <m/>
    <m/>
    <m/>
    <m/>
  </r>
  <r>
    <d v="2025-04-25T00:00:00"/>
    <x v="3"/>
    <s v="NBL"/>
    <s v="OM1JDTIRR"/>
    <m/>
    <s v="Luyaga Isaac"/>
    <s v="UAY 265V"/>
    <s v="Rugoma Traders-Kanungu/Kihihi Tax No.: 1000249350"/>
    <n v="153.6"/>
    <s v="OM1JDTIRR"/>
    <s v="OM"/>
    <n v="272"/>
    <n v="270"/>
    <n v="-2"/>
    <m/>
    <d v="2025-04-26T18:13:00"/>
    <d v="2025-04-25T01:59:00"/>
    <d v="2025-04-26T19:03:00"/>
    <n v="2452.5925925881893"/>
    <n v="49.768518513883464"/>
    <s v="pressure balancing"/>
    <d v="2025-04-27T09:56:00"/>
    <d v="2025-04-27T13:17:00"/>
    <n v="196.81249999521242"/>
    <s v="space consquents"/>
    <d v="2025-04-28T07:59:00"/>
    <d v="2025-04-28T08:41:00"/>
    <n v="41.12500000068394"/>
    <m/>
    <n v="1.538888888891961"/>
    <n v="2"/>
    <n v="0.46111111110803904"/>
    <n v="36.933333333407063"/>
    <n v="12"/>
    <n v="24.933333333407063"/>
    <n v="6.1604278074684142"/>
    <m/>
    <m/>
    <m/>
    <m/>
    <m/>
  </r>
  <r>
    <d v="2025-04-25T00:00:00"/>
    <x v="3"/>
    <s v="NBL"/>
    <s v="OMY4HF8RR"/>
    <m/>
    <s v="ANGELO KYOSIGA "/>
    <s v="UAV 051U"/>
    <s v="KATO INVESTMENTS LIMITED-MASAK Tax No.: 1000098824"/>
    <n v="153.6"/>
    <s v="OMY4HF8RR"/>
    <s v="OM"/>
    <n v="596"/>
    <n v="594"/>
    <n v="-2"/>
    <m/>
    <d v="2025-04-26T20:25:00"/>
    <d v="2025-04-25T04:14:00"/>
    <d v="2025-04-26T20:51:00"/>
    <n v="2425.7175925944466"/>
    <n v="25.879629630556639"/>
    <m/>
    <d v="2025-04-27T08:32:00"/>
    <d v="2025-04-27T15:17:00"/>
    <n v="396.5625"/>
    <s v="Reached late and offloaded the next day"/>
    <d v="2025-04-28T16:15:00"/>
    <d v="2025-04-28T17:07:00"/>
    <n v="50.916666668490507"/>
    <s v="sorting delays"/>
    <n v="1.8083333333343035"/>
    <n v="2"/>
    <n v="0.19166666666569654"/>
    <n v="43.400000000023283"/>
    <n v="12"/>
    <n v="31.400000000023283"/>
    <n v="4.8917197452193024"/>
    <m/>
    <m/>
    <m/>
    <m/>
    <m/>
  </r>
  <r>
    <d v="2025-04-25T00:00:00"/>
    <x v="3"/>
    <s v="NBL"/>
    <s v="OMXVJR6RR"/>
    <m/>
    <s v="James  Kironde"/>
    <s v="UBK 881R"/>
    <s v="KATO INVESTMENTS LTD- KALISIZO Tax No.: 1000098824"/>
    <n v="153.6"/>
    <s v="OMXVJR6RR"/>
    <s v="OM"/>
    <n v="288"/>
    <n v="287"/>
    <n v="-1"/>
    <m/>
    <d v="2025-04-26T16:19:00"/>
    <d v="2025-04-25T03:43:00"/>
    <d v="2025-04-26T16:43:00"/>
    <n v="2209.7222222187461"/>
    <n v="23.888888893755695"/>
    <m/>
    <d v="2025-04-26T21:39:00"/>
    <d v="2025-04-27T12:44:00"/>
    <n v="886.14583332877373"/>
    <s v="Waited for empties from trade"/>
    <d v="2025-04-28T10:58:00"/>
    <d v="2025-04-28T11:39:00"/>
    <n v="40.145833330825553"/>
    <m/>
    <n v="1.7604166666642413"/>
    <n v="2"/>
    <n v="0.23958333333575865"/>
    <n v="42.249999999941792"/>
    <n v="12"/>
    <n v="30.249999999941792"/>
    <n v="5.0776859504229934"/>
    <m/>
    <m/>
    <m/>
    <m/>
    <m/>
  </r>
  <r>
    <d v="2025-04-25T00:00:00"/>
    <x v="3"/>
    <s v="NBL"/>
    <s v="OM2NK6FRR"/>
    <m/>
    <s v="Kilabila Ismail"/>
    <s v="UBE 419T"/>
    <s v="RUGOMA TRADERS CO. LTD NTUNGAM Tax No.: 1000249350"/>
    <n v="153.6"/>
    <s v="OM2NK6FRR"/>
    <s v="OM"/>
    <n v="150"/>
    <n v="148"/>
    <n v="-2"/>
    <m/>
    <d v="2025-04-26T13:54:00"/>
    <d v="2025-04-25T06:15:00"/>
    <d v="2025-04-26T14:33:00"/>
    <n v="1929.0277777770825"/>
    <n v="38.819444445834961"/>
    <s v="pressure balancing"/>
    <d v="2025-04-26T20:38:00"/>
    <d v="2025-04-27T12:19:00"/>
    <n v="921.39583333082555"/>
    <s v="Waited for empties from trade"/>
    <d v="2025-04-27T15:53:00"/>
    <d v="2025-04-27T16:45:00"/>
    <n v="50.916666668490507"/>
    <s v="offloading delays"/>
    <n v="1.0555555555620231"/>
    <n v="1"/>
    <n v="-5.5555555562023073E-2"/>
    <n v="25.333333333488554"/>
    <n v="12"/>
    <n v="13.333333333488554"/>
    <n v="11.51999999986589"/>
    <m/>
    <m/>
    <m/>
    <m/>
    <m/>
  </r>
  <r>
    <d v="2025-04-25T00:00:00"/>
    <x v="3"/>
    <s v="NBL"/>
    <s v="OMBKFUDRR"/>
    <m/>
    <s v="Isaac Tumuhimbise"/>
    <s v="UBE 287X"/>
    <s v="KATO INVESTMENTS LIMITED-MASAK Tax No.: 1000098824"/>
    <n v="153.6"/>
    <s v="OMBKFUDRR"/>
    <s v="OM"/>
    <n v="596"/>
    <n v="594"/>
    <n v="-2"/>
    <m/>
    <d v="2025-04-25T14:38:00"/>
    <d v="2025-04-25T04:14:00"/>
    <d v="2025-04-25T15:17:00"/>
    <n v="659.93055555833655"/>
    <n v="38.819444445834961"/>
    <s v="network failures"/>
    <d v="2025-04-26T07:53:00"/>
    <d v="2025-04-26T13:12:00"/>
    <n v="312.35416666917445"/>
    <s v="truck faulty"/>
    <d v="2025-04-27T09:47:00"/>
    <d v="2025-04-27T10:38:00"/>
    <n v="49.93749999863212"/>
    <s v="fueling delays"/>
    <n v="1.7708333333284827"/>
    <n v="2"/>
    <n v="0.22916666667151731"/>
    <n v="42.499999999883585"/>
    <n v="12"/>
    <n v="30.499999999883585"/>
    <n v="5.0360655737897133"/>
    <m/>
    <m/>
    <m/>
    <m/>
    <m/>
  </r>
  <r>
    <d v="2025-04-25T00:00:00"/>
    <x v="3"/>
    <s v="NBL"/>
    <s v="OMXQP30RR"/>
    <m/>
    <s v="Stephen Musoke "/>
    <s v="UBJ 375N"/>
    <s v="Kabaco U Ltd-Mbarara Tax No.: 1000025425"/>
    <n v="153.6"/>
    <s v="OMXQP30RR"/>
    <s v="OM"/>
    <n v="20"/>
    <n v="18"/>
    <n v="-2"/>
    <m/>
    <d v="2025-04-24T16:56:00"/>
    <d v="2025-04-24T14:00:00"/>
    <d v="2025-04-24T17:20:00"/>
    <n v="199.07407406596272"/>
    <n v="23.888888893755695"/>
    <m/>
    <d v="2025-04-25T10:07:00"/>
    <d v="2025-04-25T13:29:00"/>
    <n v="197.79166666507081"/>
    <s v="Reached late and offloaded the next day"/>
    <d v="2025-04-25T18:30:00"/>
    <d v="2025-04-25T19:08:00"/>
    <n v="37.208333331509493"/>
    <m/>
    <n v="1.0486111111167702"/>
    <n v="1"/>
    <n v="-4.8611111116770189E-2"/>
    <n v="25.166666666802485"/>
    <n v="12"/>
    <n v="13.166666666802485"/>
    <n v="11.665822784689789"/>
    <m/>
    <m/>
    <m/>
    <m/>
    <m/>
  </r>
  <r>
    <d v="2025-04-25T00:00:00"/>
    <x v="3"/>
    <s v="KESH"/>
    <s v="OM9DMDDRR"/>
    <s v="DJ"/>
    <s v="FRED LURE "/>
    <s v="UBP 310H"/>
    <s v="Kato Investment Ltd -Mityana Tax No.: 1000098824"/>
    <n v="156"/>
    <s v="OM9DMDDRR"/>
    <s v="OM"/>
    <n v="690"/>
    <n v="688"/>
    <n v="-2"/>
    <m/>
    <d v="2025-04-24T18:31:00"/>
    <d v="2025-04-24T19:35:00"/>
    <d v="2025-04-24T19:25:00"/>
    <n v="-9.9537036944335942"/>
    <n v="53.749999997914223"/>
    <s v="Jam at the weigh bridge"/>
    <d v="2025-04-26T17:06:00"/>
    <d v="2025-04-26T19:14:00"/>
    <n v="125.33333333150949"/>
    <m/>
    <d v="2025-04-28T19:24:00"/>
    <d v="2025-04-28T20:14:00"/>
    <n v="48.958333328773733"/>
    <s v="found another truck waiting to offload"/>
    <n v="3.9993055555532919"/>
    <n v="3"/>
    <n v="-0.99930555555329192"/>
    <n v="95.983333333279006"/>
    <n v="36"/>
    <n v="59.983333333279006"/>
    <n v="2.6007224228976042"/>
    <m/>
    <m/>
    <m/>
    <m/>
    <m/>
  </r>
  <r>
    <d v="2025-04-25T00:00:00"/>
    <x v="3"/>
    <s v="KESH"/>
    <s v="OMZ42GXRR"/>
    <s v="DJ"/>
    <s v="ZIWA ABASI"/>
    <s v="UBJ 420C"/>
    <s v="Kato Investment Ltd -Kagadi Tax No.: 1000098824"/>
    <n v="156"/>
    <s v="OMZ42GXRR"/>
    <s v="OM"/>
    <n v="670"/>
    <n v="669"/>
    <n v="-1"/>
    <m/>
    <d v="2025-04-24T20:53:00"/>
    <d v="2025-04-24T22:00:00"/>
    <d v="2025-04-24T21:17:00"/>
    <n v="-42.80092591943685"/>
    <n v="23.888888893755695"/>
    <m/>
    <d v="2025-04-25T20:34:00"/>
    <d v="2025-04-26T13:10:00"/>
    <n v="975.24999999863212"/>
    <s v="Reached late and offloaded the next day"/>
    <d v="2025-04-27T07:03:00"/>
    <d v="2025-04-27T07:44:00"/>
    <n v="40.145833330825553"/>
    <m/>
    <n v="2.4069444444394321"/>
    <n v="2"/>
    <n v="-0.40694444443943212"/>
    <n v="57.766666666546371"/>
    <n v="24"/>
    <n v="33.766666666546371"/>
    <n v="4.6199407700065871"/>
    <m/>
    <m/>
    <m/>
    <m/>
    <m/>
  </r>
  <r>
    <d v="2025-04-25T00:00:00"/>
    <x v="3"/>
    <s v="KESH"/>
    <s v="OMSERSKRR"/>
    <s v="DJ"/>
    <s v="MUKOSE MUZAMIRU"/>
    <s v="UBJ 417C"/>
    <s v="Rugoma Traders-Rukungiri Tax No.: 1000249350"/>
    <n v="156"/>
    <s v="OMSERSKRR"/>
    <s v="OM"/>
    <n v="256"/>
    <n v="254"/>
    <n v="-2"/>
    <m/>
    <d v="2025-04-24T21:02:00"/>
    <d v="2025-04-25T04:04:00"/>
    <d v="2025-04-24T21:25:00"/>
    <n v="-397.15277777916828"/>
    <n v="22.893518520140788"/>
    <m/>
    <d v="2025-04-25T12:15:00"/>
    <d v="2025-04-25T18:36:00"/>
    <n v="373.06250000547152"/>
    <s v="Waited for empties from trade"/>
    <d v="2025-04-26T07:58:00"/>
    <d v="2025-04-26T08:42:00"/>
    <n v="43.083333330141613"/>
    <m/>
    <n v="1.4395833333328483"/>
    <n v="2"/>
    <n v="0.56041666666715173"/>
    <n v="34.549999999988358"/>
    <n v="12"/>
    <n v="22.549999999988358"/>
    <n v="6.9179600886953674"/>
    <m/>
    <m/>
    <m/>
    <m/>
    <m/>
  </r>
  <r>
    <d v="2025-04-26T00:00:00"/>
    <x v="3"/>
    <s v="NBL"/>
    <s v="OMH7O0FRR"/>
    <m/>
    <s v="Bisaso  Ronald"/>
    <s v="UBK 875R"/>
    <s v="Kabaco U Ltd Tax No.: 1000025425"/>
    <n v="156"/>
    <s v="OMH7O0FRR"/>
    <s v="OM"/>
    <n v="304"/>
    <n v="302"/>
    <n v="-2"/>
    <m/>
    <d v="2025-04-26T16:04:00"/>
    <d v="2025-04-26T02:22:00"/>
    <d v="2025-04-26T16:58:00"/>
    <n v="871.94444443957764"/>
    <n v="53.749999997914223"/>
    <s v="pressure balancing"/>
    <d v="2025-04-27T10:58:00"/>
    <d v="2025-04-27T13:54:00"/>
    <n v="172.33333334108465"/>
    <m/>
    <d v="2025-04-28T13:04:00"/>
    <d v="2025-04-28T13:46:00"/>
    <n v="41.12500000068394"/>
    <m/>
    <n v="1.8375000000014552"/>
    <n v="2"/>
    <n v="0.16249999999854481"/>
    <n v="44.100000000034925"/>
    <n v="12"/>
    <n v="32.100000000034925"/>
    <n v="4.8598130841068619"/>
    <m/>
    <m/>
    <m/>
    <m/>
    <m/>
  </r>
  <r>
    <d v="2025-04-26T00:00:00"/>
    <x v="3"/>
    <s v="NBL"/>
    <s v="OMH4Y2YRR"/>
    <m/>
    <s v="Konge Husein"/>
    <s v="UBJ 707D"/>
    <s v="KATO INVESTMENTS LIMITED-MASAK Tax No.: 1000098824"/>
    <n v="153.6"/>
    <s v="OMH4Y2YRR"/>
    <s v="OM"/>
    <n v="596"/>
    <n v="595"/>
    <n v="-1"/>
    <m/>
    <d v="2025-04-26T13:47:00"/>
    <d v="2025-04-26T04:14:00"/>
    <d v="2025-04-26T14:11:00"/>
    <n v="594.23611110833008"/>
    <n v="23.888888893755695"/>
    <m/>
    <d v="2025-04-26T18:21:00"/>
    <d v="2025-04-27T12:19:00"/>
    <n v="1055.5416666705423"/>
    <s v="Reached late and offloaded the next day"/>
    <d v="2025-04-27T17:04:00"/>
    <d v="2025-04-27T17:48:00"/>
    <n v="43.083333330141613"/>
    <m/>
    <n v="1.1201388888875954"/>
    <n v="2"/>
    <n v="0.87986111111240461"/>
    <n v="26.883333333302289"/>
    <n v="12"/>
    <n v="14.883333333302289"/>
    <n v="10.320268757020406"/>
    <m/>
    <m/>
    <m/>
    <m/>
    <m/>
  </r>
  <r>
    <d v="2025-04-26T00:00:00"/>
    <x v="3"/>
    <s v="NBL"/>
    <s v="OM3DU4ZRR"/>
    <m/>
    <s v="GODWIN  NIWENSIIMA"/>
    <s v="UAR 731Q"/>
    <s v="Kabaco U Ltd-Mbarara Tax No.: 1000025425"/>
    <n v="153.6"/>
    <s v="OM3DU4ZRR"/>
    <s v="OM"/>
    <n v="20"/>
    <n v="18"/>
    <n v="-2"/>
    <m/>
    <d v="2025-04-26T19:08:00"/>
    <d v="2025-04-26T10:00:00"/>
    <d v="2025-04-26T19:31:00"/>
    <n v="568.35648148820235"/>
    <n v="22.893518520140788"/>
    <m/>
    <d v="2025-04-26T20:16:00"/>
    <d v="2025-04-27T20:47:00"/>
    <n v="1440.354166663019"/>
    <s v="found another truck to be offloaded"/>
    <d v="2025-04-28T12:18:00"/>
    <d v="2025-04-28T13:02:00"/>
    <n v="43.083333330141613"/>
    <m/>
    <n v="1.6993055555503815"/>
    <n v="1"/>
    <n v="-0.69930555555038154"/>
    <n v="40.783333333209157"/>
    <n v="12"/>
    <n v="28.783333333209157"/>
    <n v="5.3364215402662181"/>
    <m/>
    <m/>
    <m/>
    <m/>
    <m/>
  </r>
  <r>
    <d v="2025-04-26T00:00:00"/>
    <x v="3"/>
    <s v="KESH"/>
    <s v="OMTEYKBRR"/>
    <s v="DJ"/>
    <s v="SENTONG DAVID"/>
    <s v="UBP 298H"/>
    <s v="Kato Investments Ltd- Kakumiro Tax No.: 1000098824"/>
    <n v="156"/>
    <s v="OMTEYKBRR"/>
    <s v="OM"/>
    <n v="790"/>
    <n v="788"/>
    <n v="-2"/>
    <m/>
    <d v="2025-04-25T13:59:00"/>
    <d v="2025-04-25T18:06:00"/>
    <d v="2025-04-25T14:23:00"/>
    <n v="-221.96759258610351"/>
    <n v="23.888888893755695"/>
    <m/>
    <d v="2025-04-26T08:45:00"/>
    <d v="2025-04-26T13:43:00"/>
    <n v="291.79166666370293"/>
    <s v="Waited for empties from trade"/>
    <d v="2025-04-27T08:14:00"/>
    <d v="2025-04-27T08:58:00"/>
    <n v="43.083333330141613"/>
    <m/>
    <n v="1.7437499999941792"/>
    <n v="3"/>
    <n v="1.2562500000058208"/>
    <n v="41.849999999860302"/>
    <n v="12"/>
    <n v="29.849999999860302"/>
    <n v="5.2261306532907899"/>
    <m/>
    <m/>
    <m/>
    <m/>
    <m/>
  </r>
  <r>
    <d v="2025-04-26T00:00:00"/>
    <x v="3"/>
    <s v="KESH"/>
    <s v="OM8IELKRR"/>
    <s v="DJ"/>
    <s v="ALLEX TAIMWA"/>
    <s v="UBJ 705D"/>
    <s v="Kobusinge Acaali- Kyenjojo Tax No.: 1000977837"/>
    <n v="156"/>
    <s v="OM8IELKRR"/>
    <s v="OM"/>
    <n v="580"/>
    <n v="579"/>
    <n v="-1"/>
    <m/>
    <d v="2025-04-25T21:13:00"/>
    <d v="2025-04-26T03:17:00"/>
    <d v="2025-04-25T21:52:00"/>
    <n v="-323.49537037152913"/>
    <n v="38.819444445834961"/>
    <s v="network failures"/>
    <d v="2025-04-26T12:29:00"/>
    <d v="2025-04-26T18:55:00"/>
    <n v="377.95833333424525"/>
    <s v="Waited for empties from trade"/>
    <d v="2025-04-27T08:29:00"/>
    <d v="2025-04-27T09:10:00"/>
    <n v="40.145833330825553"/>
    <m/>
    <n v="1.4423611111124046"/>
    <n v="2"/>
    <n v="0.55763888888759539"/>
    <n v="34.616666666697711"/>
    <n v="12"/>
    <n v="22.616666666697711"/>
    <n v="6.89756816506054"/>
    <m/>
    <m/>
    <m/>
    <m/>
    <m/>
  </r>
  <r>
    <d v="2025-04-26T00:00:00"/>
    <x v="3"/>
    <s v="KESH"/>
    <s v="OM50HFORR"/>
    <s v="DJ"/>
    <s v="IKWALIKWA YUSUF"/>
    <s v="UBP 311H"/>
    <s v="Boniface Harera Tax No.: 1000317747"/>
    <n v="156"/>
    <s v="OM50HFORR"/>
    <s v="OM"/>
    <n v="448"/>
    <n v="447"/>
    <n v="-1"/>
    <m/>
    <d v="2025-04-25T17:23:00"/>
    <d v="2025-04-26T01:30:00"/>
    <d v="2025-04-25T17:51:00"/>
    <n v="-456.87499999791424"/>
    <n v="27.870370367357584"/>
    <m/>
    <d v="2025-04-26T13:59:00"/>
    <d v="2025-04-26T18:54:00"/>
    <n v="288.85416666438687"/>
    <s v="Waited for empties from trade"/>
    <d v="2025-04-27T17:33:00"/>
    <d v="2025-04-27T18:11:00"/>
    <n v="37.208333331509493"/>
    <m/>
    <n v="1.9874999999956344"/>
    <n v="2"/>
    <n v="1.2500000004365575E-2"/>
    <n v="47.699999999895226"/>
    <n v="12"/>
    <n v="35.699999999895226"/>
    <n v="4.3697478991724887"/>
    <m/>
    <m/>
    <m/>
    <m/>
    <m/>
  </r>
  <r>
    <d v="2025-04-27T00:00:00"/>
    <x v="3"/>
    <s v="NBL"/>
    <s v="OM1HV8FRR"/>
    <m/>
    <s v="GODWIN  NIWENSIIMA"/>
    <s v="UAR 731Q"/>
    <s v="Kabaco U Ltd-Mbarara Tax No.: 1000025425"/>
    <n v="153.6"/>
    <s v="OM1HV8FRR"/>
    <s v="OM"/>
    <n v="20"/>
    <n v="18"/>
    <n v="-2"/>
    <m/>
    <d v="2025-04-29T12:24:00"/>
    <d v="2025-04-27T07:42:00"/>
    <d v="2025-04-29T12:48:00"/>
    <n v="3171.2500000020859"/>
    <n v="23.888888893755695"/>
    <m/>
    <d v="2025-04-29T14:09:00"/>
    <d v="2025-04-29T18:16:00"/>
    <n v="241.85416666507081"/>
    <s v="truck faulty"/>
    <d v="2025-04-29T19:49:00"/>
    <d v="2025-04-29T20:40:00"/>
    <n v="49.93749999863212"/>
    <s v="Fork Lift Breakdown"/>
    <n v="0.29236111111094942"/>
    <n v="1"/>
    <n v="0.70763888888905058"/>
    <n v="7.0166666666627862"/>
    <n v="0"/>
    <n v="7.0166666666627862"/>
    <n v="21.890736342054861"/>
    <m/>
    <m/>
    <m/>
    <m/>
    <m/>
  </r>
  <r>
    <d v="2025-04-27T00:00:00"/>
    <x v="3"/>
    <s v="KESH"/>
    <s v="OMTKKX0RR"/>
    <s v="DJ"/>
    <s v="ALIPA EREKU"/>
    <s v="UBK 858R"/>
    <s v="Kobusinge Steven-FPortal Tax No.: 1000977837"/>
    <n v="156"/>
    <s v="OMTKKX0RR"/>
    <s v="OM"/>
    <n v="304"/>
    <n v="301"/>
    <n v="-3"/>
    <m/>
    <d v="2025-04-27T17:34:00"/>
    <d v="2025-04-26T21:00:00"/>
    <d v="2025-04-27T17:57:00"/>
    <n v="1251.1805555562507"/>
    <n v="22.893518520140788"/>
    <m/>
    <d v="2025-04-28T08:56:00"/>
    <d v="2025-04-28T17:17:00"/>
    <n v="490.56249999863212"/>
    <s v="Reached late and offloaded the next day"/>
    <d v="2025-04-29T09:28:00"/>
    <d v="2025-04-29T10:12:00"/>
    <n v="43.083333330141613"/>
    <m/>
    <n v="1.6465277777751908"/>
    <n v="2"/>
    <n v="0.35347222222480923"/>
    <n v="39.516666666604578"/>
    <n v="12"/>
    <n v="27.516666666604578"/>
    <n v="5.6692913385954693"/>
    <m/>
    <m/>
    <m/>
    <m/>
    <m/>
  </r>
  <r>
    <d v="2025-04-27T00:00:00"/>
    <x v="3"/>
    <s v="NBL"/>
    <s v="OM32FATRR"/>
    <m/>
    <s v="Kabene John"/>
    <s v="UBA 523T"/>
    <s v="KATO INVESTMENTS LIMITED-MASAK Tax No.: 1000098824"/>
    <n v="153.6"/>
    <s v="OM32FATRR"/>
    <s v="OM"/>
    <n v="596"/>
    <n v="594"/>
    <n v="-2"/>
    <m/>
    <d v="2025-04-27T21:00:00"/>
    <d v="2025-04-27T04:14:00"/>
    <d v="2025-04-27T21:27:00"/>
    <n v="1028.2175925965323"/>
    <n v="26.87500000417155"/>
    <m/>
    <d v="2025-04-28T14:46:00"/>
    <d v="2025-04-28T18:56:00"/>
    <n v="244.79166667464597"/>
    <s v="less casuals and offloaded the next day"/>
    <d v="2025-04-29T13:49:00"/>
    <d v="2025-04-29T14:31:00"/>
    <n v="41.12500000068394"/>
    <m/>
    <n v="1.6819444444408873"/>
    <n v="2"/>
    <n v="0.31805555555911269"/>
    <n v="40.366666666581295"/>
    <n v="12"/>
    <n v="28.366666666581295"/>
    <n v="5.4148061104745802"/>
    <m/>
    <m/>
    <m/>
    <m/>
    <m/>
  </r>
  <r>
    <d v="2025-04-27T00:00:00"/>
    <x v="3"/>
    <s v="KESH"/>
    <s v="OMR40NVRR"/>
    <s v="DJ"/>
    <s v="ZIWA ABASI"/>
    <s v="UBJ 420C"/>
    <s v="Boniface Harera Tax No.: 1000317747"/>
    <n v="156"/>
    <s v="OMR40NVRR"/>
    <s v="OM"/>
    <n v="448"/>
    <n v="447"/>
    <n v="-1"/>
    <m/>
    <d v="2025-04-27T14:12:00"/>
    <d v="2025-04-27T01:30:00"/>
    <d v="2025-04-27T14:40:00"/>
    <n v="786.3425925902751"/>
    <n v="27.870370367357584"/>
    <m/>
    <d v="2025-04-28T14:54:00"/>
    <d v="2025-04-28T21:19:00"/>
    <n v="376.97916666438687"/>
    <s v="found another truck to be offloaded"/>
    <d v="2025-04-29T17:07:00"/>
    <d v="2025-04-29T17:51:00"/>
    <n v="43.083333330141613"/>
    <m/>
    <n v="2.1020833333313931"/>
    <n v="2"/>
    <n v="-0.10208333333139308"/>
    <n v="50.449999999953434"/>
    <n v="24"/>
    <n v="26.449999999953434"/>
    <n v="5.897920604925317"/>
    <m/>
    <m/>
    <m/>
    <m/>
    <m/>
  </r>
  <r>
    <d v="2025-04-27T00:00:00"/>
    <x v="3"/>
    <s v="KESH"/>
    <s v="OM5W2YWRR"/>
    <s v="DJ"/>
    <s v="MUKOSE MUZAMIRU"/>
    <s v="UBJ 417C"/>
    <s v="Bates Enterprises Ltd-Ntoroko Tax No.: 1001193253"/>
    <n v="156"/>
    <s v="OM5W2YWRR"/>
    <s v="OM"/>
    <n v="510"/>
    <n v="508"/>
    <n v="-2"/>
    <m/>
    <d v="2025-04-27T09:43:00"/>
    <d v="2025-04-26T22:30:00"/>
    <d v="2025-04-27T10:33:00"/>
    <n v="719.65277777708252"/>
    <n v="49.768518513883464"/>
    <s v="pressure balancing"/>
    <d v="2025-04-28T08:49:00"/>
    <d v="2025-04-28T21:07:00"/>
    <n v="722.62500000615546"/>
    <s v="Waited for empties from trade"/>
    <d v="2025-04-29T13:43:00"/>
    <d v="2025-04-29T14:25:00"/>
    <n v="41.12500000068394"/>
    <m/>
    <n v="2.1319444444452529"/>
    <n v="3"/>
    <n v="0.86805555555474712"/>
    <n v="51.166666666686069"/>
    <n v="24"/>
    <n v="27.166666666686069"/>
    <n v="5.7423312883394573"/>
    <m/>
    <m/>
    <m/>
    <m/>
    <m/>
  </r>
  <r>
    <d v="2025-04-27T00:00:00"/>
    <x v="3"/>
    <s v="NBL"/>
    <s v="OMZW81PRR"/>
    <m/>
    <s v="Abel Mark naffa"/>
    <s v="UBJ 415C"/>
    <s v="KATO INVESTMENTS LTD- KALISIZO Tax No.: 1000098824"/>
    <n v="153.6"/>
    <s v="OMZW81PRR"/>
    <s v="OM"/>
    <n v="288"/>
    <n v="286"/>
    <n v="-2"/>
    <m/>
    <d v="2025-04-27T09:41:00"/>
    <d v="2025-04-27T03:43:00"/>
    <d v="2025-04-27T10:04:00"/>
    <n v="379.23611110624432"/>
    <n v="22.893518520140788"/>
    <m/>
    <d v="2025-04-28T14:00:00"/>
    <d v="2025-04-28T16:11:00"/>
    <n v="128.27083333082555"/>
    <m/>
    <d v="2025-04-29T12:46:00"/>
    <d v="2025-04-29T13:26:00"/>
    <n v="39.166666671226267"/>
    <m/>
    <n v="2.1125000000029104"/>
    <n v="2"/>
    <n v="-0.11250000000291038"/>
    <n v="50.700000000069849"/>
    <n v="24"/>
    <n v="26.700000000069849"/>
    <n v="5.7528089887489946"/>
    <m/>
    <m/>
    <m/>
    <m/>
    <m/>
  </r>
  <r>
    <d v="2025-04-27T00:00:00"/>
    <x v="3"/>
    <s v="NBL"/>
    <s v="OMD1TBXRR"/>
    <m/>
    <s v="Stephen Musoke "/>
    <s v="UBJ 375N"/>
    <s v="KATO INVESTMENTS LIMITED-MASAK Tax No.: 1000098824"/>
    <n v="153.6"/>
    <s v="OMD1TBXRR"/>
    <s v="OM"/>
    <n v="596"/>
    <n v="594"/>
    <n v="-2"/>
    <m/>
    <d v="2025-04-27T09:39:00"/>
    <d v="2025-04-27T04:14:00"/>
    <d v="2025-04-27T10:07:00"/>
    <n v="351.3657407388867"/>
    <n v="27.870370367357584"/>
    <m/>
    <d v="2025-04-27T15:18:00"/>
    <d v="2025-04-28T12:07:00"/>
    <n v="1222.9791666725941"/>
    <s v="space consquents"/>
    <d v="2025-04-28T16:51:00"/>
    <d v="2025-04-28T17:29:00"/>
    <n v="37.208333331509493"/>
    <m/>
    <n v="1.2805555555532919"/>
    <n v="2"/>
    <n v="0.71944444444670808"/>
    <n v="30.733333333279006"/>
    <n v="12"/>
    <n v="18.733333333279006"/>
    <n v="8.1992882562515366"/>
    <m/>
    <m/>
    <m/>
    <m/>
    <m/>
  </r>
  <r>
    <d v="2025-04-27T00:00:00"/>
    <x v="3"/>
    <s v="NBL"/>
    <s v="OM47OYXRR"/>
    <m/>
    <s v="Benon Ssempijja"/>
    <s v="UAY 526V"/>
    <s v="KATO INVESTMENTS LIMITED-MASAK Tax No.: 1000098824"/>
    <n v="153.6"/>
    <s v="OM47OYXRR"/>
    <s v="OM"/>
    <n v="596"/>
    <n v="593"/>
    <n v="-3"/>
    <m/>
    <d v="2025-04-26T19:47:00"/>
    <d v="2025-04-27T04:14:00"/>
    <d v="2025-04-26T20:26:00"/>
    <n v="-465.8333333291618"/>
    <n v="38.819444445834961"/>
    <s v="pressure balancing"/>
    <d v="2025-04-27T09:33:00"/>
    <d v="2025-04-27T16:32:00"/>
    <n v="410.27083332672191"/>
    <s v="Reached late and offloaded the next day"/>
    <d v="2025-04-28T11:36:00"/>
    <d v="2025-04-28T12:20:00"/>
    <n v="43.083333330141613"/>
    <m/>
    <n v="1.6319444444379769"/>
    <n v="2"/>
    <n v="0.36805555556202307"/>
    <n v="39.166666666511446"/>
    <n v="12"/>
    <n v="27.166666666511446"/>
    <n v="5.6539877300936547"/>
    <m/>
    <m/>
    <m/>
    <m/>
    <m/>
  </r>
  <r>
    <d v="2025-04-28T00:00:00"/>
    <x v="3"/>
    <s v="NBL"/>
    <s v="OM6WLEERR"/>
    <m/>
    <s v="ANGELO KYOSIGA "/>
    <s v="UAV 051U"/>
    <s v="RUGOMA TRADERS CO. LTD NTUNGAM Tax No.: 1000249350"/>
    <n v="153.6"/>
    <s v="OM6WLEERR"/>
    <s v="OM"/>
    <n v="150"/>
    <n v="148"/>
    <n v="-2"/>
    <m/>
    <d v="2025-04-29T06:39:00"/>
    <d v="2025-04-28T09:00:00"/>
    <d v="2025-04-29T07:02:00"/>
    <n v="1315.8796296326425"/>
    <n v="22.893518520140788"/>
    <m/>
    <d v="2025-04-29T08:49:00"/>
    <d v="2025-04-29T14:00:00"/>
    <n v="304.52083334108465"/>
    <s v="Waited for empties from trade"/>
    <d v="2025-04-29T15:44:00"/>
    <d v="2025-04-29T16:24:00"/>
    <n v="39.166666671226267"/>
    <m/>
    <n v="0.36249999999563443"/>
    <n v="1"/>
    <n v="0.63750000000436557"/>
    <n v="8.6999999998952262"/>
    <n v="0"/>
    <n v="8.6999999998952262"/>
    <n v="17.655172414005722"/>
    <m/>
    <m/>
    <m/>
    <m/>
    <m/>
  </r>
  <r>
    <d v="2025-04-28T00:00:00"/>
    <x v="3"/>
    <s v="NBL"/>
    <s v="OML2ERSRR"/>
    <m/>
    <s v="James  Kironde"/>
    <s v="UBK 881R"/>
    <s v="Kabaco U Ltd-Mbarara Tax No.: 1000025425"/>
    <n v="153.6"/>
    <s v="OML2ERSRR"/>
    <s v="OM"/>
    <n v="20"/>
    <n v="18"/>
    <n v="-2"/>
    <m/>
    <d v="2025-04-28T18:21:00"/>
    <d v="2025-04-28T09:00:00"/>
    <d v="2025-04-28T18:44:00"/>
    <n v="581.2962962930518"/>
    <n v="22.893518520140788"/>
    <m/>
    <d v="2025-04-28T19:26:00"/>
    <d v="2025-04-29T11:44:00"/>
    <n v="957.62500000273576"/>
    <s v="Waited for empties from trade"/>
    <d v="2025-04-29T12:32:00"/>
    <d v="2025-04-29T13:14:00"/>
    <n v="41.12500000068394"/>
    <m/>
    <n v="0.74166666666860692"/>
    <n v="1"/>
    <n v="0.25833333333139308"/>
    <n v="17.800000000046566"/>
    <n v="0"/>
    <n v="17.800000000046566"/>
    <n v="8.6292134831234932"/>
    <m/>
    <m/>
    <m/>
    <m/>
    <m/>
  </r>
  <r>
    <d v="2025-04-28T00:00:00"/>
    <x v="3"/>
    <s v="KESH"/>
    <s v="OMBXR3MRR"/>
    <s v="DJ"/>
    <s v="KAJUBI ISMA"/>
    <s v="UBR 538W"/>
    <s v="Kobusinge Steven-Kamwenge Tax No.: 1000977837"/>
    <n v="156"/>
    <s v="OMBXR3MRR"/>
    <s v="OM"/>
    <n v="228"/>
    <n v="226"/>
    <n v="-2"/>
    <m/>
    <d v="2025-04-28T16:18:00"/>
    <d v="2025-04-28T09:00:00"/>
    <d v="2025-04-28T16:46:00"/>
    <n v="463.84259259236086"/>
    <n v="27.870370367357584"/>
    <m/>
    <d v="2025-04-29T14:49:00"/>
    <d v="2025-04-29T16:55:00"/>
    <n v="123.37500000205182"/>
    <m/>
    <d v="2025-04-30T13:09:00"/>
    <d v="2025-04-30T13:53:00"/>
    <n v="43.083333330141613"/>
    <m/>
    <n v="1.8493055555591127"/>
    <n v="2"/>
    <n v="0.15069444444088731"/>
    <n v="44.383333333418705"/>
    <n v="12"/>
    <n v="32.383333333418705"/>
    <n v="4.8172928461015569"/>
    <m/>
    <m/>
    <m/>
    <m/>
    <m/>
  </r>
  <r>
    <d v="2025-04-28T00:00:00"/>
    <x v="3"/>
    <s v="KESH"/>
    <s v="OM6OHK3RR"/>
    <s v="DJ"/>
    <s v="SENTONG DAVID"/>
    <s v="UBP 298H"/>
    <s v="Kobusinge Steven-FPortal Tax No.: 1000977837"/>
    <n v="156"/>
    <s v="OM6OHK3RR"/>
    <s v="OM"/>
    <n v="304"/>
    <n v="302"/>
    <n v="-2"/>
    <m/>
    <d v="2025-04-28T13:57:00"/>
    <d v="2025-04-28T20:25:00"/>
    <d v="2025-04-28T14:23:00"/>
    <n v="-360.32407407013426"/>
    <n v="25.879629630556639"/>
    <m/>
    <d v="2025-04-29T07:54:00"/>
    <d v="2025-04-29T17:21:00"/>
    <n v="555.18749999384454"/>
    <s v="Reached late and offloaded the next day"/>
    <d v="2025-04-30T15:45:00"/>
    <d v="2025-04-30T16:23:00"/>
    <n v="37.208333331509493"/>
    <m/>
    <n v="2.0569444444408873"/>
    <n v="2"/>
    <n v="-5.694444444088731E-2"/>
    <n v="49.366666666581295"/>
    <n v="24"/>
    <n v="25.366666666581295"/>
    <n v="6.1498028909536799"/>
    <m/>
    <m/>
    <m/>
    <m/>
    <m/>
  </r>
  <r>
    <d v="2025-04-28T00:00:00"/>
    <x v="3"/>
    <s v="KESH"/>
    <s v="OM25R1ORR"/>
    <s v="DJ"/>
    <s v="IKWALIKWA YUSUF"/>
    <s v="UBP 311H"/>
    <s v="Rugoma Traders-Rukungiri Tax No.: 1000249350"/>
    <n v="156"/>
    <s v="OM25R1ORR"/>
    <s v="OM"/>
    <n v="256"/>
    <n v="254"/>
    <n v="-2"/>
    <m/>
    <d v="2025-04-27T21:55:00"/>
    <d v="2025-04-28T09:00:00"/>
    <d v="2025-04-27T22:49:00"/>
    <n v="-608.17129629722331"/>
    <n v="53.749999997914223"/>
    <s v="stock recon delays"/>
    <d v="2025-04-29T11:43:00"/>
    <d v="2025-04-29T17:09:00"/>
    <n v="319.20833333766495"/>
    <s v="found another truck to be offloaded"/>
    <d v="2025-04-30T15:00:00"/>
    <d v="2025-04-30T15:38:00"/>
    <n v="37.208333331509493"/>
    <m/>
    <n v="2.6743055555562023"/>
    <n v="2"/>
    <n v="-0.67430555555620231"/>
    <n v="64.183333333348855"/>
    <n v="24"/>
    <n v="40.183333333348855"/>
    <n v="3.8822065532958874"/>
    <m/>
    <m/>
    <m/>
    <m/>
    <m/>
  </r>
  <r>
    <d v="2025-04-28T00:00:00"/>
    <x v="3"/>
    <s v="KESH"/>
    <s v="OMB34F1RR"/>
    <s v="DJ"/>
    <s v="ALLEX TAIMWA"/>
    <s v="UBJ 705D"/>
    <s v="Kabaco U Ltd Tax No.: 1000025425"/>
    <n v="156"/>
    <s v="OMB34F1RR"/>
    <s v="OM"/>
    <n v="304"/>
    <n v="302"/>
    <n v="-2"/>
    <m/>
    <d v="2025-04-27T21:51:00"/>
    <d v="2025-04-28T09:00:00"/>
    <d v="2025-04-27T22:17:00"/>
    <n v="-640.02314814861165"/>
    <n v="25.879629630556639"/>
    <m/>
    <d v="2025-04-28T07:17:00"/>
    <d v="2025-04-28T12:21:00"/>
    <n v="297.66666666233505"/>
    <s v="Waited for empties from trade"/>
    <d v="2025-04-28T19:17:00"/>
    <d v="2025-04-28T19:58:00"/>
    <n v="40.145833330825553"/>
    <m/>
    <n v="0.875"/>
    <n v="2"/>
    <n v="1.125"/>
    <n v="21"/>
    <n v="0"/>
    <n v="21"/>
    <n v="7.4285714285714288"/>
    <m/>
    <m/>
    <m/>
    <m/>
    <m/>
  </r>
  <r>
    <d v="2025-04-28T00:00:00"/>
    <x v="3"/>
    <s v="NBL"/>
    <s v="OM3ZL69RR"/>
    <m/>
    <s v="Kilabila Ismail"/>
    <s v="UBE 419T"/>
    <s v="KATO INVESTMENTS LIMITED-MASAK Tax No.: 1000098824"/>
    <n v="153.6"/>
    <s v="OM3ZL69RR"/>
    <s v="OM"/>
    <n v="596"/>
    <n v="594"/>
    <n v="-2"/>
    <m/>
    <d v="2025-04-27T21:03:00"/>
    <d v="2025-04-28T10:00:00"/>
    <d v="2025-04-27T21:26:00"/>
    <n v="-750.50925925485592"/>
    <n v="22.893518520140788"/>
    <m/>
    <d v="2025-04-28T09:14:00"/>
    <d v="2025-04-28T13:23:00"/>
    <n v="243.81249999452848"/>
    <s v="Waited for empties from trade"/>
    <d v="2025-04-28T17:10:00"/>
    <d v="2025-04-28T17:50:00"/>
    <n v="39.166666671226267"/>
    <m/>
    <n v="0.82222222222480923"/>
    <n v="2"/>
    <n v="1.1777777777751908"/>
    <n v="19.733333333395422"/>
    <n v="0"/>
    <n v="19.733333333395422"/>
    <n v="7.7837837837592927"/>
    <m/>
    <m/>
    <m/>
    <m/>
    <m/>
  </r>
  <r>
    <d v="2025-04-28T00:00:00"/>
    <x v="3"/>
    <s v="NBL"/>
    <s v="OMKA99URR"/>
    <m/>
    <s v="Isaac Tumuhimbise"/>
    <s v="UBE 287X"/>
    <s v="KATO INVESTMENTS LTD- KALISIZO Tax No.: 1000098824"/>
    <n v="153.6"/>
    <s v="OMKA99URR"/>
    <s v="OM"/>
    <n v="288"/>
    <n v="286"/>
    <n v="-2"/>
    <m/>
    <d v="2025-04-27T20:43:00"/>
    <d v="2025-04-28T10:00:00"/>
    <d v="2025-04-27T21:11:00"/>
    <n v="-765.43981480693526"/>
    <n v="27.870370367357584"/>
    <m/>
    <d v="2025-04-28T14:30:00"/>
    <d v="2025-04-28T19:46:00"/>
    <n v="309.41666666985839"/>
    <s v="Waited for empties from trade"/>
    <d v="2025-04-29T12:39:00"/>
    <d v="2025-04-29T13:24:00"/>
    <n v="44.0625"/>
    <m/>
    <n v="1.6444444444423425"/>
    <n v="2"/>
    <n v="0.3555555555576575"/>
    <n v="39.46666666661622"/>
    <n v="12"/>
    <n v="27.46666666661622"/>
    <n v="5.5922330097190089"/>
    <m/>
    <m/>
    <m/>
    <m/>
    <m/>
  </r>
  <r>
    <d v="2025-04-29T00:00:00"/>
    <x v="3"/>
    <s v="NBL"/>
    <s v="OMS00DZRR"/>
    <m/>
    <s v="Abel Mark naffa"/>
    <s v="UBJ 415C"/>
    <s v="Kabaco U Ltd Tax No.: 1000025425"/>
    <n v="156"/>
    <s v="OMS00DZRR"/>
    <s v="OM"/>
    <n v="304"/>
    <n v="302"/>
    <n v="-2"/>
    <m/>
    <d v="2025-04-29T18:53:00"/>
    <d v="2025-04-29T02:22:00"/>
    <d v="2025-04-29T19:32:00"/>
    <n v="1025.2314814756876"/>
    <n v="38.819444445834961"/>
    <s v="found another truck waiting to be cleared at the gate"/>
    <d v="2025-04-30T12:45:00"/>
    <d v="2025-04-30T15:01:00"/>
    <n v="133.16666666985839"/>
    <m/>
    <d v="2025-04-30T15:38:00"/>
    <d v="2025-04-30T16:22:00"/>
    <n v="43.083333330141613"/>
    <m/>
    <n v="0.83750000000145519"/>
    <n v="2"/>
    <n v="1.1624999999985448"/>
    <n v="20.100000000034925"/>
    <n v="0"/>
    <n v="20.100000000034925"/>
    <n v="7.7611940298372613"/>
    <m/>
    <m/>
    <m/>
    <m/>
    <m/>
  </r>
  <r>
    <d v="2025-04-29T00:00:00"/>
    <x v="3"/>
    <s v="KESH"/>
    <s v="OM7ICJ0RR"/>
    <s v="DJ"/>
    <s v="Hassan Byashara"/>
    <s v="UBP 312H"/>
    <s v="Kobusinge Steven-FPortal Tax No.: 1000977837"/>
    <n v="156"/>
    <s v="OM7ICJ0RR"/>
    <s v="OM"/>
    <n v="304"/>
    <n v="302"/>
    <n v="-2"/>
    <m/>
    <d v="2025-04-29T12:42:00"/>
    <d v="2025-04-28T20:25:00"/>
    <d v="2025-04-29T13:24:00"/>
    <n v="1014.2824074076392"/>
    <n v="41.805555556250816"/>
    <s v="pressure balancing"/>
    <d v="2025-04-30T08:04:00"/>
    <d v="2025-05-01T10:59:00"/>
    <n v="1581.3541666712263"/>
    <s v="Reached late and offloaded the next day"/>
    <d v="2025-05-02T07:19:00"/>
    <d v="2025-05-02T08:03:00"/>
    <n v="43.083333330141613"/>
    <m/>
    <n v="2.7465277777737356"/>
    <n v="2"/>
    <n v="-0.74652777777373558"/>
    <n v="65.916666666569654"/>
    <n v="24"/>
    <n v="41.916666666569654"/>
    <n v="3.7216699801278978"/>
    <m/>
    <m/>
    <m/>
    <m/>
    <m/>
  </r>
  <r>
    <d v="2025-04-29T00:00:00"/>
    <x v="3"/>
    <s v="NBL"/>
    <s v="OM2XMCMRR"/>
    <m/>
    <s v="Stephen Musoke "/>
    <s v="UBJ 375N"/>
    <s v="Ntale &amp; Sons Tax No.: 1001371381"/>
    <n v="153.6"/>
    <s v="OM2XMCMRR"/>
    <s v="OM"/>
    <n v="810"/>
    <n v="808"/>
    <n v="-2"/>
    <m/>
    <d v="2025-04-29T08:53:00"/>
    <d v="2025-04-28T21:00:00"/>
    <d v="2025-04-29T09:21:00"/>
    <n v="737.56944443957764"/>
    <n v="27.870370367357584"/>
    <m/>
    <d v="2025-04-29T20:34:00"/>
    <d v="2025-04-30T11:49:00"/>
    <n v="895.9374999965803"/>
    <s v="less casuals and offloaded the next day"/>
    <d v="2025-05-01T18:39:00"/>
    <d v="2025-05-01T19:23:00"/>
    <n v="43.083333330141613"/>
    <m/>
    <n v="2.3875000000043656"/>
    <n v="3"/>
    <n v="0.61249999999563443"/>
    <n v="57.300000000104774"/>
    <n v="24"/>
    <n v="33.300000000104774"/>
    <n v="4.6126126125980997"/>
    <m/>
    <m/>
    <m/>
    <m/>
    <m/>
  </r>
  <r>
    <d v="2025-04-29T00:00:00"/>
    <x v="3"/>
    <s v="NBL"/>
    <s v="OMFM5UARR"/>
    <m/>
    <s v="Bisaso  Ronald"/>
    <s v="UBK 875R"/>
    <s v="KATO INVESTMENTS LTD- KALISIZO Tax No.: 1000098824"/>
    <n v="153.6"/>
    <s v="OMFM5UARR"/>
    <s v="OM"/>
    <n v="288"/>
    <n v="285"/>
    <n v="-3"/>
    <m/>
    <d v="2025-04-30T15:31:00"/>
    <d v="2025-04-30T03:43:00"/>
    <d v="2025-04-30T15:59:00"/>
    <n v="732.5925925923608"/>
    <n v="27.870370367357584"/>
    <m/>
    <d v="2025-04-29T10:06:00"/>
    <d v="2025-04-29T17:49:00"/>
    <n v="453.35416666712263"/>
    <s v="found another truck to be offloaded"/>
    <d v="2025-04-29T18:38:00"/>
    <d v="2025-04-29T19:18:00"/>
    <n v="39.166666671226267"/>
    <m/>
    <n v="-0.88958333333721384"/>
    <n v="2"/>
    <n v="2.8895833333372138"/>
    <n v="-21.350000000093132"/>
    <n v="-12"/>
    <n v="-9.3500000000931323"/>
    <n v="-16.427807486467383"/>
    <m/>
    <m/>
    <m/>
    <m/>
    <m/>
  </r>
  <r>
    <d v="2025-04-29T00:00:00"/>
    <x v="3"/>
    <s v="NBL"/>
    <s v="OM057N3RR"/>
    <m/>
    <s v="Luyaga Isaac"/>
    <s v="UAY 265V"/>
    <s v="KATO INVESTMENTS LIMITED-MASAK Tax No.: 1000098824"/>
    <n v="153.6"/>
    <s v="OM057N3RR"/>
    <s v="OM"/>
    <n v="596"/>
    <n v="594"/>
    <n v="-2"/>
    <m/>
    <d v="2025-04-29T14:47:00"/>
    <d v="2025-04-29T04:14:00"/>
    <d v="2025-04-29T15:10:00"/>
    <n v="652.96296296388994"/>
    <n v="22.893518520140788"/>
    <m/>
    <d v="2025-04-30T11:13:00"/>
    <d v="2025-04-30T13:04:00"/>
    <n v="108.68749999521242"/>
    <m/>
    <d v="2025-04-30T17:09:00"/>
    <d v="2025-04-30T18:01:00"/>
    <n v="50.916666668490507"/>
    <s v="found another truck waiting to offload"/>
    <n v="1.0826388888890506"/>
    <n v="2"/>
    <n v="0.91736111111094942"/>
    <n v="25.983333333337214"/>
    <n v="12"/>
    <n v="13.983333333337214"/>
    <n v="10.984505363524962"/>
    <m/>
    <m/>
    <m/>
    <m/>
    <m/>
  </r>
  <r>
    <d v="2025-04-29T00:00:00"/>
    <x v="3"/>
    <s v="NBL"/>
    <s v="OMX1BL3RR"/>
    <m/>
    <s v="Kilabila Ismail"/>
    <s v="UBE 419T"/>
    <s v="Ntale &amp; Sons -Kakiri Tax No.: 1001371381"/>
    <n v="156"/>
    <s v="OMX1BL3RR"/>
    <s v="OM"/>
    <n v="620"/>
    <n v="618"/>
    <n v="-2"/>
    <m/>
    <d v="2025-04-29T06:28:00"/>
    <d v="2025-04-29T01:59:00"/>
    <d v="2025-04-29T06:54:00"/>
    <n v="293.63425925694173"/>
    <n v="25.879629630556639"/>
    <m/>
    <d v="2025-04-29T16:52:00"/>
    <d v="2025-04-30T14:14:00"/>
    <n v="1255.2916666650708"/>
    <s v="Waited for empties from trade"/>
    <d v="2025-05-01T11:46:00"/>
    <d v="2025-05-01T12:36:00"/>
    <n v="48.958333328773733"/>
    <s v="fueling delays"/>
    <n v="2.202777777776646"/>
    <n v="3"/>
    <n v="0.79722222222335404"/>
    <n v="52.866666666639503"/>
    <n v="24"/>
    <n v="28.866666666639503"/>
    <n v="5.4041570438849931"/>
    <m/>
    <m/>
    <m/>
    <m/>
    <m/>
  </r>
  <r>
    <d v="2025-04-29T00:00:00"/>
    <x v="3"/>
    <s v="NBL"/>
    <s v="OMWRE4BRR"/>
    <m/>
    <s v="Bisaso  Ronald"/>
    <s v="UBK 875R"/>
    <s v="Kabaco U Ltd-Mbarara Tax No.: 1000025425"/>
    <n v="153.6"/>
    <s v="OMWRE4BRR"/>
    <s v="OM"/>
    <n v="20"/>
    <n v="18"/>
    <n v="-2"/>
    <m/>
    <d v="2025-04-29T09:03:00"/>
    <d v="2025-04-29T07:42:00"/>
    <d v="2025-04-29T09:26:00"/>
    <n v="103.51851852222656"/>
    <n v="22.893518520140788"/>
    <m/>
    <d v="2025-05-01T09:25:00"/>
    <d v="2025-05-01T13:22:00"/>
    <n v="232.06249999726424"/>
    <s v="space consquents"/>
    <d v="2025-05-02T10:55:00"/>
    <d v="2025-05-02T11:39:00"/>
    <n v="43.083333330141613"/>
    <m/>
    <n v="3.0618055555532919"/>
    <n v="1"/>
    <n v="-2.0618055555532919"/>
    <n v="73.483333333279006"/>
    <n v="36"/>
    <n v="37.483333333279006"/>
    <n v="4.0978212538965568"/>
    <m/>
    <m/>
    <m/>
    <m/>
    <m/>
  </r>
  <r>
    <d v="2025-04-29T00:00:00"/>
    <x v="3"/>
    <s v="KESH"/>
    <s v="OMIAU68RR"/>
    <s v="DJ"/>
    <s v="FRED LURE "/>
    <s v="UBP 310H"/>
    <s v="KATO INVESTMENTS LTD-KATIKARA Tax No.: 1000098824"/>
    <n v="156"/>
    <s v="OMIAU68RR"/>
    <s v="OM"/>
    <n v="790"/>
    <n v="788"/>
    <n v="-2"/>
    <m/>
    <d v="2025-04-29T13:11:00"/>
    <d v="2025-04-29T15:48:00"/>
    <d v="2025-04-29T13:38:00"/>
    <n v="-129.39814814235433"/>
    <n v="26.87500000417155"/>
    <m/>
    <d v="2025-04-30T15:43:00"/>
    <d v="2025-04-30T17:56:00"/>
    <n v="130.22916666028323"/>
    <m/>
    <d v="2025-05-02T18:49:00"/>
    <d v="2025-05-02T19:29:00"/>
    <n v="39.166666671226267"/>
    <m/>
    <n v="3.2159722222204437"/>
    <n v="3"/>
    <n v="-0.21597222222044365"/>
    <n v="77.183333333290648"/>
    <n v="36"/>
    <n v="41.183333333290648"/>
    <n v="3.7879401052244845"/>
    <m/>
    <m/>
    <m/>
    <m/>
    <m/>
  </r>
  <r>
    <d v="2025-04-29T00:00:00"/>
    <x v="3"/>
    <s v="NBL"/>
    <s v="OMJQKSSRR"/>
    <m/>
    <s v="Benon Ssempijja"/>
    <s v="UAY 526V"/>
    <s v="Kabaco U Ltd-Mbarara Tax No.: 1000025425"/>
    <n v="153.6"/>
    <s v="OMJQKSSRR"/>
    <s v="OM"/>
    <n v="20"/>
    <n v="18"/>
    <n v="-2"/>
    <m/>
    <d v="2025-04-29T17:53:00"/>
    <d v="2025-04-30T04:14:00"/>
    <d v="2025-04-29T18:16:00"/>
    <n v="-595.23148148194502"/>
    <n v="22.893518520140788"/>
    <m/>
    <d v="2025-04-28T19:51:00"/>
    <d v="2025-04-29T12:27:00"/>
    <n v="975.25000000889122"/>
    <s v="Waited for empties from trade"/>
    <d v="2025-04-29T13:06:00"/>
    <d v="2025-04-29T13:50:00"/>
    <n v="43.083333330141613"/>
    <m/>
    <n v="-0.21527777778101154"/>
    <n v="1"/>
    <n v="1.2152777777810115"/>
    <n v="-5.1666666667442769"/>
    <n v="-12"/>
    <n v="6.8333333332557231"/>
    <n v="22.478048780743102"/>
    <m/>
    <m/>
    <m/>
    <m/>
    <m/>
  </r>
  <r>
    <d v="2025-04-29T00:00:00"/>
    <x v="3"/>
    <s v="NBL"/>
    <s v="OMRG8AVRR"/>
    <m/>
    <s v="Konge Husein"/>
    <s v="UBJ 707D"/>
    <s v="KATO INVESTMENTS LIMITED-MASAK Tax No.: 1000098824"/>
    <n v="153.6"/>
    <s v="OMRG8AVRR"/>
    <s v="OM"/>
    <n v="596"/>
    <n v="594"/>
    <n v="-2"/>
    <m/>
    <d v="2025-04-28T15:57:00"/>
    <d v="2025-04-29T04:14:00"/>
    <d v="2025-04-28T16:25:00"/>
    <n v="-705.71759258818929"/>
    <n v="27.870370367357584"/>
    <m/>
    <d v="2025-04-28T20:50:00"/>
    <d v="2025-04-29T12:33:00"/>
    <n v="923.35416667054233"/>
    <s v="Waited for empties from trade"/>
    <d v="2025-04-29T17:37:00"/>
    <d v="2025-04-29T18:17:00"/>
    <n v="39.166666671226267"/>
    <m/>
    <n v="1.0499999999956344"/>
    <n v="2"/>
    <n v="0.95000000000436557"/>
    <n v="25.199999999895226"/>
    <n v="12"/>
    <n v="13.199999999895226"/>
    <n v="11.636363636455998"/>
    <m/>
    <m/>
    <m/>
    <m/>
    <m/>
  </r>
  <r>
    <d v="2025-04-29T00:00:00"/>
    <x v="3"/>
    <s v="NBL"/>
    <s v="OMH1NY4RR"/>
    <m/>
    <s v="Benon Ssempijja"/>
    <s v="UAY 526V"/>
    <s v="KATO INVESTMENTS LIMITED-MASAK Tax No.: 1000098824"/>
    <n v="153.6"/>
    <s v="OMH1NY4RR"/>
    <s v="OM"/>
    <n v="596"/>
    <n v="594"/>
    <n v="-2"/>
    <m/>
    <d v="2025-04-28T18:23:00"/>
    <d v="2025-04-29T07:42:00"/>
    <d v="2025-04-28T19:16:00"/>
    <n v="-742.54629629722331"/>
    <n v="52.75462963472819"/>
    <s v="pressure balancing"/>
    <d v="2025-04-29T22:34:00"/>
    <d v="2025-04-30T15:22:00"/>
    <n v="986.99999999589636"/>
    <s v="Reached late and offloaded the next day"/>
    <d v="2025-04-30T20:52:00"/>
    <d v="2025-04-30T21:33:00"/>
    <n v="40.145833330825553"/>
    <m/>
    <n v="2.0666666666656965"/>
    <n v="2"/>
    <n v="-6.6666666665696539E-2"/>
    <n v="49.599999999976717"/>
    <n v="24"/>
    <n v="25.599999999976717"/>
    <n v="6.000000000005457"/>
    <m/>
    <m/>
    <m/>
    <m/>
    <m/>
  </r>
  <r>
    <d v="2025-04-29T00:00:00"/>
    <x v="3"/>
    <s v="KESH"/>
    <s v="OM8RYWRRR"/>
    <s v="DJ"/>
    <s v="ALLEX TAIMWA"/>
    <s v="UBJ 705D"/>
    <s v="Kato Investment Ltd -Mityana Tax No.: 1000098824"/>
    <n v="156"/>
    <s v="OM8RYWRRR"/>
    <s v="OM"/>
    <n v="690"/>
    <n v="688"/>
    <n v="-2"/>
    <m/>
    <d v="2025-04-29T06:33:00"/>
    <d v="2025-04-29T19:35:00"/>
    <d v="2025-04-29T07:00:00"/>
    <n v="-751.50462962847087"/>
    <n v="26.87500000417155"/>
    <m/>
    <d v="2025-04-30T08:06:00"/>
    <d v="2025-04-30T18:15:00"/>
    <n v="596.31249999452848"/>
    <s v="Waited for empties from trade"/>
    <d v="2025-05-01T21:55:00"/>
    <d v="2025-05-01T22:39:00"/>
    <n v="43.083333330141613"/>
    <m/>
    <n v="2.6215277777810115"/>
    <n v="3"/>
    <n v="0.37847222221898846"/>
    <n v="62.916666666744277"/>
    <n v="24"/>
    <n v="38.916666666744277"/>
    <n v="4.0085653104845109"/>
    <m/>
    <m/>
    <m/>
    <m/>
    <m/>
  </r>
  <r>
    <d v="2025-04-30T00:00:00"/>
    <x v="3"/>
    <s v="KESH"/>
    <s v="OM5LI1BRR"/>
    <s v="DJ"/>
    <s v="SENTONGO GODFREY"/>
    <s v="UBR 864Y"/>
    <s v="Kato Investments Ltd-Bulenga Tax No.: 1000098824"/>
    <n v="156"/>
    <s v="OM5LI1BRR"/>
    <s v="OM"/>
    <n v="514"/>
    <n v="512"/>
    <n v="-2"/>
    <m/>
    <d v="2025-04-30T15:21:00"/>
    <d v="2025-04-29T22:00:00"/>
    <d v="2025-04-30T16:00:00"/>
    <n v="1075"/>
    <n v="38.819444445834961"/>
    <s v="found another truck waiting to be cleared at the gate"/>
    <d v="2025-05-01T10:43:00"/>
    <d v="2025-05-01T14:57:00"/>
    <n v="248.70833333356131"/>
    <s v="Waited for empties from trade"/>
    <d v="2025-05-03T06:43:00"/>
    <d v="2025-05-03T07:27:00"/>
    <n v="43.083333330141613"/>
    <m/>
    <n v="2.6131944444496185"/>
    <n v="3"/>
    <n v="0.38680555555038154"/>
    <n v="62.716666666790843"/>
    <n v="24"/>
    <n v="38.716666666790843"/>
    <n v="4.0292724924537149"/>
    <m/>
    <m/>
    <m/>
    <m/>
    <m/>
  </r>
  <r>
    <d v="2025-04-30T00:00:00"/>
    <x v="3"/>
    <s v="KESH"/>
    <s v="OMKHXMZRR"/>
    <s v="DJ"/>
    <s v="MBOGO BASHIR"/>
    <s v="UBR 903Y"/>
    <s v="Sawan Distributors Ltd-Nabingo Tax No.: 1000186379"/>
    <n v="156"/>
    <s v="OMKHXMZRR"/>
    <s v="OM"/>
    <n v="560"/>
    <n v="558"/>
    <n v="-2"/>
    <m/>
    <d v="2025-04-30T18:34:00"/>
    <d v="2025-04-30T02:30:00"/>
    <d v="2025-04-30T19:02:00"/>
    <n v="987.40740741389652"/>
    <n v="27.870370367357584"/>
    <m/>
    <d v="2025-05-01T07:22:00"/>
    <d v="2025-05-01T11:26:00"/>
    <n v="238.91666667601385"/>
    <s v="truck faulty"/>
    <d v="2025-05-03T10:41:00"/>
    <d v="2025-05-03T11:21:00"/>
    <n v="39.166666671226267"/>
    <m/>
    <n v="2.6520833333343035"/>
    <n v="2"/>
    <n v="-0.65208333333430346"/>
    <n v="63.650000000023283"/>
    <n v="24"/>
    <n v="39.650000000023283"/>
    <n v="3.9344262295058865"/>
    <m/>
    <m/>
    <m/>
    <m/>
    <m/>
  </r>
  <r>
    <d v="2025-04-30T00:00:00"/>
    <x v="3"/>
    <s v="NBL"/>
    <s v="OME2LBDRR"/>
    <m/>
    <s v="GODWIN  NIWENSIIMA"/>
    <s v="UAR 731Q"/>
    <s v="KATO INVESTMENTS LIMITED-MASAK Tax No.: 1000098824"/>
    <n v="153.6"/>
    <s v="OME2LBDRR"/>
    <s v="OM"/>
    <n v="596"/>
    <n v="594"/>
    <n v="-2"/>
    <m/>
    <d v="2025-04-30T16:58:00"/>
    <d v="2025-04-30T04:14:00"/>
    <d v="2025-04-30T17:21:00"/>
    <n v="783.35648147985921"/>
    <n v="22.893518520140788"/>
    <m/>
    <d v="2025-05-01T11:58:00"/>
    <d v="2025-05-01T16:14:00"/>
    <n v="250.66666666301899"/>
    <s v="Reached late and offloaded the next day"/>
    <d v="2025-05-02T11:31:00"/>
    <d v="2025-05-02T12:28:00"/>
    <n v="55.81249999726424"/>
    <s v="Fork Lift Breakdown"/>
    <n v="1.7569444444452529"/>
    <n v="2"/>
    <n v="0.24305555555474712"/>
    <n v="42.166666666686069"/>
    <n v="12"/>
    <n v="30.166666666686069"/>
    <n v="5.0917127071790453"/>
    <m/>
    <m/>
    <m/>
    <m/>
    <m/>
  </r>
  <r>
    <d v="2025-04-30T00:00:00"/>
    <x v="3"/>
    <s v="NBL"/>
    <s v="OMQP71FRR"/>
    <m/>
    <s v="ANGELO KYOSIGA "/>
    <s v="UAV 051U"/>
    <s v="Rugoma Traders-Kanungu/Kihihi Tax No.: 1000249350"/>
    <n v="153.6"/>
    <s v="OMQP71FRR"/>
    <s v="OM"/>
    <n v="272"/>
    <n v="270"/>
    <n v="-2"/>
    <m/>
    <d v="2025-04-30T11:07:00"/>
    <d v="2025-04-30T01:59:00"/>
    <d v="2025-04-30T11:30:00"/>
    <n v="568.3564814777734"/>
    <n v="22.893518520140788"/>
    <m/>
    <d v="2025-04-30T18:15:00"/>
    <d v="2025-05-01T13:11:00"/>
    <n v="1112.333333337665"/>
    <s v="found another truck to be offloaded"/>
    <d v="2025-05-01T18:45:00"/>
    <d v="2025-05-01T19:29:00"/>
    <n v="43.083333330141613"/>
    <m/>
    <n v="1.3020833333357587"/>
    <n v="2"/>
    <n v="0.69791666666424135"/>
    <n v="31.250000000058208"/>
    <n v="12"/>
    <n v="19.250000000058208"/>
    <n v="7.9792207791966518"/>
    <m/>
    <m/>
    <m/>
    <m/>
    <m/>
  </r>
  <r>
    <d v="2025-04-30T00:00:00"/>
    <x v="3"/>
    <s v="KESH"/>
    <s v="OMRUUIERR"/>
    <s v="DJ"/>
    <s v="ALIPA EREKU"/>
    <s v="UBK 858R"/>
    <s v="Kato Investment Ltd -Kagadi Tax No.: 1000098824"/>
    <n v="156"/>
    <s v="OMRUUIERR"/>
    <s v="OM"/>
    <n v="670"/>
    <n v="668"/>
    <n v="-2"/>
    <m/>
    <d v="2025-04-30T06:33:00"/>
    <d v="2025-04-29T22:00:00"/>
    <d v="2025-04-30T07:01:00"/>
    <n v="538.49537037361495"/>
    <n v="27.870370367357584"/>
    <m/>
    <d v="2025-05-01T08:48:00"/>
    <d v="2025-05-01T12:50:00"/>
    <n v="236.95833332603797"/>
    <s v="Waited for empties from trade"/>
    <d v="2025-05-02T11:28:00"/>
    <d v="2025-05-02T12:08:00"/>
    <n v="39.166666671226267"/>
    <m/>
    <n v="2.1854166666671517"/>
    <n v="2"/>
    <n v="-0.18541666666715173"/>
    <n v="52.450000000011642"/>
    <n v="24"/>
    <n v="28.450000000011642"/>
    <n v="5.4833040421770178"/>
    <m/>
    <m/>
    <m/>
    <m/>
    <m/>
  </r>
  <r>
    <d v="2025-04-30T00:00:00"/>
    <x v="3"/>
    <s v="NBL"/>
    <s v="OMJPTPBRR"/>
    <m/>
    <s v="Konge Husein"/>
    <s v="UBJ 707D"/>
    <s v="Rugoma Traders-Kanungu/Kihihi Tax No.: 1000249350"/>
    <n v="153.6"/>
    <s v="OMJPTPBRR"/>
    <s v="OM"/>
    <n v="272"/>
    <n v="270"/>
    <n v="-2"/>
    <m/>
    <d v="2025-04-30T04:50:00"/>
    <d v="2025-04-30T01:59:00"/>
    <d v="2025-04-30T05:44:00"/>
    <n v="223.95833333333334"/>
    <n v="53.749999997914223"/>
    <s v="DJ failures "/>
    <d v="2025-05-01T10:22:00"/>
    <d v="2025-05-01T17:45:00"/>
    <n v="433.77083334176859"/>
    <s v="Waited for empties from trade"/>
    <d v="2025-05-02T12:15:00"/>
    <d v="2025-05-02T13:06:00"/>
    <n v="49.93749999863212"/>
    <s v="found another truck waiting to offload"/>
    <n v="2.2715277777751908"/>
    <n v="2"/>
    <n v="-0.27152777777519077"/>
    <n v="54.516666666604578"/>
    <n v="24"/>
    <n v="30.516666666604578"/>
    <n v="5.0333151283554072"/>
    <m/>
    <m/>
    <m/>
    <m/>
    <m/>
  </r>
  <r>
    <d v="2025-04-30T00:00:00"/>
    <x v="3"/>
    <s v="KESH"/>
    <s v="OMOCYEXRR"/>
    <s v="DJ"/>
    <s v="MUKOSE MUZAMIRU"/>
    <s v="UBJ 417C"/>
    <s v="Kabaco U Ltd Tax No.: 1000025425"/>
    <n v="156"/>
    <s v="OMOCYEXRR"/>
    <s v="OM"/>
    <n v="304"/>
    <n v="303"/>
    <n v="-1"/>
    <m/>
    <d v="2025-04-29T20:55:00"/>
    <d v="2025-04-30T02:22:00"/>
    <d v="2025-04-29T21:37:00"/>
    <n v="-283.68055556250812"/>
    <n v="41.805555556250816"/>
    <s v="Pre-Trip inspection defect closure"/>
    <d v="2025-04-30T11:10:00"/>
    <d v="2025-04-30T15:40:00"/>
    <n v="264.375"/>
    <s v="Waited for empties from trade"/>
    <d v="2025-05-02T07:32:00"/>
    <d v="2025-05-02T08:14:00"/>
    <n v="41.12500000068394"/>
    <m/>
    <n v="2.4131944444452529"/>
    <n v="2"/>
    <n v="-0.41319444444525288"/>
    <n v="57.916666666686069"/>
    <n v="24"/>
    <n v="33.916666666686069"/>
    <n v="4.5995085995059686"/>
    <m/>
    <m/>
    <m/>
    <m/>
    <m/>
  </r>
  <r>
    <d v="2025-04-30T00:00:00"/>
    <x v="3"/>
    <s v="NBL"/>
    <s v="OMST1FTRR"/>
    <m/>
    <s v="Kabene John"/>
    <s v="UBA 523T"/>
    <s v="Sawan Distributors Ltd-Nabingo Tax No.: 1000186379"/>
    <n v="156"/>
    <s v="OMST1FTRR"/>
    <s v="OM"/>
    <n v="560"/>
    <n v="558"/>
    <n v="-2"/>
    <m/>
    <d v="2025-04-29T18:11:00"/>
    <d v="2025-04-30T02:30:00"/>
    <d v="2025-04-29T18:50:00"/>
    <n v="-457.87037037152913"/>
    <n v="38.819444445834961"/>
    <s v="found another truck waiting to be cleared at the gate"/>
    <d v="2025-04-30T14:02:00"/>
    <d v="2025-04-30T16:06:00"/>
    <n v="121.41666666233505"/>
    <m/>
    <d v="2025-05-01T18:01:00"/>
    <d v="2025-05-01T18:53:00"/>
    <n v="50.916666668490507"/>
    <s v="found another truck waiting to offload"/>
    <n v="1.9659722222277196"/>
    <n v="2"/>
    <n v="3.4027777772280388E-2"/>
    <n v="47.183333333465271"/>
    <n v="12"/>
    <n v="35.183333333465271"/>
    <n v="4.433917574592563"/>
    <m/>
    <m/>
    <m/>
    <m/>
    <m/>
  </r>
  <r>
    <d v="2025-04-30T00:00:00"/>
    <x v="3"/>
    <s v="NBL"/>
    <s v="OMNFEUWRR"/>
    <m/>
    <s v="Isaac Tumuhimbise"/>
    <s v="UBE 287X"/>
    <s v="Sawan Distributors Ltd-Kayabwe Tax No.: 1000186379"/>
    <n v="156"/>
    <s v="OMNFEUWRR"/>
    <s v="OM"/>
    <n v="382"/>
    <n v="380"/>
    <n v="-2"/>
    <m/>
    <d v="2025-04-29T17:09:00"/>
    <d v="2025-04-30T04:19:00"/>
    <d v="2025-04-29T17:32:00"/>
    <n v="-644.00462962221354"/>
    <n v="22.893518520140788"/>
    <m/>
    <d v="2025-04-30T12:44:00"/>
    <d v="2025-04-30T16:21:00"/>
    <n v="212.47916667191021"/>
    <s v="Reached late and offloaded the next day"/>
    <d v="2025-05-01T12:41:00"/>
    <d v="2025-05-01T13:21:00"/>
    <n v="39.166666671226267"/>
    <m/>
    <n v="1.7979166666627862"/>
    <n v="2"/>
    <n v="0.20208333333721384"/>
    <n v="43.149999999906868"/>
    <n v="12"/>
    <n v="31.149999999906868"/>
    <n v="5.0080256821979585"/>
    <m/>
    <m/>
    <m/>
    <m/>
    <m/>
  </r>
  <r>
    <d v="2025-05-01T00:00:00"/>
    <x v="4"/>
    <s v="KESH"/>
    <s v="OMCM4MYRR"/>
    <s v="DJ"/>
    <s v="SENTONG DAVID"/>
    <s v="UBP 298H"/>
    <s v="Boniface Harera Tax No.: 1000317747"/>
    <n v="156"/>
    <s v="OMCM4MYRR"/>
    <s v="OM"/>
    <n v="448"/>
    <n v="446"/>
    <n v="-2"/>
    <m/>
    <d v="2025-05-02T09:56:00"/>
    <d v="2025-05-01T01:30:00"/>
    <d v="2025-05-02T10:38:00"/>
    <n v="1978.7962963013949"/>
    <n v="41.805555556250816"/>
    <s v="Water top up"/>
    <d v="2025-05-03T07:42:00"/>
    <d v="2025-05-03T12:48:00"/>
    <n v="299.62500000205182"/>
    <s v="found another truck to be offloaded"/>
    <d v="2025-05-04T09:20:00"/>
    <d v="2025-05-04T10:01:00"/>
    <n v="40.145833330825553"/>
    <m/>
    <n v="1.9458333333313931"/>
    <n v="2"/>
    <n v="5.4166666668606922E-2"/>
    <n v="46.699999999953434"/>
    <n v="12"/>
    <n v="34.699999999953434"/>
    <n v="4.495677233435428"/>
    <m/>
    <m/>
    <m/>
    <m/>
    <m/>
  </r>
  <r>
    <d v="2025-05-01T00:00:00"/>
    <x v="4"/>
    <s v="KESH"/>
    <s v="OMEF5NKRR"/>
    <s v="DJ"/>
    <s v="ABDUL NASSER NTENDE"/>
    <s v="UBR 900Y"/>
    <s v="Kobusinge Steven-Kamwenge Tax No.: 1000977837"/>
    <n v="156"/>
    <s v="OMEF5NKRR"/>
    <s v="OM"/>
    <n v="228"/>
    <n v="227"/>
    <n v="-1"/>
    <m/>
    <d v="2025-05-02T10:56:00"/>
    <d v="2025-05-01T03:17:00"/>
    <d v="2025-05-02T11:19:00"/>
    <n v="1913.1018518513883"/>
    <n v="22.893518520140788"/>
    <m/>
    <d v="2025-05-02T18:13:00"/>
    <d v="2025-05-02T20:25:00"/>
    <n v="129.25000000068394"/>
    <m/>
    <d v="2025-05-03T07:01:00"/>
    <d v="2025-05-03T07:41:00"/>
    <n v="39.166666671226267"/>
    <m/>
    <n v="0.82083333333139308"/>
    <n v="2"/>
    <n v="1.1791666666686069"/>
    <n v="19.699999999953434"/>
    <n v="0"/>
    <n v="19.699999999953434"/>
    <n v="7.918781725907043"/>
    <m/>
    <m/>
    <m/>
    <m/>
    <m/>
  </r>
  <r>
    <d v="2025-05-01T00:00:00"/>
    <x v="4"/>
    <s v="KESH"/>
    <s v="OMQHJHCRR"/>
    <s v="DJ"/>
    <s v="KYAPA AKIMU"/>
    <s v="UBR 899Y"/>
    <s v="Kato Investments Ltd- Kyegegwa Tax No.: 1000098824"/>
    <n v="156"/>
    <s v="OMQHJHCRR"/>
    <s v="OM"/>
    <n v="600"/>
    <n v="598"/>
    <n v="-2"/>
    <m/>
    <d v="2025-04-30T15:05:00"/>
    <d v="2025-04-30T20:24:00"/>
    <d v="2025-04-30T15:31:00"/>
    <n v="-291.64351852014079"/>
    <n v="25.879629630556639"/>
    <m/>
    <d v="2025-05-01T18:42:00"/>
    <d v="2025-05-02T10:54:00"/>
    <n v="951.75000000410364"/>
    <s v="Waited for empties from trade"/>
    <d v="2025-05-02T22:14:00"/>
    <d v="2025-05-02T22:58:00"/>
    <n v="43.083333330141613"/>
    <m/>
    <n v="2.2798611111138598"/>
    <n v="2"/>
    <n v="-0.27986111111385981"/>
    <n v="54.716666666732635"/>
    <n v="24"/>
    <n v="30.716666666732635"/>
    <n v="5.0786760716114481"/>
    <m/>
    <m/>
    <m/>
    <m/>
    <m/>
  </r>
  <r>
    <d v="2025-05-01T00:00:00"/>
    <x v="4"/>
    <s v="KESH"/>
    <s v="OMIDFUGRR"/>
    <s v="DJ"/>
    <s v="Tumwine Jimmy"/>
    <s v="UBR 863Y"/>
    <s v="Rugoma Traders-Rukungiri Tax No.: 1000249350"/>
    <n v="156"/>
    <s v="OMIDFUGRR"/>
    <s v="OM"/>
    <n v="256"/>
    <n v="254"/>
    <n v="-2"/>
    <m/>
    <d v="2025-04-30T16:39:00"/>
    <d v="2025-05-01T04:04:00"/>
    <d v="2025-04-30T17:02:00"/>
    <n v="-658.93518518472172"/>
    <n v="22.893518520140788"/>
    <m/>
    <d v="2025-05-01T08:49:00"/>
    <d v="2025-05-01T13:58:00"/>
    <n v="302.56250000136788"/>
    <s v="space consquents"/>
    <d v="2025-05-02T12:18:00"/>
    <d v="2025-05-02T13:02:00"/>
    <n v="43.083333330141613"/>
    <m/>
    <n v="1.8027777777751908"/>
    <n v="2"/>
    <n v="0.19722222222480923"/>
    <n v="43.266666666604578"/>
    <n v="12"/>
    <n v="31.266666666604578"/>
    <n v="4.9893390191996732"/>
    <m/>
    <m/>
    <m/>
    <m/>
    <m/>
  </r>
  <r>
    <d v="2025-05-02T00:00:00"/>
    <x v="4"/>
    <s v="NBL"/>
    <s v="OMHJ7FFRR"/>
    <m/>
    <s v="Tumusiime Robert"/>
    <s v="UBJ 988D"/>
    <s v="Rugoma Traders-Rukungiri Tax No.: 1000249350"/>
    <n v="156"/>
    <s v="OMHJ7FFRR"/>
    <s v="OM"/>
    <n v="256"/>
    <n v="254"/>
    <n v="-2"/>
    <m/>
    <d v="2025-05-02T17:50:00"/>
    <d v="2025-05-02T04:04:00"/>
    <d v="2025-05-02T18:32:00"/>
    <n v="863.98148148194502"/>
    <n v="41.805555556250816"/>
    <s v="stock recon delays"/>
    <d v="2025-05-03T11:06:00"/>
    <d v="2025-05-03T16:42:00"/>
    <n v="328.99999999521242"/>
    <s v="Reached late and offloaded the next day"/>
    <d v="2025-05-04T10:41:00"/>
    <d v="2025-05-04T11:23:00"/>
    <n v="41.12500000068394"/>
    <m/>
    <n v="1.6729166666700621"/>
    <n v="2"/>
    <n v="0.32708333332993789"/>
    <n v="40.150000000081491"/>
    <n v="12"/>
    <n v="28.150000000081491"/>
    <n v="5.5417406749395521"/>
    <m/>
    <m/>
    <m/>
    <m/>
    <m/>
  </r>
  <r>
    <d v="2025-05-02T00:00:00"/>
    <x v="4"/>
    <s v="NBL"/>
    <s v="OMW972ORR"/>
    <m/>
    <s v="Kilabila Ismail"/>
    <s v="UBE 419T"/>
    <s v="Kabaco U Ltd-Mbarara Tax No.: 1000025425"/>
    <n v="153.6"/>
    <s v="OMW972ORR"/>
    <s v="OM"/>
    <n v="20"/>
    <n v="18"/>
    <n v="-2"/>
    <m/>
    <d v="2025-05-02T09:19:00"/>
    <d v="2025-05-02T07:42:00"/>
    <d v="2025-05-02T09:58:00"/>
    <n v="135.37037037361492"/>
    <n v="38.819444445834961"/>
    <s v="DJ failures "/>
    <d v="2025-05-02T15:38:00"/>
    <d v="2025-05-02T18:34:00"/>
    <n v="172.33333333082555"/>
    <m/>
    <d v="2025-05-03T12:33:00"/>
    <d v="2025-05-03T13:23:00"/>
    <n v="48.958333328773733"/>
    <s v="beer topup delays"/>
    <n v="1.1076388888905058"/>
    <n v="1"/>
    <n v="-0.10763888889050577"/>
    <n v="26.583333333372138"/>
    <n v="12"/>
    <n v="14.583333333372138"/>
    <n v="10.532571428543402"/>
    <m/>
    <m/>
    <m/>
    <m/>
    <m/>
  </r>
  <r>
    <d v="2025-05-02T00:00:00"/>
    <x v="4"/>
    <s v="NBL"/>
    <s v="OM8P74HRR"/>
    <m/>
    <s v="Benon Ssempijja"/>
    <s v="UAY 526V"/>
    <s v="KATO INVESTMENTS LTD- KALISIZO Tax No.: 1000098824"/>
    <n v="153.6"/>
    <s v="OM8P74HRR"/>
    <s v="OM"/>
    <n v="288"/>
    <n v="286"/>
    <n v="-2"/>
    <m/>
    <d v="2025-05-01T21:44:00"/>
    <d v="2025-05-02T03:43:00"/>
    <d v="2025-05-01T22:22:00"/>
    <n v="-319.51388889792725"/>
    <n v="37.82407407222005"/>
    <s v="Pre-Trip inspection defect closure"/>
    <d v="2025-05-02T09:22:00"/>
    <d v="2025-05-02T12:49:00"/>
    <n v="202.68750000410364"/>
    <s v="truck faulty"/>
    <d v="2025-05-03T18:14:00"/>
    <d v="2025-05-03T19:11:00"/>
    <n v="55.81249999726424"/>
    <s v="found another truck waiting to offload"/>
    <n v="1.8277777777839219"/>
    <n v="2"/>
    <n v="0.17222222221607808"/>
    <n v="43.866666666814126"/>
    <n v="12"/>
    <n v="31.866666666814126"/>
    <n v="4.8200836819860635"/>
    <m/>
    <m/>
    <m/>
    <m/>
    <m/>
  </r>
  <r>
    <d v="2025-05-03T00:00:00"/>
    <x v="4"/>
    <s v="NBL"/>
    <s v="OMJE4I6RR"/>
    <m/>
    <s v="Isaac Tumuhimbise"/>
    <s v="UBE 287X"/>
    <s v="Kabaco U Ltd Tax No.: 1000025425"/>
    <n v="156"/>
    <s v="OMJE4I6RR"/>
    <s v="OM"/>
    <n v="304"/>
    <n v="302"/>
    <n v="-2"/>
    <m/>
    <d v="2025-05-03T14:47:00"/>
    <d v="2025-05-03T02:22:00"/>
    <d v="2025-05-03T15:14:00"/>
    <n v="768.42592592777999"/>
    <n v="26.87500000417155"/>
    <m/>
    <d v="2025-05-04T09:45:00"/>
    <d v="2025-05-04T13:27:00"/>
    <n v="217.37500000068394"/>
    <s v="Reached late and offloaded the next day"/>
    <d v="2025-05-04T16:21:00"/>
    <d v="2025-05-04T17:03:00"/>
    <n v="41.12500000068394"/>
    <m/>
    <n v="1.046527777776646"/>
    <n v="2"/>
    <n v="0.95347222222335404"/>
    <n v="25.116666666639503"/>
    <n v="12"/>
    <n v="13.116666666639503"/>
    <n v="11.893265565463004"/>
    <m/>
    <m/>
    <m/>
    <m/>
    <m/>
  </r>
  <r>
    <d v="2025-05-03T00:00:00"/>
    <x v="4"/>
    <s v="NBL"/>
    <s v="OMTODWZRR"/>
    <m/>
    <s v="James  Kironde"/>
    <s v="UBK 881R"/>
    <s v="Kobusinge Steven-Kamwenge Tax No.: 1000977837"/>
    <n v="156"/>
    <s v="OMTODWZRR"/>
    <s v="OM"/>
    <n v="228"/>
    <n v="227"/>
    <n v="-1"/>
    <m/>
    <d v="2025-05-03T15:28:00"/>
    <d v="2025-05-03T03:17:00"/>
    <d v="2025-05-03T15:51:00"/>
    <n v="750.50925925485592"/>
    <n v="22.893518520140788"/>
    <m/>
    <d v="2025-05-03T18:52:00"/>
    <d v="2025-05-04T14:30:00"/>
    <n v="1153.4583333280898"/>
    <s v="Waited for empties from trade"/>
    <d v="2025-05-04T17:31:00"/>
    <d v="2025-05-04T18:15:00"/>
    <n v="43.083333330141613"/>
    <m/>
    <n v="1.0694444444452529"/>
    <n v="2"/>
    <n v="0.93055555555474712"/>
    <n v="25.666666666686069"/>
    <n v="12"/>
    <n v="13.666666666686069"/>
    <n v="11.414634146325257"/>
    <m/>
    <m/>
    <m/>
    <m/>
    <m/>
  </r>
  <r>
    <d v="2025-05-03T00:00:00"/>
    <x v="4"/>
    <s v="NBL"/>
    <s v="OMYD4DGRR"/>
    <m/>
    <s v="ANGELO KYOSIGA "/>
    <s v="UAV 051U"/>
    <s v="KATO INVESTMENTS LIMITED-MASAK Tax No.: 1000098824"/>
    <n v="153.6"/>
    <s v="OMYD4DGRR"/>
    <s v="OM"/>
    <n v="596"/>
    <n v="594"/>
    <n v="-2"/>
    <m/>
    <d v="2025-05-03T14:07:00"/>
    <d v="2025-05-03T04:14:00"/>
    <d v="2025-05-03T14:49:00"/>
    <n v="632.06018518055009"/>
    <n v="41.805555556250816"/>
    <s v="pressure balancing"/>
    <d v="2025-05-03T19:24:00"/>
    <d v="2025-05-04T12:28:00"/>
    <n v="1002.666666662335"/>
    <s v="Waited for empties from trade"/>
    <d v="2025-05-04T16:39:00"/>
    <d v="2025-05-04T17:23:00"/>
    <n v="43.083333330141613"/>
    <m/>
    <n v="1.0763888888905058"/>
    <n v="2"/>
    <n v="0.92361111110949423"/>
    <n v="25.833333333372138"/>
    <n v="12"/>
    <n v="13.833333333372138"/>
    <n v="11.103614457800177"/>
    <m/>
    <m/>
    <m/>
    <m/>
    <m/>
  </r>
  <r>
    <d v="2025-05-03T00:00:00"/>
    <x v="4"/>
    <s v="NBL"/>
    <s v="OMNCN9GRR"/>
    <m/>
    <s v="GODWIN  NIWENSIIMA"/>
    <s v="UAR 731Q"/>
    <s v="KATO INVESTMENTS LIMITED-MASAK Tax No.: 1000098824"/>
    <n v="153.6"/>
    <s v="OMNCN9GRR"/>
    <s v="OM"/>
    <n v="596"/>
    <n v="595"/>
    <n v="-1"/>
    <m/>
    <d v="2025-05-03T13:19:00"/>
    <d v="2025-05-03T04:14:00"/>
    <d v="2025-05-03T14:01:00"/>
    <n v="584.28240740346757"/>
    <n v="41.805555556250816"/>
    <s v="Water top up"/>
    <d v="2025-05-03T16:58:00"/>
    <d v="2025-05-03T19:37:00"/>
    <n v="155.68750000478758"/>
    <m/>
    <d v="2025-05-04T15:19:00"/>
    <d v="2025-05-04T16:03:00"/>
    <n v="43.083333330141613"/>
    <m/>
    <n v="1.0541666666686069"/>
    <n v="2"/>
    <n v="0.94583333333139308"/>
    <n v="25.300000000046566"/>
    <n v="12"/>
    <n v="13.300000000046566"/>
    <n v="11.548872180410692"/>
    <m/>
    <m/>
    <m/>
    <m/>
    <m/>
  </r>
  <r>
    <d v="2025-05-03T00:00:00"/>
    <x v="4"/>
    <s v="NBL"/>
    <s v="OM8QEKHRR"/>
    <m/>
    <s v="Bisaso  Ronald"/>
    <s v="UBK 875R"/>
    <s v="Kabaco U Ltd Tax No.: 1000025425"/>
    <n v="156"/>
    <s v="OM8QEKHRR"/>
    <s v="OM"/>
    <n v="304"/>
    <n v="302"/>
    <n v="-2"/>
    <m/>
    <d v="2025-05-03T11:10:00"/>
    <d v="2025-05-03T02:22:00"/>
    <d v="2025-05-03T11:37:00"/>
    <n v="552.43055555207923"/>
    <n v="26.87500000417155"/>
    <m/>
    <d v="2025-05-03T18:39:00"/>
    <d v="2025-05-04T14:03:00"/>
    <n v="1139.7500000013679"/>
    <s v="Reached late and offloaded the next day"/>
    <d v="2025-05-05T10:36:00"/>
    <d v="2025-05-05T11:20:00"/>
    <n v="43.083333330141613"/>
    <m/>
    <n v="1.9576388888890506"/>
    <n v="2"/>
    <n v="4.2361111110949423E-2"/>
    <n v="46.983333333337214"/>
    <n v="12"/>
    <n v="34.983333333337214"/>
    <n v="4.459266317293455"/>
    <m/>
    <m/>
    <m/>
    <m/>
    <m/>
  </r>
  <r>
    <d v="2025-05-03T00:00:00"/>
    <x v="4"/>
    <s v="NBL"/>
    <s v="OMKRZYYRR"/>
    <m/>
    <s v="Konge Husein"/>
    <s v="UBJ 707D"/>
    <s v="Kabaco U Ltd-Mbarara Tax No.: 1000025425"/>
    <n v="153.6"/>
    <s v="OMKRZYYRR"/>
    <s v="OM"/>
    <n v="20"/>
    <n v="18"/>
    <n v="-2"/>
    <m/>
    <d v="2025-05-03T15:27:00"/>
    <d v="2025-05-03T07:42:00"/>
    <d v="2025-05-03T15:56:00"/>
    <n v="491.71296297014732"/>
    <n v="28.865740740972495"/>
    <m/>
    <d v="2025-05-03T16:51:00"/>
    <d v="2025-05-03T19:53:00"/>
    <n v="178.20833333971677"/>
    <m/>
    <d v="2025-05-03T20:29:00"/>
    <d v="2025-05-03T21:11:00"/>
    <n v="41.12500000068394"/>
    <m/>
    <n v="0.18958333333284827"/>
    <n v="1"/>
    <n v="0.81041666666715173"/>
    <n v="4.5499999999883585"/>
    <n v="0"/>
    <n v="4.5499999999883585"/>
    <n v="33.758241758328133"/>
    <m/>
    <m/>
    <m/>
    <m/>
    <m/>
  </r>
  <r>
    <d v="2025-05-03T00:00:00"/>
    <x v="4"/>
    <s v="NBL"/>
    <s v="OMD1KP8RR"/>
    <m/>
    <s v="Luyaga Isaac"/>
    <s v="UAY 265V"/>
    <s v="Kabaco U Ltd-Mbarara Tax No.: 1000025425"/>
    <n v="153.6"/>
    <s v="OMD1KP8RR"/>
    <s v="OM"/>
    <n v="20"/>
    <n v="19"/>
    <n v="-1"/>
    <m/>
    <d v="2025-05-02T16:04:00"/>
    <d v="2025-05-02T14:50:00"/>
    <d v="2025-05-02T16:46:00"/>
    <n v="115.46296296388998"/>
    <n v="41.805555556250816"/>
    <s v="network failures"/>
    <d v="2025-05-03T08:56:00"/>
    <d v="2025-05-03T14:37:00"/>
    <n v="333.89583333424525"/>
    <s v="Waited for empties from trade"/>
    <d v="2025-05-04T10:28:00"/>
    <d v="2025-05-04T11:19:00"/>
    <n v="49.93749999863212"/>
    <s v="dj failures at the gate"/>
    <n v="1.7375000000029104"/>
    <n v="1"/>
    <n v="-0.73750000000291038"/>
    <n v="41.700000000069849"/>
    <n v="12"/>
    <n v="29.700000000069849"/>
    <n v="5.1717171717050086"/>
    <m/>
    <m/>
    <m/>
    <m/>
    <m/>
  </r>
  <r>
    <d v="2025-05-04T00:00:00"/>
    <x v="4"/>
    <s v="NBL"/>
    <s v="OM70RU0RR"/>
    <m/>
    <s v="GODWIN  NIWENSIIMA"/>
    <s v="UAR 731Q"/>
    <s v="KATO INVESTMENTS LIMITED-MASAK Tax No.: 1000098824"/>
    <n v="153.6"/>
    <s v="OM70RU0RR"/>
    <s v="OM"/>
    <n v="596"/>
    <n v="594"/>
    <n v="-2"/>
    <m/>
    <d v="2025-05-04T17:19:00"/>
    <d v="2025-05-04T10:00:00"/>
    <d v="2025-05-04T18:01:00"/>
    <n v="478.77314815486898"/>
    <n v="41.805555556250816"/>
    <s v="DJ failures "/>
    <d v="2025-05-05T15:18:00"/>
    <d v="2025-05-05T19:04:00"/>
    <n v="221.29166666985839"/>
    <s v="Waited for empties from trade"/>
    <d v="2025-05-06T15:33:00"/>
    <d v="2025-05-06T16:24:00"/>
    <n v="49.93749999863212"/>
    <s v="sorting delays"/>
    <n v="1.8972222222218988"/>
    <n v="2"/>
    <n v="0.10277777777810115"/>
    <n v="45.533333333325572"/>
    <n v="12"/>
    <n v="33.533333333325572"/>
    <n v="4.5805168986094102"/>
    <m/>
    <m/>
    <m/>
    <m/>
    <m/>
  </r>
  <r>
    <d v="2025-05-04T00:00:00"/>
    <x v="4"/>
    <s v="NBL"/>
    <s v="OMZSCWGRR"/>
    <m/>
    <s v="Kabene John"/>
    <s v="UBA 523T"/>
    <s v="Kabaco U Ltd Tax No.: 1000025425"/>
    <n v="156"/>
    <s v="OMZSCWGRR"/>
    <s v="OM"/>
    <n v="304"/>
    <n v="302"/>
    <n v="-2"/>
    <m/>
    <d v="2025-05-05T09:29:00"/>
    <d v="2025-05-05T02:22:00"/>
    <d v="2025-05-05T09:58:00"/>
    <n v="453.88888888749835"/>
    <n v="28.865740740972495"/>
    <m/>
    <d v="2025-05-05T15:38:00"/>
    <d v="2025-05-06T11:41:00"/>
    <n v="1177.9375000027358"/>
    <s v="Waited for empties from trade"/>
    <d v="2025-05-06T17:41:00"/>
    <d v="2025-05-06T18:23:00"/>
    <n v="41.12500000068394"/>
    <m/>
    <n v="1.3215277777781012"/>
    <n v="2"/>
    <n v="0.67847222222189885"/>
    <n v="31.716666666674428"/>
    <n v="12"/>
    <n v="19.716666666674428"/>
    <n v="7.9120879120847976"/>
    <m/>
    <m/>
    <m/>
    <m/>
    <m/>
  </r>
  <r>
    <d v="2025-05-04T00:00:00"/>
    <x v="4"/>
    <s v="NBL"/>
    <s v="OM07JP6RR"/>
    <m/>
    <s v="Tumusiime Robert"/>
    <s v="UBJ 988D"/>
    <s v="KATO INVESTMENTS LIMITED-MASAK Tax No.: 1000098824"/>
    <n v="153.6"/>
    <s v="OM07JP6RR"/>
    <s v="OM"/>
    <n v="596"/>
    <n v="594"/>
    <n v="-2"/>
    <m/>
    <d v="2025-05-04T14:35:00"/>
    <d v="2025-05-04T10:00:00"/>
    <d v="2025-05-04T14:58:00"/>
    <n v="296.62037037778646"/>
    <n v="22.893518520140788"/>
    <m/>
    <d v="2025-05-05T09:45:00"/>
    <d v="2025-05-05T13:32:00"/>
    <n v="222.27083332945767"/>
    <s v="truck faulty"/>
    <d v="2025-05-05T18:32:00"/>
    <d v="2025-05-05T19:16:00"/>
    <n v="43.083333330141613"/>
    <m/>
    <n v="1.148611111108039"/>
    <n v="2"/>
    <n v="0.85138888889196096"/>
    <n v="27.566666666592937"/>
    <n v="12"/>
    <n v="15.566666666592937"/>
    <n v="9.8672376874129011"/>
    <m/>
    <m/>
    <m/>
    <m/>
    <m/>
  </r>
  <r>
    <d v="2025-05-04T00:00:00"/>
    <x v="4"/>
    <s v="NBL"/>
    <s v="OMQDV1RRR"/>
    <m/>
    <s v="Konge Husein"/>
    <s v="UBJ 707D"/>
    <s v="KATO INVESTMENTS LTD- KALISIZO Tax No.: 1000098824"/>
    <n v="153.6"/>
    <s v="OMQDV1RRR"/>
    <s v="OM"/>
    <n v="288"/>
    <n v="286"/>
    <n v="-2"/>
    <m/>
    <d v="2025-05-04T11:32:00"/>
    <d v="2025-05-04T08:00:00"/>
    <d v="2025-05-04T12:26:00"/>
    <n v="264.76851851596922"/>
    <n v="53.749999997914223"/>
    <s v="DJ failures "/>
    <d v="2025-05-04T18:39:00"/>
    <d v="2025-05-05T13:27:00"/>
    <n v="1104.4999999993161"/>
    <s v="Reached late and offloaded the next day"/>
    <d v="2025-05-08T08:42:00"/>
    <d v="2025-05-08T09:26:00"/>
    <n v="43.083333330141613"/>
    <m/>
    <n v="3.8444444444467081"/>
    <n v="2"/>
    <n v="-1.8444444444467081"/>
    <n v="92.266666666720994"/>
    <n v="36"/>
    <n v="56.266666666720994"/>
    <n v="2.7298578199025774"/>
    <m/>
    <m/>
    <m/>
    <m/>
    <m/>
  </r>
  <r>
    <d v="2025-05-04T00:00:00"/>
    <x v="4"/>
    <s v="NBL"/>
    <s v="OMC7P3QRR"/>
    <m/>
    <s v="Luyaga Isaac"/>
    <s v="UAY 265V"/>
    <s v="Sawan Distributors Ltd-Kayabwe Tax No.: 1000186379"/>
    <n v="156"/>
    <s v="OMC7P3QRR"/>
    <s v="OM"/>
    <n v="382"/>
    <n v="380"/>
    <n v="-2"/>
    <m/>
    <d v="2025-05-04T13:29:00"/>
    <d v="2025-05-04T10:00:00"/>
    <d v="2025-05-04T13:57:00"/>
    <n v="235.90277778542563"/>
    <n v="27.870370367357584"/>
    <m/>
    <d v="2025-05-05T12:13:00"/>
    <d v="2025-05-05T15:16:00"/>
    <n v="179.18749999931606"/>
    <m/>
    <d v="2025-05-07T18:24:00"/>
    <d v="2025-05-07T19:15:00"/>
    <n v="49.93749999863212"/>
    <s v="found another truck waiting to offload"/>
    <n v="3.1854166666671517"/>
    <n v="2"/>
    <n v="-1.1854166666671517"/>
    <n v="76.450000000011642"/>
    <n v="36"/>
    <n v="40.450000000011642"/>
    <n v="3.8566131025946873"/>
    <m/>
    <m/>
    <m/>
    <m/>
    <m/>
  </r>
  <r>
    <d v="2025-05-04T00:00:00"/>
    <x v="4"/>
    <s v="KESH"/>
    <s v="OM2F84ZRR"/>
    <s v="DJ"/>
    <s v="Hassan Byashara"/>
    <s v="UBP 312H"/>
    <s v="Bates Enterprises U Ltd Tax No.: 1001193253"/>
    <n v="156"/>
    <s v="OM2F84ZRR"/>
    <s v="OM"/>
    <n v="524"/>
    <n v="523"/>
    <n v="-1"/>
    <m/>
    <d v="2025-05-03T17:46:00"/>
    <d v="2025-05-03T17:12:00"/>
    <d v="2025-05-03T18:15:00"/>
    <n v="62.708333329161782"/>
    <n v="28.865740740972495"/>
    <m/>
    <d v="2025-05-04T13:34:00"/>
    <d v="2025-05-06T14:24:00"/>
    <n v="2868.9583333287737"/>
    <s v="found another truck to be offloaded"/>
    <d v="2025-05-07T08:09:00"/>
    <d v="2025-05-07T08:53:00"/>
    <n v="43.083333330141613"/>
    <m/>
    <n v="3.5791666666700621"/>
    <n v="3"/>
    <n v="-0.57916666667006211"/>
    <n v="85.900000000081491"/>
    <n v="36"/>
    <n v="49.900000000081491"/>
    <n v="3.1262525050049148"/>
    <m/>
    <m/>
    <m/>
    <m/>
    <m/>
  </r>
  <r>
    <d v="2025-05-04T00:00:00"/>
    <x v="4"/>
    <s v="KESH"/>
    <s v="OMKEKPURR"/>
    <s v="DJ"/>
    <s v="ZIWA ABASI"/>
    <s v="UBJ 420C"/>
    <s v="Boniface Harera Tax No.: 1000317747"/>
    <n v="156"/>
    <s v="OMKEKPURR"/>
    <s v="OM"/>
    <n v="448"/>
    <n v="446"/>
    <n v="-2"/>
    <m/>
    <d v="2025-05-03T18:43:00"/>
    <d v="2025-05-04T01:30:00"/>
    <d v="2025-05-03T19:12:00"/>
    <n v="-376.24999999582843"/>
    <n v="28.865740740972495"/>
    <m/>
    <d v="2025-05-04T20:16:00"/>
    <d v="2025-05-05T16:43:00"/>
    <n v="1201.4374999972642"/>
    <s v="Waited for empties from trade"/>
    <d v="2025-05-06T13:14:00"/>
    <d v="2025-05-06T13:50:00"/>
    <n v="35.25000000205182"/>
    <m/>
    <n v="2.7513888888861402"/>
    <n v="2"/>
    <n v="-0.75138888888614019"/>
    <n v="66.033333333267365"/>
    <n v="24"/>
    <n v="42.033333333267365"/>
    <n v="3.7113402061913918"/>
    <m/>
    <m/>
    <m/>
    <m/>
    <m/>
  </r>
  <r>
    <d v="2025-05-04T00:00:00"/>
    <x v="4"/>
    <s v="NBL"/>
    <s v="OMOFF1LRR"/>
    <m/>
    <s v="Stephen Musoke "/>
    <s v="UBJ 375N"/>
    <s v="Kato Investment Ltd -Mubende Tax No.: 1000098824"/>
    <n v="156"/>
    <s v="OMOFF1LRR"/>
    <s v="OM"/>
    <n v="680"/>
    <n v="678"/>
    <n v="-2"/>
    <m/>
    <d v="2025-05-04T10:20:00"/>
    <d v="2025-05-04T19:37:00"/>
    <d v="2025-05-04T11:02:00"/>
    <n v="-512.61574074305827"/>
    <n v="41.805555556250816"/>
    <s v="DJ failures "/>
    <d v="2025-05-05T10:47:00"/>
    <d v="2025-05-05T16:47:00"/>
    <n v="352.5"/>
    <s v="Waited for empties from trade"/>
    <d v="2025-05-06T17:48:00"/>
    <d v="2025-05-06T18:32:00"/>
    <n v="43.083333330141613"/>
    <m/>
    <n v="2.2819444444467081"/>
    <n v="3"/>
    <n v="0.71805555555329192"/>
    <n v="54.766666666720994"/>
    <n v="24"/>
    <n v="30.766666666720994"/>
    <n v="5.0704225352023142"/>
    <m/>
    <m/>
    <m/>
    <m/>
    <m/>
  </r>
  <r>
    <d v="2025-05-04T00:00:00"/>
    <x v="4"/>
    <s v="KESH"/>
    <s v="OMV1ARBRR"/>
    <s v="DJ"/>
    <s v="FRED LURE "/>
    <s v="UBP 310H"/>
    <s v="Kobusinge Acaali- Kyenjojo Tax No.: 1000977837"/>
    <n v="156"/>
    <s v="OMV1ARBRR"/>
    <s v="OM"/>
    <n v="580"/>
    <n v="579"/>
    <n v="-1"/>
    <m/>
    <d v="2025-05-03T20:01:00"/>
    <d v="2025-05-04T10:00:00"/>
    <d v="2025-05-03T20:43:00"/>
    <n v="-793.31018518472172"/>
    <n v="41.805555556250816"/>
    <s v="Pre-Trip inspection defect closure"/>
    <d v="2025-05-05T16:14:00"/>
    <d v="2025-05-05T18:23:00"/>
    <n v="126.31250000136788"/>
    <m/>
    <d v="2025-05-06T12:29:00"/>
    <d v="2025-05-06T13:13:00"/>
    <n v="43.083333330141613"/>
    <m/>
    <n v="2.6569444444467081"/>
    <n v="2"/>
    <n v="-0.65694444444670808"/>
    <n v="63.766666666720994"/>
    <n v="24"/>
    <n v="39.766666666720994"/>
    <n v="3.9228834870021849"/>
    <m/>
    <m/>
    <m/>
    <m/>
    <m/>
  </r>
  <r>
    <d v="2025-05-04T00:00:00"/>
    <x v="4"/>
    <s v="NBL"/>
    <s v="OM1C4NPRR"/>
    <m/>
    <s v="Kilabila Ismail"/>
    <s v="UBE 419T"/>
    <s v="Kabaco U Ltd-Mbarara Tax No.: 1000025425"/>
    <n v="153.6"/>
    <s v="OM1C4NPRR"/>
    <s v="OM"/>
    <n v="20"/>
    <n v="18"/>
    <n v="-2"/>
    <m/>
    <d v="2025-05-03T17:29:00"/>
    <d v="2025-05-04T07:42:00"/>
    <d v="2025-05-03T18:07:00"/>
    <n v="-811.22685184721684"/>
    <n v="37.82407407222005"/>
    <s v="found another truck waiting to be cleared at the gate"/>
    <d v="2025-05-04T10:50:00"/>
    <d v="2025-05-04T13:47:00"/>
    <n v="173.31250000068394"/>
    <m/>
    <d v="2025-05-04T18:17:00"/>
    <d v="2025-05-04T18:59:00"/>
    <n v="41.12500000068394"/>
    <m/>
    <n v="1.0069444444452529"/>
    <n v="1"/>
    <n v="-6.9444444452528842E-3"/>
    <n v="24.166666666686069"/>
    <n v="12"/>
    <n v="12.166666666686069"/>
    <n v="12.624657534226442"/>
    <m/>
    <m/>
    <m/>
    <m/>
    <m/>
  </r>
  <r>
    <d v="2025-05-04T00:00:00"/>
    <x v="4"/>
    <s v="NBL"/>
    <s v="OMT333ERR"/>
    <m/>
    <s v="Mugisha  George"/>
    <s v="UAV 203T"/>
    <s v="KATO INVESTMENTS LTD- KALISIZO Tax No.: 1000098824"/>
    <n v="153.6"/>
    <s v="OMT333ERR"/>
    <s v="OM"/>
    <n v="288"/>
    <n v="287"/>
    <n v="-1"/>
    <m/>
    <d v="2025-05-03T19:20:00"/>
    <d v="2025-05-04T10:00:00"/>
    <d v="2025-05-03T19:49:00"/>
    <n v="-847.06018518263591"/>
    <n v="28.865740740972495"/>
    <m/>
    <d v="2025-05-04T11:00:00"/>
    <d v="2025-05-04T15:27:00"/>
    <n v="261.43750000068394"/>
    <s v="Waited for empties from trade"/>
    <d v="2025-05-05T11:10:00"/>
    <d v="2025-05-05T11:46:00"/>
    <n v="35.25000000205182"/>
    <m/>
    <n v="1.6395833333372138"/>
    <n v="2"/>
    <n v="0.36041666666278616"/>
    <n v="39.350000000093132"/>
    <n v="12"/>
    <n v="27.350000000093132"/>
    <n v="5.6160877513519907"/>
    <m/>
    <m/>
    <m/>
    <m/>
    <m/>
  </r>
  <r>
    <d v="2025-05-04T00:00:00"/>
    <x v="4"/>
    <s v="KESH"/>
    <s v="OM6TUFHRR"/>
    <s v="DJ"/>
    <s v="Tumwine Jimmy"/>
    <s v="UBR 863Y"/>
    <s v="Kobusinge Steven-FPortal Tax No.: 1000977837"/>
    <n v="156"/>
    <s v="OM6TUFHRR"/>
    <s v="OM"/>
    <n v="304"/>
    <n v="302"/>
    <n v="-2"/>
    <m/>
    <d v="2025-05-03T20:20:00"/>
    <d v="2025-05-04T20:25:00"/>
    <d v="2025-05-03T20:43:00"/>
    <n v="-1415.4166666708381"/>
    <n v="22.893518520140788"/>
    <m/>
    <d v="2025-05-04T16:59:00"/>
    <d v="2025-05-05T15:48:00"/>
    <n v="1340.4791666657547"/>
    <s v="truck faulty"/>
    <d v="2025-05-06T11:39:00"/>
    <d v="2025-05-06T12:21:00"/>
    <n v="41.12500000068394"/>
    <m/>
    <n v="2.6222222222277196"/>
    <n v="2"/>
    <n v="-0.62222222222771961"/>
    <n v="62.933333333465271"/>
    <n v="24"/>
    <n v="38.933333333465271"/>
    <n v="4.0068493150549145"/>
    <m/>
    <m/>
    <m/>
    <m/>
    <m/>
  </r>
  <r>
    <d v="2025-05-04T00:00:00"/>
    <x v="4"/>
    <s v="NBL"/>
    <s v="OMA83H6RR"/>
    <m/>
    <s v="Benon Ssempijja"/>
    <s v="UAY 526V"/>
    <s v="Kabaco U Ltd Tax No.: 1000025425"/>
    <n v="156"/>
    <s v="OMA83H6RR"/>
    <s v="OM"/>
    <n v="304"/>
    <n v="301"/>
    <n v="-3"/>
    <m/>
    <d v="2025-05-03T20:51:00"/>
    <d v="2025-05-05T02:22:00"/>
    <d v="2025-05-03T21:20:00"/>
    <n v="-1733.9351851847216"/>
    <n v="28.865740740972495"/>
    <m/>
    <d v="2025-05-04T09:43:00"/>
    <d v="2025-05-04T17:50:00"/>
    <n v="476.85416666165111"/>
    <s v="Reached late and offloaded the next day"/>
    <d v="2025-05-04T20:14:00"/>
    <d v="2025-05-04T20:58:00"/>
    <n v="43.083333330141613"/>
    <m/>
    <n v="0.95416666666278616"/>
    <n v="2"/>
    <n v="1.0458333333372138"/>
    <n v="22.899999999906868"/>
    <n v="0"/>
    <n v="22.899999999906868"/>
    <n v="6.8122270742635127"/>
    <m/>
    <m/>
    <m/>
    <m/>
    <m/>
  </r>
  <r>
    <d v="2025-05-05T00:00:00"/>
    <x v="4"/>
    <s v="NBL"/>
    <s v="OMEO7YNRR"/>
    <m/>
    <s v="Abel Mark naffa"/>
    <s v="UBJ 415C"/>
    <s v="Kabaco U Ltd-Mbarara Tax No.: 1000025425"/>
    <n v="153.6"/>
    <s v="OMEO7YNRR"/>
    <s v="OM"/>
    <n v="20"/>
    <n v="18"/>
    <n v="-2"/>
    <m/>
    <d v="2025-05-06T13:06:00"/>
    <d v="2025-05-05T07:42:00"/>
    <d v="2025-05-06T13:29:00"/>
    <n v="1778.7268518513883"/>
    <n v="22.893518520140788"/>
    <m/>
    <d v="2025-05-06T18:50:00"/>
    <d v="2025-05-07T11:08:00"/>
    <n v="957.62500000273576"/>
    <s v="found another truck to be offloaded"/>
    <d v="2025-05-07T16:04:00"/>
    <d v="2025-05-07T17:01:00"/>
    <n v="55.81249999726424"/>
    <s v="found another truck waiting to offload"/>
    <n v="1.1076388888905058"/>
    <n v="1"/>
    <n v="-0.10763888889050577"/>
    <n v="26.583333333372138"/>
    <n v="12"/>
    <n v="14.583333333372138"/>
    <n v="10.532571428543402"/>
    <m/>
    <m/>
    <m/>
    <m/>
    <m/>
  </r>
  <r>
    <d v="2025-05-05T00:00:00"/>
    <x v="4"/>
    <s v="NBL"/>
    <s v="OM1LP68RR"/>
    <m/>
    <s v="Bisaso  Ronald"/>
    <s v="UBK 875R"/>
    <s v="RUGOMA TRADERS CO. LTD NTUNGAM Tax No.: 1000249350"/>
    <n v="153.6"/>
    <s v="OM1LP68RR"/>
    <s v="OM"/>
    <n v="150"/>
    <n v="148"/>
    <n v="-2"/>
    <m/>
    <d v="2025-05-06T08:54:00"/>
    <d v="2025-05-05T08:00:00"/>
    <d v="2025-05-06T09:23:00"/>
    <n v="1515.9490740722201"/>
    <n v="28.865740740972495"/>
    <m/>
    <d v="2025-05-06T14:26:00"/>
    <d v="2025-05-07T14:20:00"/>
    <n v="1404.1249999911088"/>
    <s v="Waited for empties from trade"/>
    <d v="2025-05-07T16:24:00"/>
    <d v="2025-05-07T17:08:00"/>
    <n v="43.083333330141613"/>
    <m/>
    <n v="1.2923611111109494"/>
    <n v="1"/>
    <n v="-0.29236111111094942"/>
    <n v="31.016666666662786"/>
    <n v="12"/>
    <n v="19.016666666662786"/>
    <n v="8.0771253286607188"/>
    <m/>
    <m/>
    <m/>
    <m/>
    <m/>
  </r>
  <r>
    <d v="2025-05-05T00:00:00"/>
    <x v="4"/>
    <s v="KESH"/>
    <s v="OMO599ARR"/>
    <s v="DJ"/>
    <s v="ALIPA EREKU"/>
    <s v="UBK 858R"/>
    <s v="Boniface Harera Tax No.: 1000317747"/>
    <n v="156"/>
    <s v="OMO599ARR"/>
    <s v="OM"/>
    <n v="448"/>
    <n v="446"/>
    <n v="-2"/>
    <m/>
    <d v="2025-05-05T18:18:00"/>
    <d v="2025-05-05T01:30:00"/>
    <d v="2025-05-05T18:47:00"/>
    <n v="1032.1990740701342"/>
    <n v="28.865740740972495"/>
    <m/>
    <d v="2025-05-06T11:54:00"/>
    <d v="2025-05-06T16:25:00"/>
    <n v="265.35416666985839"/>
    <s v="Waited for empties from trade"/>
    <d v="2025-05-07T08:19:00"/>
    <d v="2025-05-07T09:01:00"/>
    <n v="41.12500000068394"/>
    <m/>
    <n v="1.5638888888934162"/>
    <n v="2"/>
    <n v="0.43611111110658385"/>
    <n v="37.533333333441988"/>
    <n v="12"/>
    <n v="25.533333333441988"/>
    <n v="6.1096605743865338"/>
    <m/>
    <m/>
    <m/>
    <m/>
    <m/>
  </r>
  <r>
    <d v="2025-05-05T00:00:00"/>
    <x v="4"/>
    <s v="NBL"/>
    <s v="OM814O7RR"/>
    <m/>
    <s v="ANGELO KYOSIGA "/>
    <s v="UAV 051U"/>
    <s v="KATO INVESTMENTS LIMITED-MASAK Tax No.: 1000098824"/>
    <n v="153.6"/>
    <s v="OM814O7RR"/>
    <s v="OM"/>
    <n v="596"/>
    <n v="594"/>
    <n v="-2"/>
    <m/>
    <d v="2025-05-05T16:45:00"/>
    <d v="2025-05-05T04:14:00"/>
    <d v="2025-05-05T17:23:00"/>
    <n v="785.34722222708899"/>
    <n v="37.82407407222005"/>
    <s v="found another truck waiting to be cleared at the gate"/>
    <d v="2025-05-05T19:29:00"/>
    <d v="2025-05-06T12:24:00"/>
    <n v="993.85416667464597"/>
    <s v="Waited for empties from trade"/>
    <d v="2025-05-06T14:20:00"/>
    <d v="2025-05-06T15:04:00"/>
    <n v="43.083333330141613"/>
    <m/>
    <n v="0.87291666665987577"/>
    <n v="2"/>
    <n v="1.1270833333401242"/>
    <n v="20.949999999837019"/>
    <n v="0"/>
    <n v="20.949999999837019"/>
    <n v="7.3317422434937916"/>
    <m/>
    <m/>
    <m/>
    <m/>
    <m/>
  </r>
  <r>
    <d v="2025-05-05T00:00:00"/>
    <x v="4"/>
    <s v="KESH"/>
    <s v="OMYI04IRR"/>
    <s v="DJ"/>
    <s v="MBOGO BASHIR"/>
    <s v="UBR 903Y"/>
    <s v="Kabaco U Ltd Tax No.: 1000025425"/>
    <n v="156"/>
    <s v="OMYI04IRR"/>
    <s v="OM"/>
    <n v="304"/>
    <n v="302"/>
    <n v="-2"/>
    <m/>
    <d v="2025-05-05T13:39:00"/>
    <d v="2025-05-05T02:22:00"/>
    <d v="2025-05-05T14:08:00"/>
    <n v="702.7314814777734"/>
    <n v="28.865740740972495"/>
    <m/>
    <d v="2025-05-06T09:00:00"/>
    <d v="2025-05-06T13:33:00"/>
    <n v="267.31249999931606"/>
    <s v="truck faulty"/>
    <d v="2025-05-06T19:47:00"/>
    <d v="2025-05-06T20:27:00"/>
    <n v="39.166666671226267"/>
    <m/>
    <n v="1.2354166666700621"/>
    <n v="2"/>
    <n v="0.76458333332993789"/>
    <n v="29.650000000081491"/>
    <n v="12"/>
    <n v="17.650000000081491"/>
    <n v="8.8385269121404946"/>
    <m/>
    <m/>
    <m/>
    <m/>
    <m/>
  </r>
  <r>
    <d v="2025-05-05T00:00:00"/>
    <x v="4"/>
    <s v="NBL"/>
    <s v="OMNZ863RR"/>
    <m/>
    <s v="Benon Ssempijja"/>
    <s v="UAY 526V"/>
    <s v="RUGOMA TRADERS CO. LTD NTUNGAM Tax No.: 1000249350"/>
    <n v="153.6"/>
    <s v="OMNZ863RR"/>
    <s v="OM"/>
    <n v="150"/>
    <n v="148"/>
    <n v="-2"/>
    <m/>
    <d v="2025-05-06T09:00:00"/>
    <d v="2025-05-06T06:15:00"/>
    <d v="2025-05-06T09:54:00"/>
    <n v="217.98611111250162"/>
    <n v="53.749999997914223"/>
    <s v="pressure balancing"/>
    <d v="2025-05-06T11:51:00"/>
    <d v="2025-05-06T17:57:00"/>
    <n v="358.37499999863212"/>
    <s v="Reached late and offloaded the next day"/>
    <d v="2025-05-06T20:01:00"/>
    <d v="2025-05-06T20:43:00"/>
    <n v="41.12500000068394"/>
    <m/>
    <n v="0.42152777777664596"/>
    <n v="1"/>
    <n v="0.57847222222335404"/>
    <n v="10.116666666639503"/>
    <n v="0"/>
    <n v="10.116666666639503"/>
    <n v="15.182866556877668"/>
    <m/>
    <m/>
    <m/>
    <m/>
    <m/>
  </r>
  <r>
    <d v="2025-05-05T00:00:00"/>
    <x v="4"/>
    <s v="NBL"/>
    <s v="OMXKDHNRR"/>
    <m/>
    <s v="Isaac Tumuhimbise"/>
    <s v="UBE 287X"/>
    <s v="KATO INVESTMENTS LIMITED-MASAK Tax No.: 1000098824"/>
    <n v="153.6"/>
    <s v="OMXKDHNRR"/>
    <s v="OM"/>
    <n v="596"/>
    <n v="594"/>
    <n v="-2"/>
    <m/>
    <d v="2025-05-04T20:08:00"/>
    <d v="2025-05-05T04:14:00"/>
    <d v="2025-05-04T20:50:00"/>
    <n v="-441.94444444583496"/>
    <n v="41.805555556250816"/>
    <s v="Water top up"/>
    <d v="2025-05-05T13:29:00"/>
    <d v="2025-05-05T17:05:00"/>
    <n v="211.50000000205182"/>
    <s v="less casuals and offloaded the next day"/>
    <d v="2025-05-06T11:58:00"/>
    <d v="2025-05-06T12:40:00"/>
    <n v="41.12500000068394"/>
    <m/>
    <n v="1.6305555555591127"/>
    <n v="2"/>
    <n v="0.36944444444088731"/>
    <n v="39.133333333418705"/>
    <n v="12"/>
    <n v="27.133333333418705"/>
    <n v="5.6609336609158492"/>
    <m/>
    <m/>
    <m/>
    <m/>
    <m/>
  </r>
  <r>
    <d v="2025-05-05T00:00:00"/>
    <x v="4"/>
    <s v="NBL"/>
    <s v="OM1SJA5RR"/>
    <m/>
    <s v="James  Kironde"/>
    <s v="UBK 881R"/>
    <s v="Kabaco U Ltd-Mbarara Tax No.: 1000025425"/>
    <n v="153.6"/>
    <s v="OM1SJA5RR"/>
    <s v="OM"/>
    <n v="20"/>
    <n v="17"/>
    <n v="-3"/>
    <m/>
    <d v="2025-05-04T20:35:00"/>
    <d v="2025-05-05T07:42:00"/>
    <d v="2025-05-04T21:04:00"/>
    <n v="-635.04629629096598"/>
    <n v="28.865740740972495"/>
    <m/>
    <d v="2025-05-04T21:31:00"/>
    <d v="2025-05-05T12:04:00"/>
    <n v="854.81250000615546"/>
    <s v="found another truck to be offloaded"/>
    <d v="2025-05-05T13:08:00"/>
    <d v="2025-05-05T13:52:00"/>
    <n v="43.083333330141613"/>
    <m/>
    <n v="0.66944444444379769"/>
    <n v="1"/>
    <n v="0.33055555555620231"/>
    <n v="16.066666666651145"/>
    <n v="0"/>
    <n v="16.066666666651145"/>
    <n v="9.5601659751129695"/>
    <m/>
    <m/>
    <m/>
    <m/>
    <m/>
  </r>
  <r>
    <d v="2025-05-06T00:00:00"/>
    <x v="4"/>
    <s v="NBL"/>
    <s v="OMJ7B4VRR"/>
    <m/>
    <s v="Tumusiime Robert"/>
    <s v="UBJ 988D"/>
    <s v="Kabaco U Ltd-Mbarara Tax No.: 1000025425"/>
    <n v="153.6"/>
    <s v="OMJ7B4VRR"/>
    <s v="OM"/>
    <n v="20"/>
    <n v="18"/>
    <n v="-2"/>
    <m/>
    <d v="2025-05-07T11:05:00"/>
    <d v="2025-05-06T10:00:00"/>
    <d v="2025-05-07T11:28:00"/>
    <n v="1520.9259259298658"/>
    <n v="22.893518520140788"/>
    <m/>
    <d v="2025-05-07T17:12:00"/>
    <d v="2025-05-08T10:23:00"/>
    <n v="1009.5208333308256"/>
    <s v="Waited for empties from trade"/>
    <d v="2025-05-08T18:00:00"/>
    <d v="2025-05-08T18:44:00"/>
    <n v="43.083333330141613"/>
    <m/>
    <n v="1.2722222222218988"/>
    <n v="1"/>
    <n v="-0.27222222222189885"/>
    <n v="30.533333333325572"/>
    <n v="12"/>
    <n v="18.533333333325572"/>
    <n v="8.2877697841761329"/>
    <m/>
    <m/>
    <m/>
    <m/>
    <m/>
  </r>
  <r>
    <d v="2025-05-06T00:00:00"/>
    <x v="4"/>
    <s v="NBL"/>
    <s v="OMV8271RR"/>
    <m/>
    <s v="Isaac Tumuhimbise"/>
    <s v="UBE 287X"/>
    <s v="KATO INVESTMENTS LIMITED-MASAK Tax No.: 1000098824"/>
    <n v="153.6"/>
    <s v="OMV8271RR"/>
    <s v="OM"/>
    <n v="596"/>
    <n v="594"/>
    <n v="-2"/>
    <m/>
    <d v="2025-05-06T18:38:00"/>
    <d v="2025-05-06T10:00:00"/>
    <d v="2025-05-06T19:07:00"/>
    <n v="544.46759259444661"/>
    <n v="28.865740740972495"/>
    <m/>
    <d v="2025-05-07T12:16:00"/>
    <d v="2025-05-07T15:18:00"/>
    <n v="178.20833332945767"/>
    <m/>
    <d v="2025-05-08T08:56:00"/>
    <d v="2025-05-08T09:38:00"/>
    <n v="41.12500000068394"/>
    <m/>
    <n v="1.5756944444437977"/>
    <n v="2"/>
    <n v="0.42430555555620231"/>
    <n v="37.816666666651145"/>
    <n v="12"/>
    <n v="25.816666666651145"/>
    <n v="5.9496449322179084"/>
    <m/>
    <m/>
    <m/>
    <m/>
    <m/>
  </r>
  <r>
    <d v="2025-05-06T00:00:00"/>
    <x v="4"/>
    <s v="NBL"/>
    <s v="OMW4LOARR"/>
    <m/>
    <s v="Mugisha  George"/>
    <s v="UAV 203T"/>
    <s v="Kabaco U Ltd-Mbarara Tax No.: 1000025425"/>
    <n v="153.6"/>
    <s v="OMW4LOARR"/>
    <s v="OM"/>
    <n v="20"/>
    <n v="18"/>
    <n v="-2"/>
    <m/>
    <d v="2025-05-07T09:17:00"/>
    <d v="2025-05-07T04:14:00"/>
    <d v="2025-05-07T09:46:00"/>
    <n v="330.46296296597575"/>
    <n v="28.865740740972495"/>
    <m/>
    <d v="2025-05-06T10:25:00"/>
    <d v="2025-05-06T13:49:00"/>
    <n v="199.74999999452848"/>
    <s v="space consquents"/>
    <d v="2025-05-06T15:05:00"/>
    <d v="2025-05-06T15:41:00"/>
    <n v="35.25000000205182"/>
    <m/>
    <n v="-0.77847222222771961"/>
    <n v="1"/>
    <n v="1.7784722222277196"/>
    <n v="-18.683333333465271"/>
    <n v="-12"/>
    <n v="-6.6833333334652707"/>
    <n v="-22.98254364044405"/>
    <m/>
    <m/>
    <m/>
    <m/>
    <m/>
  </r>
  <r>
    <d v="2025-05-06T00:00:00"/>
    <x v="4"/>
    <s v="KESH"/>
    <s v="OMW0RXLRR"/>
    <s v="DJ"/>
    <s v="MUKOSE MUZAMIRU"/>
    <s v="UBJ 417C"/>
    <s v="Kobusinge Acaali- Kyenjojo Tax No.: 1000977837"/>
    <n v="156"/>
    <s v="OMW0RXLRR"/>
    <s v="OM"/>
    <n v="580"/>
    <n v="578"/>
    <n v="-2"/>
    <m/>
    <d v="2025-05-06T10:00:00"/>
    <d v="2025-05-06T10:00:00"/>
    <d v="2025-05-06T10:23:00"/>
    <n v="22.893518520140788"/>
    <n v="22.893518520140788"/>
    <m/>
    <d v="2025-05-06T19:01:00"/>
    <d v="2025-05-07T14:37:00"/>
    <n v="1151.4999999986321"/>
    <s v="Reached late and offloaded the next day"/>
    <d v="2025-05-07T21:07:00"/>
    <d v="2025-05-07T21:47:00"/>
    <n v="39.166666671226267"/>
    <m/>
    <n v="1.4472222222248092"/>
    <n v="2"/>
    <n v="0.55277777777519077"/>
    <n v="34.733333333395422"/>
    <n v="12"/>
    <n v="22.733333333395422"/>
    <n v="6.8621700879577983"/>
    <m/>
    <m/>
    <m/>
    <m/>
    <m/>
  </r>
  <r>
    <d v="2025-05-06T00:00:00"/>
    <x v="4"/>
    <s v="NBL"/>
    <s v="OMFHZQ0RR"/>
    <m/>
    <s v="Mugisha  George"/>
    <s v="UAV 203T"/>
    <s v="KATO INVESTMENTS LIMITED-MASAK Tax No.: 1000098824"/>
    <n v="153.6"/>
    <s v="OMFHZQ0RR"/>
    <s v="OM"/>
    <n v="596"/>
    <n v="593"/>
    <n v="-3"/>
    <m/>
    <d v="2025-05-06T09:09:00"/>
    <d v="2025-05-06T10:00:00"/>
    <d v="2025-05-06T09:38:00"/>
    <n v="-21.89814814652588"/>
    <n v="28.865740740972495"/>
    <m/>
    <d v="2025-05-07T18:02:00"/>
    <d v="2025-05-07T21:15:00"/>
    <n v="188.97916666712263"/>
    <s v="Waited for empties from trade"/>
    <d v="2025-05-08T16:26:00"/>
    <d v="2025-05-08T17:11:00"/>
    <n v="44.0625"/>
    <m/>
    <n v="2.2833333333328483"/>
    <n v="2"/>
    <n v="-0.28333333333284827"/>
    <n v="54.799999999988358"/>
    <n v="24"/>
    <n v="30.799999999988358"/>
    <n v="4.9870129870148716"/>
    <m/>
    <m/>
    <m/>
    <m/>
    <m/>
  </r>
  <r>
    <d v="2025-05-06T00:00:00"/>
    <x v="4"/>
    <s v="KESH"/>
    <s v="OMN7HURRR"/>
    <s v="DJ"/>
    <s v="SENTONGO GODFREY"/>
    <s v="UBR 864Y"/>
    <s v="Boniface Harera Tax No.: 1000317747"/>
    <n v="156"/>
    <s v="OMN7HURRR"/>
    <s v="OM"/>
    <n v="448"/>
    <n v="446"/>
    <n v="-2"/>
    <m/>
    <d v="2025-05-05T20:42:00"/>
    <d v="2025-05-06T01:30:00"/>
    <d v="2025-05-05T21:05:00"/>
    <n v="-263.77314815278322"/>
    <n v="22.893518520140788"/>
    <m/>
    <d v="2025-05-07T08:47:00"/>
    <d v="2025-05-07T12:37:00"/>
    <n v="225.20833332877373"/>
    <s v="Reached late and offloaded the next day"/>
    <d v="2025-05-08T10:47:00"/>
    <d v="2025-05-08T11:31:00"/>
    <n v="43.083333330141613"/>
    <m/>
    <n v="2.570833333338669"/>
    <n v="2"/>
    <n v="-0.57083333333866904"/>
    <n v="61.700000000128057"/>
    <n v="24"/>
    <n v="37.700000000128057"/>
    <n v="4.1379310344687035"/>
    <m/>
    <m/>
    <m/>
    <m/>
    <m/>
  </r>
  <r>
    <d v="2025-05-06T00:00:00"/>
    <x v="4"/>
    <s v="KESH"/>
    <s v="OMNY8D8RR"/>
    <s v="DJ"/>
    <s v="IKWALIKWA YUSUF"/>
    <s v="UBP 311H"/>
    <s v="Kobusinge Steven-FPortal Tax No.: 1000977837"/>
    <n v="156"/>
    <s v="OMNY8D8RR"/>
    <s v="OM"/>
    <n v="304"/>
    <n v="303"/>
    <n v="-1"/>
    <m/>
    <d v="2025-05-06T10:07:00"/>
    <d v="2025-05-06T20:25:00"/>
    <d v="2025-05-06T10:36:00"/>
    <n v="-586.27314815069747"/>
    <n v="28.865740740972495"/>
    <m/>
    <d v="2025-05-06T22:05:00"/>
    <d v="2025-05-07T19:00:00"/>
    <n v="1228.8541666609672"/>
    <s v="Waited for empties from trade"/>
    <d v="2025-05-08T14:29:00"/>
    <d v="2025-05-08T15:05:00"/>
    <n v="35.25000000205182"/>
    <m/>
    <n v="2.1618055555591127"/>
    <n v="2"/>
    <n v="-0.16180555555911269"/>
    <n v="51.883333333418705"/>
    <n v="24"/>
    <n v="27.883333333418705"/>
    <n v="5.594739988028298"/>
    <m/>
    <m/>
    <m/>
    <m/>
    <m/>
  </r>
  <r>
    <d v="2025-05-06T00:00:00"/>
    <x v="4"/>
    <s v="NBL"/>
    <s v="OMV0SI2RR"/>
    <m/>
    <s v="Kilabila Ismail"/>
    <s v="UBE 419T"/>
    <s v="RUGOMA TRADERS CO. LTD NTUNGAM Tax No.: 1000249350"/>
    <n v="153.6"/>
    <s v="OMV0SI2RR"/>
    <s v="OM"/>
    <n v="150"/>
    <n v="148"/>
    <n v="-2"/>
    <m/>
    <d v="2025-05-05T18:03:00"/>
    <d v="2025-05-06T06:15:00"/>
    <d v="2025-05-05T18:32:00"/>
    <n v="-699.74537036735762"/>
    <n v="28.865740740972495"/>
    <m/>
    <d v="2025-05-06T08:47:00"/>
    <d v="2025-05-06T13:52:00"/>
    <n v="298.64583333219343"/>
    <s v="Waited for empties from trade"/>
    <d v="2025-05-06T16:42:00"/>
    <d v="2025-05-06T17:22:00"/>
    <n v="39.166666671226267"/>
    <m/>
    <n v="0.92361111110949423"/>
    <n v="1"/>
    <n v="7.6388888890505768E-2"/>
    <n v="22.166666666627862"/>
    <n v="0"/>
    <n v="22.166666666627862"/>
    <n v="6.9293233082828065"/>
    <m/>
    <m/>
    <m/>
    <m/>
    <m/>
  </r>
  <r>
    <d v="2025-05-06T00:00:00"/>
    <x v="4"/>
    <s v="KESH"/>
    <s v="OMUYLUARR"/>
    <s v="DJ"/>
    <s v="SENTONG DAVID"/>
    <s v="UBP 298H"/>
    <s v="Kato Investment Ltd -Mubende Tax No.: 1000098824"/>
    <n v="156"/>
    <s v="OMUYLUARR"/>
    <s v="OM"/>
    <n v="680"/>
    <n v="678"/>
    <n v="-2"/>
    <m/>
    <d v="2025-05-05T21:58:00"/>
    <d v="2025-05-06T19:37:00"/>
    <d v="2025-05-05T22:40:00"/>
    <n v="-1251.1805555562507"/>
    <n v="41.805555556250816"/>
    <s v="DJ failures "/>
    <d v="2025-05-06T17:43:00"/>
    <d v="2025-05-07T11:36:00"/>
    <n v="1050.6458333315095"/>
    <s v="truck faulty"/>
    <d v="2025-05-08T14:42:00"/>
    <d v="2025-05-08T15:26:00"/>
    <n v="43.083333330141613"/>
    <m/>
    <n v="2.6680555555576575"/>
    <n v="3"/>
    <n v="0.3319444444423425"/>
    <n v="64.03333333338378"/>
    <n v="24"/>
    <n v="40.03333333338378"/>
    <n v="3.8967527060733578"/>
    <m/>
    <m/>
    <m/>
    <m/>
    <m/>
  </r>
  <r>
    <d v="2025-05-06T00:00:00"/>
    <x v="4"/>
    <s v="KESH"/>
    <s v="OMQ0L08RR"/>
    <s v="DJ"/>
    <s v="KAJUBI ISMA"/>
    <s v="UBR 538W"/>
    <s v="Kabaco U Ltd Tax No.: 1000025425"/>
    <n v="156"/>
    <s v="OMQ0L08RR"/>
    <s v="OM"/>
    <n v="304"/>
    <n v="301"/>
    <n v="-3"/>
    <m/>
    <d v="2025-05-05T22:27:00"/>
    <d v="2025-05-07T02:22:00"/>
    <d v="2025-05-05T22:56:00"/>
    <n v="-1638.3796296305566"/>
    <n v="28.865740740972495"/>
    <m/>
    <d v="2025-05-07T12:54:00"/>
    <d v="2025-05-07T15:07:00"/>
    <n v="130.22916667054233"/>
    <m/>
    <d v="2025-05-07T15:28:00"/>
    <d v="2025-05-07T16:10:00"/>
    <n v="41.12500000068394"/>
    <m/>
    <n v="1.6888888888861402"/>
    <n v="2"/>
    <n v="0.31111111111385981"/>
    <n v="40.533333333267365"/>
    <n v="12"/>
    <n v="28.533333333267365"/>
    <n v="5.4672897196388082"/>
    <m/>
    <m/>
    <m/>
    <m/>
    <m/>
  </r>
  <r>
    <d v="2025-05-07T00:00:00"/>
    <x v="4"/>
    <s v="NBL"/>
    <s v="OMWAJU4RR"/>
    <m/>
    <s v="Luyaga Isaac"/>
    <s v="UAY 265V"/>
    <s v="Kabaco U Ltd-Mbarara Tax No.: 1000025425"/>
    <n v="153.6"/>
    <s v="OMWAJU4RR"/>
    <s v="OM"/>
    <n v="20"/>
    <n v="19"/>
    <n v="-1"/>
    <m/>
    <d v="2025-05-08T13:00:00"/>
    <d v="2025-05-07T08:00:00"/>
    <d v="2025-05-08T13:27:00"/>
    <n v="1758.8194444416633"/>
    <n v="26.87500000417155"/>
    <m/>
    <d v="2025-05-08T18:22:00"/>
    <d v="2025-05-09T10:58:00"/>
    <n v="975.24999999863212"/>
    <s v="found another truck to be offloaded"/>
    <d v="2025-05-09T17:54:00"/>
    <d v="2025-05-09T18:30:00"/>
    <n v="35.25000000205182"/>
    <m/>
    <n v="1.1854166666671517"/>
    <n v="1"/>
    <n v="-0.18541666666715173"/>
    <n v="28.450000000011642"/>
    <n v="12"/>
    <n v="16.450000000011642"/>
    <n v="9.3373860182304735"/>
    <m/>
    <m/>
    <m/>
    <m/>
    <m/>
  </r>
  <r>
    <d v="2025-05-07T00:00:00"/>
    <x v="4"/>
    <s v="NBL"/>
    <s v="OM66R9VRR"/>
    <m/>
    <s v="Stephen Musoke "/>
    <s v="UBJ 375N"/>
    <s v="KATO INVESTMENTS LTD- KALISIZO Tax No.: 1000098824"/>
    <n v="153.6"/>
    <s v="OM66R9VRR"/>
    <s v="OM"/>
    <n v="288"/>
    <n v="286"/>
    <n v="-2"/>
    <m/>
    <d v="2025-05-07T13:43:00"/>
    <d v="2025-05-07T03:43:00"/>
    <d v="2025-05-07T14:06:00"/>
    <n v="620.11574073888676"/>
    <n v="22.893518520140788"/>
    <m/>
    <d v="2025-05-08T11:34:00"/>
    <d v="2025-05-08T14:58:00"/>
    <n v="199.75000000478758"/>
    <s v="Waited for empties from trade"/>
    <d v="2025-05-09T13:44:00"/>
    <d v="2025-05-09T14:24:00"/>
    <n v="39.166666671226267"/>
    <m/>
    <n v="1.984722222223354"/>
    <n v="2"/>
    <n v="1.5277777776645962E-2"/>
    <n v="47.633333333360497"/>
    <n v="12"/>
    <n v="35.633333333360497"/>
    <n v="4.3105706267506898"/>
    <m/>
    <m/>
    <m/>
    <m/>
    <m/>
  </r>
  <r>
    <d v="2025-05-07T00:00:00"/>
    <x v="4"/>
    <s v="NBL"/>
    <s v="OMYNEIKRR"/>
    <m/>
    <s v="Kilabila Ismail"/>
    <s v="UBE 419T"/>
    <s v="Rugoma Traders-Kanungu/Kihihi Tax No.: 1000249350"/>
    <n v="153.6"/>
    <s v="OMYNEIKRR"/>
    <s v="OM"/>
    <n v="272"/>
    <n v="270"/>
    <n v="-2"/>
    <m/>
    <d v="2025-05-07T09:58:00"/>
    <d v="2025-05-07T01:59:00"/>
    <d v="2025-05-07T10:52:00"/>
    <n v="530.53240740555339"/>
    <n v="53.749999997914223"/>
    <s v="network failures"/>
    <d v="2025-05-07T19:43:00"/>
    <d v="2025-05-08T13:47:00"/>
    <n v="1061.4166666691744"/>
    <s v="Waited for empties from trade"/>
    <d v="2025-05-09T10:37:00"/>
    <d v="2025-05-09T11:21:00"/>
    <n v="43.083333330141613"/>
    <m/>
    <n v="1.9895833333357587"/>
    <n v="2"/>
    <n v="1.0416666664241347E-2"/>
    <n v="47.750000000058208"/>
    <n v="12"/>
    <n v="35.750000000058208"/>
    <n v="4.2965034964965012"/>
    <m/>
    <m/>
    <m/>
    <m/>
    <m/>
  </r>
  <r>
    <d v="2025-05-07T00:00:00"/>
    <x v="4"/>
    <s v="KESH"/>
    <s v="OMDLEAQRR"/>
    <s v="DJ"/>
    <s v="FRED LURE "/>
    <s v="UBP 310H"/>
    <s v="KATO INVESTMENTS LTD-KATIKARA Tax No.: 1000098824"/>
    <n v="156"/>
    <s v="OMDLEAQRR"/>
    <s v="OM"/>
    <n v="790"/>
    <n v="788"/>
    <n v="-2"/>
    <m/>
    <d v="2025-05-06T19:04:00"/>
    <d v="2025-05-06T15:48:00"/>
    <d v="2025-05-06T19:33:00"/>
    <n v="223.95833333333334"/>
    <n v="28.865740740972495"/>
    <m/>
    <d v="2025-05-07T18:05:00"/>
    <d v="2025-05-07T20:12:00"/>
    <n v="124.35416667191021"/>
    <m/>
    <d v="2025-05-09T11:01:00"/>
    <d v="2025-05-09T11:41:00"/>
    <n v="39.166666671226267"/>
    <m/>
    <n v="2.6444444444423425"/>
    <n v="3"/>
    <n v="0.3555555555576575"/>
    <n v="63.46666666661622"/>
    <n v="24"/>
    <n v="39.46666666661622"/>
    <n v="3.952702702707755"/>
    <m/>
    <m/>
    <m/>
    <m/>
    <m/>
  </r>
  <r>
    <d v="2025-05-07T00:00:00"/>
    <x v="4"/>
    <s v="NBL"/>
    <s v="OMFFWKLRR"/>
    <m/>
    <s v="GODWIN  NIWENSIIMA"/>
    <s v="UAR 731Q"/>
    <s v="RUGOMA TRADERS CO. LTD NTUNGAM Tax No.: 1000249350"/>
    <n v="153.6"/>
    <s v="OMFFWKLRR"/>
    <s v="OM"/>
    <n v="150"/>
    <n v="148"/>
    <n v="-2"/>
    <m/>
    <d v="2025-05-07T09:07:00"/>
    <d v="2025-05-07T06:15:00"/>
    <d v="2025-05-07T09:45:00"/>
    <n v="209.02777778125406"/>
    <n v="37.82407407222005"/>
    <s v="DJ failures "/>
    <d v="2025-05-07T12:22:00"/>
    <d v="2025-05-08T15:46:00"/>
    <n v="1609.7500000047876"/>
    <s v="truck faulty"/>
    <d v="2025-05-08T17:49:00"/>
    <d v="2025-05-08T18:31:00"/>
    <n v="41.12500000068394"/>
    <m/>
    <n v="1.336111111108039"/>
    <n v="1"/>
    <n v="-0.33611111110803904"/>
    <n v="32.066666666592937"/>
    <n v="12"/>
    <n v="20.066666666592937"/>
    <n v="7.6544850498620107"/>
    <m/>
    <m/>
    <m/>
    <m/>
    <m/>
  </r>
  <r>
    <d v="2025-05-07T00:00:00"/>
    <x v="4"/>
    <s v="NBL"/>
    <s v="OM8QXGJRR"/>
    <m/>
    <s v="Kabene John"/>
    <s v="UBA 523T"/>
    <s v="Sawan Distributors Ltd-Kayabwe Tax No.: 1000186379"/>
    <n v="156"/>
    <s v="OM8QXGJRR"/>
    <s v="OM"/>
    <n v="382"/>
    <n v="379"/>
    <n v="-3"/>
    <m/>
    <d v="2025-05-07T11:47:00"/>
    <d v="2025-05-07T10:00:00"/>
    <d v="2025-05-07T12:08:00"/>
    <n v="127.40740741598226"/>
    <n v="20.902777772910969"/>
    <m/>
    <d v="2025-05-07T19:29:00"/>
    <d v="2025-05-08T16:03:00"/>
    <n v="1208.2916666657547"/>
    <s v="Reached late and offloaded the next day"/>
    <d v="2025-05-09T08:39:00"/>
    <d v="2025-05-09T09:23:00"/>
    <n v="43.083333330141613"/>
    <m/>
    <n v="1.8548611111109494"/>
    <n v="2"/>
    <n v="0.14513888888905058"/>
    <n v="44.516666666662786"/>
    <n v="12"/>
    <n v="32.516666666662786"/>
    <n v="4.797539723219435"/>
    <m/>
    <m/>
    <m/>
    <m/>
    <m/>
  </r>
  <r>
    <d v="2025-05-07T00:00:00"/>
    <x v="4"/>
    <s v="KESH"/>
    <s v="OMAARNHRR"/>
    <s v="DJ"/>
    <s v="Tumwine Jimmy"/>
    <s v="UBR 863Y"/>
    <s v="Kabaco U Ltd Tax No.: 1000025425"/>
    <n v="156"/>
    <s v="OMAARNHRR"/>
    <s v="OM"/>
    <n v="304"/>
    <n v="303"/>
    <n v="-1"/>
    <m/>
    <d v="2025-05-06T20:19:00"/>
    <d v="2025-05-07T02:22:00"/>
    <d v="2025-05-06T20:46:00"/>
    <n v="-334.44444445000653"/>
    <n v="26.87500000417155"/>
    <m/>
    <d v="2025-05-07T18:15:00"/>
    <d v="2025-05-07T20:39:00"/>
    <n v="141.00000000820728"/>
    <m/>
    <d v="2025-05-08T18:07:00"/>
    <d v="2025-05-08T18:49:00"/>
    <n v="41.12500000068394"/>
    <m/>
    <n v="1.8895833333372138"/>
    <n v="2"/>
    <n v="0.11041666666278616"/>
    <n v="45.350000000093132"/>
    <n v="12"/>
    <n v="33.350000000093132"/>
    <n v="4.6776611694022296"/>
    <m/>
    <m/>
    <m/>
    <m/>
    <m/>
  </r>
  <r>
    <d v="2025-05-07T00:00:00"/>
    <x v="4"/>
    <s v="KESH"/>
    <s v="OMK20F3RR"/>
    <s v="DJ"/>
    <s v="MBOGO BASHIR"/>
    <s v="UBR 903Y"/>
    <s v="Rugoma Traders-Rukungiri Tax No.: 1000249350"/>
    <n v="156"/>
    <s v="OMK20F3RR"/>
    <s v="OM"/>
    <n v="256"/>
    <n v="254"/>
    <n v="-2"/>
    <m/>
    <d v="2025-05-06T21:28:00"/>
    <d v="2025-05-07T04:04:00"/>
    <d v="2025-05-06T22:21:00"/>
    <n v="-341.41203703402425"/>
    <n v="52.75462963472819"/>
    <s v="DJ failures "/>
    <d v="2025-05-07T12:02:00"/>
    <d v="2025-05-07T17:14:00"/>
    <n v="305.50000000068394"/>
    <s v="found another truck to be offloaded"/>
    <d v="2025-05-07T20:48:00"/>
    <d v="2025-05-07T21:32:00"/>
    <n v="43.083333330141613"/>
    <m/>
    <n v="0.93541666666715173"/>
    <n v="2"/>
    <n v="1.0645833333328483"/>
    <n v="22.450000000011642"/>
    <n v="0"/>
    <n v="22.450000000011642"/>
    <n v="6.948775055675684"/>
    <m/>
    <m/>
    <m/>
    <m/>
    <m/>
  </r>
  <r>
    <d v="2025-05-07T00:00:00"/>
    <x v="4"/>
    <s v="KESH"/>
    <s v="OMUB6M8RR"/>
    <s v="DJ"/>
    <s v="RONALD KABANDA "/>
    <s v="UBE 684K"/>
    <s v="Kobusinge Steven-Kamwenge Tax No.: 1000977837"/>
    <n v="156"/>
    <s v="OMUB6M8RR"/>
    <s v="OM"/>
    <n v="228"/>
    <n v="225"/>
    <n v="-3"/>
    <m/>
    <d v="2025-05-06T14:43:00"/>
    <d v="2025-05-07T03:17:00"/>
    <d v="2025-05-06T15:06:00"/>
    <n v="-727.61574074514408"/>
    <n v="22.893518520140788"/>
    <m/>
    <d v="2025-05-06T20:57:00"/>
    <d v="2025-05-07T11:16:00"/>
    <n v="841.10416666917445"/>
    <s v="Waited for empties from trade"/>
    <d v="2025-05-07T14:01:00"/>
    <d v="2025-05-07T14:45:00"/>
    <n v="43.083333330141613"/>
    <m/>
    <n v="0.95486111110949423"/>
    <n v="2"/>
    <n v="1.0451388888905058"/>
    <n v="22.916666666627862"/>
    <n v="0"/>
    <n v="22.916666666627862"/>
    <n v="6.8072727272842544"/>
    <m/>
    <m/>
    <m/>
    <m/>
    <m/>
  </r>
  <r>
    <d v="2025-05-07T00:00:00"/>
    <x v="4"/>
    <s v="NBL"/>
    <s v="OMSBPFBRR"/>
    <m/>
    <s v="James  Kironde"/>
    <s v="UBK 881R"/>
    <s v="RUGOMA TRADERS CO. LTD NTUNGAM Tax No.: 1000249350"/>
    <n v="153.6"/>
    <s v="OMSBPFBRR"/>
    <s v="OM"/>
    <n v="150"/>
    <n v="148"/>
    <n v="-2"/>
    <m/>
    <d v="2025-05-06T15:00:00"/>
    <d v="2025-05-07T06:15:00"/>
    <d v="2025-05-06T15:42:00"/>
    <n v="-868.95833332916175"/>
    <n v="41.805555556250816"/>
    <s v="stock recon delays"/>
    <d v="2025-05-06T17:29:00"/>
    <d v="2025-05-07T17:56:00"/>
    <n v="1436.4374999938445"/>
    <s v="Waited for empties from trade"/>
    <d v="2025-05-07T20:12:00"/>
    <d v="2025-05-07T21:04:00"/>
    <n v="50.916666668490507"/>
    <s v="found another truck waiting to offload"/>
    <n v="1.1875"/>
    <n v="1"/>
    <n v="-0.1875"/>
    <n v="28.5"/>
    <n v="12"/>
    <n v="16.5"/>
    <n v="9.3090909090909086"/>
    <m/>
    <m/>
    <m/>
    <m/>
    <m/>
  </r>
  <r>
    <d v="2025-05-08T00:00:00"/>
    <x v="4"/>
    <s v="NBL"/>
    <s v="OM3UZFPRR"/>
    <m/>
    <s v="Luyaga Isaac"/>
    <s v="UAY 265V"/>
    <s v="KATO INVESTMENTS LIMITED-MASAK Tax No.: 1000098824"/>
    <n v="153.6"/>
    <s v="OM3UZFPRR"/>
    <s v="OM"/>
    <n v="596"/>
    <n v="594"/>
    <n v="-2"/>
    <m/>
    <d v="2025-05-10T11:59:00"/>
    <d v="2025-05-08T10:00:00"/>
    <d v="2025-05-10T12:26:00"/>
    <m/>
    <n v="26.87500000417155"/>
    <m/>
    <d v="2025-05-10T18:31:00"/>
    <d v="2025-05-11T10:04:00"/>
    <n v="913.56250000273576"/>
    <s v="space consquents"/>
    <d v="2025-05-12T06:43:00"/>
    <d v="2025-05-12T07:27:00"/>
    <n v="43.083333330141613"/>
    <m/>
    <n v="1.7618055555576575"/>
    <n v="2"/>
    <n v="0.2381944444423425"/>
    <n v="42.28333333338378"/>
    <n v="12"/>
    <n v="30.28333333338378"/>
    <n v="5.072096862952475"/>
    <m/>
    <m/>
    <m/>
    <m/>
    <m/>
  </r>
  <r>
    <d v="2025-05-08T00:00:00"/>
    <x v="4"/>
    <s v="NBL"/>
    <s v="OMN6U3NRR"/>
    <m/>
    <s v="Bisaso  Ronald"/>
    <s v="UBK 875R"/>
    <s v="KATO INVESTMENTS LTD- KALISIZO Tax No.: 1000098824"/>
    <n v="153.6"/>
    <s v="OMN6U3NRR"/>
    <s v="OM"/>
    <n v="288"/>
    <n v="286"/>
    <n v="-2"/>
    <m/>
    <d v="2025-05-08T13:42:00"/>
    <d v="2025-05-08T10:00:00"/>
    <d v="2025-05-08T14:05:00"/>
    <m/>
    <n v="22.893518520140788"/>
    <m/>
    <d v="2025-05-09T12:00:00"/>
    <d v="2025-05-09T17:16:00"/>
    <n v="309.41666666985839"/>
    <s v="Reached late and offloaded the next day"/>
    <d v="2025-05-10T09:28:00"/>
    <d v="2025-05-10T10:08:00"/>
    <n v="39.166666671226267"/>
    <m/>
    <n v="1.8076388888875954"/>
    <n v="2"/>
    <n v="0.19236111111240461"/>
    <n v="43.383333333302289"/>
    <n v="12"/>
    <n v="31.383333333302289"/>
    <n v="4.8943175783372892"/>
    <m/>
    <m/>
    <m/>
    <m/>
    <m/>
  </r>
  <r>
    <d v="2025-05-08T00:00:00"/>
    <x v="4"/>
    <s v="NBL"/>
    <s v="OMGMI2BRR"/>
    <m/>
    <s v="James  Kironde"/>
    <s v="UBK 881R"/>
    <s v="KATO INVESTMENTS LTD- KALISIZO Tax No.: 1000098824"/>
    <n v="153.6"/>
    <s v="OMGMI2BRR"/>
    <s v="OM"/>
    <n v="288"/>
    <n v="287"/>
    <n v="-1"/>
    <m/>
    <d v="2025-05-08T11:42:00"/>
    <d v="2025-05-08T10:00:00"/>
    <d v="2025-05-08T12:05:00"/>
    <m/>
    <n v="22.893518520140788"/>
    <m/>
    <d v="2025-05-08T17:20:00"/>
    <d v="2025-05-09T08:31:00"/>
    <n v="892.02083333766495"/>
    <s v="Waited for empties from trade"/>
    <d v="2025-05-11T19:02:00"/>
    <d v="2025-05-11T19:38:00"/>
    <n v="35.25000000205182"/>
    <m/>
    <n v="3.289583333338669"/>
    <n v="2"/>
    <n v="-1.289583333338669"/>
    <n v="78.950000000128057"/>
    <n v="36"/>
    <n v="42.950000000128057"/>
    <n v="3.5762514551697797"/>
    <m/>
    <m/>
    <m/>
    <m/>
    <m/>
  </r>
  <r>
    <d v="2025-05-08T00:00:00"/>
    <x v="4"/>
    <s v="NBL"/>
    <s v="OMH67KZRR"/>
    <m/>
    <s v="Benon Ssempijja"/>
    <s v="UAY 526V"/>
    <s v="Kobusinge Steven-FPortal Tax No.: 1000977837"/>
    <n v="153.6"/>
    <s v="OMH67KZRR"/>
    <s v="OM"/>
    <n v="304"/>
    <n v="302"/>
    <n v="-2"/>
    <m/>
    <d v="2025-05-07T12:10:00"/>
    <d v="2025-05-07T20:25:00"/>
    <d v="2025-05-07T12:33:00"/>
    <m/>
    <n v="22.893518520140788"/>
    <m/>
    <d v="2025-05-07T19:22:00"/>
    <d v="2025-05-09T15:01:00"/>
    <n v="2564.4375000082073"/>
    <s v="Waited for empties from trade"/>
    <d v="2025-05-09T20:21:00"/>
    <d v="2025-05-09T21:03:00"/>
    <n v="41.12500000068394"/>
    <m/>
    <n v="2.3249999999970896"/>
    <n v="2"/>
    <n v="-0.32499999999708962"/>
    <n v="55.799999999930151"/>
    <n v="24"/>
    <n v="31.799999999930151"/>
    <n v="4.8301886792558921"/>
    <m/>
    <m/>
    <m/>
    <m/>
    <m/>
  </r>
  <r>
    <d v="2025-05-08T00:00:00"/>
    <x v="4"/>
    <s v="KESH"/>
    <s v="OM6929GRR"/>
    <s v="DJ"/>
    <s v="Hassan Byashara"/>
    <s v="UBP 312H"/>
    <s v="Kato Investment Ltd -Mityana Tax No.: 1000098824"/>
    <n v="156"/>
    <s v="OM6929GRR"/>
    <s v="OM"/>
    <n v="690"/>
    <n v="687"/>
    <n v="-3"/>
    <m/>
    <d v="2025-05-08T10:50:00"/>
    <d v="2025-05-08T19:35:00"/>
    <d v="2025-05-08T11:13:00"/>
    <n v="-499.67592591735109"/>
    <n v="22.893518520140788"/>
    <m/>
    <d v="2025-05-09T10:26:00"/>
    <d v="2025-05-09T20:30:00"/>
    <n v="591.41666666575475"/>
    <s v="truck faulty"/>
    <d v="2025-05-11T07:21:00"/>
    <d v="2025-05-11T08:05:00"/>
    <n v="43.083333330141613"/>
    <m/>
    <n v="2.8388888888875954"/>
    <n v="3"/>
    <n v="0.16111111111240461"/>
    <n v="68.133333333302289"/>
    <n v="24"/>
    <n v="44.133333333302289"/>
    <n v="3.534743202419405"/>
    <m/>
    <m/>
    <m/>
    <m/>
    <m/>
  </r>
  <r>
    <d v="2025-05-09T00:00:00"/>
    <x v="4"/>
    <s v="NBL"/>
    <s v="OMQMTDWRR"/>
    <m/>
    <s v="Mugisha  George"/>
    <s v="UAV 203T"/>
    <s v="KATO INVESTMENTS LIMITED-MASAK Tax No.: 1000098824"/>
    <n v="153.6"/>
    <s v="OMQMTDWRR"/>
    <s v="OM"/>
    <n v="596"/>
    <n v="595"/>
    <n v="-1"/>
    <m/>
    <d v="2025-05-08T19:41:00"/>
    <d v="2025-05-09T04:14:00"/>
    <d v="2025-05-08T20:04:00"/>
    <m/>
    <n v="22.893518520140788"/>
    <m/>
    <d v="2025-05-09T10:36:00"/>
    <d v="2025-05-09T14:01:00"/>
    <n v="200.72916666438687"/>
    <s v="Reached late and offloaded the next day"/>
    <d v="2025-05-10T11:21:00"/>
    <d v="2025-05-10T12:01:00"/>
    <n v="39.166666671226267"/>
    <m/>
    <n v="1.6368055555576575"/>
    <n v="2"/>
    <n v="0.3631944444423425"/>
    <n v="39.28333333338378"/>
    <n v="12"/>
    <n v="27.28333333338378"/>
    <n v="5.6298106291893459"/>
    <m/>
    <m/>
    <m/>
    <m/>
    <m/>
  </r>
  <r>
    <d v="2025-05-09T00:00:00"/>
    <x v="4"/>
    <s v="KESH"/>
    <s v="OM7V2JTRR"/>
    <s v="DJ"/>
    <s v="RONALD KABANDA "/>
    <s v="UBE 684K"/>
    <s v="Kabaco U Ltd Tax No.: 1000025425"/>
    <n v="156"/>
    <s v="OM7V2JTRR"/>
    <s v="OM"/>
    <n v="304"/>
    <n v="302"/>
    <n v="-2"/>
    <m/>
    <d v="2025-05-09T11:46:00"/>
    <d v="2025-05-10T02:22:00"/>
    <d v="2025-05-09T12:13:00"/>
    <n v="-845.06944444583496"/>
    <n v="26.87500000417155"/>
    <m/>
    <d v="2025-05-09T15:54:00"/>
    <d v="2025-05-09T19:45:00"/>
    <n v="226.18749999863212"/>
    <s v="Waited for empties from trade"/>
    <d v="2025-05-10T10:25:00"/>
    <d v="2025-05-10T11:09:00"/>
    <n v="43.083333330141613"/>
    <m/>
    <n v="0.92500000000291038"/>
    <n v="2"/>
    <n v="1.0749999999970896"/>
    <n v="22.200000000069849"/>
    <n v="0"/>
    <n v="22.200000000069849"/>
    <n v="7.0270270270049178"/>
    <m/>
    <m/>
    <m/>
    <m/>
    <m/>
  </r>
  <r>
    <d v="2025-05-10T00:00:00"/>
    <x v="4"/>
    <s v="NBL"/>
    <s v="OM51JTPRR"/>
    <m/>
    <s v="Kabene John"/>
    <s v="UBA 523T"/>
    <s v="Kabaco U Ltd-Mbarara Tax No.: 1000025425"/>
    <n v="153.6"/>
    <s v="OM51JTPRR"/>
    <s v="OM"/>
    <n v="20"/>
    <n v="17"/>
    <n v="-3"/>
    <m/>
    <d v="2025-05-10T15:31:00"/>
    <d v="2025-05-10T10:00:00"/>
    <d v="2025-05-10T15:54:00"/>
    <m/>
    <n v="22.893518520140788"/>
    <m/>
    <d v="2025-05-11T10:16:00"/>
    <d v="2025-05-11T17:42:00"/>
    <n v="436.70833334108465"/>
    <s v="Waited for empties from trade"/>
    <d v="2025-05-12T10:16:00"/>
    <d v="2025-05-12T11:06:00"/>
    <n v="48.958333328773733"/>
    <s v="sorting delays"/>
    <n v="1.765277777776646"/>
    <n v="1"/>
    <n v="-0.76527777777664596"/>
    <n v="42.366666666639503"/>
    <n v="12"/>
    <n v="30.366666666639503"/>
    <n v="5.0581778265687394"/>
    <m/>
    <m/>
    <m/>
    <m/>
    <m/>
  </r>
  <r>
    <d v="2025-05-10T00:00:00"/>
    <x v="4"/>
    <s v="KESH"/>
    <s v="OMD89ZBRR"/>
    <s v="DJ"/>
    <s v="KAJUBI ISMA"/>
    <s v="UBR 538W"/>
    <s v="Kato Investment Ltd -Mityana Tax No.: 1000098824"/>
    <n v="156"/>
    <s v="OMD89ZBRR"/>
    <s v="OM"/>
    <n v="690"/>
    <n v="688"/>
    <n v="-2"/>
    <m/>
    <d v="2025-05-09T21:04:00"/>
    <d v="2025-05-09T19:35:00"/>
    <d v="2025-05-09T21:31:00"/>
    <n v="115.46296296388998"/>
    <n v="26.87500000417155"/>
    <m/>
    <d v="2025-05-11T08:20:00"/>
    <d v="2025-05-11T16:08:00"/>
    <n v="458.25000000615546"/>
    <s v="truck faulty"/>
    <d v="2025-05-12T16:31:00"/>
    <d v="2025-05-12T17:13:00"/>
    <n v="41.12500000068394"/>
    <m/>
    <n v="2.7916666666715173"/>
    <n v="3"/>
    <n v="0.20833333332848269"/>
    <n v="67.000000000116415"/>
    <n v="24"/>
    <n v="43.000000000116415"/>
    <n v="3.6279069767343639"/>
    <m/>
    <m/>
    <m/>
    <m/>
    <m/>
  </r>
  <r>
    <d v="2025-05-10T00:00:00"/>
    <x v="4"/>
    <s v="NBL"/>
    <s v="OMYMZMTRR"/>
    <m/>
    <s v="Kabene John"/>
    <s v="UBA 523T"/>
    <s v="Kabaco U Ltd-Mbarara Tax No.: 1000025425"/>
    <n v="153.6"/>
    <s v="OMYMZMTRR"/>
    <s v="OM"/>
    <n v="20"/>
    <n v="18"/>
    <n v="-2"/>
    <m/>
    <d v="2025-05-09T14:21:00"/>
    <d v="2025-05-09T14:00:00"/>
    <d v="2025-05-09T14:48:00"/>
    <m/>
    <n v="26.87500000417155"/>
    <m/>
    <d v="2025-05-09T15:23:00"/>
    <d v="2025-05-10T10:41:00"/>
    <n v="1133.8750000027358"/>
    <s v="Reached late and offloaded the next day"/>
    <d v="2025-05-10T11:17:00"/>
    <d v="2025-05-10T12:01:00"/>
    <n v="43.083333330141613"/>
    <m/>
    <n v="0.85347222221753327"/>
    <n v="1"/>
    <n v="0.14652777778246673"/>
    <n v="20.483333333220799"/>
    <n v="0"/>
    <n v="20.483333333220799"/>
    <n v="7.4987794955660148"/>
    <m/>
    <m/>
    <m/>
    <m/>
    <m/>
  </r>
  <r>
    <d v="2025-05-10T00:00:00"/>
    <x v="4"/>
    <s v="NBL"/>
    <s v="OMESUBZRR"/>
    <m/>
    <s v="Tumusiime Robert"/>
    <s v="UBJ 988D"/>
    <s v="Kabaco U Ltd-Mbarara Tax No.: 1000025425"/>
    <n v="153.6"/>
    <s v="OMESUBZRR"/>
    <s v="OM"/>
    <n v="20"/>
    <n v="19"/>
    <n v="-1"/>
    <m/>
    <d v="2025-05-09T13:35:00"/>
    <d v="2025-05-09T14:00:00"/>
    <d v="2025-05-09T14:13:00"/>
    <m/>
    <n v="37.82407407222005"/>
    <s v="pressure balancing"/>
    <d v="2025-05-09T14:49:00"/>
    <d v="2025-05-09T19:12:00"/>
    <n v="257.52083334176859"/>
    <s v="found another truck to be offloaded"/>
    <d v="2025-05-10T08:31:00"/>
    <d v="2025-05-10T09:11:00"/>
    <n v="39.166666671226267"/>
    <m/>
    <n v="0.76249999999708962"/>
    <n v="1"/>
    <n v="0.23750000000291038"/>
    <n v="18.299999999930151"/>
    <n v="0"/>
    <n v="18.299999999930151"/>
    <n v="8.3934426229828567"/>
    <m/>
    <m/>
    <m/>
    <m/>
    <m/>
  </r>
  <r>
    <d v="2025-05-10T00:00:00"/>
    <x v="4"/>
    <s v="NBL"/>
    <s v="OMPNR2CRR"/>
    <m/>
    <s v="Stephen Musoke "/>
    <s v="UBJ 375N"/>
    <s v="Kabaco U Ltd-Mbarara Tax No.: 1000025425"/>
    <n v="153.6"/>
    <s v="OMPNR2CRR"/>
    <s v="OM"/>
    <n v="20"/>
    <n v="17"/>
    <n v="-3"/>
    <m/>
    <d v="2025-05-10T08:58:00"/>
    <d v="2025-05-10T10:00:00"/>
    <d v="2025-05-10T09:25:00"/>
    <m/>
    <n v="26.87500000417155"/>
    <m/>
    <d v="2025-05-10T10:02:00"/>
    <d v="2025-05-10T14:04:00"/>
    <n v="236.95833332603797"/>
    <s v="Waited for empties from trade"/>
    <d v="2025-05-10T14:41:00"/>
    <d v="2025-05-10T15:23:00"/>
    <n v="41.12500000068394"/>
    <m/>
    <n v="0.21944444444670808"/>
    <n v="1"/>
    <n v="0.78055555555329192"/>
    <n v="5.2666666667209938"/>
    <n v="0"/>
    <n v="5.2666666667209938"/>
    <n v="29.164556961724475"/>
    <m/>
    <m/>
    <m/>
    <m/>
    <m/>
  </r>
  <r>
    <d v="2025-05-10T00:00:00"/>
    <x v="4"/>
    <s v="KESH"/>
    <s v="OMROXUBRR"/>
    <s v="DJ"/>
    <s v="ALLEX TAIMWA"/>
    <s v="UBJ 705D"/>
    <s v="Sawan Distributors Ltd-Nabingo Tax No.: 1000186379"/>
    <n v="156"/>
    <s v="OMROXUBRR"/>
    <s v="OM"/>
    <n v="560"/>
    <n v="558"/>
    <n v="-2"/>
    <m/>
    <d v="2025-05-09T17:31:00"/>
    <d v="2025-05-10T02:30:00"/>
    <d v="2025-05-09T18:25:00"/>
    <n v="-482.75462962847087"/>
    <n v="53.749999997914223"/>
    <s v="found another truck waiting to be cleared at the gate"/>
    <d v="2025-05-10T09:58:00"/>
    <d v="2025-05-10T13:13:00"/>
    <n v="190.9374999965803"/>
    <s v="Waited for empties from trade"/>
    <d v="2025-05-15T15:12:00"/>
    <d v="2025-05-15T15:56:00"/>
    <n v="43.083333330141613"/>
    <m/>
    <n v="5.8659722222218988"/>
    <n v="2"/>
    <n v="-3.8659722222218988"/>
    <n v="140.78333333332557"/>
    <n v="60"/>
    <n v="80.783333333325572"/>
    <n v="1.9310913967404373"/>
    <m/>
    <m/>
    <m/>
    <m/>
    <m/>
  </r>
  <r>
    <d v="2025-05-10T00:00:00"/>
    <x v="4"/>
    <s v="NBL"/>
    <s v="OMF637ERR"/>
    <m/>
    <s v="Benon Ssempijja"/>
    <s v="UAY 526V"/>
    <s v="Ntale &amp; Sons Tax No.: 1001371381"/>
    <n v="153.6"/>
    <s v="OMF637ERR"/>
    <s v="OM"/>
    <n v="810"/>
    <n v="808"/>
    <n v="-2"/>
    <m/>
    <d v="2025-05-10T08:07:00"/>
    <d v="2025-05-10T16:40:00"/>
    <d v="2025-05-10T08:30:00"/>
    <m/>
    <n v="22.893518520140788"/>
    <m/>
    <d v="2025-05-11T12:24:00"/>
    <d v="2025-05-11T16:44:00"/>
    <n v="254.58333333219343"/>
    <s v="Waited for empties from trade"/>
    <d v="2025-05-13T21:56:00"/>
    <d v="2025-05-13T22:40:00"/>
    <n v="43.083333330141613"/>
    <m/>
    <n v="3.5597222222277196"/>
    <n v="3"/>
    <n v="-0.55972222222771961"/>
    <n v="85.433333333465271"/>
    <n v="36"/>
    <n v="49.433333333465271"/>
    <n v="3.1072151045095757"/>
    <m/>
    <m/>
    <m/>
    <m/>
    <m/>
  </r>
  <r>
    <d v="2025-05-10T00:00:00"/>
    <x v="4"/>
    <s v="NBL"/>
    <s v="OMXE8INRR"/>
    <m/>
    <s v="Kilabila Ismail"/>
    <s v="UBE 419T"/>
    <s v="Kabaco U Ltd Tax No.: 1000025425"/>
    <n v="153.6"/>
    <s v="OMXE8INRR"/>
    <s v="OM"/>
    <n v="304"/>
    <n v="303"/>
    <n v="-1"/>
    <m/>
    <d v="2025-05-09T17:26:00"/>
    <d v="2025-05-10T02:22:00"/>
    <d v="2025-05-09T18:08:00"/>
    <m/>
    <n v="41.805555556250816"/>
    <s v="network failures"/>
    <d v="2025-05-10T10:57:00"/>
    <d v="2025-05-10T14:25:00"/>
    <n v="203.66666666370293"/>
    <s v="truck faulty"/>
    <d v="2025-05-11T11:53:00"/>
    <d v="2025-05-11T12:33:00"/>
    <n v="39.166666671226267"/>
    <m/>
    <n v="1.7395833333284827"/>
    <n v="2"/>
    <n v="0.26041666667151731"/>
    <n v="41.749999999883585"/>
    <n v="12"/>
    <n v="29.749999999883585"/>
    <n v="5.1630252101042373"/>
    <m/>
    <m/>
    <m/>
    <m/>
    <m/>
  </r>
  <r>
    <d v="2025-05-10T00:00:00"/>
    <x v="4"/>
    <s v="NBL"/>
    <s v="OM8GNF6RR"/>
    <m/>
    <s v="ANGELO KYOSIGA "/>
    <s v="UAV 051U"/>
    <s v="KATO INVESTMENTS LIMITED-MASAK Tax No.: 1000098824"/>
    <n v="153.6"/>
    <s v="OM8GNF6RR"/>
    <s v="OM"/>
    <n v="596"/>
    <n v="594"/>
    <n v="-2"/>
    <m/>
    <d v="2025-05-09T16:40:00"/>
    <d v="2025-05-10T04:14:00"/>
    <d v="2025-05-09T17:07:00"/>
    <m/>
    <n v="26.87500000417155"/>
    <m/>
    <d v="2025-05-10T08:38:00"/>
    <d v="2025-05-10T16:39:00"/>
    <n v="470.97916666301899"/>
    <s v="Reached late and offloaded the next day"/>
    <d v="2025-05-11T12:27:00"/>
    <d v="2025-05-11T13:11:00"/>
    <n v="43.083333330141613"/>
    <m/>
    <n v="1.8055555555620231"/>
    <n v="2"/>
    <n v="0.19444444443797693"/>
    <n v="43.333333333488554"/>
    <n v="12"/>
    <n v="31.333333333488554"/>
    <n v="4.9021276595501835"/>
    <m/>
    <m/>
    <m/>
    <m/>
    <m/>
  </r>
  <r>
    <d v="2025-05-10T00:00:00"/>
    <x v="4"/>
    <s v="KESH"/>
    <s v="OMMIHKORR"/>
    <s v="DJ"/>
    <s v="MBOGO BASHIR"/>
    <s v="UBR 903Y"/>
    <s v="Sawan Distributors Ltd-Nabingo Tax No.: 1000186379"/>
    <n v="156"/>
    <s v="OMMIHKORR"/>
    <s v="OM"/>
    <n v="560"/>
    <n v="558"/>
    <n v="-2"/>
    <m/>
    <d v="2025-05-09T21:42:00"/>
    <d v="2025-05-10T10:00:00"/>
    <d v="2025-05-09T22:24:00"/>
    <n v="-692.77777777291101"/>
    <n v="41.805555556250816"/>
    <s v="Jam at the weigh bridge"/>
    <d v="2025-05-12T06:56:00"/>
    <d v="2025-05-12T12:47:00"/>
    <n v="343.68749999179272"/>
    <s v="less casuals and offloaded the next day"/>
    <d v="2025-05-13T09:50:00"/>
    <d v="2025-05-13T10:34:00"/>
    <n v="43.083333330141613"/>
    <m/>
    <n v="3.476388888884685"/>
    <n v="2"/>
    <n v="-1.476388888884685"/>
    <n v="83.43333333323244"/>
    <n v="36"/>
    <n v="47.43333333323244"/>
    <n v="3.2888264230568902"/>
    <m/>
    <m/>
    <m/>
    <m/>
    <m/>
  </r>
  <r>
    <d v="2025-05-10T00:00:00"/>
    <x v="4"/>
    <s v="NBL"/>
    <s v="OMFRFNRRR"/>
    <m/>
    <s v="Tumusiime Robert"/>
    <s v="UBJ 988D"/>
    <s v="Kabaco U Ltd Tax No.: 1000025425"/>
    <n v="153.6"/>
    <s v="OMFRFNRRR"/>
    <s v="OM"/>
    <n v="304"/>
    <n v="302"/>
    <n v="-2"/>
    <m/>
    <d v="2025-05-10T13:38:00"/>
    <d v="2025-05-11T02:22:00"/>
    <d v="2025-05-10T14:05:00"/>
    <m/>
    <n v="26.87500000417155"/>
    <m/>
    <d v="2025-05-10T16:32:00"/>
    <d v="2025-05-11T10:44:00"/>
    <n v="1069.2500000075233"/>
    <s v="found another truck to be offloaded"/>
    <d v="2025-05-11T13:36:00"/>
    <d v="2025-05-11T14:18:00"/>
    <n v="41.12500000068394"/>
    <m/>
    <n v="0.97986111111094942"/>
    <n v="2"/>
    <n v="1.0201388888890506"/>
    <n v="23.516666666662786"/>
    <n v="0"/>
    <n v="23.516666666662786"/>
    <n v="6.5315379163724456"/>
    <m/>
    <m/>
    <m/>
    <m/>
    <m/>
  </r>
  <r>
    <d v="2025-05-10T00:00:00"/>
    <x v="4"/>
    <s v="KESH"/>
    <s v="OM4RPHWRR"/>
    <s v="DJ"/>
    <s v="MUKOSE MUZAMIRU"/>
    <s v="UBJ 417C"/>
    <s v="Sawan Distributors Ltd-Kayabwe Tax No.: 1000186379"/>
    <n v="156"/>
    <s v="OM4RPHWRR"/>
    <s v="OM"/>
    <n v="382"/>
    <n v="381"/>
    <n v="-1"/>
    <m/>
    <d v="2025-05-09T21:10:00"/>
    <d v="2025-05-10T10:00:00"/>
    <d v="2025-05-09T21:33:00"/>
    <n v="-743.54166666040931"/>
    <n v="22.893518520140788"/>
    <m/>
    <d v="2025-05-10T16:38:00"/>
    <d v="2025-05-11T11:38:00"/>
    <n v="1116.2499999965803"/>
    <s v="Waited for empties from trade"/>
    <d v="2025-05-11T17:09:00"/>
    <d v="2025-05-11T17:49:00"/>
    <n v="39.166666671226267"/>
    <m/>
    <n v="1.8166666666656965"/>
    <n v="2"/>
    <n v="0.18333333333430346"/>
    <n v="43.599999999976717"/>
    <n v="12"/>
    <n v="31.599999999976717"/>
    <n v="4.9367088607631313"/>
    <m/>
    <m/>
    <m/>
    <m/>
    <m/>
  </r>
  <r>
    <d v="2025-05-11T00:00:00"/>
    <x v="4"/>
    <s v="NBL"/>
    <s v="OMCIJKDRR"/>
    <m/>
    <s v="Mugisha  George"/>
    <s v="UAV 203T"/>
    <s v="Kabaco U Ltd-Mbarara Tax No.: 1000025425"/>
    <n v="153.6"/>
    <s v="OMCIJKDRR"/>
    <s v="OM"/>
    <n v="20"/>
    <n v="18"/>
    <n v="-2"/>
    <m/>
    <d v="2025-05-12T17:56:00"/>
    <d v="2025-05-11T07:42:00"/>
    <d v="2025-05-12T18:23:00"/>
    <m/>
    <n v="26.87500000417155"/>
    <m/>
    <d v="2025-05-10T16:59:00"/>
    <d v="2025-05-10T20:02:00"/>
    <n v="179.18749999931606"/>
    <m/>
    <d v="2025-05-10T20:35:00"/>
    <d v="2025-05-10T21:19:00"/>
    <n v="43.083333330141613"/>
    <m/>
    <n v="-1.9083333333328483"/>
    <n v="1"/>
    <n v="2.9083333333328483"/>
    <n v="-45.799999999988358"/>
    <n v="-24"/>
    <n v="-21.799999999988358"/>
    <n v="-7.0458715596367902"/>
    <m/>
    <m/>
    <m/>
    <m/>
    <m/>
  </r>
  <r>
    <d v="2025-05-11T00:00:00"/>
    <x v="4"/>
    <s v="NBL"/>
    <s v="OM1FWR8RR"/>
    <m/>
    <s v="Mugisha  George"/>
    <s v="UAV 203T"/>
    <s v="Kabaco U Ltd-Mbarara Tax No.: 1000025425"/>
    <n v="153.6"/>
    <s v="OM1FWR8RR"/>
    <s v="OM"/>
    <n v="20"/>
    <n v="18"/>
    <n v="-2"/>
    <m/>
    <d v="2025-05-10T15:50:00"/>
    <d v="2025-05-10T14:30:00"/>
    <d v="2025-05-10T16:17:00"/>
    <m/>
    <n v="26.87500000417155"/>
    <m/>
    <d v="2025-05-13T12:17:00"/>
    <d v="2025-05-13T15:24:00"/>
    <n v="183.10416666849051"/>
    <s v="space consquents"/>
    <d v="2025-05-14T09:18:00"/>
    <d v="2025-05-14T10:02:00"/>
    <n v="43.083333330141613"/>
    <m/>
    <n v="3.7090277777751908"/>
    <n v="1"/>
    <n v="-2.7090277777751908"/>
    <n v="89.016666666604578"/>
    <n v="36"/>
    <n v="53.016666666604578"/>
    <n v="2.8972021376959423"/>
    <m/>
    <m/>
    <m/>
    <m/>
    <m/>
  </r>
  <r>
    <d v="2025-05-11T00:00:00"/>
    <x v="4"/>
    <s v="KESH"/>
    <s v="OMV1Y4PRR"/>
    <s v="DJ"/>
    <s v="SENTONGO PAUL"/>
    <s v="UBR 855Y"/>
    <s v="Kato Investment Ltd -Mubende Tax No.: 1000098824"/>
    <n v="156"/>
    <s v="OMV1Y4PRR"/>
    <s v="OM"/>
    <n v="680"/>
    <n v="678"/>
    <n v="-2"/>
    <m/>
    <d v="2025-05-10T21:48:00"/>
    <d v="2025-05-10T21:00:00"/>
    <d v="2025-05-10T22:26:00"/>
    <n v="85.601851849302577"/>
    <n v="37.82407407222005"/>
    <s v="DJ failures "/>
    <d v="2025-05-11T19:23:00"/>
    <d v="2025-05-12T15:10:00"/>
    <n v="1162.2708333362971"/>
    <s v="Reached late and offloaded the next day"/>
    <d v="2025-05-13T06:52:00"/>
    <d v="2025-05-13T07:32:00"/>
    <n v="39.166666671226267"/>
    <m/>
    <n v="2.351388888891961"/>
    <n v="3"/>
    <n v="0.64861111110803904"/>
    <n v="56.433333333407063"/>
    <n v="24"/>
    <n v="32.433333333407063"/>
    <n v="4.8098663925892717"/>
    <m/>
    <m/>
    <m/>
    <m/>
    <m/>
  </r>
  <r>
    <d v="2025-05-11T00:00:00"/>
    <x v="4"/>
    <s v="NBL"/>
    <s v="OM7NOXKRR"/>
    <m/>
    <s v="Isaac Tumuhimbise"/>
    <s v="UBE 287X"/>
    <s v="Kabaco U Ltd-Mbarara Tax No.: 1000025425"/>
    <n v="153.6"/>
    <s v="OM7NOXKRR"/>
    <s v="OM"/>
    <n v="20"/>
    <n v="18"/>
    <n v="-2"/>
    <m/>
    <d v="2025-05-10T14:21:00"/>
    <d v="2025-05-10T14:00:00"/>
    <d v="2025-05-10T15:11:00"/>
    <m/>
    <n v="49.768518513883464"/>
    <s v="Water top up"/>
    <d v="2025-05-10T17:05:00"/>
    <d v="2025-05-10T19:07:00"/>
    <n v="119.45833333287737"/>
    <m/>
    <m/>
    <d v="1899-12-30T00:44:00"/>
    <n v="43.083333333333336"/>
    <m/>
    <n v="-45787.632638888892"/>
    <n v="1"/>
    <n v="45788.632638888892"/>
    <n v="-1098903.1833333333"/>
    <n v="-549456"/>
    <n v="-549447.18333333335"/>
    <n v="-2.7955371263922816E-4"/>
    <m/>
    <m/>
    <m/>
    <m/>
    <m/>
  </r>
  <r>
    <d v="2025-05-11T00:00:00"/>
    <x v="4"/>
    <s v="KESH"/>
    <s v="OM5Q08ORR"/>
    <s v="DJ"/>
    <s v="FARUK   ABEL"/>
    <s v="UBR 539W"/>
    <s v="Kato Investment Ltd -Mityana Tax No.: 1000098824"/>
    <n v="156"/>
    <s v="OM5Q08ORR"/>
    <s v="OM"/>
    <n v="690"/>
    <n v="688"/>
    <n v="-2"/>
    <m/>
    <d v="2025-05-10T17:36:00"/>
    <d v="2025-05-10T19:35:00"/>
    <d v="2025-05-10T18:18:00"/>
    <n v="-76.643518518055018"/>
    <n v="41.805555556250816"/>
    <s v="found another truck waiting to be cleared at the gate"/>
    <d v="2025-05-12T11:18:00"/>
    <d v="2025-05-12T14:49:00"/>
    <n v="206.60416666301899"/>
    <s v="Waited for empties from trade"/>
    <d v="2025-05-13T12:38:00"/>
    <d v="2025-05-13T13:20:00"/>
    <n v="41.12500000068394"/>
    <m/>
    <n v="2.7638888888905058"/>
    <n v="3"/>
    <n v="0.23611111110949423"/>
    <n v="66.333333333372138"/>
    <n v="24"/>
    <n v="42.333333333372138"/>
    <n v="3.6850393700753621"/>
    <m/>
    <m/>
    <m/>
    <m/>
    <m/>
  </r>
  <r>
    <d v="2025-05-11T00:00:00"/>
    <x v="4"/>
    <s v="KESH"/>
    <s v="OMJDSRSRR"/>
    <s v="DJ"/>
    <s v="SENTONG DAVID"/>
    <s v="UBP 298H"/>
    <s v="Boniface Harera Tax No.: 1000317747"/>
    <n v="156"/>
    <s v="OMJDSRSRR"/>
    <s v="OM"/>
    <n v="448"/>
    <n v="446"/>
    <n v="-2"/>
    <m/>
    <d v="2025-05-10T21:30:00"/>
    <d v="2025-05-11T01:30:00"/>
    <d v="2025-05-10T21:53:00"/>
    <n v="-215.99537036527181"/>
    <n v="22.893518520140788"/>
    <m/>
    <d v="2025-05-12T09:18:00"/>
    <d v="2025-05-12T14:07:00"/>
    <n v="282.97916666575475"/>
    <s v="truck faulty"/>
    <d v="2025-05-13T08:27:00"/>
    <d v="2025-05-13T09:11:00"/>
    <n v="43.083333330141613"/>
    <m/>
    <n v="2.4402777777722804"/>
    <n v="2"/>
    <n v="-0.44027777777228039"/>
    <n v="58.566666666534729"/>
    <n v="24"/>
    <n v="34.566666666534729"/>
    <n v="4.513018322100157"/>
    <m/>
    <m/>
    <m/>
    <m/>
    <m/>
  </r>
  <r>
    <d v="2025-05-11T00:00:00"/>
    <x v="4"/>
    <s v="KESH"/>
    <s v="OMC9WFORR"/>
    <s v="DJ"/>
    <s v="SENTONGO GODFREY"/>
    <s v="UBR 864Y"/>
    <s v="Kabaco U Ltd Tax No.: 1000025425"/>
    <n v="156"/>
    <s v="OMC9WFORR"/>
    <s v="OM"/>
    <n v="304"/>
    <n v="302"/>
    <n v="-2"/>
    <m/>
    <d v="2025-05-10T21:47:00"/>
    <d v="2025-05-11T02:22:00"/>
    <d v="2025-05-10T22:10:00"/>
    <n v="-250.83333333750488"/>
    <n v="22.893518520140788"/>
    <m/>
    <d v="2025-05-12T07:41:00"/>
    <d v="2025-05-12T12:06:00"/>
    <n v="259.47916666096717"/>
    <s v="Reached late and offloaded the next day"/>
    <d v="2025-05-12T20:47:00"/>
    <d v="2025-05-12T21:39:00"/>
    <n v="50.916666668490507"/>
    <s v="found another truck waiting to offload"/>
    <n v="1.9423611111124046"/>
    <n v="2"/>
    <n v="5.7638888887595385E-2"/>
    <n v="46.616666666697711"/>
    <n v="12"/>
    <n v="34.616666666697711"/>
    <n v="4.506499759264134"/>
    <m/>
    <m/>
    <m/>
    <m/>
    <m/>
  </r>
  <r>
    <d v="2025-05-11T00:00:00"/>
    <x v="4"/>
    <s v="KESH"/>
    <s v="OMO6H1YRR"/>
    <s v="DJ"/>
    <s v="NGOBI FRED"/>
    <s v="UBK 866R"/>
    <s v="Boniface Harera Tax No.: 1000317747"/>
    <n v="156"/>
    <s v="OMO6H1YRR"/>
    <s v="OM"/>
    <n v="448"/>
    <n v="446"/>
    <n v="-2"/>
    <m/>
    <d v="2025-05-10T20:11:00"/>
    <d v="2025-05-11T01:30:00"/>
    <d v="2025-05-10T21:05:00"/>
    <n v="-263.77314815278322"/>
    <n v="53.749999997914223"/>
    <s v="stock recon delays"/>
    <d v="2025-05-11T13:11:00"/>
    <d v="2025-05-12T13:42:00"/>
    <n v="1440.354166663019"/>
    <s v="found another truck to be offloaded"/>
    <d v="2025-05-13T11:51:00"/>
    <d v="2025-05-13T12:31:00"/>
    <n v="39.166666671226267"/>
    <m/>
    <n v="2.6152777777824667"/>
    <n v="2"/>
    <n v="-0.61527777778246673"/>
    <n v="62.766666666779201"/>
    <n v="24"/>
    <n v="38.766666666779201"/>
    <n v="4.0240756663683701"/>
    <m/>
    <m/>
    <m/>
    <m/>
    <m/>
  </r>
  <r>
    <d v="2025-05-11T00:00:00"/>
    <x v="4"/>
    <s v="KESH"/>
    <s v="OM6GP6DRR"/>
    <s v="DJ"/>
    <s v="IKWALIKWA YUSUF"/>
    <s v="UBP 311H"/>
    <s v="Sawan Distributors Ltd-Kayabwe Tax No.: 1000186379"/>
    <n v="156"/>
    <s v="OM6GP6DRR"/>
    <s v="OM"/>
    <n v="382"/>
    <n v="380"/>
    <n v="-2"/>
    <m/>
    <d v="2025-05-10T22:22:00"/>
    <d v="2025-05-11T04:19:00"/>
    <d v="2025-05-10T22:45:00"/>
    <n v="-332.45370370277669"/>
    <n v="22.893518520140788"/>
    <m/>
    <d v="2025-05-11T18:23:00"/>
    <d v="2025-05-12T11:29:00"/>
    <n v="1004.6250000020518"/>
    <s v="Reached late and offloaded the next day"/>
    <m/>
    <d v="1899-12-30T00:42:00"/>
    <n v="41.124999999999993"/>
    <m/>
    <n v="-45787.947916666664"/>
    <n v="2"/>
    <n v="45789.947916666664"/>
    <n v="-1098910.75"/>
    <n v="-549456"/>
    <n v="-549454.75"/>
    <n v="-2.8391782944819384E-4"/>
    <m/>
    <m/>
    <m/>
    <m/>
    <m/>
  </r>
  <r>
    <d v="2025-05-11T00:00:00"/>
    <x v="4"/>
    <s v="NBL"/>
    <s v="OMS6I63RR"/>
    <s v="DJ"/>
    <s v="Isaac Tumuhimbise"/>
    <s v="UBE 287X"/>
    <s v="KATO INVESTMENTS LTD- KALISIZO Tax No.: 1000098824"/>
    <n v="153.6"/>
    <s v="OMS6I63RR"/>
    <s v="OM"/>
    <n v="288"/>
    <n v="286"/>
    <n v="-2"/>
    <m/>
    <d v="2025-05-10T20:20:00"/>
    <d v="2025-05-11T03:43:00"/>
    <d v="2025-05-10T20:43:00"/>
    <m/>
    <n v="22.893518520140788"/>
    <m/>
    <d v="2025-05-11T11:54:00"/>
    <d v="2025-05-11T14:58:00"/>
    <n v="180.16666666917445"/>
    <s v="less casuals and offloaded the next day"/>
    <d v="2025-05-12T13:11:00"/>
    <d v="2025-05-12T14:08:00"/>
    <n v="55.81249999726424"/>
    <s v="Failed batteries at the gate"/>
    <n v="1.6861111111138598"/>
    <n v="2"/>
    <n v="0.31388888888614019"/>
    <n v="40.466666666732635"/>
    <n v="12"/>
    <n v="28.466666666732635"/>
    <n v="5.3957845433130229"/>
    <m/>
    <m/>
    <m/>
    <m/>
    <m/>
  </r>
  <r>
    <d v="2025-05-11T00:00:00"/>
    <x v="4"/>
    <s v="NBL"/>
    <s v="OMUW2B5RR"/>
    <s v="DJ"/>
    <s v="Stephen Musoke "/>
    <s v="UBJ 375N"/>
    <s v="Rugoma Traders-Kanungu/Kihihi Tax No.: 1000249350"/>
    <n v="153.6"/>
    <s v="OMUW2B5RR"/>
    <s v="OM"/>
    <n v="272"/>
    <n v="270"/>
    <n v="-2"/>
    <m/>
    <d v="2025-05-10T17:11:00"/>
    <d v="2025-05-11T01:59:00"/>
    <d v="2025-05-10T17:34:00"/>
    <m/>
    <n v="22.893518520140788"/>
    <m/>
    <d v="2025-05-11T11:29:00"/>
    <d v="2025-05-11T16:21:00"/>
    <n v="285.91666666507081"/>
    <s v="found another truck to be offloaded"/>
    <d v="2025-05-12T10:37:00"/>
    <d v="2025-05-12T11:17:00"/>
    <n v="39.166666671226267"/>
    <m/>
    <n v="1.7104166666686069"/>
    <n v="2"/>
    <n v="0.28958333333139308"/>
    <n v="41.050000000046566"/>
    <n v="12"/>
    <n v="29.050000000046566"/>
    <n v="5.2874354561016794"/>
    <m/>
    <m/>
    <m/>
    <m/>
    <m/>
  </r>
  <r>
    <d v="2025-05-11T00:00:00"/>
    <x v="4"/>
    <s v="NBL"/>
    <s v="OMMKGPCRR"/>
    <s v="DJ"/>
    <s v="Bisaso  Ronald"/>
    <s v="UBK 875R"/>
    <s v="KATO INVESTMENTS LIMITED-MASAK Tax No.: 1000098824"/>
    <n v="153.6"/>
    <s v="OMMKGPCRR"/>
    <s v="OM"/>
    <n v="596"/>
    <n v="594"/>
    <n v="-2"/>
    <m/>
    <d v="2025-05-10T16:01:00"/>
    <d v="2025-05-11T04:14:00"/>
    <d v="2025-05-10T16:22:00"/>
    <m/>
    <n v="20.902777772910969"/>
    <m/>
    <d v="2025-05-11T12:11:00"/>
    <d v="2025-05-11T18:00:00"/>
    <n v="341.72916666233505"/>
    <s v="space consquents"/>
    <d v="2025-05-13T19:24:00"/>
    <d v="2025-05-13T20:08:00"/>
    <n v="43.083333330141613"/>
    <m/>
    <n v="3.1263888888934162"/>
    <n v="2"/>
    <n v="-1.1263888888934162"/>
    <n v="75.033333333441988"/>
    <n v="36"/>
    <n v="39.033333333441988"/>
    <n v="3.9350982066500197"/>
    <m/>
    <m/>
    <m/>
    <m/>
    <m/>
  </r>
  <r>
    <d v="2025-05-12T00:00:00"/>
    <x v="4"/>
    <s v="NBL"/>
    <s v="OMQTA8FRR"/>
    <s v="DJ"/>
    <s v="Luyaga Isaac"/>
    <s v="UAY 265V"/>
    <s v="Kabaco U Ltd-Mbarara Tax No.: 1000025425"/>
    <n v="153.6"/>
    <s v="OMQTA8FRR"/>
    <s v="OM"/>
    <n v="20"/>
    <n v="18"/>
    <n v="-2"/>
    <m/>
    <d v="2025-05-13T09:24:00"/>
    <d v="2025-05-12T10:00:00"/>
    <d v="2025-05-13T09:47:00"/>
    <m/>
    <n v="22.893518520140788"/>
    <m/>
    <d v="2025-05-13T14:50:00"/>
    <d v="2025-05-13T18:41:00"/>
    <n v="226.18749999863212"/>
    <s v="Waited for empties from trade"/>
    <d v="2025-05-14T09:32:00"/>
    <d v="2025-05-14T10:08:00"/>
    <n v="35.25000000205182"/>
    <m/>
    <n v="0.98958333333575865"/>
    <n v="1"/>
    <n v="1.0416666664241347E-2"/>
    <n v="23.750000000058208"/>
    <n v="0"/>
    <n v="23.750000000058208"/>
    <n v="6.467368421036781"/>
    <m/>
    <m/>
    <m/>
    <m/>
    <m/>
  </r>
  <r>
    <d v="2025-05-12T00:00:00"/>
    <x v="4"/>
    <s v="NBL"/>
    <s v="OMJLB38RR"/>
    <s v="DJ"/>
    <s v="Kabene John"/>
    <s v="UBA 523T"/>
    <s v="KATO INVESTMENTS LIMITED-MASAK Tax No.: 1000098824"/>
    <n v="153.6"/>
    <s v="OMJLB38RR"/>
    <s v="OM"/>
    <n v="596"/>
    <n v="593"/>
    <n v="-3"/>
    <m/>
    <d v="2025-05-12T20:15:00"/>
    <d v="2025-05-12T11:00:00"/>
    <d v="2025-05-12T21:09:00"/>
    <m/>
    <n v="53.749999997914223"/>
    <s v="pressure balancing"/>
    <d v="2025-05-13T11:43:00"/>
    <d v="2025-05-13T14:43:00"/>
    <n v="176.25"/>
    <m/>
    <d v="2025-05-14T07:49:00"/>
    <d v="2025-05-14T08:29:00"/>
    <n v="39.166666671226267"/>
    <m/>
    <n v="1.4444444444452529"/>
    <n v="2"/>
    <n v="0.55555555555474712"/>
    <n v="34.666666666686069"/>
    <n v="12"/>
    <n v="22.666666666686069"/>
    <n v="6.7764705882294933"/>
    <m/>
    <m/>
    <m/>
    <m/>
    <m/>
  </r>
  <r>
    <d v="2025-05-12T00:00:00"/>
    <x v="4"/>
    <s v="NBL"/>
    <s v="OMZ4QJKRR"/>
    <s v="DJ"/>
    <s v="Isaac Tumuhimbise"/>
    <s v="UBE 287X"/>
    <s v="KATO INVESTMENTS LTD- KALISIZO Tax No.: 1000098824"/>
    <n v="153.6"/>
    <s v="OMZ4QJKRR"/>
    <s v="OM"/>
    <n v="288"/>
    <n v="286"/>
    <n v="-2"/>
    <m/>
    <d v="2025-05-11T18:47:00"/>
    <d v="2025-05-11T20:25:00"/>
    <d v="2025-05-11T19:16:00"/>
    <m/>
    <n v="28.865740740972495"/>
    <m/>
    <d v="2025-05-13T12:52:00"/>
    <d v="2025-05-13T16:26:00"/>
    <n v="209.54166666233505"/>
    <s v="Waited for empties from trade"/>
    <d v="2025-05-14T15:02:00"/>
    <d v="2025-05-14T15:46:00"/>
    <n v="43.083333330141613"/>
    <m/>
    <n v="2.8236111111109494"/>
    <n v="2"/>
    <n v="-0.82361111111094942"/>
    <n v="67.766666666662786"/>
    <n v="24"/>
    <n v="43.766666666662786"/>
    <n v="3.5095201827878206"/>
    <m/>
    <m/>
    <m/>
    <m/>
    <m/>
  </r>
  <r>
    <d v="2025-05-12T00:00:00"/>
    <x v="4"/>
    <s v="KESH"/>
    <s v="OMRZGLORR"/>
    <s v="DJ"/>
    <s v="Hassan Byashara"/>
    <s v="UBP 312H"/>
    <s v="Kobusinge Steven-FPortal Tax No.: 1000977837"/>
    <n v="156"/>
    <s v="OMRZGLORR"/>
    <s v="OM"/>
    <n v="304"/>
    <n v="302"/>
    <n v="-2"/>
    <m/>
    <d v="2025-05-11T19:21:00"/>
    <d v="2025-05-12T02:22:00"/>
    <d v="2025-05-11T19:44:00"/>
    <n v="-396.15740740555339"/>
    <n v="22.893518520140788"/>
    <m/>
    <d v="2025-05-12T23:28:00"/>
    <d v="2025-05-13T15:55:00"/>
    <n v="966.43750000068394"/>
    <s v="Waited for empties from trade"/>
    <d v="2025-05-14T10:30:00"/>
    <d v="2025-05-14T11:10:00"/>
    <n v="39.166666671226267"/>
    <m/>
    <n v="2.6152777777751908"/>
    <n v="2"/>
    <n v="-0.61527777777519077"/>
    <n v="62.766666666604578"/>
    <n v="24"/>
    <n v="38.766666666604578"/>
    <n v="4.0240756663864961"/>
    <m/>
    <m/>
    <m/>
    <m/>
    <m/>
  </r>
  <r>
    <d v="2025-05-12T00:00:00"/>
    <x v="4"/>
    <s v="KESH"/>
    <s v="OMJL9OHRR"/>
    <s v="DJ"/>
    <s v="RONALD KABANDA "/>
    <s v="UBE 684K"/>
    <s v="Kabaco U Ltd Tax No.: 1000025425"/>
    <n v="156"/>
    <s v="OMJL9OHRR"/>
    <s v="OM"/>
    <n v="304"/>
    <n v="302"/>
    <n v="-2"/>
    <m/>
    <d v="2025-05-11T19:32:00"/>
    <d v="2025-05-12T03:17:00"/>
    <d v="2025-05-11T19:55:00"/>
    <n v="-439.95370370903402"/>
    <n v="22.893518520140788"/>
    <m/>
    <d v="2025-05-12T19:09:00"/>
    <d v="2025-05-13T17:01:00"/>
    <n v="1284.6666666582314"/>
    <s v="space consquents"/>
    <m/>
    <d v="1899-12-30T00:44:00"/>
    <n v="43.083333333333336"/>
    <m/>
    <n v="-45788.829861111109"/>
    <n v="2"/>
    <n v="45790.829861111109"/>
    <n v="-1098931.9166666665"/>
    <n v="-549468"/>
    <n v="-549463.91666666651"/>
    <n v="-2.8391309286763909E-4"/>
    <m/>
    <m/>
    <m/>
    <m/>
    <m/>
  </r>
  <r>
    <d v="2025-05-12T00:00:00"/>
    <x v="4"/>
    <s v="KESH"/>
    <s v="OM9N4X5RR"/>
    <s v="DJ"/>
    <s v="FRED LURE "/>
    <s v="UBP 310H"/>
    <s v="Kobusinge Steven-Kamwenge Tax No.: 1000977837"/>
    <n v="156"/>
    <s v="OM9N4X5RR"/>
    <s v="OM"/>
    <n v="228"/>
    <n v="226"/>
    <n v="-2"/>
    <m/>
    <d v="2025-05-12T19:34:00"/>
    <d v="2025-05-13T04:14:00"/>
    <d v="2025-05-12T20:24:00"/>
    <n v="-467.82407407639158"/>
    <n v="49.768518513883464"/>
    <s v="network failures"/>
    <d v="2025-05-13T11:45:00"/>
    <d v="2025-05-13T13:49:00"/>
    <n v="121.41666666233505"/>
    <m/>
    <d v="2025-05-13T20:31:00"/>
    <d v="2025-05-13T21:13:00"/>
    <n v="41.12500000068394"/>
    <m/>
    <n v="1.0048611111124046"/>
    <n v="2"/>
    <n v="0.99513888888759539"/>
    <n v="24.116666666697711"/>
    <n v="12"/>
    <n v="12.116666666697711"/>
    <n v="12.87482806048971"/>
    <m/>
    <m/>
    <m/>
    <m/>
    <m/>
  </r>
  <r>
    <d v="2025-05-12T00:00:00"/>
    <x v="4"/>
    <s v="NBL"/>
    <s v="OMJM0HQRR"/>
    <s v="DJ"/>
    <s v="James  Kironde"/>
    <s v="UBK 881R"/>
    <s v="Kabaco U Ltd-Mbarara Tax No.: 1000025425"/>
    <n v="153.6"/>
    <s v="OMJM0HQRR"/>
    <s v="OM"/>
    <n v="20"/>
    <n v="18"/>
    <n v="-2"/>
    <m/>
    <d v="2025-05-12T10:25:00"/>
    <d v="2025-05-12T19:35:00"/>
    <d v="2025-05-12T11:07:00"/>
    <m/>
    <n v="41.805555556250816"/>
    <s v="stock recon delays"/>
    <d v="2025-05-11T21:36:00"/>
    <d v="2025-05-12T12:32:00"/>
    <n v="877.33333333082555"/>
    <s v="Waited for empties from trade"/>
    <d v="2025-05-12T13:13:00"/>
    <d v="2025-05-12T13:57:00"/>
    <n v="43.083333330141613"/>
    <m/>
    <n v="8.7500000001455192E-2"/>
    <n v="1"/>
    <n v="0.91249999999854481"/>
    <n v="2.1000000000349246"/>
    <n v="0"/>
    <n v="2.1000000000349246"/>
    <n v="73.142857141640718"/>
    <m/>
    <m/>
    <m/>
    <m/>
    <m/>
  </r>
  <r>
    <d v="2025-05-12T00:00:00"/>
    <x v="4"/>
    <s v="KESH"/>
    <s v="OMFSCA2RR"/>
    <s v="DJ"/>
    <s v="KYAPA AKIMU"/>
    <s v="UBR 899Y"/>
    <s v="Kato Investment Ltd -Mityana Tax No.: 1000098824"/>
    <n v="156"/>
    <s v="OMFSCA2RR"/>
    <s v="OM"/>
    <n v="690"/>
    <n v="688"/>
    <n v="-2"/>
    <m/>
    <d v="2025-05-11T18:15:00"/>
    <d v="2025-05-12T04:19:00"/>
    <d v="2025-05-11T18:44:00"/>
    <n v="-572.33796296180424"/>
    <n v="28.865740740972495"/>
    <m/>
    <d v="2025-05-13T07:17:00"/>
    <d v="2025-05-13T20:56:00"/>
    <n v="801.93749999794818"/>
    <s v="space consquents"/>
    <d v="2025-05-14T17:01:00"/>
    <d v="2025-05-14T17:41:00"/>
    <n v="39.166666671226267"/>
    <m/>
    <n v="2.9284722222218988"/>
    <n v="3"/>
    <n v="7.1527777778101154E-2"/>
    <n v="70.283333333325572"/>
    <n v="24"/>
    <n v="46.283333333325572"/>
    <n v="3.3705437522511952"/>
    <m/>
    <m/>
    <m/>
    <m/>
    <m/>
  </r>
  <r>
    <d v="2025-05-12T00:00:00"/>
    <x v="4"/>
    <s v="KESH"/>
    <s v="OMBAX3ORR"/>
    <s v="DJ"/>
    <s v="ZIWA ABASI"/>
    <s v="UBJ 420C"/>
    <s v="Sawan Distributors Ltd-Kayabwe Tax No.: 1000186379"/>
    <n v="156"/>
    <s v="OMBAX3ORR"/>
    <s v="OM"/>
    <n v="382"/>
    <n v="379"/>
    <n v="-3"/>
    <m/>
    <d v="2025-05-11T20:41:00"/>
    <d v="2025-05-12T07:42:00"/>
    <d v="2025-05-11T21:04:00"/>
    <n v="-635.04629629096598"/>
    <n v="22.893518520140788"/>
    <m/>
    <d v="2025-05-12T21:15:00"/>
    <d v="2025-05-13T11:20:00"/>
    <n v="827.39583333219343"/>
    <s v="truck faulty"/>
    <d v="2025-05-13T17:55:00"/>
    <d v="2025-05-13T18:35:00"/>
    <n v="39.166666671226267"/>
    <m/>
    <n v="1.8687500000014552"/>
    <n v="2"/>
    <n v="0.13124999999854481"/>
    <n v="44.850000000034925"/>
    <n v="12"/>
    <n v="32.850000000034925"/>
    <n v="4.7488584474835358"/>
    <m/>
    <m/>
    <m/>
    <m/>
    <m/>
  </r>
  <r>
    <d v="2025-05-12T00:00:00"/>
    <x v="4"/>
    <s v="NBL"/>
    <s v="OMBTHSBRR"/>
    <s v="DJ"/>
    <s v="James  Kironde"/>
    <s v="UBK 881R"/>
    <s v="KATO INVESTMENTS LIMITED-MASAK Tax No.: 1000098824"/>
    <n v="153.6"/>
    <s v="OMBTHSBRR"/>
    <s v="OM"/>
    <n v="596"/>
    <n v="594"/>
    <n v="-2"/>
    <m/>
    <d v="2025-05-12T15:59:00"/>
    <d v="2025-05-13T03:43:00"/>
    <d v="2025-05-12T16:28:00"/>
    <m/>
    <n v="28.865740740972495"/>
    <m/>
    <d v="2025-05-13T12:10:00"/>
    <d v="2025-05-13T18:04:00"/>
    <n v="346.62500000136788"/>
    <s v="Reached late and offloaded the next day"/>
    <d v="2025-05-14T12:16:00"/>
    <d v="2025-05-14T12:56:00"/>
    <n v="39.166666671226267"/>
    <m/>
    <n v="1.8249999999970896"/>
    <n v="2"/>
    <n v="0.17500000000291038"/>
    <n v="43.799999999930151"/>
    <n v="12"/>
    <n v="31.799999999930151"/>
    <n v="4.8301886792558921"/>
    <m/>
    <m/>
    <m/>
    <m/>
    <m/>
  </r>
  <r>
    <d v="2025-05-12T00:00:00"/>
    <x v="4"/>
    <s v="NBL"/>
    <s v="OMGT6A1RR"/>
    <s v="DJ"/>
    <s v="ANGELO KYOSIGA "/>
    <s v="UAV 051U"/>
    <s v="KATO INVESTMENTS LTD- KALISIZO Tax No.: 1000098824"/>
    <n v="153.6"/>
    <s v="OMGT6A1RR"/>
    <s v="OM"/>
    <n v="288"/>
    <n v="285"/>
    <n v="-3"/>
    <m/>
    <d v="2025-05-12T11:31:00"/>
    <d v="2025-05-13T03:43:00"/>
    <d v="2025-05-12T12:21:00"/>
    <m/>
    <n v="49.768518513883464"/>
    <s v="found another truck waiting to be cleared at the gate"/>
    <d v="2025-05-12T22:11:00"/>
    <d v="2025-05-13T13:27:00"/>
    <n v="896.91666666643869"/>
    <s v="less casuals and offloaded the next day"/>
    <d v="2025-05-13T18:16:00"/>
    <d v="2025-05-13T19:06:00"/>
    <n v="48.958333328773733"/>
    <s v="found another truck waiting to offload"/>
    <n v="1.2465277777810115"/>
    <n v="2"/>
    <n v="0.75347222221898846"/>
    <n v="29.916666666744277"/>
    <n v="12"/>
    <n v="17.916666666744277"/>
    <n v="8.5730232557768176"/>
    <m/>
    <m/>
    <m/>
    <m/>
    <m/>
  </r>
  <r>
    <d v="2025-05-12T00:00:00"/>
    <x v="4"/>
    <s v="NBL"/>
    <s v="OMMIAVHRR"/>
    <s v="DJ"/>
    <s v="Kilabila Ismail"/>
    <s v="UBE 419T"/>
    <s v="KATO INVESTMENTS LTD- KALISIZO Tax No.: 1000098824"/>
    <n v="153.6"/>
    <s v="OMMIAVHRR"/>
    <s v="OM"/>
    <n v="288"/>
    <n v="286"/>
    <n v="-2"/>
    <m/>
    <d v="2025-05-12T11:23:00"/>
    <d v="2025-05-13T04:14:00"/>
    <d v="2025-05-12T11:46:00"/>
    <m/>
    <n v="22.893518520140788"/>
    <m/>
    <d v="2025-05-12T18:34:00"/>
    <d v="2025-05-13T10:43:00"/>
    <n v="948.81250000478758"/>
    <s v="found another truck to be offloaded"/>
    <d v="2025-05-13T18:12:00"/>
    <d v="2025-05-13T18:56:00"/>
    <n v="43.083333330141613"/>
    <m/>
    <n v="1.2680555555562023"/>
    <n v="2"/>
    <n v="0.73194444444379769"/>
    <n v="30.433333333348855"/>
    <n v="12"/>
    <n v="18.433333333348855"/>
    <n v="8.332730560571644"/>
    <m/>
    <m/>
    <m/>
    <m/>
    <m/>
  </r>
  <r>
    <d v="2025-05-12T00:00:00"/>
    <x v="4"/>
    <s v="NBL"/>
    <s v="OME99OQRR"/>
    <s v="DJ"/>
    <s v="Tumusiime Robert"/>
    <s v="UBJ 988D"/>
    <s v="KATO INVESTMENTS LIMITED-MASAK Tax No.: 1000098824"/>
    <n v="153.6"/>
    <s v="OME99OQRR"/>
    <s v="OM"/>
    <n v="596"/>
    <n v="594"/>
    <n v="-2"/>
    <m/>
    <d v="2025-05-12T11:21:00"/>
    <d v="2025-05-13T07:42:00"/>
    <d v="2025-05-12T12:15:00"/>
    <m/>
    <n v="53.749999997914223"/>
    <s v="pressure balancing"/>
    <d v="2025-05-13T13:27:00"/>
    <d v="2025-05-13T18:01:00"/>
    <n v="268.29166666917445"/>
    <s v="Waited for empties from trade"/>
    <d v="2025-05-14T13:19:00"/>
    <d v="2025-05-14T14:01:00"/>
    <n v="41.12500000068394"/>
    <m/>
    <n v="2.0444444444437977"/>
    <n v="2"/>
    <n v="-4.4444444443797693E-2"/>
    <n v="49.066666666651145"/>
    <n v="24"/>
    <n v="25.066666666651145"/>
    <n v="6.1276595744718794"/>
    <m/>
    <m/>
    <m/>
    <m/>
    <m/>
  </r>
  <r>
    <d v="2025-05-12T00:00:00"/>
    <x v="4"/>
    <s v="NBL"/>
    <s v="OM7EM43RR"/>
    <s v="DJ"/>
    <s v="Konge Husein"/>
    <s v="UBJ 707D"/>
    <s v="Kabaco U Ltd-Mbarara Tax No.: 1000025425"/>
    <n v="153.6"/>
    <s v="OM7EM43RR"/>
    <s v="OM"/>
    <n v="20"/>
    <n v="17"/>
    <n v="-3"/>
    <m/>
    <d v="2025-05-14T18:48:00"/>
    <d v="2025-05-13T06:15:00"/>
    <d v="2025-05-14T19:11:00"/>
    <m/>
    <n v="22.893518520140788"/>
    <m/>
    <d v="2025-05-12T15:01:00"/>
    <d v="2025-05-12T17:57:00"/>
    <n v="172.33333333082555"/>
    <m/>
    <d v="2025-05-12T18:27:00"/>
    <d v="2025-05-12T19:09:00"/>
    <n v="41.12500000068394"/>
    <m/>
    <n v="-2.0305555555532919"/>
    <n v="1"/>
    <n v="3.0305555555532919"/>
    <n v="-48.733333333279006"/>
    <n v="-36"/>
    <n v="-12.733333333279006"/>
    <n v="-12.062827225182357"/>
    <m/>
    <m/>
    <m/>
    <m/>
    <m/>
  </r>
  <r>
    <d v="2025-05-13T00:00:00"/>
    <x v="4"/>
    <s v="NBL"/>
    <s v="OMUK8XKRR"/>
    <s v="DJ"/>
    <s v="Bisaso  Ronald"/>
    <s v="UBK 875R"/>
    <s v="RUGOMA TRADERS CO. LTD NTUNGAM Tax No.: 1000249350"/>
    <n v="153.6"/>
    <s v="OMUK8XKRR"/>
    <s v="OM"/>
    <n v="150"/>
    <n v="148"/>
    <n v="-2"/>
    <m/>
    <d v="2025-05-14T14:27:00"/>
    <d v="2025-05-13T06:15:00"/>
    <d v="2025-05-14T14:54:00"/>
    <m/>
    <n v="26.87500000417155"/>
    <m/>
    <d v="2025-05-15T07:49:00"/>
    <d v="2025-05-15T16:36:00"/>
    <n v="516.02083333287737"/>
    <s v="Waited for empties from trade"/>
    <d v="2025-05-15T18:19:00"/>
    <d v="2025-05-15T19:03:00"/>
    <n v="43.083333330141613"/>
    <m/>
    <n v="1.1423611111094942"/>
    <n v="1"/>
    <n v="-0.14236111110949423"/>
    <n v="27.416666666627862"/>
    <n v="12"/>
    <n v="15.416666666627862"/>
    <n v="9.9632432432683213"/>
    <m/>
    <m/>
    <m/>
    <m/>
    <m/>
  </r>
  <r>
    <d v="2025-05-13T00:00:00"/>
    <x v="4"/>
    <s v="NBL"/>
    <s v="OMDOMR6RR"/>
    <s v="DJ"/>
    <s v="Benon Ssempijja"/>
    <s v="UAY 526V"/>
    <s v="RUGOMA TRADERS CO. LTD NTUNGAM Tax No.: 1000249350"/>
    <n v="153.6"/>
    <s v="OMDOMR6RR"/>
    <s v="OM"/>
    <n v="150"/>
    <n v="147"/>
    <n v="-3"/>
    <m/>
    <d v="2025-05-14T09:29:00"/>
    <d v="2025-05-13T11:52:00"/>
    <d v="2025-05-14T09:58:00"/>
    <m/>
    <n v="28.865740740972495"/>
    <m/>
    <d v="2025-05-14T17:23:00"/>
    <d v="2025-05-15T14:13:00"/>
    <n v="1223.9583333321934"/>
    <s v="space consquents"/>
    <d v="2025-05-15T17:19:00"/>
    <d v="2025-05-15T18:03:00"/>
    <n v="43.083333330141613"/>
    <m/>
    <n v="1.3062500000014552"/>
    <n v="1"/>
    <n v="-0.30625000000145519"/>
    <n v="31.350000000034925"/>
    <n v="12"/>
    <n v="19.350000000034925"/>
    <n v="7.9379844961097037"/>
    <m/>
    <m/>
    <m/>
    <m/>
    <m/>
  </r>
  <r>
    <d v="2025-05-13T00:00:00"/>
    <x v="4"/>
    <s v="NBL"/>
    <s v="OMKWRO9RR"/>
    <s v="DJ"/>
    <s v="Stephen Musoke "/>
    <s v="UBJ 375N"/>
    <s v="Kabaco U Ltd-Mbarara Tax No.: 1000025425"/>
    <n v="153.6"/>
    <s v="OMKWRO9RR"/>
    <s v="OM"/>
    <n v="20"/>
    <n v="18"/>
    <n v="-2"/>
    <m/>
    <d v="2025-05-13T18:17:00"/>
    <d v="2025-05-12T22:00:00"/>
    <d v="2025-05-13T18:40:00"/>
    <m/>
    <n v="22.893518520140788"/>
    <m/>
    <d v="2025-05-13T12:05:00"/>
    <d v="2025-05-13T17:56:00"/>
    <n v="343.68750000205182"/>
    <s v="Waited for empties from trade"/>
    <d v="2025-05-13T18:21:00"/>
    <d v="2025-05-13T19:05:00"/>
    <n v="43.083333330141613"/>
    <m/>
    <n v="-1.319444445107365E-2"/>
    <n v="1"/>
    <n v="1.0131944444510737"/>
    <n v="-0.31666666682576761"/>
    <n v="-12"/>
    <n v="11.683333333174232"/>
    <n v="13.146932953103425"/>
    <m/>
    <m/>
    <m/>
    <m/>
    <m/>
  </r>
  <r>
    <d v="2025-05-13T00:00:00"/>
    <x v="4"/>
    <s v="KESH"/>
    <s v="OMJGB4SRR"/>
    <s v="DJ"/>
    <s v="NGOBI FRED"/>
    <s v="UBK 866R"/>
    <s v="Bates Enterprises U Ltd Tax No.: 1001193253"/>
    <n v="156"/>
    <s v="OMJGB4SRR"/>
    <s v="OM"/>
    <n v="524"/>
    <n v="522"/>
    <n v="-2"/>
    <m/>
    <d v="2025-05-13T14:52:00"/>
    <d v="2025-05-13T03:17:00"/>
    <d v="2025-05-13T15:21:00"/>
    <n v="720.64814814026852"/>
    <n v="28.865740740972495"/>
    <m/>
    <d v="2025-05-14T13:07:00"/>
    <d v="2025-05-15T15:42:00"/>
    <n v="1561.7708333356131"/>
    <s v="Waited for empties from trade"/>
    <d v="2025-05-16T11:06:00"/>
    <d v="2025-05-16T11:42:00"/>
    <n v="35.25000000205182"/>
    <m/>
    <n v="2.8229166666715173"/>
    <n v="3"/>
    <n v="0.17708333332848269"/>
    <n v="67.750000000116415"/>
    <n v="24"/>
    <n v="43.750000000116415"/>
    <n v="3.5657142857047974"/>
    <m/>
    <m/>
    <m/>
    <m/>
    <m/>
  </r>
  <r>
    <d v="2025-05-13T00:00:00"/>
    <x v="4"/>
    <s v="KESH"/>
    <s v="OM0YIRCRR"/>
    <s v="DJ"/>
    <s v="FARUK   ABEL"/>
    <s v="UBR 539W"/>
    <s v="Kobusinge Steven-Kamwenge Tax No.: 1000977837"/>
    <n v="156"/>
    <s v="OM0YIRCRR"/>
    <s v="OM"/>
    <n v="228"/>
    <n v="226"/>
    <n v="-2"/>
    <m/>
    <d v="2025-05-13T12:59:00"/>
    <d v="2025-05-13T03:17:00"/>
    <d v="2025-05-13T13:22:00"/>
    <n v="602.19907406596269"/>
    <n v="22.893518520140788"/>
    <m/>
    <d v="2025-05-14T12:06:00"/>
    <d v="2025-05-14T14:58:00"/>
    <n v="168.41666667191021"/>
    <m/>
    <d v="2025-05-14T16:55:00"/>
    <d v="2025-05-14T17:37:00"/>
    <n v="41.12500000068394"/>
    <m/>
    <n v="1.1479166666686069"/>
    <n v="2"/>
    <n v="0.85208333333139308"/>
    <n v="27.550000000046566"/>
    <n v="12"/>
    <n v="15.550000000046566"/>
    <n v="10.03215434080597"/>
    <m/>
    <m/>
    <m/>
    <m/>
    <m/>
  </r>
  <r>
    <d v="2025-05-13T00:00:00"/>
    <x v="4"/>
    <s v="KESH"/>
    <s v="OMCHPFQRR"/>
    <s v="DJ"/>
    <s v="SENTONG DAVID"/>
    <s v="UBP 298H"/>
    <s v="Kobusinge Acaali- Kyenjojo Tax No.: 1000977837"/>
    <n v="156"/>
    <s v="OMCHPFQRR"/>
    <s v="OM"/>
    <n v="580"/>
    <n v="578"/>
    <n v="-2"/>
    <m/>
    <d v="2025-05-13T11:35:00"/>
    <d v="2025-05-13T02:22:00"/>
    <d v="2025-05-13T12:04:00"/>
    <n v="579.30555555625085"/>
    <n v="28.865740740972495"/>
    <m/>
    <d v="2025-05-13T23:20:00"/>
    <d v="2025-05-14T15:29:00"/>
    <n v="948.81250000478758"/>
    <s v="space consquents"/>
    <d v="2025-05-15T08:52:00"/>
    <d v="2025-05-15T09:31:00"/>
    <n v="38.18750000136788"/>
    <m/>
    <n v="1.866666666661331"/>
    <n v="2"/>
    <n v="0.13333333333866904"/>
    <n v="44.799999999871943"/>
    <n v="12"/>
    <n v="32.799999999871943"/>
    <n v="4.7560975609941787"/>
    <m/>
    <m/>
    <m/>
    <m/>
    <m/>
  </r>
  <r>
    <d v="2025-05-13T00:00:00"/>
    <x v="4"/>
    <s v="KESH"/>
    <s v="OMLR1HWRR"/>
    <s v="DJ"/>
    <s v="SENTONGO PAUL"/>
    <s v="UBR 855Y"/>
    <s v="Kabaco U Ltd Tax No.: 1000025425"/>
    <n v="156"/>
    <s v="OMLR1HWRR"/>
    <s v="OM"/>
    <n v="304"/>
    <n v="302"/>
    <n v="-2"/>
    <m/>
    <d v="2025-05-13T10:24:00"/>
    <d v="2025-05-13T02:22:00"/>
    <d v="2025-05-13T11:14:00"/>
    <n v="529.53703703193844"/>
    <n v="49.768518513883464"/>
    <s v="Pre-Trip inspection defect closure"/>
    <d v="2025-05-13T18:58:00"/>
    <d v="2025-05-13T21:38:00"/>
    <n v="156.66666666438687"/>
    <m/>
    <d v="2025-05-13T21:30:00"/>
    <d v="2025-05-13T22:14:00"/>
    <n v="43.083333330141613"/>
    <m/>
    <n v="0.42777777778246673"/>
    <n v="2"/>
    <n v="1.5722222222175333"/>
    <n v="10.266666666779201"/>
    <n v="0"/>
    <n v="10.266666666779201"/>
    <n v="15.194805194638642"/>
    <m/>
    <m/>
    <m/>
    <m/>
    <m/>
  </r>
  <r>
    <d v="2025-05-13T00:00:00"/>
    <x v="4"/>
    <s v="KESH"/>
    <s v="OMJIZTORR"/>
    <s v="DJ"/>
    <s v="IKWALIKWA YUSUF"/>
    <s v="UBP 311H"/>
    <s v="Kabaco U Ltd Tax No.: 1000025425"/>
    <n v="156"/>
    <s v="OMJIZTORR"/>
    <s v="OM"/>
    <n v="304"/>
    <n v="302"/>
    <n v="-2"/>
    <m/>
    <d v="2025-05-13T11:23:00"/>
    <d v="2025-05-13T04:19:00"/>
    <d v="2025-05-13T12:13:00"/>
    <n v="471.80555556042236"/>
    <n v="49.768518513883464"/>
    <s v="found another truck waiting to be cleared at the gate"/>
    <d v="2025-05-13T17:49:00"/>
    <d v="2025-05-14T12:47:00"/>
    <n v="1114.2916666671226"/>
    <s v="found another truck to be offloaded"/>
    <d v="2025-05-14T17:13:00"/>
    <d v="2025-05-14T17:58:00"/>
    <n v="44.0625"/>
    <m/>
    <n v="1.2083333333357587"/>
    <n v="2"/>
    <n v="0.79166666666424135"/>
    <n v="29.000000000058208"/>
    <n v="12"/>
    <n v="17.000000000058208"/>
    <n v="9.1764705882038733"/>
    <m/>
    <m/>
    <m/>
    <m/>
    <m/>
  </r>
  <r>
    <d v="2025-05-13T00:00:00"/>
    <x v="4"/>
    <s v="KESH"/>
    <s v="OMHP698RR"/>
    <s v="DJ"/>
    <s v="OLOWO JOHNWHITE"/>
    <s v="UBK 862R"/>
    <s v="Sawan Distributors Ltd-Kayabwe Tax No.: 1000186379"/>
    <n v="156"/>
    <s v="OMHP698RR"/>
    <s v="OM"/>
    <n v="382"/>
    <n v="380"/>
    <n v="-2"/>
    <m/>
    <d v="2025-05-13T10:59:00"/>
    <d v="2025-05-13T07:42:00"/>
    <d v="2025-05-13T11:28:00"/>
    <n v="224.95370370694823"/>
    <n v="28.865740740972495"/>
    <m/>
    <d v="2025-05-14T08:05:00"/>
    <d v="2025-05-14T12:20:00"/>
    <n v="249.6875000034197"/>
    <s v="Waited for empties from trade"/>
    <d v="2025-05-14T19:01:00"/>
    <d v="2025-05-14T19:43:00"/>
    <n v="41.12500000068394"/>
    <m/>
    <n v="1.3145833333328483"/>
    <n v="2"/>
    <n v="0.68541666666715173"/>
    <n v="31.549999999988358"/>
    <n v="12"/>
    <n v="19.549999999988358"/>
    <n v="7.9795396419484854"/>
    <m/>
    <m/>
    <m/>
    <m/>
    <m/>
  </r>
  <r>
    <d v="2025-05-13T00:00:00"/>
    <x v="4"/>
    <s v="NBL"/>
    <s v="OMFYYOXRR"/>
    <m/>
    <s v="Stephen Musoke "/>
    <s v="UBJ 375N"/>
    <s v="Kabaco U Ltd-Mbarara Tax No.: 1000025425"/>
    <n v="153.6"/>
    <s v="OMFYYOXRR"/>
    <s v="OM"/>
    <n v="20"/>
    <n v="18"/>
    <n v="-2"/>
    <m/>
    <d v="2025-05-12T22:41:00"/>
    <d v="2025-05-12T22:45:00"/>
    <d v="2025-05-12T23:04:00"/>
    <m/>
    <n v="22.893518520140788"/>
    <m/>
    <d v="2025-05-14T14:29:00"/>
    <d v="2025-05-14T16:33:00"/>
    <n v="121.41666666233505"/>
    <m/>
    <d v="2025-05-15T13:11:00"/>
    <d v="2025-05-15T13:55:00"/>
    <n v="43.083333330141613"/>
    <m/>
    <n v="2.5881944444481633"/>
    <n v="1"/>
    <n v="-1.5881944444481633"/>
    <n v="62.116666666755918"/>
    <n v="24"/>
    <n v="38.116666666755918"/>
    <n v="4.0297332750233581"/>
    <m/>
    <m/>
    <m/>
    <m/>
    <m/>
  </r>
  <r>
    <d v="2025-05-13T00:00:00"/>
    <x v="4"/>
    <s v="KESH"/>
    <s v="OMDHZULRR"/>
    <s v="DJ"/>
    <s v="SENTONGO GODFREY"/>
    <s v="UBR 864Y"/>
    <s v="Bates Enterprises Ltd-Ntoroko Tax No.: 1001193253"/>
    <n v="156"/>
    <s v="OMDHZULRR"/>
    <s v="OM"/>
    <n v="510"/>
    <n v="509"/>
    <n v="-1"/>
    <m/>
    <d v="2025-05-12T21:18:00"/>
    <d v="2025-05-12T22:00:00"/>
    <d v="2025-05-12T22:12:00"/>
    <n v="11.944444452092284"/>
    <n v="53.749999997914223"/>
    <s v="pressure balancing"/>
    <d v="2025-05-14T08:34:00"/>
    <d v="2025-05-14T18:45:00"/>
    <n v="598.27083333424525"/>
    <s v="Waited for empties from trade"/>
    <d v="2025-05-15T12:08:00"/>
    <d v="2025-05-15T12:47:00"/>
    <n v="38.18750000136788"/>
    <m/>
    <n v="2.5805555555562023"/>
    <n v="3"/>
    <n v="0.41944444444379769"/>
    <n v="61.933333333348855"/>
    <n v="24"/>
    <n v="37.933333333348855"/>
    <n v="4.1124780316327634"/>
    <m/>
    <m/>
    <m/>
    <m/>
    <m/>
  </r>
  <r>
    <d v="2025-05-13T00:00:00"/>
    <x v="4"/>
    <s v="KESH"/>
    <s v="OMYN7HQRR"/>
    <s v="DJ"/>
    <s v="MUKOSE MUZAMIRU"/>
    <s v="UBJ 417C"/>
    <s v="Kobusinge Steven-FPortal Tax No.: 1000977837"/>
    <n v="156"/>
    <s v="OMYN7HQRR"/>
    <s v="OM"/>
    <n v="304"/>
    <n v="302"/>
    <n v="-2"/>
    <m/>
    <d v="2025-05-13T10:08:00"/>
    <d v="2025-05-13T11:52:00"/>
    <d v="2025-05-13T10:31:00"/>
    <n v="-80.624999991656907"/>
    <n v="22.893518520140788"/>
    <m/>
    <d v="2025-05-13T09:07:00"/>
    <d v="2025-05-14T11:17:00"/>
    <n v="1537.2916666609672"/>
    <s v="space consquents"/>
    <d v="2025-05-14T17:11:00"/>
    <d v="2025-05-14T17:55:00"/>
    <n v="43.083333330141613"/>
    <m/>
    <n v="1.2777777777737356"/>
    <n v="2"/>
    <n v="0.72222222222626442"/>
    <n v="30.666666666569654"/>
    <n v="12"/>
    <n v="18.666666666569654"/>
    <n v="8.3571428571862896"/>
    <m/>
    <m/>
    <m/>
    <m/>
    <m/>
  </r>
  <r>
    <d v="2025-05-13T00:00:00"/>
    <x v="4"/>
    <s v="NBL"/>
    <s v="OMLUI8DRR"/>
    <m/>
    <s v="Konge Husein"/>
    <s v="UBJ 707D"/>
    <s v="KATO INVESTMENTS LIMITED-MASAK Tax No.: 1000098824"/>
    <n v="153.6"/>
    <s v="OMLUI8DRR"/>
    <s v="OM"/>
    <n v="596"/>
    <n v="594"/>
    <n v="-2"/>
    <m/>
    <d v="2025-05-12T21:08:00"/>
    <d v="2025-05-13T02:22:00"/>
    <d v="2025-05-12T22:02:00"/>
    <m/>
    <n v="53.749999997914223"/>
    <s v="found another truck waiting to be cleared at the gate"/>
    <d v="2025-05-14T09:59:00"/>
    <d v="2025-05-14T20:46:00"/>
    <n v="633.52083332603797"/>
    <s v="Reached late and offloaded the next day"/>
    <d v="2025-05-15T11:13:00"/>
    <d v="2025-05-15T11:55:00"/>
    <n v="41.12500000068394"/>
    <m/>
    <n v="2.5493055555562023"/>
    <n v="2"/>
    <n v="-0.54930555555620231"/>
    <n v="61.183333333348855"/>
    <n v="24"/>
    <n v="37.183333333348855"/>
    <n v="4.1308830121004716"/>
    <m/>
    <m/>
    <m/>
    <m/>
    <m/>
  </r>
  <r>
    <d v="2025-05-13T00:00:00"/>
    <x v="4"/>
    <s v="KESH"/>
    <s v="OM1SDVFRR"/>
    <s v="DJ"/>
    <s v="ALIPA EREKU"/>
    <s v="UBK 858R"/>
    <s v="Kabaco U Ltd Tax No.: 1000025425"/>
    <n v="156"/>
    <s v="OM1SDVFRR"/>
    <s v="OM"/>
    <n v="304"/>
    <n v="302"/>
    <n v="-2"/>
    <m/>
    <d v="2025-05-12T21:45:00"/>
    <d v="2025-05-13T03:17:00"/>
    <d v="2025-05-12T22:38:00"/>
    <n v="-277.70833333124756"/>
    <n v="52.75462963472819"/>
    <s v="DJ failures "/>
    <d v="2025-05-13T16:04:00"/>
    <d v="2025-05-14T12:52:00"/>
    <n v="1222.0000000027358"/>
    <s v="Waited for empties from trade"/>
    <d v="2025-05-14T18:45:00"/>
    <d v="2025-05-14T19:21:00"/>
    <n v="35.25000000205182"/>
    <m/>
    <n v="1.8381944444408873"/>
    <n v="2"/>
    <n v="0.16180555555911269"/>
    <n v="44.116666666581295"/>
    <n v="12"/>
    <n v="32.116666666581295"/>
    <n v="4.8572911261156619"/>
    <m/>
    <m/>
    <m/>
    <m/>
    <m/>
  </r>
  <r>
    <d v="2025-05-13T00:00:00"/>
    <x v="4"/>
    <s v="KESH"/>
    <s v="OMPO7ITRR"/>
    <s v="DJ"/>
    <s v="KAJUBI ISMA"/>
    <s v="UBR 538W"/>
    <s v="Kobusinge Steven-Kamwenge Tax No.: 1000977837"/>
    <n v="156"/>
    <s v="OMPO7ITRR"/>
    <s v="OM"/>
    <n v="228"/>
    <n v="226"/>
    <n v="-2"/>
    <m/>
    <d v="2025-05-13T17:48:00"/>
    <d v="2025-05-14T04:14:00"/>
    <d v="2025-05-13T18:42:00"/>
    <n v="-569.35185185138835"/>
    <n v="53.749999997914223"/>
    <s v="network failures"/>
    <d v="2025-05-13T15:45:00"/>
    <d v="2025-05-13T17:54:00"/>
    <n v="126.31250000136788"/>
    <m/>
    <d v="2025-05-13T18:43:00"/>
    <d v="2025-05-13T19:27:00"/>
    <n v="43.083333330141613"/>
    <m/>
    <n v="6.944444467080757E-4"/>
    <n v="2"/>
    <n v="1.9993055555532919"/>
    <n v="1.6666666720993817E-2"/>
    <n v="0"/>
    <n v="1.6666666720993817E-2"/>
    <n v="9359.9999694898725"/>
    <m/>
    <m/>
    <m/>
    <m/>
    <m/>
  </r>
  <r>
    <d v="2025-05-13T00:00:00"/>
    <x v="4"/>
    <s v="NBL"/>
    <s v="OM4RREYRR"/>
    <m/>
    <s v="Konge Husein"/>
    <s v="UBJ 707D"/>
    <s v="Kabaco U Ltd-Mbarara Tax No.: 1000025425"/>
    <n v="153.6"/>
    <s v="OM4RREYRR"/>
    <s v="OM"/>
    <n v="20"/>
    <n v="19"/>
    <n v="-1"/>
    <m/>
    <n v="-2.013888888888889E-2"/>
    <m/>
    <m/>
    <m/>
    <n v="28.865740740740744"/>
    <m/>
    <d v="2025-05-13T11:09:00"/>
    <d v="2025-05-13T15:04:00"/>
    <n v="230.10416666780657"/>
    <s v="truck faulty"/>
    <d v="2025-05-13T15:31:00"/>
    <d v="2025-05-13T16:13:00"/>
    <n v="41.12500000068394"/>
    <m/>
    <n v="45790.646527777775"/>
    <n v="1"/>
    <n v="-45789.646527777775"/>
    <n v="1098975.5166666666"/>
    <n v="549480"/>
    <n v="549495.5166666666"/>
    <n v="2.795291232433774E-4"/>
    <m/>
    <m/>
    <m/>
    <m/>
    <m/>
  </r>
  <r>
    <d v="2025-05-14T00:00:00"/>
    <x v="4"/>
    <s v="NBL"/>
    <s v="OMS3B3MRR"/>
    <m/>
    <s v="Isaac Tumuhimbise"/>
    <s v="UBE 287X"/>
    <s v="KATO INVESTMENTS LIMITED-MASAK Tax No.: 1000098824"/>
    <n v="153.6"/>
    <s v="OMS3B3MRR"/>
    <s v="OM"/>
    <n v="596"/>
    <n v="594"/>
    <n v="-2"/>
    <m/>
    <d v="2025-05-14T19:27:00"/>
    <d v="2025-05-14T04:14:00"/>
    <d v="2025-05-14T19:57:00"/>
    <m/>
    <n v="29.861111114587402"/>
    <m/>
    <d v="2025-05-15T07:47:00"/>
    <d v="2025-05-15T11:25:00"/>
    <n v="213.45833333150949"/>
    <s v="Reached late and offloaded the next day"/>
    <d v="2025-05-15T13:59:00"/>
    <d v="2025-05-15T14:41:00"/>
    <n v="41.12500000068394"/>
    <m/>
    <n v="0.75138888888614019"/>
    <n v="2"/>
    <n v="1.2486111111138598"/>
    <n v="18.033333333267365"/>
    <n v="0"/>
    <n v="18.033333333267365"/>
    <n v="8.5175600739683119"/>
    <m/>
    <m/>
    <m/>
    <m/>
    <m/>
  </r>
  <r>
    <d v="2025-05-14T00:00:00"/>
    <x v="4"/>
    <s v="KESH"/>
    <s v="OMSQV2GRR"/>
    <s v="DJ"/>
    <s v="FRED LURE "/>
    <s v="UBP 310H"/>
    <s v="Kato Investment Ltd -Mityana Tax No.: 1000098824"/>
    <n v="156"/>
    <s v="OMSQV2GRR"/>
    <s v="OM"/>
    <n v="690"/>
    <n v="688"/>
    <n v="-2"/>
    <m/>
    <d v="2025-05-14T09:46:00"/>
    <d v="2025-05-13T21:00:00"/>
    <d v="2025-05-14T10:15:00"/>
    <n v="791.31944444792077"/>
    <n v="28.865740740972495"/>
    <m/>
    <d v="2025-05-15T15:58:00"/>
    <d v="2025-05-15T18:04:00"/>
    <n v="123.37500000205182"/>
    <m/>
    <d v="2025-05-17T08:09:00"/>
    <d v="2025-05-17T08:45:00"/>
    <n v="35.25000000205182"/>
    <m/>
    <n v="2.9124999999985448"/>
    <n v="3"/>
    <n v="8.7500000001455192E-2"/>
    <n v="69.899999999965075"/>
    <n v="24"/>
    <n v="45.899999999965075"/>
    <n v="3.3986928104601022"/>
    <m/>
    <m/>
    <m/>
    <m/>
    <m/>
  </r>
  <r>
    <d v="2025-05-14T00:00:00"/>
    <x v="4"/>
    <s v="KESH"/>
    <s v="OM9N9BIRR"/>
    <s v="DJ"/>
    <s v="SENTONGO PAUL"/>
    <s v="UBR 855Y"/>
    <s v="Kato Investment Ltd -Kagadi Tax No.: 1000098824"/>
    <n v="156"/>
    <s v="OM9N9BIRR"/>
    <s v="OM"/>
    <n v="670"/>
    <n v="668"/>
    <n v="-2"/>
    <m/>
    <d v="2025-05-14T08:51:00"/>
    <d v="2025-05-13T21:00:00"/>
    <d v="2025-05-14T09:41:00"/>
    <n v="757.47685184930253"/>
    <n v="49.768518513883464"/>
    <s v="Pre-Trip inspection defect closure"/>
    <d v="2025-05-14T20:28:00"/>
    <d v="2025-05-15T11:12:00"/>
    <n v="865.58333333356131"/>
    <s v="Waited for empties from trade"/>
    <d v="2025-05-15T20:28:00"/>
    <d v="2025-05-15T21:07:00"/>
    <n v="38.18750000136788"/>
    <m/>
    <n v="1.4493055555576575"/>
    <n v="2"/>
    <n v="0.5506944444423425"/>
    <n v="34.78333333338378"/>
    <n v="12"/>
    <n v="22.78333333338378"/>
    <n v="6.8471104608480431"/>
    <m/>
    <m/>
    <m/>
    <m/>
    <m/>
  </r>
  <r>
    <d v="2025-05-14T00:00:00"/>
    <x v="4"/>
    <s v="NBL"/>
    <s v="OM4KKX8RR"/>
    <m/>
    <s v="Mugisha  George"/>
    <s v="UAV 203T"/>
    <s v="KATO INVESTMENTS LTD- KALISIZO Tax No.: 1000098824"/>
    <n v="153.6"/>
    <s v="OM4KKX8RR"/>
    <s v="OM"/>
    <n v="288"/>
    <n v="286"/>
    <n v="-2"/>
    <m/>
    <d v="2025-05-14T14:47:00"/>
    <d v="2025-05-14T03:43:00"/>
    <d v="2025-05-14T15:15:00"/>
    <m/>
    <n v="27.870370367357584"/>
    <m/>
    <d v="2025-05-15T09:12:00"/>
    <d v="2025-05-15T14:26:00"/>
    <n v="307.45833334040071"/>
    <s v="space consquents"/>
    <d v="2025-05-16T10:26:00"/>
    <d v="2025-05-16T11:17:00"/>
    <n v="49.93749999863212"/>
    <s v="found another truck waiting to offload"/>
    <n v="1.7993055555562023"/>
    <n v="2"/>
    <n v="0.20069444444379769"/>
    <n v="43.183333333348855"/>
    <n v="12"/>
    <n v="31.183333333348855"/>
    <n v="4.9257081774427647"/>
    <m/>
    <m/>
    <m/>
    <m/>
    <m/>
  </r>
  <r>
    <d v="2025-05-14T00:00:00"/>
    <x v="4"/>
    <s v="NBL"/>
    <s v="OMU7WX1RR"/>
    <m/>
    <s v="GODWIN  NIWENSIIMA"/>
    <s v="UAR 731Q"/>
    <s v="Kabaco U Ltd-Mbarara Tax No.: 1000025425"/>
    <n v="153.6"/>
    <s v="OMU7WX1RR"/>
    <s v="OM"/>
    <n v="20"/>
    <n v="19"/>
    <n v="-1"/>
    <m/>
    <d v="2025-05-14T17:59:00"/>
    <d v="2025-05-14T07:42:00"/>
    <d v="2025-05-14T18:52:00"/>
    <m/>
    <n v="52.75462963472819"/>
    <s v="pressure balancing"/>
    <d v="2025-05-14T19:32:00"/>
    <d v="2025-05-15T09:00:00"/>
    <n v="791.16666667054233"/>
    <s v="Waited for empties from trade"/>
    <d v="2025-05-15T10:42:00"/>
    <d v="2025-05-15T11:24:00"/>
    <n v="41.12500000068394"/>
    <m/>
    <n v="0.65972222221898846"/>
    <n v="1"/>
    <n v="0.34027777778101154"/>
    <n v="15.833333333255723"/>
    <n v="0"/>
    <n v="15.833333333255723"/>
    <n v="9.7010526316264993"/>
    <m/>
    <m/>
    <m/>
    <m/>
    <m/>
  </r>
  <r>
    <d v="2025-05-14T00:00:00"/>
    <x v="4"/>
    <s v="NBL"/>
    <s v="OMBED62RR"/>
    <m/>
    <s v="Kabene John"/>
    <s v="UBA 523T"/>
    <s v="KATO INVESTMENTS LIMITED-MASAK Tax No.: 1000098824"/>
    <n v="153.6"/>
    <s v="OMBED62RR"/>
    <s v="OM"/>
    <n v="596"/>
    <n v="594"/>
    <n v="-2"/>
    <m/>
    <d v="2025-05-14T13:06:00"/>
    <d v="2025-05-14T04:14:00"/>
    <d v="2025-05-14T13:33:00"/>
    <m/>
    <n v="26.87500000417155"/>
    <m/>
    <d v="2025-05-14T17:52:00"/>
    <d v="2025-05-15T11:24:00"/>
    <n v="1030.0833333362971"/>
    <s v="Waited for empties from trade"/>
    <d v="2025-05-15T15:45:00"/>
    <d v="2025-05-15T16:42:00"/>
    <n v="55.81249999726424"/>
    <s v="sorting delays"/>
    <n v="1.0916666666671517"/>
    <n v="2"/>
    <n v="0.90833333333284827"/>
    <n v="26.200000000011642"/>
    <n v="12"/>
    <n v="14.200000000011642"/>
    <n v="10.816901408441836"/>
    <m/>
    <m/>
    <m/>
    <m/>
    <m/>
  </r>
  <r>
    <d v="2025-05-14T00:00:00"/>
    <x v="4"/>
    <s v="KESH"/>
    <s v="OMC1CSKRR"/>
    <s v="DJ"/>
    <s v="Tumwine Jimmy"/>
    <s v="UBR 863Y"/>
    <s v="Kato Investment Ltd -Mityana Tax No.: 1000098824"/>
    <n v="156"/>
    <s v="OMC1CSKRR"/>
    <s v="OM"/>
    <n v="690"/>
    <n v="688"/>
    <n v="-2"/>
    <m/>
    <d v="2025-05-13T19:13:00"/>
    <d v="2025-05-13T20:00:00"/>
    <d v="2025-05-13T19:40:00"/>
    <n v="-19.907407409724936"/>
    <n v="26.87500000417155"/>
    <m/>
    <d v="2025-05-15T08:34:00"/>
    <d v="2025-05-15T11:04:00"/>
    <n v="146.8749999965803"/>
    <m/>
    <d v="2025-05-15T18:41:00"/>
    <d v="2025-05-15T19:31:00"/>
    <n v="48.958333328773733"/>
    <s v="Failed batteries at the gate"/>
    <n v="1.9590277777751908"/>
    <n v="3"/>
    <n v="1.0409722222248092"/>
    <n v="47.016666666604578"/>
    <n v="12"/>
    <n v="35.016666666604578"/>
    <n v="4.4550214183801033"/>
    <m/>
    <m/>
    <m/>
    <m/>
    <m/>
  </r>
  <r>
    <d v="2025-05-14T00:00:00"/>
    <x v="4"/>
    <s v="KESH"/>
    <s v="OMFHEHIRR"/>
    <s v="DJ"/>
    <s v="KAJUBI ISMA"/>
    <s v="UBR 538W"/>
    <s v="Boniface Harera Tax No.: 1000317747"/>
    <n v="156"/>
    <s v="OMFHEHIRR"/>
    <s v="OM"/>
    <n v="448"/>
    <n v="446"/>
    <n v="-2"/>
    <m/>
    <d v="2025-05-13T21:50:00"/>
    <d v="2025-05-14T01:30:00"/>
    <d v="2025-05-13T22:17:00"/>
    <n v="-192.106481481945"/>
    <n v="26.87500000417155"/>
    <m/>
    <d v="2025-05-15T15:02:00"/>
    <d v="2025-05-15T17:05:00"/>
    <n v="120.43750000273576"/>
    <m/>
    <d v="2025-05-16T11:35:00"/>
    <d v="2025-05-16T12:17:00"/>
    <n v="41.12500000068394"/>
    <m/>
    <n v="2.5541666666686069"/>
    <n v="2"/>
    <n v="-0.55416666666860692"/>
    <n v="61.300000000046566"/>
    <n v="24"/>
    <n v="37.300000000046566"/>
    <n v="4.1823056300215882"/>
    <m/>
    <m/>
    <m/>
    <m/>
    <m/>
  </r>
  <r>
    <d v="2025-05-14T00:00:00"/>
    <x v="4"/>
    <s v="KESH"/>
    <s v="OM8KXCGRR"/>
    <s v="DJ"/>
    <s v="ZIWA ABASI"/>
    <s v="UBJ 420C"/>
    <s v="Boniface Harera Tax No.: 1000317747"/>
    <n v="156"/>
    <s v="OM8KXCGRR"/>
    <s v="OM"/>
    <n v="448"/>
    <n v="446"/>
    <n v="-2"/>
    <m/>
    <d v="2025-05-13T19:30:00"/>
    <d v="2025-05-14T01:30:00"/>
    <d v="2025-05-13T19:58:00"/>
    <n v="-330.46296296597575"/>
    <n v="27.870370367357584"/>
    <m/>
    <d v="2025-05-14T16:47:00"/>
    <d v="2025-05-15T17:23:00"/>
    <n v="1445.2500000020518"/>
    <s v="Reached late and offloaded the next day"/>
    <d v="2025-05-16T15:21:00"/>
    <d v="2025-05-16T16:00:00"/>
    <n v="38.18750000136788"/>
    <m/>
    <n v="2.8076388888875954"/>
    <n v="2"/>
    <n v="-0.80763888888759539"/>
    <n v="67.383333333302289"/>
    <n v="24"/>
    <n v="43.383333333302289"/>
    <n v="3.5958509412242403"/>
    <m/>
    <m/>
    <m/>
    <m/>
    <m/>
  </r>
  <r>
    <d v="2025-05-14T00:00:00"/>
    <x v="4"/>
    <s v="KESH"/>
    <s v="OM74XLZRR"/>
    <s v="DJ"/>
    <s v="MBOGO BASHIR"/>
    <s v="UBR 903Y"/>
    <s v="Kobusinge Steven-FPortal Tax No.: 1000977837"/>
    <n v="156"/>
    <s v="OM74XLZRR"/>
    <s v="OM"/>
    <n v="304"/>
    <n v="303"/>
    <n v="-1"/>
    <m/>
    <d v="2025-05-13T12:48:00"/>
    <d v="2025-05-13T20:25:00"/>
    <d v="2025-05-13T13:15:00"/>
    <n v="-428.00925925694173"/>
    <n v="26.87500000417155"/>
    <m/>
    <d v="2025-05-14T08:33:00"/>
    <d v="2025-05-14T18:09:00"/>
    <n v="564.00000000205182"/>
    <s v="less casuals and offloaded the next day"/>
    <d v="2025-05-15T08:33:00"/>
    <d v="2025-05-15T09:09:00"/>
    <n v="35.25000000205182"/>
    <m/>
    <n v="1.804166666661331"/>
    <n v="2"/>
    <n v="0.19583333333866904"/>
    <n v="43.299999999871943"/>
    <n v="12"/>
    <n v="31.299999999871943"/>
    <n v="4.984025559125822"/>
    <m/>
    <m/>
    <m/>
    <m/>
    <m/>
  </r>
  <r>
    <d v="2025-05-14T00:00:00"/>
    <x v="4"/>
    <s v="NBL"/>
    <s v="OMQWDXKRR"/>
    <m/>
    <s v="Kilabila Ismail"/>
    <s v="UBE 419T"/>
    <s v="KATO INVESTMENTS LIMITED-MASAK Tax No.: 1000098824"/>
    <n v="153.6"/>
    <s v="OMQWDXKRR"/>
    <s v="OM"/>
    <n v="596"/>
    <n v="594"/>
    <n v="-2"/>
    <m/>
    <d v="2025-05-13T19:48:00"/>
    <d v="2025-05-14T04:14:00"/>
    <d v="2025-05-13T20:15:00"/>
    <m/>
    <n v="26.87500000417155"/>
    <m/>
    <d v="2025-05-14T10:02:00"/>
    <d v="2025-05-14T14:36:00"/>
    <n v="268.29166665891535"/>
    <s v="found another truck to be offloaded"/>
    <d v="2025-05-14T17:33:00"/>
    <d v="2025-05-14T18:15:00"/>
    <n v="41.12500000068394"/>
    <m/>
    <n v="0.88749999999708962"/>
    <n v="2"/>
    <n v="1.1125000000029104"/>
    <n v="21.299999999930151"/>
    <n v="0"/>
    <n v="21.299999999930151"/>
    <n v="7.2112676056574507"/>
    <m/>
    <m/>
    <m/>
    <m/>
    <m/>
  </r>
  <r>
    <d v="2025-05-14T00:00:00"/>
    <x v="4"/>
    <s v="NBL"/>
    <s v="OM2BWH3RR"/>
    <m/>
    <s v="ANGELO KYOSIGA "/>
    <s v="UAV 051U"/>
    <s v="Kabaco U Ltd-Mbarara Tax No.: 1000025425"/>
    <n v="153.6"/>
    <s v="OM2BWH3RR"/>
    <s v="OM"/>
    <n v="20"/>
    <n v="18"/>
    <n v="-2"/>
    <m/>
    <d v="2025-05-13T20:17:00"/>
    <d v="2025-05-14T07:42:00"/>
    <d v="2025-05-13T20:45:00"/>
    <m/>
    <n v="27.870370367357584"/>
    <m/>
    <d v="2025-05-13T21:28:00"/>
    <d v="2025-05-14T10:50:00"/>
    <n v="785.29166667191021"/>
    <s v="space consquents"/>
    <d v="2025-05-14T11:28:00"/>
    <d v="2025-05-14T12:10:00"/>
    <n v="41.12500000068394"/>
    <m/>
    <n v="0.6131944444423425"/>
    <n v="1"/>
    <n v="0.3868055555576575"/>
    <n v="14.71666666661622"/>
    <n v="0"/>
    <n v="14.71666666661622"/>
    <n v="10.437146092901008"/>
    <m/>
    <m/>
    <m/>
    <m/>
    <m/>
  </r>
  <r>
    <d v="2025-05-15T00:00:00"/>
    <x v="4"/>
    <s v="NBL"/>
    <s v="OM2EZZ9RR"/>
    <m/>
    <s v="Kilabila Ismail"/>
    <s v="UBE 419T"/>
    <s v="KATO INVESTMENTS LIMITED-MASAK Tax No.: 1000098824"/>
    <n v="153.6"/>
    <s v="OM2EZZ9RR"/>
    <s v="OM"/>
    <n v="596"/>
    <n v="594"/>
    <n v="-2"/>
    <m/>
    <d v="2025-05-16T08:46:00"/>
    <d v="2025-05-15T06:15:00"/>
    <d v="2025-05-16T09:14:00"/>
    <m/>
    <n v="27.870370367357584"/>
    <m/>
    <d v="2025-05-16T11:07:00"/>
    <d v="2025-05-16T17:07:00"/>
    <n v="352.5"/>
    <s v="found another truck to be offloaded"/>
    <d v="2025-05-16T18:44:00"/>
    <d v="2025-05-16T19:28:00"/>
    <n v="43.083333330141613"/>
    <m/>
    <n v="0.39583333332848269"/>
    <n v="2"/>
    <n v="1.6041666666715173"/>
    <n v="9.4999999998835847"/>
    <n v="0"/>
    <n v="9.4999999998835847"/>
    <n v="16.168421052829711"/>
    <m/>
    <m/>
    <m/>
    <m/>
    <m/>
  </r>
  <r>
    <d v="2025-05-15T00:00:00"/>
    <x v="4"/>
    <s v="KESH"/>
    <s v="OM93QDIRR"/>
    <s v="DJ"/>
    <s v="ALLEX TAIMWA"/>
    <s v="UBJ 705D"/>
    <s v="Bates Enterprises U Ltd Tax No.: 1001193253"/>
    <n v="156"/>
    <s v="OM93QDIRR"/>
    <s v="OM"/>
    <n v="524"/>
    <n v="523"/>
    <n v="-1"/>
    <m/>
    <d v="2025-05-15T17:48:00"/>
    <d v="2025-05-14T18:00:00"/>
    <d v="2025-05-15T18:38:00"/>
    <n v="1471.1574074055534"/>
    <n v="49.768518513883464"/>
    <s v="Water top up"/>
    <d v="2025-05-16T21:50:00"/>
    <d v="2025-05-17T20:28:00"/>
    <n v="1329.7083333383489"/>
    <s v="truck faulty"/>
    <d v="2025-05-18T09:35:00"/>
    <d v="2025-05-18T10:26:00"/>
    <n v="49.93749999863212"/>
    <s v="found another truck waiting to offload"/>
    <n v="2.6229166666671517"/>
    <n v="3"/>
    <n v="0.37708333333284827"/>
    <n v="62.950000000011642"/>
    <n v="24"/>
    <n v="38.950000000011642"/>
    <n v="4.0051347881887898"/>
    <m/>
    <m/>
    <m/>
    <m/>
    <m/>
  </r>
  <r>
    <d v="2025-05-15T00:00:00"/>
    <x v="4"/>
    <s v="KESH"/>
    <s v="OMFVD0HRR"/>
    <s v="DJ"/>
    <s v="MBOGO BASHIR"/>
    <s v="UBR 903Y"/>
    <s v="Kato Investments Ltd- Kyegegwa Tax No.: 1000098824"/>
    <n v="156"/>
    <s v="OMFVD0HRR"/>
    <s v="OM"/>
    <n v="600"/>
    <n v="597"/>
    <n v="-3"/>
    <m/>
    <d v="2025-05-15T17:25:00"/>
    <d v="2025-05-14T21:30:00"/>
    <d v="2025-05-15T17:52:00"/>
    <n v="1216.3425925840177"/>
    <n v="26.87500000417155"/>
    <m/>
    <d v="2025-05-17T10:34:00"/>
    <d v="2025-05-17T13:22:00"/>
    <n v="164.49999999247666"/>
    <m/>
    <d v="2025-05-18T12:43:00"/>
    <d v="2025-05-18T13:22:00"/>
    <n v="38.18750000136788"/>
    <m/>
    <n v="2.7854166666729725"/>
    <n v="2"/>
    <n v="-0.7854166666729725"/>
    <n v="66.85000000015134"/>
    <n v="24"/>
    <n v="42.85000000015134"/>
    <n v="3.6406067677817742"/>
    <m/>
    <m/>
    <m/>
    <m/>
    <m/>
  </r>
  <r>
    <d v="2025-05-15T00:00:00"/>
    <x v="4"/>
    <s v="NBL"/>
    <s v="OM96Q3HRR"/>
    <m/>
    <s v="Stephen Musoke "/>
    <s v="UBJ 375N"/>
    <s v="Kato Investments Ltd-Bulenga Tax No.: 1000098824"/>
    <n v="153.6"/>
    <s v="OM96Q3HRR"/>
    <s v="OM"/>
    <n v="514"/>
    <n v="512"/>
    <n v="-2"/>
    <m/>
    <d v="2025-05-16T13:38:00"/>
    <d v="2025-05-15T20:13:00"/>
    <d v="2025-05-16T14:06:00"/>
    <m/>
    <n v="27.870370367357584"/>
    <m/>
    <d v="2025-05-17T11:07:00"/>
    <d v="2025-05-17T16:51:00"/>
    <n v="336.83333333356131"/>
    <s v="Waited for empties from trade"/>
    <d v="2025-05-19T19:32:00"/>
    <d v="2025-05-19T20:14:00"/>
    <n v="41.12500000068394"/>
    <m/>
    <n v="3.226388888884685"/>
    <n v="3"/>
    <n v="-0.226388888884685"/>
    <n v="77.43333333323244"/>
    <n v="36"/>
    <n v="41.43333333323244"/>
    <n v="3.7071600965496545"/>
    <m/>
    <m/>
    <m/>
    <m/>
    <m/>
  </r>
  <r>
    <d v="2025-05-15T00:00:00"/>
    <x v="4"/>
    <s v="NBL"/>
    <s v="OMLQIVZRR"/>
    <m/>
    <s v="Stephen Musoke "/>
    <s v="UBJ 375N"/>
    <s v="Kabaco U Ltd-Mbarara Tax No.: 1000025425"/>
    <n v="153.6"/>
    <s v="OMLQIVZRR"/>
    <s v="OM"/>
    <n v="20"/>
    <n v="18"/>
    <n v="-2"/>
    <m/>
    <d v="2025-05-15T16:34:00"/>
    <d v="2025-05-15T07:42:00"/>
    <d v="2025-05-15T17:02:00"/>
    <m/>
    <n v="27.870370367357584"/>
    <m/>
    <d v="2025-05-15T17:42:00"/>
    <d v="2025-05-16T09:31:00"/>
    <n v="929.22916665891535"/>
    <s v="found another truck to be offloaded"/>
    <d v="2025-05-16T10:06:00"/>
    <d v="2025-05-16T10:45:00"/>
    <n v="38.18750000136788"/>
    <m/>
    <n v="0.71111111110803904"/>
    <n v="1"/>
    <n v="0.28888888889196096"/>
    <n v="17.066666666592937"/>
    <n v="0"/>
    <n v="17.066666666592937"/>
    <n v="9.0000000000388809"/>
    <m/>
    <m/>
    <m/>
    <m/>
    <m/>
  </r>
  <r>
    <d v="2025-05-15T00:00:00"/>
    <x v="4"/>
    <s v="NBL"/>
    <s v="OMEOH0SRR"/>
    <m/>
    <s v="ANGELO KYOSIGA "/>
    <s v="UAV 051U"/>
    <s v="RUGOMA TRADERS CO. LTD NTUNGAM Tax No.: 1000249350"/>
    <n v="153.6"/>
    <s v="OMEOH0SRR"/>
    <s v="OM"/>
    <n v="150"/>
    <n v="148"/>
    <n v="-2"/>
    <m/>
    <d v="2025-05-15T14:23:00"/>
    <d v="2025-05-15T06:15:00"/>
    <d v="2025-05-15T15:01:00"/>
    <m/>
    <n v="37.82407407222005"/>
    <s v="network failures"/>
    <d v="2025-05-15T17:45:00"/>
    <d v="2025-05-16T12:52:00"/>
    <n v="1123.1041666650708"/>
    <s v="Waited for empties from trade"/>
    <d v="2025-05-16T16:07:00"/>
    <d v="2025-05-16T16:49:00"/>
    <n v="41.12500000068394"/>
    <m/>
    <n v="1.0458333333299379"/>
    <n v="1"/>
    <n v="-4.5833333329937886E-2"/>
    <n v="25.099999999918509"/>
    <n v="12"/>
    <n v="13.099999999918509"/>
    <n v="11.725190839767594"/>
    <m/>
    <m/>
    <m/>
    <m/>
    <m/>
  </r>
  <r>
    <d v="2025-05-15T00:00:00"/>
    <x v="4"/>
    <s v="NBL"/>
    <s v="OMWR0ITRR"/>
    <m/>
    <s v="Tumusiime Robert"/>
    <s v="UBJ 988D"/>
    <s v="Rugoma Traders-Kanungu/Kihihi Tax No.: 1000249350"/>
    <n v="153.6"/>
    <s v="OMWR0ITRR"/>
    <s v="OM"/>
    <n v="272"/>
    <n v="271"/>
    <n v="-1"/>
    <m/>
    <d v="2025-05-15T08:14:00"/>
    <d v="2025-05-15T01:59:00"/>
    <d v="2025-05-15T08:52:00"/>
    <m/>
    <n v="37.82407407222005"/>
    <s v="stock recon delays"/>
    <d v="2025-05-15T17:39:00"/>
    <d v="2025-05-16T13:48:00"/>
    <n v="1183.8124999911088"/>
    <s v="space consquents"/>
    <d v="2025-05-17T08:31:00"/>
    <d v="2025-05-17T09:10:00"/>
    <n v="38.18750000136788"/>
    <m/>
    <n v="1.9854166666700621"/>
    <n v="2"/>
    <n v="1.4583333329937886E-2"/>
    <n v="47.650000000081491"/>
    <n v="12"/>
    <n v="35.650000000081491"/>
    <n v="4.308555399709646"/>
    <m/>
    <m/>
    <m/>
    <m/>
    <m/>
  </r>
  <r>
    <d v="2025-05-15T00:00:00"/>
    <x v="4"/>
    <s v="NBL"/>
    <s v="OMUIJZ7RR"/>
    <m/>
    <s v="GODWIN  NIWENSIIMA"/>
    <s v="UAR 731Q"/>
    <s v="Kabaco U Ltd-Mbarara Tax No.: 1000025425"/>
    <n v="153.6"/>
    <s v="OMUIJZ7RR"/>
    <s v="OM"/>
    <n v="20"/>
    <n v="18"/>
    <n v="-2"/>
    <m/>
    <d v="2025-05-15T13:30:00"/>
    <d v="2025-05-15T07:42:00"/>
    <d v="2025-05-15T13:57:00"/>
    <m/>
    <n v="26.87500000417155"/>
    <m/>
    <d v="2025-05-15T19:01:00"/>
    <d v="2025-05-16T13:18:00"/>
    <n v="1074.1458333362971"/>
    <s v="Waited for empties from trade"/>
    <d v="2025-05-16T19:18:00"/>
    <d v="2025-05-16T20:02:00"/>
    <n v="43.083333330141613"/>
    <m/>
    <n v="1.2229166666656965"/>
    <n v="1"/>
    <n v="-0.22291666666569654"/>
    <n v="29.349999999976717"/>
    <n v="12"/>
    <n v="17.349999999976717"/>
    <n v="8.8530259366113029"/>
    <m/>
    <m/>
    <m/>
    <m/>
    <m/>
  </r>
  <r>
    <d v="2025-05-15T00:00:00"/>
    <x v="4"/>
    <s v="KESH"/>
    <s v="OMA8D6BRR"/>
    <s v="DJ"/>
    <s v="ABDUL NASSER NTENDE"/>
    <s v="UBR 900Y"/>
    <s v="Kabaco U Ltd Tax No.: 1000025425"/>
    <n v="156"/>
    <s v="OMA8D6BRR"/>
    <s v="OM"/>
    <n v="304"/>
    <n v="302"/>
    <n v="-2"/>
    <m/>
    <d v="2025-05-15T06:49:00"/>
    <d v="2025-05-15T02:22:00"/>
    <d v="2025-05-15T07:12:00"/>
    <n v="288.65740740972495"/>
    <n v="22.893518520140788"/>
    <m/>
    <d v="2025-05-15T18:05:00"/>
    <d v="2025-05-15T20:19:00"/>
    <n v="131.20833334040071"/>
    <m/>
    <d v="2025-05-16T06:56:00"/>
    <d v="2025-05-16T07:46:00"/>
    <n v="48.958333328773733"/>
    <s v="dj failures at the gate"/>
    <n v="0.98888888888905058"/>
    <n v="2"/>
    <n v="1.0111111111109494"/>
    <n v="23.733333333337214"/>
    <n v="0"/>
    <n v="23.733333333337214"/>
    <n v="6.5730337078640941"/>
    <m/>
    <m/>
    <m/>
    <m/>
    <m/>
  </r>
  <r>
    <d v="2025-05-15T00:00:00"/>
    <x v="4"/>
    <s v="NBL"/>
    <s v="OMA9X0ERR"/>
    <m/>
    <s v="Jacob Oneka"/>
    <s v="UBE 422T"/>
    <s v="RUGOMA TRADERS CO. LTD NTUNGAM Tax No.: 1000249350"/>
    <n v="153.6"/>
    <s v="OMA9X0ERR"/>
    <s v="OM"/>
    <n v="150"/>
    <n v="148"/>
    <n v="-2"/>
    <m/>
    <d v="2025-05-15T08:52:00"/>
    <d v="2025-05-15T06:15:00"/>
    <d v="2025-05-15T09:30:00"/>
    <m/>
    <n v="37.82407407222005"/>
    <s v="pressure balancing"/>
    <d v="2025-05-15T11:39:00"/>
    <d v="2025-05-15T17:16:00"/>
    <n v="329.97916666507081"/>
    <s v="space consquents"/>
    <d v="2025-05-16T10:42:00"/>
    <d v="2025-05-16T11:24:00"/>
    <n v="41.12500000068394"/>
    <m/>
    <n v="1.0499999999956344"/>
    <n v="1"/>
    <n v="-4.9999999995634425E-2"/>
    <n v="25.199999999895226"/>
    <n v="12"/>
    <n v="13.199999999895226"/>
    <n v="11.636363636455998"/>
    <m/>
    <m/>
    <m/>
    <m/>
    <m/>
  </r>
  <r>
    <d v="2025-05-15T00:00:00"/>
    <x v="4"/>
    <s v="KESH"/>
    <s v="OM9EVL6RR"/>
    <s v="DJ"/>
    <s v="OLOWO JOHNWHITE"/>
    <s v="UBK 862R"/>
    <s v="Kato Investment Ltd -Mubende Tax No.: 1000098824"/>
    <n v="156"/>
    <s v="OM9EVL6RR"/>
    <s v="OM"/>
    <n v="680"/>
    <n v="677"/>
    <n v="-3"/>
    <m/>
    <d v="2025-05-14T22:19:00"/>
    <d v="2025-05-14T21:00:00"/>
    <d v="2025-05-14T22:42:00"/>
    <n v="101.52777777499675"/>
    <n v="22.893518520140788"/>
    <m/>
    <d v="2025-05-16T09:10:00"/>
    <d v="2025-05-16T17:33:00"/>
    <n v="492.52083332808979"/>
    <s v="Waited for empties from trade"/>
    <d v="2025-05-17T10:48:00"/>
    <d v="2025-05-17T11:37:00"/>
    <n v="47.979166669174447"/>
    <s v="beer topup delays"/>
    <n v="2.5041666666656965"/>
    <n v="3"/>
    <n v="0.49583333333430346"/>
    <n v="60.099999999976717"/>
    <n v="24"/>
    <n v="36.099999999976717"/>
    <n v="4.3213296398919834"/>
    <m/>
    <m/>
    <m/>
    <m/>
    <m/>
  </r>
  <r>
    <d v="2025-05-15T00:00:00"/>
    <x v="4"/>
    <s v="KESH"/>
    <s v="OM00YLBRR"/>
    <s v="DJ"/>
    <s v="IKWALIKWA YUSUF"/>
    <s v="UBP 311H"/>
    <s v="Kobusinge Steven-FPortal Tax No.: 1000977837"/>
    <n v="156"/>
    <s v="OM00YLBRR"/>
    <s v="OM"/>
    <n v="304"/>
    <n v="302"/>
    <n v="-2"/>
    <m/>
    <d v="2025-05-14T20:05:00"/>
    <d v="2025-05-14T20:25:00"/>
    <d v="2025-05-14T20:43:00"/>
    <n v="17.916666662495118"/>
    <n v="37.82407407222005"/>
    <s v="Jam at the weigh bridge"/>
    <d v="2025-05-16T06:55:00"/>
    <d v="2025-05-16T11:54:00"/>
    <n v="292.77083333356131"/>
    <s v="found another truck to be offloaded"/>
    <m/>
    <d v="1899-12-30T00:44:00"/>
    <n v="43.083333333333336"/>
    <m/>
    <n v="-45791.863194444442"/>
    <n v="2"/>
    <n v="45793.863194444442"/>
    <n v="-1099004.7166666666"/>
    <n v="-549504"/>
    <n v="-549500.71666666656"/>
    <n v="-2.8389407924035774E-4"/>
    <m/>
    <m/>
    <m/>
    <m/>
    <m/>
  </r>
  <r>
    <d v="2025-05-15T00:00:00"/>
    <x v="4"/>
    <s v="KESH"/>
    <s v="OMZCAE3RR"/>
    <s v="DJ"/>
    <s v="KYAPA AKIMU"/>
    <s v="UBR 899Y"/>
    <s v="Kato Investment Ltd -Mubende Tax No.: 1000098824"/>
    <n v="156"/>
    <s v="OMZCAE3RR"/>
    <s v="OM"/>
    <n v="680"/>
    <n v="678"/>
    <n v="-2"/>
    <m/>
    <d v="2025-05-14T19:11:00"/>
    <d v="2025-05-14T19:37:00"/>
    <d v="2025-05-14T19:38:00"/>
    <n v="0.99537037361490854"/>
    <n v="26.87500000417155"/>
    <m/>
    <d v="2025-05-16T12:29:00"/>
    <d v="2025-05-16T14:39:00"/>
    <n v="127.29166667122627"/>
    <s v="Waited for empties from trade"/>
    <d v="2025-05-17T07:23:00"/>
    <d v="2025-05-17T08:07:00"/>
    <n v="43.083333330141613"/>
    <m/>
    <n v="2.4895833333284827"/>
    <n v="3"/>
    <n v="0.51041666667151731"/>
    <n v="59.749999999883585"/>
    <n v="24"/>
    <n v="35.749999999883585"/>
    <n v="4.3636363636505733"/>
    <m/>
    <m/>
    <m/>
    <m/>
    <m/>
  </r>
  <r>
    <d v="2025-05-15T00:00:00"/>
    <x v="4"/>
    <s v="KESH"/>
    <s v="OMONQB9RR"/>
    <s v="DJ"/>
    <s v="MUKOSE MUZAMIRU"/>
    <s v="UBJ 417C"/>
    <s v="Sawan Distributors Ltd-Nabingo Tax No.: 1000186379"/>
    <n v="156"/>
    <s v="OMONQB9RR"/>
    <s v="OM"/>
    <n v="560"/>
    <n v="558"/>
    <n v="-2"/>
    <m/>
    <d v="2025-05-14T20:39:00"/>
    <d v="2025-05-15T02:30:00"/>
    <d v="2025-05-14T21:02:00"/>
    <n v="-326.48148148194497"/>
    <n v="22.893518520140788"/>
    <m/>
    <d v="2025-05-15T11:42:00"/>
    <d v="2025-05-15T15:33:00"/>
    <n v="226.18749999863212"/>
    <s v="space consquents"/>
    <d v="2025-05-17T08:30:00"/>
    <d v="2025-05-17T09:12:00"/>
    <n v="41.12500000068394"/>
    <m/>
    <n v="2.4777777777781012"/>
    <n v="2"/>
    <n v="-0.47777777777810115"/>
    <n v="59.466666666674428"/>
    <n v="24"/>
    <n v="35.466666666674428"/>
    <n v="4.398496240600541"/>
    <m/>
    <m/>
    <m/>
    <m/>
    <m/>
  </r>
  <r>
    <d v="2025-05-15T00:00:00"/>
    <x v="4"/>
    <s v="KESH"/>
    <s v="OM9XNCRRR"/>
    <s v="DJ"/>
    <s v="FARUK   ABEL"/>
    <s v="UBR 539W"/>
    <s v="Rugoma Traders-Rukungiri Tax No.: 1000249350"/>
    <n v="156"/>
    <s v="OM9XNCRRR"/>
    <s v="OM"/>
    <n v="256"/>
    <n v="253"/>
    <n v="-3"/>
    <m/>
    <d v="2025-05-14T20:20:00"/>
    <d v="2025-05-15T04:04:00"/>
    <d v="2025-05-14T20:48:00"/>
    <n v="-433.98148147777346"/>
    <n v="27.870370367357584"/>
    <m/>
    <d v="2025-05-15T16:59:00"/>
    <d v="2025-05-15T19:03:00"/>
    <n v="121.41666666233505"/>
    <m/>
    <d v="2025-05-16T06:53:00"/>
    <d v="2025-05-16T07:43:00"/>
    <n v="48.958333328773733"/>
    <s v="found another truck waiting to offload"/>
    <n v="1.4201388888905058"/>
    <n v="2"/>
    <n v="0.57986111110949423"/>
    <n v="34.083333333372138"/>
    <n v="12"/>
    <n v="22.083333333372138"/>
    <n v="7.0641509433838134"/>
    <m/>
    <m/>
    <m/>
    <m/>
    <m/>
  </r>
  <r>
    <d v="2025-05-15T00:00:00"/>
    <x v="4"/>
    <s v="KESH"/>
    <s v="OMABYEMRR"/>
    <s v="DJ"/>
    <s v="Hassan Byashara"/>
    <s v="UBP 312H"/>
    <s v="Kabaco U Ltd Tax No.: 1000025425"/>
    <n v="156"/>
    <s v="OMABYEMRR"/>
    <s v="OM"/>
    <n v="304"/>
    <n v="302"/>
    <n v="-2"/>
    <m/>
    <d v="2025-05-14T17:18:00"/>
    <d v="2025-05-15T02:22:00"/>
    <d v="2025-05-14T17:41:00"/>
    <n v="-518.58796296388994"/>
    <n v="22.893518520140788"/>
    <m/>
    <d v="2025-05-14T22:06:00"/>
    <d v="2025-05-15T13:42:00"/>
    <n v="916.50000000205182"/>
    <s v="Waited for empties from trade"/>
    <d v="2025-05-15T17:14:00"/>
    <d v="2025-05-15T17:58:00"/>
    <n v="43.083333330141613"/>
    <m/>
    <n v="0.98124999999708962"/>
    <n v="2"/>
    <n v="1.0187500000029104"/>
    <n v="23.549999999930151"/>
    <n v="0"/>
    <n v="23.549999999930151"/>
    <n v="6.6242038216756987"/>
    <m/>
    <m/>
    <m/>
    <m/>
    <m/>
  </r>
  <r>
    <d v="2025-05-15T00:00:00"/>
    <x v="4"/>
    <s v="NBL"/>
    <s v="OM6AL80RR"/>
    <m/>
    <s v="Luyaga Isaac"/>
    <s v="UAY 265V"/>
    <s v="KATO INVESTMENTS LTD- KALISIZO Tax No.: 1000098824"/>
    <n v="153.6"/>
    <s v="OM6AL80RR"/>
    <s v="OM"/>
    <n v="288"/>
    <n v="286"/>
    <n v="-2"/>
    <m/>
    <d v="2025-05-14T17:19:00"/>
    <d v="2025-05-15T03:43:00"/>
    <d v="2025-05-14T17:46:00"/>
    <m/>
    <n v="26.87500000417155"/>
    <m/>
    <d v="2025-05-15T10:23:00"/>
    <d v="2025-05-15T16:08:00"/>
    <n v="337.8125000034197"/>
    <s v="Waited for empties from trade"/>
    <d v="2025-05-16T17:52:00"/>
    <d v="2025-05-16T18:34:00"/>
    <n v="41.12500000068394"/>
    <m/>
    <n v="2.0041666666656965"/>
    <n v="2"/>
    <n v="-4.166666665696539E-3"/>
    <n v="48.099999999976717"/>
    <n v="24"/>
    <n v="24.099999999976717"/>
    <n v="6.3734439834086469"/>
    <m/>
    <m/>
    <m/>
    <m/>
    <m/>
  </r>
  <r>
    <d v="2025-05-15T00:00:00"/>
    <x v="4"/>
    <s v="NBL"/>
    <s v="OM1NHHPRR"/>
    <m/>
    <s v="James  Kironde"/>
    <s v="UBK 881R"/>
    <s v="KATO INVESTMENTS LTD- KALISIZO Tax No.: 1000098824"/>
    <n v="153.6"/>
    <s v="OM1NHHPRR"/>
    <s v="OM"/>
    <n v="288"/>
    <n v="286"/>
    <n v="-2"/>
    <m/>
    <d v="2025-05-14T17:09:00"/>
    <d v="2025-05-15T03:43:00"/>
    <d v="2025-05-14T17:36:00"/>
    <m/>
    <n v="26.87500000417155"/>
    <m/>
    <d v="2025-05-15T12:21:00"/>
    <d v="2025-05-16T07:48:00"/>
    <n v="1142.6875000006839"/>
    <s v="space consquents"/>
    <d v="2025-05-16T13:25:00"/>
    <d v="2025-05-16T14:04:00"/>
    <n v="38.18750000136788"/>
    <m/>
    <n v="1.8256944444510737"/>
    <n v="2"/>
    <n v="0.17430555554892635"/>
    <n v="43.816666666825768"/>
    <n v="12"/>
    <n v="31.816666666825768"/>
    <n v="4.8276584599025218"/>
    <m/>
    <m/>
    <m/>
    <m/>
    <m/>
  </r>
  <r>
    <d v="2025-05-15T00:00:00"/>
    <x v="4"/>
    <s v="KESH"/>
    <s v="OMBWHMKRR"/>
    <s v="DJ"/>
    <s v="RONALD KABANDA "/>
    <s v="UBE 684K"/>
    <s v="Kobusinge Steven-Kamwenge Tax No.: 1000977837"/>
    <n v="156"/>
    <s v="OMBWHMKRR"/>
    <s v="OM"/>
    <n v="228"/>
    <n v="225"/>
    <n v="-3"/>
    <m/>
    <d v="2025-05-14T12:48:00"/>
    <d v="2025-05-15T03:17:00"/>
    <d v="2025-05-14T13:41:00"/>
    <n v="-812.22222222083167"/>
    <n v="52.75462963472819"/>
    <s v="network failures"/>
    <d v="2025-05-15T08:24:00"/>
    <d v="2025-05-15T10:59:00"/>
    <n v="151.77083333561313"/>
    <m/>
    <m/>
    <d v="1899-12-30T00:44:00"/>
    <n v="43.083333333333336"/>
    <m/>
    <n v="-45791.570138888892"/>
    <n v="2"/>
    <n v="45793.570138888892"/>
    <n v="-1098997.6833333333"/>
    <n v="-549504"/>
    <n v="-549493.68333333335"/>
    <n v="-2.8389771298857212E-4"/>
    <m/>
    <m/>
    <m/>
    <m/>
    <m/>
  </r>
  <r>
    <d v="2025-05-16T00:00:00"/>
    <x v="4"/>
    <s v="NBL"/>
    <s v="OMVV2B0RR"/>
    <m/>
    <s v="Benon Ssempijja"/>
    <s v="UAY 526V"/>
    <s v="Rugoma Traders-Kanungu/Kihihi Tax No.: 1000249350"/>
    <n v="153.6"/>
    <s v="OMVV2B0RR"/>
    <s v="OM"/>
    <n v="272"/>
    <n v="270"/>
    <n v="-2"/>
    <m/>
    <d v="2025-05-16T09:27:00"/>
    <d v="2025-05-16T01:59:00"/>
    <d v="2025-05-16T09:50:00"/>
    <m/>
    <n v="22.893518520140788"/>
    <m/>
    <d v="2025-05-16T16:31:00"/>
    <d v="2025-05-17T13:15:00"/>
    <n v="1218.0833333335613"/>
    <s v="found another truck to be offloaded"/>
    <d v="2025-05-17T17:42:00"/>
    <d v="2025-05-17T18:32:00"/>
    <n v="48.958333328773733"/>
    <s v="fueling delays"/>
    <n v="1.3277777777839219"/>
    <n v="2"/>
    <n v="0.67222222221607808"/>
    <n v="31.866666666814126"/>
    <n v="12"/>
    <n v="19.866666666814126"/>
    <n v="7.7315436241036863"/>
    <m/>
    <m/>
    <m/>
    <m/>
    <m/>
  </r>
  <r>
    <d v="2025-05-16T00:00:00"/>
    <x v="4"/>
    <s v="KESH"/>
    <s v="OMP4ZRHRR"/>
    <s v="DJ"/>
    <s v="Hassan Byashara"/>
    <s v="UBP 312H"/>
    <s v="Sawan Distributors Ltd-Kayabwe Tax No.: 1000186379"/>
    <n v="156"/>
    <s v="OMP4ZRHRR"/>
    <s v="OM"/>
    <n v="382"/>
    <n v="380"/>
    <n v="-2"/>
    <m/>
    <d v="2025-05-16T09:47:00"/>
    <d v="2025-05-16T04:19:00"/>
    <d v="2025-05-16T10:10:00"/>
    <n v="349.37500000208576"/>
    <n v="22.893518520140788"/>
    <m/>
    <d v="2025-05-16T21:00:00"/>
    <d v="2025-05-17T11:48:00"/>
    <n v="869.50000000273576"/>
    <s v="Waited for empties from trade"/>
    <d v="2025-05-17T21:16:00"/>
    <d v="2025-05-17T22:00:00"/>
    <n v="43.083333330141613"/>
    <m/>
    <n v="1.4625000000014552"/>
    <n v="2"/>
    <n v="0.53749999999854481"/>
    <n v="35.100000000034925"/>
    <n v="12"/>
    <n v="23.100000000034925"/>
    <n v="6.7532467532365432"/>
    <m/>
    <m/>
    <m/>
    <m/>
    <m/>
  </r>
  <r>
    <d v="2025-05-16T00:00:00"/>
    <x v="4"/>
    <s v="NBL"/>
    <s v="OMWYALIRR"/>
    <m/>
    <s v="Isaac Tumuhimbise"/>
    <s v="UBE 287X"/>
    <s v="KATO INVESTMENTS LIMITED-MASAK Tax No.: 1000098824"/>
    <n v="153.6"/>
    <s v="OMWYALIRR"/>
    <s v="OM"/>
    <n v="596"/>
    <n v="594"/>
    <n v="-2"/>
    <m/>
    <d v="2025-05-16T09:26:00"/>
    <d v="2025-05-16T04:14:00"/>
    <d v="2025-05-16T09:53:00"/>
    <m/>
    <n v="26.87500000417155"/>
    <m/>
    <d v="2025-05-17T10:57:00"/>
    <d v="2025-05-17T13:00:00"/>
    <n v="120.43749999247666"/>
    <m/>
    <d v="2025-05-17T16:08:00"/>
    <d v="2025-05-17T16:47:00"/>
    <n v="38.18750000136788"/>
    <m/>
    <n v="1.2604166666642413"/>
    <n v="2"/>
    <n v="0.73958333333575865"/>
    <n v="30.249999999941792"/>
    <n v="12"/>
    <n v="18.249999999941792"/>
    <n v="8.416438356191227"/>
    <m/>
    <m/>
    <m/>
    <m/>
    <m/>
  </r>
  <r>
    <d v="2025-05-16T00:00:00"/>
    <x v="4"/>
    <s v="NBL"/>
    <s v="OMUSM36RR"/>
    <m/>
    <s v="Bisaso  Ronald"/>
    <s v="UBK 875R"/>
    <s v="KATO INVESTMENTS LTD- KALISIZO Tax No.: 1000098824"/>
    <n v="153.6"/>
    <s v="OMUSM36RR"/>
    <s v="OM"/>
    <n v="288"/>
    <n v="286"/>
    <n v="-2"/>
    <m/>
    <d v="2025-05-16T08:24:00"/>
    <d v="2025-05-16T03:43:00"/>
    <d v="2025-05-16T09:02:00"/>
    <m/>
    <n v="37.82407407222005"/>
    <s v="DJ failures "/>
    <d v="2025-05-16T14:50:00"/>
    <d v="2025-05-17T09:07:00"/>
    <n v="1074.1458333362971"/>
    <s v="Waited for empties from trade"/>
    <d v="2025-05-18T13:00:00"/>
    <d v="2025-05-18T13:44:00"/>
    <n v="43.083333330141613"/>
    <m/>
    <n v="2.1652777777781012"/>
    <n v="2"/>
    <n v="-0.16527777777810115"/>
    <n v="51.966666666674428"/>
    <n v="24"/>
    <n v="27.966666666674428"/>
    <n v="5.4922526817624808"/>
    <m/>
    <m/>
    <m/>
    <m/>
    <m/>
  </r>
  <r>
    <d v="2025-05-16T00:00:00"/>
    <x v="4"/>
    <s v="NBL"/>
    <s v="OMZDLRHRR"/>
    <m/>
    <s v="Kabene John"/>
    <s v="UBA 523T"/>
    <s v="KATO INVESTMENTS LIMITED-MASAK Tax No.: 1000098824"/>
    <n v="153.6"/>
    <s v="OMZDLRHRR"/>
    <s v="OM"/>
    <n v="596"/>
    <n v="594"/>
    <n v="-2"/>
    <m/>
    <d v="2025-05-16T08:20:00"/>
    <d v="2025-05-16T04:14:00"/>
    <d v="2025-05-16T08:43:00"/>
    <m/>
    <n v="22.893518520140788"/>
    <m/>
    <d v="2025-05-16T12:50:00"/>
    <d v="2025-05-17T09:07:00"/>
    <n v="1191.6458333397168"/>
    <s v="space consquents"/>
    <d v="2025-05-17T13:23:00"/>
    <d v="2025-05-17T14:07:00"/>
    <n v="43.083333330141613"/>
    <m/>
    <n v="1.1944444444452529"/>
    <n v="2"/>
    <n v="0.80555555555474712"/>
    <n v="28.666666666686069"/>
    <n v="12"/>
    <n v="16.666666666686069"/>
    <n v="9.2159999999892701"/>
    <m/>
    <m/>
    <m/>
    <m/>
    <m/>
  </r>
  <r>
    <d v="2025-05-16T00:00:00"/>
    <x v="4"/>
    <s v="KESH"/>
    <s v="OMX7GV7RR"/>
    <s v="DJ"/>
    <s v="SENTONGO GODFREY"/>
    <s v="UBR 864Y"/>
    <s v="Kobusinge Steven-FPortal Tax No.: 1000977837"/>
    <n v="156"/>
    <s v="OMX7GV7RR"/>
    <s v="OM"/>
    <n v="304"/>
    <n v="302"/>
    <n v="-2"/>
    <m/>
    <d v="2025-05-15T16:48:00"/>
    <d v="2025-05-15T20:25:00"/>
    <d v="2025-05-15T17:42:00"/>
    <n v="-162.24537036735759"/>
    <n v="53.749999997914223"/>
    <s v="Water top up"/>
    <d v="2025-05-16T12:21:00"/>
    <d v="2025-05-17T15:07:00"/>
    <n v="1572.5416666732781"/>
    <s v="Reached late and offloaded the next day"/>
    <d v="2025-05-18T11:34:00"/>
    <d v="2025-05-18T12:18:00"/>
    <n v="43.083333330141613"/>
    <m/>
    <n v="2.7444444444408873"/>
    <n v="2"/>
    <n v="-0.74444444444088731"/>
    <n v="65.866666666581295"/>
    <n v="24"/>
    <n v="41.866666666581295"/>
    <n v="3.7261146496891269"/>
    <m/>
    <m/>
    <m/>
    <m/>
    <m/>
  </r>
  <r>
    <d v="2025-05-16T00:00:00"/>
    <x v="4"/>
    <s v="KESH"/>
    <s v="OMXY1P1RR"/>
    <s v="DJ"/>
    <s v="ALIPA EREKU"/>
    <s v="UBK 858R"/>
    <s v="Nakuya Enterprises Ltd Tax No.: 1000098344"/>
    <n v="156"/>
    <s v="OMXY1P1RR"/>
    <s v="OM"/>
    <n v="514"/>
    <n v="512"/>
    <n v="-2"/>
    <m/>
    <d v="2025-05-15T16:38:00"/>
    <d v="2025-05-15T20:03:00"/>
    <d v="2025-05-15T17:01:00"/>
    <n v="-181.15740741389649"/>
    <n v="22.893518520140788"/>
    <m/>
    <d v="2025-05-16T13:59:00"/>
    <d v="2025-05-16T17:40:00"/>
    <n v="216.39583333082555"/>
    <s v="Waited for empties from trade"/>
    <d v="2025-05-17T17:18:00"/>
    <d v="2025-05-17T17:57:00"/>
    <n v="38.18750000136788"/>
    <m/>
    <n v="2.0118055555576575"/>
    <n v="2"/>
    <n v="-1.1805555557657499E-2"/>
    <n v="48.28333333338378"/>
    <n v="24"/>
    <n v="24.28333333338378"/>
    <n v="6.4241592312838405"/>
    <m/>
    <m/>
    <m/>
    <m/>
    <m/>
  </r>
  <r>
    <d v="2025-05-16T00:00:00"/>
    <x v="4"/>
    <s v="KESH"/>
    <s v="OMEUSI1RR"/>
    <s v="DJ"/>
    <s v="SENTONG DAVID"/>
    <s v="UBP 298H"/>
    <s v="Kobusinge Steven-FPortal Tax No.: 1000977837"/>
    <n v="156"/>
    <s v="OMEUSI1RR"/>
    <s v="OM"/>
    <n v="304"/>
    <n v="302"/>
    <n v="-2"/>
    <m/>
    <d v="2025-05-15T13:23:00"/>
    <d v="2025-05-15T20:25:00"/>
    <d v="2025-05-15T13:46:00"/>
    <n v="-397.15277777916828"/>
    <n v="22.893518520140788"/>
    <m/>
    <d v="2025-05-16T08:31:00"/>
    <d v="2025-05-16T17:48:00"/>
    <n v="545.39583333629707"/>
    <s v="Waited for empties from trade"/>
    <d v="2025-05-17T09:20:00"/>
    <d v="2025-05-17T10:04:00"/>
    <n v="43.083333330141613"/>
    <m/>
    <n v="1.8152777777795563"/>
    <n v="2"/>
    <n v="0.18472222222044365"/>
    <n v="43.566666666709352"/>
    <n v="12"/>
    <n v="31.566666666709352"/>
    <n v="4.9419218584938456"/>
    <m/>
    <m/>
    <m/>
    <m/>
    <m/>
  </r>
  <r>
    <d v="2025-05-17T00:00:00"/>
    <x v="4"/>
    <s v="NBL"/>
    <s v="OM1VZHKRR"/>
    <m/>
    <s v="Luyaga Isaac"/>
    <s v="UAY 265V"/>
    <s v="KATO INVESTMENTS LIMITED-MASAK Tax No.: 1000098824"/>
    <n v="153.6"/>
    <s v="OM1VZHKRR"/>
    <s v="OM"/>
    <n v="596"/>
    <n v="594"/>
    <n v="-2"/>
    <m/>
    <d v="2025-05-19T09:59:00"/>
    <d v="2025-05-18T04:14:00"/>
    <d v="2025-05-19T10:22:00"/>
    <m/>
    <n v="22.893518520140788"/>
    <m/>
    <d v="2025-05-20T09:15:00"/>
    <d v="2025-05-20T15:56:00"/>
    <n v="392.64583334108465"/>
    <s v="truck faulty"/>
    <d v="2025-05-21T14:30:00"/>
    <d v="2025-05-21T15:19:00"/>
    <n v="47.979166669174447"/>
    <s v="found another truck waiting to offload"/>
    <n v="2.172222222223354"/>
    <n v="2"/>
    <n v="-0.17222222222335404"/>
    <n v="52.133333333360497"/>
    <n v="24"/>
    <n v="28.133333333360497"/>
    <n v="5.4597156398051547"/>
    <m/>
    <m/>
    <m/>
    <m/>
    <m/>
  </r>
  <r>
    <d v="2025-05-17T00:00:00"/>
    <x v="4"/>
    <s v="NBL"/>
    <s v="OMAJOEURR"/>
    <m/>
    <s v="Isaac Tumuhimbise"/>
    <s v="UBE 287X"/>
    <s v="Kabaco U Ltd-Mbarara Tax No.: 1000025425"/>
    <n v="153.6"/>
    <s v="OMAJOEURR"/>
    <s v="OM"/>
    <n v="20"/>
    <n v="18"/>
    <n v="-2"/>
    <m/>
    <d v="2025-05-17T18:29:00"/>
    <d v="2025-05-17T07:42:00"/>
    <d v="2025-05-17T19:23:00"/>
    <m/>
    <n v="53.749999997914223"/>
    <s v="DJ failures "/>
    <d v="2025-05-18T12:10:00"/>
    <d v="2025-05-18T14:14:00"/>
    <n v="121.41666666233505"/>
    <s v="Reached late and offloaded the next day"/>
    <d v="2025-05-18T13:02:00"/>
    <d v="2025-05-18T13:46:00"/>
    <n v="43.083333330141613"/>
    <m/>
    <n v="0.73541666667006211"/>
    <n v="1"/>
    <n v="0.26458333332993789"/>
    <n v="17.650000000081491"/>
    <n v="0"/>
    <n v="17.650000000081491"/>
    <n v="8.7025495750306412"/>
    <m/>
    <m/>
    <m/>
    <m/>
    <m/>
  </r>
  <r>
    <d v="2025-05-17T00:00:00"/>
    <x v="4"/>
    <s v="NBL"/>
    <s v="OM31776RR"/>
    <m/>
    <s v="Tumusiime Robert"/>
    <s v="UBJ 988D"/>
    <s v="KATO INVESTMENTS LIMITED-MASAK Tax No.: 1000098824"/>
    <n v="153.6"/>
    <s v="OM31776RR"/>
    <s v="OM"/>
    <n v="596"/>
    <n v="594"/>
    <n v="-2"/>
    <m/>
    <d v="2025-05-17T14:56:00"/>
    <d v="2025-05-17T04:14:00"/>
    <d v="2025-05-17T15:19:00"/>
    <m/>
    <n v="22.893518520140788"/>
    <m/>
    <d v="2025-05-18T09:00:00"/>
    <d v="2025-05-18T14:50:00"/>
    <n v="342.70833333219343"/>
    <s v="found another truck to be offloaded"/>
    <d v="2025-05-19T11:57:00"/>
    <d v="2025-05-19T12:39:00"/>
    <n v="41.12500000068394"/>
    <m/>
    <n v="1.859722222223354"/>
    <n v="2"/>
    <n v="0.14027777777664596"/>
    <n v="44.633333333360497"/>
    <n v="12"/>
    <n v="32.633333333360497"/>
    <n v="4.7068437180757554"/>
    <m/>
    <m/>
    <m/>
    <m/>
    <m/>
  </r>
  <r>
    <d v="2025-05-17T00:00:00"/>
    <x v="4"/>
    <s v="NBL"/>
    <s v="OM47YEHRR"/>
    <m/>
    <s v="Konge Husein"/>
    <s v="UBJ 707D"/>
    <s v="KATO INVESTMENTS LTD- KALISIZO Tax No.: 1000098824"/>
    <n v="153.6"/>
    <s v="OM47YEHRR"/>
    <s v="OM"/>
    <n v="288"/>
    <n v="286"/>
    <n v="-2"/>
    <m/>
    <d v="2025-05-17T12:39:00"/>
    <d v="2025-05-17T03:43:00"/>
    <d v="2025-05-17T13:33:00"/>
    <m/>
    <n v="53.749999997914223"/>
    <s v="stock recon delays"/>
    <d v="2025-05-17T19:17:00"/>
    <d v="2025-05-18T13:08:00"/>
    <n v="1048.6875000020518"/>
    <s v="Waited for empties from trade"/>
    <d v="2025-05-19T13:34:00"/>
    <d v="2025-05-19T14:12:00"/>
    <n v="37.208333331509493"/>
    <m/>
    <n v="2.0006944444467081"/>
    <n v="2"/>
    <n v="-6.944444467080757E-4"/>
    <n v="48.016666666720994"/>
    <n v="24"/>
    <n v="24.016666666720994"/>
    <n v="6.3955586398189812"/>
    <m/>
    <m/>
    <m/>
    <m/>
    <m/>
  </r>
  <r>
    <d v="2025-05-17T00:00:00"/>
    <x v="4"/>
    <s v="NBL"/>
    <s v="OME981KRR"/>
    <m/>
    <s v="Kilabila Ismail"/>
    <s v="UBE 419T"/>
    <s v="KATO INVESTMENTS LTD- KALISIZO Tax No.: 1000098824"/>
    <n v="153.6"/>
    <s v="OME981KRR"/>
    <s v="OM"/>
    <n v="288"/>
    <n v="286"/>
    <n v="-2"/>
    <m/>
    <d v="2025-05-17T08:10:00"/>
    <d v="2025-05-17T03:43:00"/>
    <d v="2025-05-17T08:33:00"/>
    <m/>
    <n v="22.893518520140788"/>
    <m/>
    <d v="2025-05-17T14:22:00"/>
    <d v="2025-05-17T20:19:00"/>
    <n v="349.56250000068394"/>
    <s v="space consquents"/>
    <d v="2025-05-18T17:51:00"/>
    <d v="2025-05-18T18:40:00"/>
    <n v="47.979166669174447"/>
    <s v="offloading delays"/>
    <n v="1.3875000000043656"/>
    <n v="2"/>
    <n v="0.61249999999563443"/>
    <n v="33.300000000104774"/>
    <n v="12"/>
    <n v="21.300000000104774"/>
    <n v="7.2112676055983309"/>
    <m/>
    <m/>
    <m/>
    <m/>
    <m/>
  </r>
  <r>
    <d v="2025-05-17T00:00:00"/>
    <x v="4"/>
    <s v="KESH"/>
    <s v="OMX0174RR"/>
    <s v="DJ"/>
    <s v="ZIWA ABASI"/>
    <s v="UBJ 420C"/>
    <s v="Sawan Distributors Ltd Hoima Tax No.: 1000186379"/>
    <n v="156"/>
    <s v="OMX0174RR"/>
    <s v="OM"/>
    <n v="790"/>
    <n v="788"/>
    <n v="-2"/>
    <m/>
    <d v="2025-05-16T21:56:00"/>
    <d v="2025-05-16T20:06:00"/>
    <d v="2025-05-16T22:19:00"/>
    <n v="132.38425925277019"/>
    <n v="22.893518520140788"/>
    <m/>
    <d v="2025-05-18T09:03:00"/>
    <d v="2025-05-18T14:42:00"/>
    <n v="331.93750000478758"/>
    <s v="Waited for empties from trade"/>
    <d v="2025-05-19T14:02:00"/>
    <d v="2025-05-19T14:44:00"/>
    <n v="41.12500000068394"/>
    <m/>
    <n v="2.6548611111138598"/>
    <n v="3"/>
    <n v="0.34513888888614019"/>
    <n v="63.716666666732635"/>
    <n v="24"/>
    <n v="39.716666666732635"/>
    <n v="3.927822073010681"/>
    <m/>
    <m/>
    <m/>
    <m/>
    <m/>
  </r>
  <r>
    <d v="2025-05-17T00:00:00"/>
    <x v="4"/>
    <s v="KESH"/>
    <s v="OMTVJ6LRR"/>
    <s v="DJ"/>
    <s v="KAJUBI ISMA"/>
    <s v="UBR 538W"/>
    <s v="Kato Investment Ltd -Mityana Tax No.: 1000098824"/>
    <n v="156"/>
    <s v="OMTVJ6LRR"/>
    <s v="OM"/>
    <n v="690"/>
    <n v="688"/>
    <n v="-2"/>
    <m/>
    <d v="2025-05-16T21:45:00"/>
    <d v="2025-05-16T21:00:00"/>
    <d v="2025-05-16T22:23:00"/>
    <n v="82.615740738886714"/>
    <n v="37.82407407222005"/>
    <s v="DJ failures "/>
    <d v="2025-05-18T14:44:00"/>
    <d v="2025-05-18T16:47:00"/>
    <n v="120.43750000273576"/>
    <m/>
    <d v="2025-05-19T11:40:00"/>
    <d v="2025-05-19T12:22:00"/>
    <n v="41.12500000068394"/>
    <m/>
    <n v="2.5534722222218988"/>
    <n v="3"/>
    <n v="0.44652777777810115"/>
    <n v="61.283333333325572"/>
    <n v="24"/>
    <n v="37.283333333325572"/>
    <n v="4.184175234690187"/>
    <m/>
    <m/>
    <m/>
    <m/>
    <m/>
  </r>
  <r>
    <d v="2025-05-17T00:00:00"/>
    <x v="4"/>
    <s v="NBL"/>
    <s v="OM421BARR"/>
    <m/>
    <s v="GODWIN  NIWENSIIMA"/>
    <s v="UAR 731Q"/>
    <s v="Kabaco U Ltd-Mbarara Tax No.: 1000025425"/>
    <n v="153.6"/>
    <s v="OM421BARR"/>
    <s v="OM"/>
    <n v="20"/>
    <n v="19"/>
    <n v="-1"/>
    <m/>
    <d v="2025-05-17T08:01:00"/>
    <d v="2025-05-17T07:42:00"/>
    <d v="2025-05-17T08:39:00"/>
    <m/>
    <n v="37.82407407222005"/>
    <s v="DJ failures "/>
    <d v="2025-05-17T09:20:00"/>
    <d v="2025-05-17T12:04:00"/>
    <n v="160.58333333356131"/>
    <m/>
    <d v="2025-05-17T12:52:00"/>
    <d v="2025-05-17T13:36:00"/>
    <n v="43.083333330141613"/>
    <m/>
    <n v="0.1756944444423425"/>
    <n v="1"/>
    <n v="0.8243055555576575"/>
    <n v="4.21666666661622"/>
    <n v="0"/>
    <n v="4.21666666661622"/>
    <n v="36.426877470791524"/>
    <m/>
    <m/>
    <m/>
    <m/>
    <m/>
  </r>
  <r>
    <d v="2025-05-17T00:00:00"/>
    <x v="4"/>
    <s v="NBL"/>
    <s v="OMO3VRTRR"/>
    <m/>
    <s v="Mugisha  George"/>
    <s v="UAV 203T"/>
    <s v="Rugoma Traders-Kanungu/Kihihi Tax No.: 1000249350"/>
    <n v="153.6"/>
    <s v="OMO3VRTRR"/>
    <s v="OM"/>
    <n v="272"/>
    <n v="270"/>
    <n v="-2"/>
    <m/>
    <d v="2025-05-16T19:36:00"/>
    <d v="2025-05-17T01:59:00"/>
    <d v="2025-05-16T19:59:00"/>
    <m/>
    <n v="22.893518520140788"/>
    <m/>
    <d v="2025-05-17T12:23:00"/>
    <d v="2025-05-17T17:52:00"/>
    <n v="322.14583332672191"/>
    <s v="truck faulty"/>
    <d v="2025-05-18T12:39:00"/>
    <d v="2025-05-18T13:23:00"/>
    <n v="43.083333330141613"/>
    <m/>
    <n v="1.6944444444452529"/>
    <n v="2"/>
    <n v="0.30555555555474712"/>
    <n v="40.666666666686069"/>
    <n v="12"/>
    <n v="28.666666666686069"/>
    <n v="5.3581395348800944"/>
    <m/>
    <m/>
    <m/>
    <m/>
    <m/>
  </r>
  <r>
    <d v="2025-05-17T00:00:00"/>
    <x v="4"/>
    <s v="KESH"/>
    <s v="OMCX2RMRR"/>
    <s v="DJ"/>
    <s v="FARUK   ABEL"/>
    <s v="UBR 539W"/>
    <s v="Sawan Distributors Ltd-Kayabwe Tax No.: 1000186379"/>
    <n v="156"/>
    <s v="OMCX2RMRR"/>
    <s v="OM"/>
    <n v="382"/>
    <n v="380"/>
    <n v="-2"/>
    <m/>
    <d v="2025-05-16T20:25:00"/>
    <d v="2025-05-17T04:19:00"/>
    <d v="2025-05-16T20:52:00"/>
    <n v="-444.93055555625079"/>
    <n v="26.87500000417155"/>
    <m/>
    <d v="2025-05-18T13:09:00"/>
    <d v="2025-05-18T16:26:00"/>
    <n v="192.89583332603797"/>
    <m/>
    <d v="2025-05-18T20:09:00"/>
    <d v="2025-05-18T20:51:00"/>
    <n v="41.12500000068394"/>
    <m/>
    <n v="1.9701388888934162"/>
    <n v="2"/>
    <n v="2.9861111106583849E-2"/>
    <n v="47.283333333441988"/>
    <n v="12"/>
    <n v="35.283333333441988"/>
    <n v="4.4213509683378254"/>
    <m/>
    <m/>
    <m/>
    <m/>
    <m/>
  </r>
  <r>
    <d v="2025-05-17T00:00:00"/>
    <x v="4"/>
    <s v="NBL"/>
    <s v="OMBUTGWRR"/>
    <m/>
    <s v="ANGELO KYOSIGA "/>
    <s v="UAV 051U"/>
    <s v="KATO INVESTMENTS LIMITED-MASAK Tax No.: 1000098824"/>
    <n v="153.6"/>
    <s v="OMBUTGWRR"/>
    <s v="OM"/>
    <n v="596"/>
    <n v="595"/>
    <n v="-1"/>
    <m/>
    <d v="2025-05-16T20:06:00"/>
    <d v="2025-05-17T04:14:00"/>
    <d v="2025-05-16T20:27:00"/>
    <m/>
    <n v="20.902777772910969"/>
    <m/>
    <d v="2025-05-17T09:37:00"/>
    <d v="2025-05-17T14:31:00"/>
    <n v="287.87500000478758"/>
    <s v="less casuals and offloaded the next day"/>
    <d v="2025-05-18T10:18:00"/>
    <d v="2025-05-18T11:00:00"/>
    <n v="41.12500000068394"/>
    <m/>
    <n v="1.5770833333372138"/>
    <n v="2"/>
    <n v="0.42291666666278616"/>
    <n v="37.850000000093132"/>
    <n v="12"/>
    <n v="25.850000000093132"/>
    <n v="5.9419729206749174"/>
    <m/>
    <m/>
    <m/>
    <m/>
    <m/>
  </r>
  <r>
    <d v="2025-05-17T00:00:00"/>
    <x v="4"/>
    <s v="NBL"/>
    <s v="OMZPN3VRR"/>
    <m/>
    <s v="James  Kironde"/>
    <s v="UBK 881R"/>
    <s v="KATO INVESTMENTS LIMITED-MASAK Tax No.: 1000098824"/>
    <n v="153.6"/>
    <s v="OMZPN3VRR"/>
    <s v="OM"/>
    <n v="596"/>
    <n v="595"/>
    <n v="-1"/>
    <m/>
    <d v="2025-05-16T17:59:00"/>
    <d v="2025-05-17T04:14:00"/>
    <d v="2025-05-16T18:26:00"/>
    <m/>
    <n v="26.87500000417155"/>
    <m/>
    <d v="2025-05-17T12:25:00"/>
    <d v="2025-05-18T15:59:00"/>
    <n v="1619.5416666725941"/>
    <s v="found another truck to be offloaded"/>
    <d v="2025-05-18T20:03:00"/>
    <d v="2025-05-18T20:42:00"/>
    <n v="38.18750000136788"/>
    <m/>
    <n v="2.0673611111124046"/>
    <n v="2"/>
    <n v="-6.7361111112404615E-2"/>
    <n v="49.616666666697711"/>
    <n v="24"/>
    <n v="25.616666666697711"/>
    <n v="5.9960962914696365"/>
    <m/>
    <m/>
    <m/>
    <m/>
    <m/>
  </r>
  <r>
    <d v="2025-05-17T00:00:00"/>
    <x v="4"/>
    <s v="KESH"/>
    <s v="OM977JIRR"/>
    <s v="DJ"/>
    <s v="Tumwine Jimmy"/>
    <s v="UBR 863Y"/>
    <s v="Kabaco U Ltd Tax No.: 1000025425"/>
    <n v="156"/>
    <s v="OM977JIRR"/>
    <s v="OM"/>
    <n v="304"/>
    <n v="302"/>
    <n v="-2"/>
    <m/>
    <d v="2025-05-16T14:07:00"/>
    <d v="2025-05-17T02:22:00"/>
    <d v="2025-05-16T14:36:00"/>
    <n v="-702.73148148820235"/>
    <n v="28.865740740972495"/>
    <m/>
    <d v="2025-05-17T15:13:00"/>
    <d v="2025-05-17T17:20:00"/>
    <n v="124.35416666165111"/>
    <m/>
    <d v="2025-05-17T17:36:00"/>
    <d v="2025-05-17T18:18:00"/>
    <n v="41.12500000068394"/>
    <m/>
    <n v="1.125"/>
    <n v="2"/>
    <n v="0.875"/>
    <n v="27"/>
    <n v="12"/>
    <n v="15"/>
    <n v="10.4"/>
    <m/>
    <m/>
    <m/>
    <m/>
    <m/>
  </r>
  <r>
    <d v="2025-05-18T00:00:00"/>
    <x v="4"/>
    <s v="NBL"/>
    <s v="OM5EAJURR"/>
    <m/>
    <s v="Kabene John"/>
    <s v="UBA 523T"/>
    <s v="Kabaco U Ltd-Mbarara Tax No.: 1000025425"/>
    <n v="153.6"/>
    <s v="OM5EAJURR"/>
    <s v="OM"/>
    <n v="20"/>
    <n v="18"/>
    <n v="-2"/>
    <m/>
    <d v="2025-05-19T18:53:00"/>
    <d v="2025-05-18T10:00:00"/>
    <d v="2025-05-19T19:31:00"/>
    <m/>
    <n v="37.82407407222005"/>
    <s v="pressure balancing"/>
    <d v="2025-05-19T20:05:00"/>
    <d v="2025-05-20T10:17:00"/>
    <n v="834.25000000068394"/>
    <s v="found another truck to be offloaded"/>
    <d v="2025-05-20T10:50:00"/>
    <d v="2025-05-20T11:32:00"/>
    <n v="41.12500000068394"/>
    <m/>
    <n v="0.63819444444379769"/>
    <n v="1"/>
    <n v="0.36180555555620231"/>
    <n v="15.316666666651145"/>
    <n v="0"/>
    <n v="15.316666666651145"/>
    <n v="10.028291621337692"/>
    <m/>
    <m/>
    <m/>
    <m/>
    <m/>
  </r>
  <r>
    <d v="2025-05-18T00:00:00"/>
    <x v="4"/>
    <s v="NBL"/>
    <s v="OMPHI92RR"/>
    <m/>
    <s v="ANGELO KYOSIGA "/>
    <s v="UAV 051U"/>
    <s v="Kabaco U Ltd-Mbarara Tax No.: 1000025425"/>
    <n v="153.6"/>
    <s v="OMPHI92RR"/>
    <s v="OM"/>
    <n v="20"/>
    <n v="18"/>
    <n v="-2"/>
    <m/>
    <d v="2025-05-18T19:12:00"/>
    <d v="2025-05-18T11:00:00"/>
    <d v="2025-05-18T19:35:00"/>
    <m/>
    <n v="22.893518520140788"/>
    <m/>
    <d v="2025-05-19T11:30:00"/>
    <d v="2025-05-19T16:03:00"/>
    <n v="267.31249999931606"/>
    <m/>
    <d v="2025-05-20T08:11:00"/>
    <d v="2025-05-20T08:53:00"/>
    <n v="41.12500000068394"/>
    <m/>
    <n v="1.5250000000014552"/>
    <n v="1"/>
    <n v="-0.52500000000145519"/>
    <n v="36.600000000034925"/>
    <n v="12"/>
    <n v="24.600000000034925"/>
    <n v="6.2439024390155256"/>
    <m/>
    <m/>
    <m/>
    <m/>
    <m/>
  </r>
  <r>
    <d v="2025-05-18T00:00:00"/>
    <x v="4"/>
    <s v="NBL"/>
    <s v="OM9SZSZRR"/>
    <m/>
    <s v="Bisaso  Ronald"/>
    <s v="UBK 875R"/>
    <s v="RUGOMA TRADERS CO. LTD NTUNGAM Tax No.: 1000249350"/>
    <n v="153.6"/>
    <s v="OM9SZSZRR"/>
    <s v="OM"/>
    <n v="150"/>
    <n v="149"/>
    <n v="-1"/>
    <m/>
    <d v="2025-05-18T16:13:00"/>
    <d v="2025-05-18T10:00:00"/>
    <d v="2025-05-18T16:40:00"/>
    <m/>
    <n v="26.87500000417155"/>
    <m/>
    <d v="2025-05-18T18:44:00"/>
    <d v="2025-05-19T14:42:00"/>
    <n v="1173.041666673962"/>
    <m/>
    <d v="2025-05-19T16:36:00"/>
    <d v="2025-05-19T17:14:00"/>
    <n v="37.208333331509493"/>
    <m/>
    <n v="0.99722222222044365"/>
    <n v="1"/>
    <n v="2.7777777795563452E-3"/>
    <n v="23.933333333290648"/>
    <n v="0"/>
    <n v="23.933333333290648"/>
    <n v="6.4178272980615851"/>
    <m/>
    <m/>
    <m/>
    <m/>
    <m/>
  </r>
  <r>
    <d v="2025-05-18T00:00:00"/>
    <x v="4"/>
    <s v="KESH"/>
    <s v="OMNKUSZRR"/>
    <s v="DJ"/>
    <s v="ABDUL NASSER NTENDE"/>
    <s v="UBR 900Y"/>
    <s v="Kobusinge Acaali- Kyenjojo Tax No.: 1000977837"/>
    <n v="156"/>
    <s v="OMNKUSZRR"/>
    <s v="OM"/>
    <n v="580"/>
    <n v="578"/>
    <n v="-2"/>
    <m/>
    <d v="2025-05-18T09:40:00"/>
    <d v="2025-05-18T10:00:00"/>
    <d v="2025-05-18T10:34:00"/>
    <n v="33.842592598618161"/>
    <n v="53.749999997914223"/>
    <s v="Water top up"/>
    <d v="2025-05-19T15:02:00"/>
    <d v="2025-05-19T18:01:00"/>
    <n v="175.27083334040071"/>
    <m/>
    <d v="2025-05-19T21:46:00"/>
    <d v="2025-05-19T22:25:00"/>
    <n v="38.18750000136788"/>
    <m/>
    <n v="1.4666666666671517"/>
    <n v="2"/>
    <n v="0.53333333333284827"/>
    <n v="35.200000000011642"/>
    <n v="12"/>
    <n v="23.200000000011642"/>
    <n v="6.7241379310311089"/>
    <m/>
    <m/>
    <m/>
    <m/>
    <m/>
  </r>
  <r>
    <d v="2025-05-18T00:00:00"/>
    <x v="4"/>
    <s v="NBL"/>
    <s v="OMQ185XRR"/>
    <m/>
    <s v="Jacob Oneka"/>
    <s v="UBE 422T"/>
    <s v="Kabaco U Ltd-Mbarara Tax No.: 1000025425"/>
    <n v="153.6"/>
    <s v="OMQ185XRR"/>
    <s v="OM"/>
    <n v="20"/>
    <n v="19"/>
    <n v="-1"/>
    <m/>
    <d v="2025-05-18T09:22:00"/>
    <d v="2025-05-18T10:00:00"/>
    <d v="2025-05-18T09:51:00"/>
    <m/>
    <n v="28.865740740972495"/>
    <m/>
    <d v="2025-05-17T14:08:00"/>
    <d v="2025-05-17T19:13:00"/>
    <n v="298.64583333219343"/>
    <s v="truck faulty"/>
    <d v="2025-05-17T19:41:00"/>
    <d v="2025-05-17T20:32:00"/>
    <n v="49.93749999863212"/>
    <s v="found another truck waiting to offload"/>
    <n v="-0.59027777777373558"/>
    <n v="1"/>
    <n v="1.5902777777737356"/>
    <n v="-14.166666666569654"/>
    <n v="-12"/>
    <n v="-2.1666666665696539"/>
    <n v="-70.892307695481904"/>
    <m/>
    <m/>
    <m/>
    <m/>
    <m/>
  </r>
  <r>
    <d v="2025-05-18T00:00:00"/>
    <x v="4"/>
    <s v="NBL"/>
    <s v="OM4D83ARR"/>
    <m/>
    <s v="Benon Ssempijja"/>
    <s v="UAY 526V"/>
    <s v="Ntale &amp; Sons Tax No.: 1001371381"/>
    <n v="153.6"/>
    <s v="OM4D83ARR"/>
    <s v="OM"/>
    <n v="810"/>
    <n v="808"/>
    <n v="-2"/>
    <m/>
    <d v="2025-05-18T15:07:00"/>
    <d v="2025-05-18T16:40:00"/>
    <d v="2025-05-18T15:30:00"/>
    <m/>
    <n v="22.893518520140788"/>
    <m/>
    <d v="2025-05-19T08:50:00"/>
    <d v="2025-05-19T13:07:00"/>
    <n v="251.64583333287737"/>
    <s v="space consquents"/>
    <d v="2025-05-21T21:25:00"/>
    <d v="2025-05-21T22:07:00"/>
    <n v="41.12500000068394"/>
    <m/>
    <n v="3.2465277777737356"/>
    <n v="3"/>
    <n v="-0.24652777777373558"/>
    <n v="77.916666666569654"/>
    <n v="36"/>
    <n v="41.916666666569654"/>
    <n v="3.6644135188951608"/>
    <m/>
    <m/>
    <m/>
    <m/>
    <m/>
  </r>
  <r>
    <d v="2025-05-18T00:00:00"/>
    <x v="4"/>
    <s v="NBL"/>
    <s v="OM1GCBWRR"/>
    <m/>
    <s v="Jacob Oneka"/>
    <s v="UBE 422T"/>
    <s v="KATO INVESTMENTS LIMITED-MASAK Tax No.: 1000098824"/>
    <n v="153.6"/>
    <s v="OM1GCBWRR"/>
    <s v="OM"/>
    <n v="596"/>
    <n v="594"/>
    <n v="-2"/>
    <m/>
    <d v="2025-05-17T12:52:00"/>
    <d v="2025-05-17T15:00:00"/>
    <d v="2025-05-17T13:19:00"/>
    <m/>
    <n v="26.87500000417155"/>
    <m/>
    <d v="2025-05-18T14:41:00"/>
    <d v="2025-05-18T21:06:00"/>
    <n v="376.97916666438687"/>
    <s v="Waited for empties from trade"/>
    <d v="2025-05-19T11:35:00"/>
    <d v="2025-05-19T12:25:00"/>
    <n v="48.958333328773733"/>
    <s v="sorting delays"/>
    <n v="1.9277777777824667"/>
    <n v="2"/>
    <n v="7.2222222217533272E-2"/>
    <n v="46.266666666779201"/>
    <n v="12"/>
    <n v="34.266666666779201"/>
    <n v="4.4824902723588194"/>
    <m/>
    <m/>
    <m/>
    <m/>
    <m/>
  </r>
  <r>
    <d v="2025-05-18T00:00:00"/>
    <x v="4"/>
    <s v="KESH"/>
    <s v="OMMY8Y4RR"/>
    <s v="DJ"/>
    <s v="ALIPA EREKU"/>
    <s v="UBK 858R"/>
    <s v="Kobusinge Steven-FPortal Tax No.: 1000977837"/>
    <n v="156"/>
    <s v="OMMY8Y4RR"/>
    <s v="OM"/>
    <n v="304"/>
    <n v="302"/>
    <n v="-2"/>
    <m/>
    <d v="2025-05-18T10:57:00"/>
    <d v="2025-05-18T20:25:00"/>
    <d v="2025-05-18T11:51:00"/>
    <n v="-511.62037036944338"/>
    <n v="53.749999997914223"/>
    <s v="DJ failures "/>
    <d v="2025-05-18T20:27:00"/>
    <d v="2025-05-19T17:20:00"/>
    <n v="1226.8958333315095"/>
    <s v="found another truck to be offloaded"/>
    <d v="2025-05-20T13:17:00"/>
    <d v="2025-05-20T13:55:00"/>
    <n v="37.208333331509493"/>
    <m/>
    <n v="2.0597222222204437"/>
    <n v="2"/>
    <n v="-5.9722222220443655E-2"/>
    <n v="49.433333333290648"/>
    <n v="24"/>
    <n v="25.433333333290648"/>
    <n v="6.133682830940832"/>
    <m/>
    <m/>
    <m/>
    <m/>
    <m/>
  </r>
  <r>
    <d v="2025-05-18T00:00:00"/>
    <x v="4"/>
    <s v="KESH"/>
    <s v="OM1NA2CRR"/>
    <s v="DJ"/>
    <s v="KYAPA AKIMU"/>
    <s v="UBR 899Y"/>
    <s v="Kato Investment Ltd -Kagadi Tax No.: 1000098824"/>
    <n v="156"/>
    <s v="OM1NA2CRR"/>
    <s v="OM"/>
    <n v="670"/>
    <n v="669"/>
    <n v="-1"/>
    <m/>
    <d v="2025-05-18T08:01:00"/>
    <d v="2025-05-18T17:46:00"/>
    <d v="2025-05-18T08:30:00"/>
    <n v="-553.42592592569417"/>
    <n v="28.865740740972495"/>
    <m/>
    <d v="2025-05-19T12:04:00"/>
    <d v="2025-05-19T14:19:00"/>
    <n v="132.1875"/>
    <m/>
    <d v="2025-05-20T06:43:00"/>
    <d v="2025-05-20T07:25:00"/>
    <n v="41.12500000068394"/>
    <m/>
    <n v="1.9256944444496185"/>
    <n v="2"/>
    <n v="7.4305555550381541E-2"/>
    <n v="46.216666666790843"/>
    <n v="12"/>
    <n v="34.216666666790843"/>
    <n v="4.5591816853219829"/>
    <m/>
    <m/>
    <m/>
    <m/>
    <m/>
  </r>
  <r>
    <d v="2025-05-18T00:00:00"/>
    <x v="4"/>
    <s v="NBL"/>
    <s v="OMIDNADRR"/>
    <m/>
    <s v="GODWIN  NIWENSIIMA"/>
    <s v="UAR 731Q"/>
    <s v="KATO INVESTMENTS LIMITED-MASAK Tax No.: 1000098824"/>
    <n v="153.6"/>
    <s v="OMIDNADRR"/>
    <s v="OM"/>
    <n v="596"/>
    <n v="593"/>
    <n v="-3"/>
    <m/>
    <d v="2025-05-17T16:36:00"/>
    <d v="2025-05-18T04:14:00"/>
    <d v="2025-05-17T17:14:00"/>
    <m/>
    <n v="37.82407407222005"/>
    <s v="found another truck waiting to be cleared at the gate"/>
    <d v="2025-05-18T11:39:00"/>
    <d v="2025-05-18T15:39:00"/>
    <n v="234.9999999965803"/>
    <s v="space consquents"/>
    <d v="2025-05-19T10:44:00"/>
    <d v="2025-05-19T11:20:00"/>
    <n v="35.25000000205182"/>
    <m/>
    <n v="1.7291666666715173"/>
    <n v="2"/>
    <n v="0.27083333332848269"/>
    <n v="41.500000000116415"/>
    <n v="12"/>
    <n v="29.500000000116415"/>
    <n v="5.2067796609964017"/>
    <m/>
    <m/>
    <m/>
    <m/>
    <m/>
  </r>
  <r>
    <d v="2025-05-18T00:00:00"/>
    <x v="4"/>
    <s v="NBL"/>
    <s v="OMLQ0DYRR"/>
    <m/>
    <s v="Benon Ssempijja"/>
    <s v="UAY 526V"/>
    <s v="Kabaco U Ltd-Mbarara Tax No.: 1000025425"/>
    <n v="153.6"/>
    <s v="OMLQ0DYRR"/>
    <s v="OM"/>
    <n v="20"/>
    <n v="18"/>
    <n v="-2"/>
    <m/>
    <d v="2025-05-17T21:00:00"/>
    <d v="2025-05-18T10:00:00"/>
    <d v="2025-05-17T21:50:00"/>
    <m/>
    <n v="49.768518513883464"/>
    <s v="pressure balancing"/>
    <d v="2025-05-17T22:28:00"/>
    <d v="2025-05-18T12:46:00"/>
    <n v="840.12499999931606"/>
    <s v="Waited for empties from trade"/>
    <d v="2025-05-18T13:13:00"/>
    <d v="2025-05-18T13:49:00"/>
    <n v="35.25000000205182"/>
    <m/>
    <n v="0.64097222222335404"/>
    <n v="1"/>
    <n v="0.35902777777664596"/>
    <n v="15.383333333360497"/>
    <n v="0"/>
    <n v="15.383333333360497"/>
    <n v="9.9848320693214809"/>
    <m/>
    <m/>
    <m/>
    <m/>
    <m/>
  </r>
  <r>
    <d v="2025-05-18T00:00:00"/>
    <x v="4"/>
    <s v="KESH"/>
    <s v="OMS76RKRR"/>
    <s v="DJ"/>
    <s v="FRED LURE "/>
    <s v="UBP 310H"/>
    <s v="Kabaco U Ltd Tax No.: 1000025425"/>
    <n v="156"/>
    <s v="OMS76RKRR"/>
    <s v="OM"/>
    <n v="304"/>
    <n v="302"/>
    <n v="-2"/>
    <m/>
    <d v="2025-05-17T13:39:00"/>
    <d v="2025-05-18T02:22:00"/>
    <d v="2025-05-17T14:08:00"/>
    <n v="-730.60185185555986"/>
    <n v="28.865740740972495"/>
    <m/>
    <d v="2025-05-18T12:28:00"/>
    <d v="2025-05-18T14:33:00"/>
    <n v="122.39583333219343"/>
    <m/>
    <d v="2025-05-18T20:07:00"/>
    <d v="2025-05-18T20:51:00"/>
    <n v="43.083333330141613"/>
    <m/>
    <n v="1.2493055555532919"/>
    <n v="2"/>
    <n v="0.75069444444670808"/>
    <n v="29.983333333279006"/>
    <n v="12"/>
    <n v="17.983333333279006"/>
    <n v="8.674698795206929"/>
    <m/>
    <m/>
    <m/>
    <m/>
    <m/>
  </r>
  <r>
    <d v="2025-05-18T00:00:00"/>
    <x v="4"/>
    <s v="KESH"/>
    <s v="OMNK3ECRR"/>
    <s v="DJ"/>
    <s v="NGOBI FRED"/>
    <s v="UBK 866R"/>
    <s v="Sawan Distributors Ltd-Nabingo Tax No.: 1000186379"/>
    <n v="156"/>
    <s v="OMNK3ECRR"/>
    <s v="OM"/>
    <n v="560"/>
    <n v="558"/>
    <n v="-2"/>
    <m/>
    <d v="2025-05-17T13:32:00"/>
    <d v="2025-05-18T02:30:00"/>
    <d v="2025-05-17T14:01:00"/>
    <n v="-745.5324074076392"/>
    <n v="28.865740740972495"/>
    <m/>
    <d v="2025-05-18T10:46:00"/>
    <d v="2025-05-19T16:15:00"/>
    <n v="1732.145833336981"/>
    <s v="Waited for empties from trade"/>
    <d v="2025-05-22T20:13:00"/>
    <d v="2025-05-22T20:51:00"/>
    <n v="37.208333331509493"/>
    <m/>
    <n v="5.258333333338669"/>
    <n v="2"/>
    <n v="-3.258333333338669"/>
    <n v="126.20000000012806"/>
    <n v="60"/>
    <n v="66.200000000128057"/>
    <n v="2.3564954682733874"/>
    <m/>
    <m/>
    <m/>
    <m/>
    <m/>
  </r>
  <r>
    <d v="2025-05-18T00:00:00"/>
    <x v="4"/>
    <s v="KESH"/>
    <s v="OMOLX1VRR"/>
    <s v="DJ"/>
    <s v="Hassan Byashara"/>
    <s v="UBP 312H"/>
    <s v="Boniface Harera Tax No.: 1000317747"/>
    <n v="156"/>
    <s v="OMOLX1VRR"/>
    <s v="OM"/>
    <n v="448"/>
    <n v="447"/>
    <n v="-1"/>
    <m/>
    <d v="2025-05-18T10:01:00"/>
    <d v="2025-05-19T01:30:00"/>
    <d v="2025-05-18T10:54:00"/>
    <n v="-871.94444443957764"/>
    <n v="52.75462963472819"/>
    <s v="DJ failures "/>
    <d v="2025-05-19T12:06:00"/>
    <d v="2025-05-19T15:24:00"/>
    <n v="193.87500000615546"/>
    <s v="space consquents"/>
    <d v="2025-05-20T06:59:00"/>
    <d v="2025-05-20T07:38:00"/>
    <n v="38.18750000136788"/>
    <m/>
    <n v="1.8368055555547471"/>
    <n v="2"/>
    <n v="0.16319444444525288"/>
    <n v="44.083333333313931"/>
    <n v="12"/>
    <n v="32.083333333313931"/>
    <n v="4.8623376623406029"/>
    <m/>
    <m/>
    <m/>
    <m/>
    <m/>
  </r>
  <r>
    <d v="2025-05-18T00:00:00"/>
    <x v="4"/>
    <s v="KESH"/>
    <s v="OM5W1CRRR"/>
    <s v="DJ"/>
    <s v="Tumwine Jimmy"/>
    <s v="UBR 863Y"/>
    <s v="Sawan Distributors Ltd Hoima Tax No.: 1000186379"/>
    <n v="156"/>
    <s v="OM5W1CRRR"/>
    <s v="OM"/>
    <n v="790"/>
    <n v="788"/>
    <n v="-2"/>
    <m/>
    <d v="2025-05-17T21:35:00"/>
    <d v="2025-05-18T14:17:00"/>
    <d v="2025-05-17T22:02:00"/>
    <n v="-970.48611110415857"/>
    <n v="26.87500000417155"/>
    <m/>
    <d v="2025-05-19T11:38:00"/>
    <d v="2025-05-19T13:47:00"/>
    <n v="126.31250000136788"/>
    <m/>
    <d v="2025-05-20T17:34:00"/>
    <d v="2025-05-20T18:10:00"/>
    <n v="35.25000000205182"/>
    <m/>
    <n v="2.8138888888861402"/>
    <n v="3"/>
    <n v="0.18611111111385981"/>
    <n v="67.533333333267365"/>
    <n v="24"/>
    <n v="43.533333333267365"/>
    <n v="3.5834609494694423"/>
    <m/>
    <m/>
    <m/>
    <m/>
    <m/>
  </r>
  <r>
    <d v="2025-05-18T00:00:00"/>
    <x v="4"/>
    <s v="KESH"/>
    <s v="OMLJPR1RR"/>
    <s v="DJ"/>
    <s v="OLOWO JOHNWHITE"/>
    <s v="UBK 862R"/>
    <s v="Kato Investment Ltd -Mityana Tax No.: 1000098824"/>
    <n v="156"/>
    <s v="OMLJPR1RR"/>
    <s v="OM"/>
    <n v="690"/>
    <n v="688"/>
    <n v="-2"/>
    <m/>
    <d v="2025-05-17T19:47:00"/>
    <d v="2025-05-18T19:35:00"/>
    <d v="2025-05-17T20:16:00"/>
    <n v="-1392.5231481402686"/>
    <n v="28.865740740972495"/>
    <m/>
    <d v="2025-05-18T21:01:00"/>
    <d v="2025-05-19T14:23:00"/>
    <n v="1020.2916666684905"/>
    <s v="found another truck to be offloaded"/>
    <d v="2025-05-20T09:36:00"/>
    <d v="2025-05-20T10:33:00"/>
    <n v="55.81249999726424"/>
    <s v="sorting delays"/>
    <n v="2.5555555555547471"/>
    <n v="3"/>
    <n v="0.44444444444525288"/>
    <n v="61.333333333313931"/>
    <n v="24"/>
    <n v="37.333333333313931"/>
    <n v="4.1785714285736004"/>
    <m/>
    <m/>
    <m/>
    <m/>
    <m/>
  </r>
  <r>
    <d v="2025-05-18T00:00:00"/>
    <x v="4"/>
    <s v="KESH"/>
    <s v="OM848VIRR"/>
    <s v="DJ"/>
    <s v="RONALD KABANDA "/>
    <s v="UBE 684K"/>
    <s v="Kabaco U Ltd Tax No.: 1000025425"/>
    <n v="156"/>
    <s v="OM848VIRR"/>
    <s v="OM"/>
    <n v="304"/>
    <n v="301"/>
    <n v="-3"/>
    <m/>
    <d v="2025-05-17T21:04:00"/>
    <d v="2025-05-19T02:22:00"/>
    <d v="2025-05-17T21:31:00"/>
    <n v="-1722.9861111166731"/>
    <n v="26.87500000417155"/>
    <m/>
    <d v="2025-05-18T15:38:00"/>
    <d v="2025-05-19T11:37:00"/>
    <n v="1174.0208333335613"/>
    <s v="Waited for empties from trade"/>
    <d v="2025-05-19T17:13:00"/>
    <d v="2025-05-19T18:04:00"/>
    <n v="49.93749999863212"/>
    <s v="found another truck waiting to offload"/>
    <n v="1.820833333338669"/>
    <n v="2"/>
    <n v="0.17916666666133096"/>
    <n v="43.700000000128057"/>
    <n v="12"/>
    <n v="31.700000000128057"/>
    <n v="4.9211356466678176"/>
    <m/>
    <m/>
    <m/>
    <m/>
    <m/>
  </r>
  <r>
    <d v="2025-05-18T00:00:00"/>
    <x v="4"/>
    <s v="KESH"/>
    <s v="OMO5Y0DRR"/>
    <s v="DJ"/>
    <s v="MUKOSE MUZAMIRU"/>
    <s v="UBJ 417C"/>
    <s v="Kabaco U Ltd Tax No.: 1000025425"/>
    <n v="156"/>
    <s v="OMO5Y0DRR"/>
    <s v="OM"/>
    <n v="304"/>
    <n v="302"/>
    <n v="-2"/>
    <m/>
    <d v="2025-05-17T19:45:00"/>
    <d v="2025-05-19T02:22:00"/>
    <d v="2025-05-17T20:12:00"/>
    <n v="-1801.6203703715291"/>
    <n v="26.87500000417155"/>
    <m/>
    <d v="2025-05-18T16:11:00"/>
    <d v="2025-05-19T12:44:00"/>
    <n v="1207.3124999958964"/>
    <s v="Waited for empties from trade"/>
    <d v="2025-05-19T18:35:00"/>
    <d v="2025-05-19T19:19:00"/>
    <n v="43.083333330141613"/>
    <m/>
    <n v="1.9326388888875954"/>
    <n v="2"/>
    <n v="6.7361111112404615E-2"/>
    <n v="46.383333333302289"/>
    <n v="12"/>
    <n v="34.383333333302289"/>
    <n v="4.5370819195387551"/>
    <m/>
    <m/>
    <m/>
    <m/>
    <m/>
  </r>
  <r>
    <d v="2025-05-19T00:00:00"/>
    <x v="4"/>
    <s v="NBL"/>
    <s v="OMVD6SARR"/>
    <m/>
    <s v="Tumusiime Robert"/>
    <s v="UBJ 988D"/>
    <s v="Kabaco U Ltd-Mbarara Tax No.: 1000025425"/>
    <n v="153.6"/>
    <s v="OMVD6SARR"/>
    <s v="OM"/>
    <n v="20"/>
    <n v="19"/>
    <n v="-1"/>
    <m/>
    <d v="2025-05-20T06:41:00"/>
    <d v="2025-05-19T07:42:00"/>
    <d v="2025-05-20T07:10:00"/>
    <m/>
    <n v="28.865740740972495"/>
    <m/>
    <d v="2025-05-20T09:23:00"/>
    <d v="2025-05-20T15:04:00"/>
    <n v="333.89583333424525"/>
    <s v="Waited for empties from trade"/>
    <d v="2025-05-20T15:39:00"/>
    <d v="2025-05-20T16:21:00"/>
    <n v="41.12500000068394"/>
    <m/>
    <n v="0.35347222222480923"/>
    <n v="1"/>
    <n v="0.64652777777519077"/>
    <n v="8.4833333333954215"/>
    <n v="0"/>
    <n v="8.4833333333954215"/>
    <n v="18.106090373148426"/>
    <m/>
    <m/>
    <m/>
    <m/>
    <m/>
  </r>
  <r>
    <d v="2025-05-19T00:00:00"/>
    <x v="4"/>
    <s v="NBL"/>
    <s v="OMI2426RR"/>
    <m/>
    <s v="Kilabila Ismail"/>
    <s v="UBE 419T"/>
    <s v="Ntale &amp; Sons Tax No.: 1001371381"/>
    <n v="153.6"/>
    <s v="OMI2426RR"/>
    <s v="OM"/>
    <n v="810"/>
    <n v="808"/>
    <n v="-2"/>
    <m/>
    <d v="2025-05-19T09:46:00"/>
    <d v="2025-05-18T16:40:00"/>
    <d v="2025-05-19T10:24:00"/>
    <m/>
    <n v="37.82407407222005"/>
    <s v="Jam at the weigh bridge"/>
    <d v="2025-05-20T09:24:00"/>
    <d v="2025-05-20T13:47:00"/>
    <n v="257.52083333150949"/>
    <s v="space consquents"/>
    <d v="2025-05-21T15:19:00"/>
    <d v="2025-05-21T16:03:00"/>
    <n v="43.083333330141613"/>
    <m/>
    <n v="2.2048611111094942"/>
    <n v="3"/>
    <n v="0.79513888889050577"/>
    <n v="52.916666666627862"/>
    <n v="24"/>
    <n v="28.916666666627862"/>
    <n v="5.3118155619667826"/>
    <m/>
    <m/>
    <m/>
    <m/>
    <m/>
  </r>
  <r>
    <d v="2025-05-19T00:00:00"/>
    <x v="4"/>
    <s v="NBL"/>
    <s v="OM9SFORRR"/>
    <m/>
    <s v="Konge Husein"/>
    <s v="UBJ 707D"/>
    <s v="RUGOMA TRADERS CO. LTD NTUNGAM Tax No.: 1000249350"/>
    <n v="153.6"/>
    <s v="OM9SFORRR"/>
    <s v="OM"/>
    <n v="150"/>
    <n v="147"/>
    <n v="-3"/>
    <m/>
    <d v="2025-05-19T17:26:00"/>
    <d v="2025-05-19T06:15:00"/>
    <d v="2025-05-19T17:53:00"/>
    <m/>
    <n v="26.87500000417155"/>
    <m/>
    <d v="2025-05-19T18:08:00"/>
    <d v="2025-05-20T14:43:00"/>
    <n v="1209.270833325354"/>
    <s v="Reached late and offloaded the next day"/>
    <d v="2025-05-20T16:58:00"/>
    <d v="2025-05-20T17:49:00"/>
    <n v="49.93749999863212"/>
    <s v="offloading delays"/>
    <n v="0.96180555555474712"/>
    <n v="1"/>
    <n v="3.8194444445252884E-2"/>
    <n v="23.083333333313931"/>
    <n v="0"/>
    <n v="23.083333333313931"/>
    <n v="6.6541516245543297"/>
    <m/>
    <m/>
    <m/>
    <m/>
    <m/>
  </r>
  <r>
    <d v="2025-05-19T00:00:00"/>
    <x v="4"/>
    <s v="NBL"/>
    <s v="OM88KEFRR"/>
    <m/>
    <s v="GODWIN  NIWENSIIMA"/>
    <s v="UAR 731Q"/>
    <s v="KATO INVESTMENTS LIMITED-MASAK Tax No.: 1000098824"/>
    <n v="153.6"/>
    <s v="OM88KEFRR"/>
    <s v="OM"/>
    <n v="596"/>
    <n v="595"/>
    <n v="-1"/>
    <m/>
    <d v="2025-05-19T14:20:00"/>
    <d v="2025-05-19T04:14:00"/>
    <d v="2025-05-19T14:48:00"/>
    <m/>
    <n v="27.870370367357584"/>
    <m/>
    <d v="2025-05-20T10:43:00"/>
    <d v="2025-05-20T12:47:00"/>
    <n v="121.41666666233505"/>
    <m/>
    <d v="2025-05-21T11:08:00"/>
    <d v="2025-05-21T11:52:00"/>
    <n v="43.083333330141613"/>
    <m/>
    <n v="1.8472222222189885"/>
    <n v="2"/>
    <n v="0.15277777778101154"/>
    <n v="44.333333333255723"/>
    <n v="12"/>
    <n v="32.333333333255723"/>
    <n v="4.7505154639289282"/>
    <m/>
    <m/>
    <m/>
    <m/>
    <m/>
  </r>
  <r>
    <d v="2025-05-19T00:00:00"/>
    <x v="4"/>
    <s v="NBL"/>
    <s v="OMA1ALERR"/>
    <m/>
    <s v="James  Kironde"/>
    <s v="UBK 881R"/>
    <s v="KATO INVESTMENTS LIMITED-MASAK Tax No.: 1000098824"/>
    <n v="153.6"/>
    <s v="OMA1ALERR"/>
    <s v="OM"/>
    <n v="596"/>
    <n v="594"/>
    <n v="-2"/>
    <m/>
    <d v="2025-05-19T10:09:00"/>
    <d v="2025-05-19T04:14:00"/>
    <d v="2025-05-19T10:38:00"/>
    <m/>
    <n v="28.865740740972495"/>
    <m/>
    <d v="2025-05-19T15:08:00"/>
    <d v="2025-05-19T20:12:00"/>
    <n v="297.66666666233505"/>
    <s v="Waited for empties from trade"/>
    <d v="2025-05-20T10:15:00"/>
    <d v="2025-05-20T10:59:00"/>
    <n v="43.083333330141613"/>
    <m/>
    <n v="0.98402777777664596"/>
    <n v="2"/>
    <n v="1.015972222223354"/>
    <n v="23.616666666639503"/>
    <n v="0"/>
    <n v="23.616666666639503"/>
    <n v="6.5038814396687368"/>
    <m/>
    <m/>
    <m/>
    <m/>
    <m/>
  </r>
  <r>
    <d v="2025-05-19T00:00:00"/>
    <x v="4"/>
    <s v="KESH"/>
    <s v="OMDOC0ORR"/>
    <s v="DJ"/>
    <s v="SENTONGO GODFREY"/>
    <s v="UBR 864Y"/>
    <s v="Kato Investment Ltd -Mityana Tax No.: 1000098824"/>
    <n v="156"/>
    <s v="OMDOC0ORR"/>
    <s v="OM"/>
    <n v="690"/>
    <n v="688"/>
    <n v="-2"/>
    <m/>
    <d v="2025-05-18T19:07:00"/>
    <d v="2025-05-18T20:00:00"/>
    <d v="2025-05-18T20:01:00"/>
    <n v="0.99537036318603589"/>
    <n v="53.749999997914223"/>
    <s v="Water top up"/>
    <d v="2025-05-19T18:16:00"/>
    <d v="2025-05-20T14:03:00"/>
    <n v="1162.2708333362971"/>
    <s v="truck faulty"/>
    <d v="2025-05-21T10:30:00"/>
    <d v="2025-05-21T11:12:00"/>
    <n v="41.12500000068394"/>
    <m/>
    <n v="2.6034722222248092"/>
    <n v="3"/>
    <n v="0.39652777777519077"/>
    <n v="62.483333333395422"/>
    <n v="24"/>
    <n v="38.483333333395422"/>
    <n v="4.0537029016825024"/>
    <m/>
    <m/>
    <m/>
    <m/>
    <m/>
  </r>
  <r>
    <d v="2025-05-19T00:00:00"/>
    <x v="4"/>
    <s v="KESH"/>
    <s v="OMT96O9RR"/>
    <s v="DJ"/>
    <s v="MBOGO BASHIR"/>
    <s v="UBR 903Y"/>
    <s v="Sawan Distributors Ltd Hoima Tax No.: 1000186379"/>
    <n v="156"/>
    <s v="OMT96O9RR"/>
    <s v="OM"/>
    <n v="790"/>
    <n v="787"/>
    <n v="-3"/>
    <m/>
    <d v="2025-05-18T19:21:00"/>
    <d v="2025-05-18T20:00:00"/>
    <d v="2025-05-18T19:44:00"/>
    <n v="-15.925925925694173"/>
    <n v="22.893518520140788"/>
    <m/>
    <d v="2025-05-19T09:03:00"/>
    <d v="2025-05-19T12:54:00"/>
    <n v="226.18749999863212"/>
    <s v="Reached late and offloaded the next day"/>
    <d v="2025-05-20T08:47:00"/>
    <d v="2025-05-20T09:30:00"/>
    <n v="42.104166670542327"/>
    <m/>
    <n v="1.5437499999970896"/>
    <n v="3"/>
    <n v="1.4562500000029104"/>
    <n v="37.049999999930151"/>
    <n v="12"/>
    <n v="25.049999999930151"/>
    <n v="6.2275449101970057"/>
    <m/>
    <m/>
    <m/>
    <m/>
    <m/>
  </r>
  <r>
    <d v="2025-05-19T00:00:00"/>
    <x v="4"/>
    <s v="KESH"/>
    <s v="OMCAD1GRR"/>
    <s v="DJ"/>
    <s v="ALLEX TAIMWA"/>
    <s v="UBJ 705D"/>
    <s v="Kato Investment Ltd -Mityana Tax No.: 1000098824"/>
    <n v="156"/>
    <s v="OMCAD1GRR"/>
    <s v="OM"/>
    <n v="690"/>
    <n v="688"/>
    <n v="-2"/>
    <m/>
    <d v="2025-05-18T18:54:00"/>
    <d v="2025-05-18T20:00:00"/>
    <d v="2025-05-18T19:21:00"/>
    <n v="-38.819444445834961"/>
    <n v="26.87500000417155"/>
    <m/>
    <d v="2025-05-19T15:43:00"/>
    <d v="2025-05-19T21:45:00"/>
    <n v="354.45833332945767"/>
    <s v="found another truck to be offloaded"/>
    <d v="2025-05-20T13:15:00"/>
    <d v="2025-05-20T13:51:00"/>
    <n v="35.25000000205182"/>
    <m/>
    <n v="1.7458333333343035"/>
    <n v="3"/>
    <n v="1.2541666666656965"/>
    <n v="41.900000000023283"/>
    <n v="12"/>
    <n v="29.900000000023283"/>
    <n v="5.2173913043437636"/>
    <m/>
    <m/>
    <m/>
    <m/>
    <m/>
  </r>
  <r>
    <d v="2025-05-19T00:00:00"/>
    <x v="4"/>
    <s v="KESH"/>
    <s v="OM1F6UHRR"/>
    <s v="DJ"/>
    <s v="FRED LURE "/>
    <s v="UBP 310H"/>
    <s v="Kobusinge Steven-Kamwenge Tax No.: 1000977837"/>
    <n v="156"/>
    <s v="OM1F6UHRR"/>
    <s v="OM"/>
    <n v="228"/>
    <n v="226"/>
    <n v="-2"/>
    <m/>
    <d v="2025-05-18T21:37:00"/>
    <d v="2025-05-19T03:17:00"/>
    <d v="2025-05-18T22:05:00"/>
    <n v="-310.55555555625079"/>
    <n v="27.870370367357584"/>
    <m/>
    <d v="2025-05-19T16:41:00"/>
    <d v="2025-05-19T21:46:00"/>
    <n v="298.64583333219343"/>
    <s v="Waited for empties from trade"/>
    <d v="2025-05-20T11:37:00"/>
    <d v="2025-05-20T12:34:00"/>
    <n v="55.81249999726424"/>
    <s v="Fork Lift Breakdown"/>
    <n v="1.5638888888861402"/>
    <n v="2"/>
    <n v="0.43611111111385981"/>
    <n v="37.533333333267365"/>
    <n v="12"/>
    <n v="25.533333333267365"/>
    <n v="6.1096605744283181"/>
    <m/>
    <m/>
    <m/>
    <m/>
    <m/>
  </r>
  <r>
    <d v="2025-05-19T00:00:00"/>
    <x v="4"/>
    <s v="KESH"/>
    <s v="OMYP1ZIRR"/>
    <s v="DJ"/>
    <s v="SENTONGO PAUL"/>
    <s v="UBR 855Y"/>
    <s v="Sawan Distributors Ltd-Nabingo Tax No.: 1000186379"/>
    <n v="156"/>
    <s v="OMYP1ZIRR"/>
    <s v="OM"/>
    <n v="560"/>
    <n v="557"/>
    <n v="-3"/>
    <m/>
    <d v="2025-05-18T20:35:00"/>
    <d v="2025-05-19T02:30:00"/>
    <d v="2025-05-18T21:03:00"/>
    <n v="-325.48611110833008"/>
    <n v="27.870370367357584"/>
    <m/>
    <d v="2025-05-19T11:07:00"/>
    <d v="2025-05-19T18:32:00"/>
    <n v="435.72916667122627"/>
    <s v="space consquents"/>
    <d v="2025-05-20T13:34:00"/>
    <d v="2025-05-20T14:10:00"/>
    <n v="35.25000000205182"/>
    <m/>
    <n v="1.6881944444467081"/>
    <n v="2"/>
    <n v="0.31180555555329192"/>
    <n v="40.516666666720994"/>
    <n v="12"/>
    <n v="28.516666666720994"/>
    <n v="5.4704850964244116"/>
    <m/>
    <m/>
    <m/>
    <m/>
    <m/>
  </r>
  <r>
    <d v="2025-05-19T00:00:00"/>
    <x v="4"/>
    <s v="KESH"/>
    <s v="OMURC7ARR"/>
    <s v="DJ"/>
    <s v="FARUK   ABEL"/>
    <s v="UBR 539W"/>
    <s v="Rugoma Traders-Rukungiri Tax No.: 1000249350"/>
    <n v="156"/>
    <s v="OMURC7ARR"/>
    <s v="OM"/>
    <n v="256"/>
    <n v="254"/>
    <n v="-2"/>
    <m/>
    <d v="2025-05-18T21:27:00"/>
    <d v="2025-05-19T04:04:00"/>
    <d v="2025-05-18T21:50:00"/>
    <n v="-372.26851852222654"/>
    <n v="22.893518520140788"/>
    <m/>
    <d v="2025-05-19T17:22:00"/>
    <d v="2025-05-19T19:28:00"/>
    <n v="123.37500000205182"/>
    <m/>
    <d v="2025-05-19T22:22:00"/>
    <d v="2025-05-19T23:00:00"/>
    <n v="37.208333331509493"/>
    <m/>
    <n v="1.0222222222218988"/>
    <n v="2"/>
    <n v="0.97777777777810115"/>
    <n v="24.533333333325572"/>
    <n v="12"/>
    <n v="12.533333333325572"/>
    <n v="12.446808510646004"/>
    <m/>
    <m/>
    <m/>
    <m/>
    <m/>
  </r>
  <r>
    <d v="2025-05-19T00:00:00"/>
    <x v="4"/>
    <s v="NBL"/>
    <s v="OMIG098RR"/>
    <m/>
    <s v="Isaac Tumuhimbise"/>
    <s v="UBE 287X"/>
    <s v="Rugoma Traders-Kanungu/Kihihi Tax No.: 1000249350"/>
    <n v="153.6"/>
    <s v="OMIG098RR"/>
    <s v="OM"/>
    <n v="272"/>
    <n v="270"/>
    <n v="-2"/>
    <m/>
    <d v="2025-05-18T15:15:00"/>
    <d v="2025-05-19T01:59:00"/>
    <d v="2025-05-18T15:53:00"/>
    <m/>
    <n v="37.82407407222005"/>
    <s v="found another truck waiting to be cleared at the gate"/>
    <d v="2025-05-19T10:28:00"/>
    <d v="2025-05-19T15:40:00"/>
    <n v="305.50000000068394"/>
    <s v="Waited for empties from trade"/>
    <d v="2025-05-20T08:14:00"/>
    <d v="2025-05-20T09:11:00"/>
    <n v="55.81249999726424"/>
    <s v="dj completion delays"/>
    <n v="1.6812499999941792"/>
    <n v="2"/>
    <n v="0.31875000000582077"/>
    <n v="40.349999999860302"/>
    <n v="12"/>
    <n v="28.349999999860302"/>
    <n v="5.4179894180161154"/>
    <m/>
    <m/>
    <m/>
    <m/>
    <m/>
  </r>
  <r>
    <d v="2025-05-19T00:00:00"/>
    <x v="4"/>
    <s v="NBL"/>
    <s v="OMI6DE8RR"/>
    <m/>
    <s v="Mugisha  George"/>
    <s v="UAV 203T"/>
    <s v="KATO INVESTMENTS LTD- KALISIZO Tax No.: 1000098824"/>
    <n v="153.6"/>
    <s v="OMI6DE8RR"/>
    <s v="OM"/>
    <n v="288"/>
    <n v="286"/>
    <n v="-2"/>
    <m/>
    <d v="2025-05-18T16:12:00"/>
    <d v="2025-05-19T03:43:00"/>
    <d v="2025-05-18T16:35:00"/>
    <m/>
    <n v="22.893518520140788"/>
    <m/>
    <d v="2025-05-19T13:51:00"/>
    <d v="2025-05-19T18:27:00"/>
    <n v="270.25000000889122"/>
    <s v="space consquents"/>
    <d v="2025-05-20T13:51:00"/>
    <d v="2025-05-20T14:43:00"/>
    <n v="50.916666668490507"/>
    <s v="found another truck waiting to offload"/>
    <n v="1.8861111111109494"/>
    <n v="2"/>
    <n v="0.11388888888905058"/>
    <n v="45.266666666662786"/>
    <n v="12"/>
    <n v="33.266666666662786"/>
    <n v="4.6172344689384142"/>
    <m/>
    <m/>
    <m/>
    <m/>
    <m/>
  </r>
  <r>
    <d v="2025-05-20T00:00:00"/>
    <x v="4"/>
    <s v="NBL"/>
    <s v="OMOZKQCRR"/>
    <m/>
    <s v="ANGELO KYOSIGA "/>
    <s v="UAV 051U"/>
    <s v="KATO INVESTMENTS LIMITED-MASAK Tax No.: 1000098824"/>
    <n v="153.6"/>
    <s v="OMOZKQCRR"/>
    <s v="OM"/>
    <n v="596"/>
    <n v="594"/>
    <n v="-2"/>
    <m/>
    <d v="2025-05-20T17:14:00"/>
    <d v="2025-05-19T15:30:00"/>
    <d v="2025-05-20T18:04:00"/>
    <m/>
    <n v="49.768518513883464"/>
    <s v="DJ failures "/>
    <d v="2025-05-21T11:58:00"/>
    <d v="2025-05-21T19:31:00"/>
    <n v="443.56249999931606"/>
    <s v="truck faulty"/>
    <d v="2025-05-22T16:05:00"/>
    <d v="2025-05-22T16:41:00"/>
    <n v="35.25000000205182"/>
    <m/>
    <n v="1.9173611111109494"/>
    <n v="2"/>
    <n v="8.2638888889050577E-2"/>
    <n v="46.016666666662786"/>
    <n v="12"/>
    <n v="34.016666666662786"/>
    <n v="4.5154336109755269"/>
    <m/>
    <m/>
    <m/>
    <m/>
    <m/>
  </r>
  <r>
    <d v="2025-05-20T00:00:00"/>
    <x v="4"/>
    <s v="NBL"/>
    <s v="OM234XURR"/>
    <m/>
    <s v="Stephen Musoke "/>
    <s v="UBJ 375N"/>
    <s v="KATO INVESTMENTS LTD- KALISIZO Tax No.: 1000098824"/>
    <n v="153.6"/>
    <s v="OM234XURR"/>
    <s v="OM"/>
    <n v="288"/>
    <n v="286"/>
    <n v="-2"/>
    <m/>
    <d v="2025-05-20T13:47:00"/>
    <d v="2025-05-20T03:43:00"/>
    <d v="2025-05-20T14:10:00"/>
    <m/>
    <n v="22.893518520140788"/>
    <m/>
    <d v="2025-05-21T10:05:00"/>
    <d v="2025-05-21T12:33:00"/>
    <n v="144.91666666712263"/>
    <m/>
    <d v="2025-05-21T18:08:00"/>
    <d v="2025-05-21T18:50:00"/>
    <n v="41.12500000068394"/>
    <m/>
    <n v="1.1652777777781012"/>
    <n v="2"/>
    <n v="0.83472222222189885"/>
    <n v="27.966666666674428"/>
    <n v="12"/>
    <n v="15.966666666674428"/>
    <n v="9.6200417536487688"/>
    <m/>
    <m/>
    <m/>
    <m/>
    <m/>
  </r>
  <r>
    <d v="2025-05-20T00:00:00"/>
    <x v="4"/>
    <s v="KESH"/>
    <s v="OM883HQRR"/>
    <s v="DJ"/>
    <s v="MBOGO BASHIR"/>
    <s v="UBR 903Y"/>
    <s v="KATO INVESTMENTS LTD-KATIKARA Tax No.: 1000098824"/>
    <n v="156"/>
    <s v="OM883HQRR"/>
    <s v="OM"/>
    <n v="790"/>
    <n v="788"/>
    <n v="-2"/>
    <m/>
    <d v="2025-05-20T22:14:00"/>
    <d v="2025-05-20T15:48:00"/>
    <d v="2025-05-20T22:42:00"/>
    <n v="412.08333333124756"/>
    <n v="27.870370367357584"/>
    <m/>
    <d v="2025-05-22T07:09:00"/>
    <d v="2025-05-22T10:25:00"/>
    <n v="191.91666666643869"/>
    <s v="less casuals and offloaded the next day"/>
    <d v="2025-05-24T14:17:00"/>
    <d v="2025-05-24T14:53:00"/>
    <n v="35.25000000205182"/>
    <m/>
    <n v="3.6493055555547471"/>
    <n v="3"/>
    <n v="-0.64930555555474712"/>
    <n v="87.583333333313931"/>
    <n v="36"/>
    <n v="51.583333333313931"/>
    <n v="3.0242326332806204"/>
    <m/>
    <m/>
    <m/>
    <m/>
    <m/>
  </r>
  <r>
    <d v="2025-05-20T00:00:00"/>
    <x v="4"/>
    <s v="NBL"/>
    <s v="OM87MPTRR"/>
    <m/>
    <s v="Jacob Oneka"/>
    <s v="UBE 422T"/>
    <s v="Kabaco U Ltd-Mbarara Tax No.: 1000025425"/>
    <n v="153.6"/>
    <s v="OM87MPTRR"/>
    <s v="OM"/>
    <n v="20"/>
    <n v="18"/>
    <n v="-2"/>
    <m/>
    <d v="2025-05-19T17:04:00"/>
    <d v="2025-05-19T15:00:00"/>
    <d v="2025-05-19T17:27:00"/>
    <m/>
    <n v="22.893518520140788"/>
    <m/>
    <d v="2025-05-20T11:55:00"/>
    <d v="2025-05-20T15:16:00"/>
    <n v="196.81249999521242"/>
    <s v="found another truck to be offloaded"/>
    <d v="2025-05-21T09:40:00"/>
    <d v="2025-05-21T10:18:00"/>
    <n v="37.208333331509493"/>
    <m/>
    <n v="1.6756944444496185"/>
    <n v="1"/>
    <n v="-0.67569444444961846"/>
    <n v="40.216666666790843"/>
    <n v="12"/>
    <n v="28.216666666790843"/>
    <n v="5.4435912580977215"/>
    <m/>
    <m/>
    <m/>
    <m/>
    <m/>
  </r>
  <r>
    <d v="2025-05-20T00:00:00"/>
    <x v="4"/>
    <s v="NBL"/>
    <s v="OMOYM2FRR"/>
    <m/>
    <s v="Abel Mark naffa"/>
    <s v="UBJ 415C"/>
    <s v="Kabaco U Ltd-Mbarara Tax No.: 1000025425"/>
    <n v="153.6"/>
    <s v="OMOYM2FRR"/>
    <s v="OM"/>
    <n v="20"/>
    <n v="18"/>
    <n v="-2"/>
    <m/>
    <d v="2025-05-20T09:54:00"/>
    <d v="2025-05-20T10:00:00"/>
    <d v="2025-05-20T10:22:00"/>
    <m/>
    <n v="27.870370367357584"/>
    <m/>
    <d v="2025-05-20T13:54:00"/>
    <d v="2025-05-20T16:02:00"/>
    <n v="125.33333333150949"/>
    <m/>
    <d v="2025-05-20T14:30:00"/>
    <d v="2025-05-20T15:21:00"/>
    <n v="49.93749999863212"/>
    <s v="fueling delays"/>
    <n v="0.17222222222335404"/>
    <n v="1"/>
    <n v="0.82777777777664596"/>
    <n v="4.1333333333604969"/>
    <n v="0"/>
    <n v="4.1333333333604969"/>
    <n v="37.161290322336427"/>
    <m/>
    <m/>
    <m/>
    <m/>
    <m/>
  </r>
  <r>
    <d v="2025-05-20T00:00:00"/>
    <x v="4"/>
    <s v="KESH"/>
    <s v="OM2B764RR"/>
    <s v="DJ"/>
    <s v="RONALD KABANDA "/>
    <s v="UBE 684K"/>
    <s v="Sawan Distributors Ltd Hoima Tax No.: 1000186379"/>
    <n v="156"/>
    <s v="OM2B764RR"/>
    <s v="OM"/>
    <n v="790"/>
    <n v="788"/>
    <n v="-2"/>
    <m/>
    <d v="2025-05-20T09:43:00"/>
    <d v="2025-05-20T14:17:00"/>
    <d v="2025-05-20T10:06:00"/>
    <n v="-249.83796296388996"/>
    <n v="22.893518520140788"/>
    <m/>
    <d v="2025-05-21T09:27:00"/>
    <d v="2025-05-21T11:15:00"/>
    <n v="105.74999999589636"/>
    <m/>
    <d v="2025-05-25T10:07:00"/>
    <d v="2025-05-25T11:04:00"/>
    <n v="55.81249999726424"/>
    <s v="fueling delays"/>
    <n v="5.0006944444467081"/>
    <n v="3"/>
    <n v="-2.0006944444467081"/>
    <n v="120.01666666672099"/>
    <n v="60"/>
    <n v="60.016666666720994"/>
    <n v="2.5992779783369975"/>
    <m/>
    <m/>
    <m/>
    <m/>
    <m/>
  </r>
  <r>
    <d v="2025-05-20T00:00:00"/>
    <x v="4"/>
    <s v="KESH"/>
    <s v="OMXSDRORR"/>
    <s v="DJ"/>
    <s v="SENTONG DAVID"/>
    <s v="UBP 298H"/>
    <s v="Kabaco U Ltd Tax No.: 1000025425"/>
    <n v="156"/>
    <s v="OMXSDRORR"/>
    <s v="OM"/>
    <n v="304"/>
    <n v="302"/>
    <n v="-2"/>
    <m/>
    <d v="2025-05-19T21:37:00"/>
    <d v="2025-05-20T02:22:00"/>
    <d v="2025-05-19T22:00:00"/>
    <n v="-260.78703704236733"/>
    <n v="22.893518520140788"/>
    <m/>
    <d v="2025-05-20T17:39:00"/>
    <d v="2025-05-21T13:19:00"/>
    <n v="1155.4166666575475"/>
    <s v="truck faulty"/>
    <d v="2025-05-21T20:03:00"/>
    <d v="2025-05-21T21:00:00"/>
    <n v="55.81249999726424"/>
    <s v="dj failures at the gate"/>
    <n v="1.9187500000043656"/>
    <n v="2"/>
    <n v="8.1249999995634425E-2"/>
    <n v="46.050000000104774"/>
    <n v="12"/>
    <n v="34.050000000104774"/>
    <n v="4.5814977973427311"/>
    <m/>
    <m/>
    <m/>
    <m/>
    <m/>
  </r>
  <r>
    <d v="2025-05-20T00:00:00"/>
    <x v="4"/>
    <s v="KESH"/>
    <s v="OM3KRYURR"/>
    <s v="DJ"/>
    <s v="KAJUBI ISMA"/>
    <s v="UBR 538W"/>
    <s v="Kato Investment Ltd -Mityana Tax No.: 1000098824"/>
    <n v="156"/>
    <s v="OM3KRYURR"/>
    <s v="OM"/>
    <n v="690"/>
    <n v="688"/>
    <n v="-2"/>
    <m/>
    <d v="2025-05-19T14:21:00"/>
    <d v="2025-05-19T19:35:00"/>
    <d v="2025-05-19T14:59:00"/>
    <n v="-274.72222222083172"/>
    <n v="37.82407407222005"/>
    <s v="DJ failures "/>
    <d v="2025-05-20T21:07:00"/>
    <d v="2025-05-21T09:38:00"/>
    <n v="735.35416666301899"/>
    <s v="truck faulty"/>
    <d v="2025-05-21T20:18:00"/>
    <d v="2025-05-21T21:15:00"/>
    <n v="55.81249999726424"/>
    <s v="sorting delays"/>
    <n v="2.2215277777795563"/>
    <n v="3"/>
    <n v="0.77847222222044365"/>
    <n v="53.316666666709352"/>
    <n v="24"/>
    <n v="29.316666666709352"/>
    <n v="5.3212052302367097"/>
    <m/>
    <m/>
    <m/>
    <m/>
    <m/>
  </r>
  <r>
    <d v="2025-05-20T00:00:00"/>
    <x v="4"/>
    <s v="NBL"/>
    <s v="OMWEW2ZRR"/>
    <m/>
    <s v="Bisaso  Ronald"/>
    <s v="UBK 875R"/>
    <s v="KATO INVESTMENTS LIMITED-MASAK Tax No.: 1000098824"/>
    <n v="153.6"/>
    <s v="OMWEW2ZRR"/>
    <s v="OM"/>
    <n v="596"/>
    <n v="594"/>
    <n v="-2"/>
    <m/>
    <d v="2025-05-19T19:51:00"/>
    <d v="2025-05-20T04:14:00"/>
    <d v="2025-05-19T20:14:00"/>
    <m/>
    <n v="22.893518520140788"/>
    <m/>
    <d v="2025-05-20T08:46:00"/>
    <d v="2025-05-20T19:42:00"/>
    <n v="642.33333333424525"/>
    <s v="space consquents"/>
    <d v="2025-05-21T09:33:00"/>
    <d v="2025-05-21T10:24:00"/>
    <n v="49.93749999863212"/>
    <s v="beer topup delays"/>
    <n v="1.554861111115315"/>
    <n v="2"/>
    <n v="0.445138888884685"/>
    <n v="37.31666666676756"/>
    <n v="12"/>
    <n v="25.31666666676756"/>
    <n v="6.0671494403971504"/>
    <m/>
    <m/>
    <m/>
    <m/>
    <m/>
  </r>
  <r>
    <d v="2025-05-20T00:00:00"/>
    <x v="4"/>
    <s v="KESH"/>
    <s v="OMDJQQCRR"/>
    <s v="DJ"/>
    <s v="ZIWA ABASI"/>
    <s v="UBJ 420C"/>
    <s v="Sawan Distributors Ltd-Kayabwe Tax No.: 1000186379"/>
    <n v="156"/>
    <s v="OMDJQQCRR"/>
    <s v="OM"/>
    <n v="382"/>
    <n v="380"/>
    <n v="-2"/>
    <m/>
    <d v="2025-05-19T19:51:00"/>
    <d v="2025-05-20T04:19:00"/>
    <d v="2025-05-19T20:18:00"/>
    <n v="-478.77314814444009"/>
    <n v="26.87500000417155"/>
    <m/>
    <d v="2025-05-20T08:37:00"/>
    <d v="2025-05-20T12:20:00"/>
    <n v="218.35416667054233"/>
    <s v="Waited for empties from trade"/>
    <d v="2025-05-20T19:49:00"/>
    <d v="2025-05-20T20:27:00"/>
    <n v="37.208333331509493"/>
    <m/>
    <n v="0.97986111111094942"/>
    <n v="2"/>
    <n v="1.0201388888890506"/>
    <n v="23.516666666662786"/>
    <n v="0"/>
    <n v="23.516666666662786"/>
    <n v="6.6335931963157648"/>
    <m/>
    <m/>
    <m/>
    <m/>
    <m/>
  </r>
  <r>
    <d v="2025-05-20T00:00:00"/>
    <x v="4"/>
    <s v="KESH"/>
    <s v="OMI7KX4RR"/>
    <s v="DJ"/>
    <s v="ABDUL NASSER NTENDE"/>
    <s v="UBR 900Y"/>
    <s v="Kato Investment Ltd -Mityana Tax No.: 1000098824"/>
    <n v="156"/>
    <s v="OMI7KX4RR"/>
    <s v="OM"/>
    <n v="690"/>
    <n v="688"/>
    <n v="-2"/>
    <m/>
    <d v="2025-05-20T10:17:00"/>
    <d v="2025-05-20T19:35:00"/>
    <d v="2025-05-20T11:07:00"/>
    <n v="-505.64814814861165"/>
    <n v="49.768518513883464"/>
    <s v="Water top up"/>
    <d v="2025-05-22T13:50:00"/>
    <d v="2025-05-22T16:01:00"/>
    <n v="128.27083333082555"/>
    <m/>
    <d v="2025-05-23T20:09:00"/>
    <d v="2025-05-23T20:52:00"/>
    <n v="42.104166670542327"/>
    <m/>
    <n v="3.3763888888934162"/>
    <n v="3"/>
    <n v="-0.37638888889341615"/>
    <n v="81.033333333441988"/>
    <n v="36"/>
    <n v="45.033333333441988"/>
    <n v="3.464100666164847"/>
    <m/>
    <m/>
    <m/>
    <m/>
    <m/>
  </r>
  <r>
    <d v="2025-05-20T00:00:00"/>
    <x v="4"/>
    <s v="NBL"/>
    <s v="OMK4XSVRR"/>
    <m/>
    <s v="James  Kironde"/>
    <s v="UBK 881R"/>
    <s v="Rugoma Traders-Kanungu/Kihihi Tax No.: 1000249350"/>
    <n v="153.6"/>
    <s v="OMK4XSVRR"/>
    <s v="OM"/>
    <n v="272"/>
    <n v="270"/>
    <n v="-2"/>
    <m/>
    <d v="2025-05-20T16:57:00"/>
    <d v="2025-05-21T01:59:00"/>
    <d v="2025-05-20T17:20:00"/>
    <m/>
    <n v="22.893518520140788"/>
    <m/>
    <d v="2025-05-21T14:31:00"/>
    <d v="2025-05-21T18:34:00"/>
    <n v="237.93749999589636"/>
    <s v="truck faulty"/>
    <d v="2025-05-22T12:05:00"/>
    <d v="2025-05-22T12:54:00"/>
    <n v="47.979166669174447"/>
    <s v="found another truck waiting to offload"/>
    <n v="1.78125"/>
    <n v="2"/>
    <n v="0.21875"/>
    <n v="42.75"/>
    <n v="12"/>
    <n v="30.75"/>
    <n v="4.9951219512195122"/>
    <m/>
    <m/>
    <m/>
    <m/>
    <m/>
  </r>
  <r>
    <d v="2025-05-20T00:00:00"/>
    <x v="4"/>
    <s v="KESH"/>
    <s v="OM15IBERR"/>
    <s v="DJ"/>
    <s v="FARUK   ABEL"/>
    <s v="UBR 539W"/>
    <s v="Kato Investments Ltd- Kyegegwa Tax No.: 1000098824"/>
    <n v="156"/>
    <s v="OM15IBERR"/>
    <s v="OM"/>
    <n v="600"/>
    <n v="598"/>
    <n v="-2"/>
    <m/>
    <d v="2025-05-20T10:01:00"/>
    <d v="2025-05-20T20:24:00"/>
    <d v="2025-05-20T10:28:00"/>
    <n v="-593.24074073471513"/>
    <n v="26.87500000417155"/>
    <m/>
    <d v="2025-05-21T10:20:00"/>
    <d v="2025-05-21T12:15:00"/>
    <n v="112.60416666438687"/>
    <m/>
    <d v="2025-05-22T19:27:00"/>
    <d v="2025-05-22T20:16:00"/>
    <n v="47.979166669174447"/>
    <s v="found another truck waiting to offload"/>
    <n v="2.3743055555532919"/>
    <n v="2"/>
    <n v="-0.37430555555329192"/>
    <n v="56.983333333279006"/>
    <n v="24"/>
    <n v="32.983333333279006"/>
    <n v="4.7296614451821206"/>
    <m/>
    <m/>
    <m/>
    <m/>
    <m/>
  </r>
  <r>
    <d v="2025-05-20T00:00:00"/>
    <x v="4"/>
    <s v="KESH"/>
    <s v="OM6AZNNRR"/>
    <s v="DJ"/>
    <s v="MUKOSE MUZAMIRU"/>
    <s v="UBJ 417C"/>
    <s v="Sawan Distributors Ltd-Kayabwe Tax No.: 1000186379"/>
    <n v="156"/>
    <s v="OM6AZNNRR"/>
    <s v="OM"/>
    <n v="382"/>
    <n v="380"/>
    <n v="-2"/>
    <m/>
    <d v="2025-05-19T21:51:00"/>
    <d v="2025-05-20T10:00:00"/>
    <d v="2025-05-19T22:19:00"/>
    <n v="-697.75462963055668"/>
    <n v="27.870370367357584"/>
    <m/>
    <d v="2025-05-20T16:40:00"/>
    <d v="2025-05-21T11:00:00"/>
    <n v="1077.0833333356131"/>
    <s v="Waited for empties from trade"/>
    <d v="2025-05-21T17:27:00"/>
    <d v="2025-05-21T18:10:00"/>
    <n v="42.104166670542327"/>
    <m/>
    <n v="1.797222222223354"/>
    <n v="2"/>
    <n v="0.20277777777664596"/>
    <n v="43.133333333360497"/>
    <n v="12"/>
    <n v="31.133333333360497"/>
    <n v="5.0107066381112597"/>
    <m/>
    <m/>
    <m/>
    <m/>
    <m/>
  </r>
  <r>
    <d v="2025-05-21T00:00:00"/>
    <x v="4"/>
    <s v="KESH"/>
    <s v="OM23Q4JRR"/>
    <s v="DJ"/>
    <s v="IKWALIKWA YUSUF"/>
    <s v="UBP 311H"/>
    <s v="Kabaco U Ltd Tax No.: 1000025425"/>
    <n v="156"/>
    <s v="OM23Q4JRR"/>
    <s v="OM"/>
    <n v="304"/>
    <n v="302"/>
    <n v="-2"/>
    <m/>
    <d v="2025-05-21T16:54:00"/>
    <d v="2025-05-21T02:22:00"/>
    <d v="2025-05-21T17:17:00"/>
    <n v="890.8564814756877"/>
    <n v="22.893518520140788"/>
    <m/>
    <d v="2025-05-22T14:26:00"/>
    <d v="2025-05-22T16:55:00"/>
    <n v="145.89583332672191"/>
    <m/>
    <d v="2025-05-23T07:54:00"/>
    <d v="2025-05-23T08:37:00"/>
    <n v="42.104166670542327"/>
    <m/>
    <n v="1.6090277777839219"/>
    <n v="2"/>
    <n v="0.39097222221607808"/>
    <n v="38.616666666814126"/>
    <n v="12"/>
    <n v="26.616666666814126"/>
    <n v="5.8609893550082308"/>
    <m/>
    <m/>
    <m/>
    <m/>
    <m/>
  </r>
  <r>
    <d v="2025-05-21T00:00:00"/>
    <x v="4"/>
    <s v="NBL"/>
    <s v="OMGSDE8RR"/>
    <m/>
    <s v="Tumusiime Robert"/>
    <s v="UBJ 988D"/>
    <s v="KATO INVESTMENTS LTD- KALISIZO Tax No.: 1000098824"/>
    <n v="153.6"/>
    <s v="OMGSDE8RR"/>
    <s v="OM"/>
    <n v="288"/>
    <n v="286"/>
    <n v="-2"/>
    <m/>
    <d v="2025-05-21T11:25:00"/>
    <d v="2025-05-21T03:43:00"/>
    <d v="2025-05-21T11:48:00"/>
    <m/>
    <n v="22.893518520140788"/>
    <m/>
    <d v="2025-05-21T18:33:00"/>
    <d v="2025-05-22T12:52:00"/>
    <n v="1076.1041666657547"/>
    <s v="Waited for empties from trade"/>
    <d v="2025-05-23T10:24:00"/>
    <d v="2025-05-23T11:02:00"/>
    <n v="37.208333331509493"/>
    <m/>
    <n v="1.9416666666656965"/>
    <n v="2"/>
    <n v="5.8333333334303461E-2"/>
    <n v="46.599999999976717"/>
    <n v="12"/>
    <n v="34.599999999976717"/>
    <n v="4.4393063583844903"/>
    <m/>
    <m/>
    <m/>
    <m/>
    <m/>
  </r>
  <r>
    <d v="2025-05-21T00:00:00"/>
    <x v="4"/>
    <s v="NBL"/>
    <s v="OMUV4JORR"/>
    <m/>
    <s v="GODWIN  NIWENSIIMA"/>
    <s v="UAR 731Q"/>
    <s v="Kabaco U Ltd-Mbarara Tax No.: 1000025425"/>
    <n v="153.6"/>
    <s v="OMUV4JORR"/>
    <s v="OM"/>
    <n v="20"/>
    <n v="18"/>
    <n v="-2"/>
    <m/>
    <d v="2025-05-21T14:20:00"/>
    <d v="2025-05-21T07:42:00"/>
    <d v="2025-05-21T14:43:00"/>
    <m/>
    <n v="22.893518520140788"/>
    <m/>
    <d v="2025-05-21T15:47:00"/>
    <d v="2025-05-21T18:55:00"/>
    <n v="184.08333333834889"/>
    <s v="space consquents"/>
    <d v="2025-05-22T09:26:00"/>
    <d v="2025-05-22T10:08:00"/>
    <n v="41.12500000068394"/>
    <m/>
    <n v="0.77986111111385981"/>
    <n v="1"/>
    <n v="0.22013888888614019"/>
    <n v="18.716666666732635"/>
    <n v="0"/>
    <n v="18.716666666732635"/>
    <n v="8.2065894924020633"/>
    <m/>
    <m/>
    <m/>
    <m/>
    <m/>
  </r>
  <r>
    <d v="2025-05-21T00:00:00"/>
    <x v="4"/>
    <s v="NBL"/>
    <s v="OMHJ4H9RR"/>
    <m/>
    <s v="Konge Husein"/>
    <s v="UBJ 707D"/>
    <s v="Rugoma Traders-Kanungu/Kihihi Tax No.: 1000249350"/>
    <n v="153.6"/>
    <s v="OMHJ4H9RR"/>
    <s v="OM"/>
    <n v="272"/>
    <n v="270"/>
    <n v="-2"/>
    <m/>
    <d v="2025-05-21T06:07:00"/>
    <d v="2025-05-21T01:59:00"/>
    <d v="2025-05-21T06:34:00"/>
    <m/>
    <n v="26.87500000417155"/>
    <m/>
    <d v="2025-05-21T15:26:00"/>
    <d v="2025-05-22T13:37:00"/>
    <n v="1303.2708333342453"/>
    <s v="Waited for empties from trade"/>
    <d v="2025-05-23T09:05:00"/>
    <d v="2025-05-23T09:48:00"/>
    <n v="42.104166670542327"/>
    <m/>
    <n v="2.1048611111109494"/>
    <n v="2"/>
    <n v="-0.10486111111094942"/>
    <n v="50.516666666662786"/>
    <n v="24"/>
    <n v="26.516666666662786"/>
    <n v="5.7925832809562214"/>
    <m/>
    <m/>
    <m/>
    <m/>
    <m/>
  </r>
  <r>
    <d v="2025-05-21T00:00:00"/>
    <x v="4"/>
    <s v="KESH"/>
    <s v="OMP7Y5ARR"/>
    <s v="DJ"/>
    <s v="ALIPA EREKU"/>
    <s v="UBK 858R"/>
    <s v="Kato Investments Ltd- Kakumiro Tax No.: 1000098824"/>
    <n v="156"/>
    <s v="OMP7Y5ARR"/>
    <s v="OM"/>
    <n v="790"/>
    <n v="788"/>
    <n v="-2"/>
    <m/>
    <d v="2025-05-20T21:30:00"/>
    <d v="2025-05-20T18:06:00"/>
    <d v="2025-05-20T21:57:00"/>
    <n v="229.93055555416504"/>
    <n v="26.87500000417155"/>
    <m/>
    <d v="2025-05-22T07:15:00"/>
    <d v="2025-05-22T13:14:00"/>
    <n v="351.52083333014161"/>
    <s v="Waited for empties from trade"/>
    <d v="2025-05-23T13:12:00"/>
    <d v="2025-05-23T13:55:00"/>
    <n v="42.104166670542327"/>
    <m/>
    <n v="2.6354166666715173"/>
    <n v="3"/>
    <n v="0.36458333332848269"/>
    <n v="63.250000000116415"/>
    <n v="24"/>
    <n v="39.250000000116415"/>
    <n v="3.9745222929818422"/>
    <m/>
    <m/>
    <m/>
    <m/>
    <m/>
  </r>
  <r>
    <d v="2025-05-21T00:00:00"/>
    <x v="4"/>
    <s v="NBL"/>
    <s v="OM9CCAVRR"/>
    <m/>
    <s v="Kabene John"/>
    <s v="UBA 523T"/>
    <s v="Kabaco U Ltd-Mbarara Tax No.: 1000025425"/>
    <n v="153.6"/>
    <s v="OM9CCAVRR"/>
    <s v="OM"/>
    <n v="20"/>
    <n v="18"/>
    <n v="-2"/>
    <m/>
    <d v="2025-05-21T10:09:00"/>
    <d v="2025-05-21T07:42:00"/>
    <d v="2025-05-21T10:37:00"/>
    <m/>
    <n v="27.870370367357584"/>
    <m/>
    <d v="2025-05-21T15:20:00"/>
    <d v="2025-05-21T18:11:00"/>
    <n v="167.43750000205182"/>
    <m/>
    <d v="2025-05-25T08:56:00"/>
    <d v="2025-05-25T09:35:00"/>
    <n v="38.18750000136788"/>
    <m/>
    <n v="3.929861111108039"/>
    <n v="1"/>
    <n v="-2.929861111108039"/>
    <n v="94.316666666592937"/>
    <n v="36"/>
    <n v="58.316666666592937"/>
    <n v="2.6338953986886686"/>
    <m/>
    <m/>
    <m/>
    <m/>
    <m/>
  </r>
  <r>
    <d v="2025-05-21T00:00:00"/>
    <x v="4"/>
    <s v="KESH"/>
    <s v="OMV3VN5RR"/>
    <s v="DJ"/>
    <s v="OLOWO JOHNWHITE"/>
    <s v="UBK 862R"/>
    <s v="Kato Investment Ltd -Mityana Tax No.: 1000098824"/>
    <n v="156"/>
    <s v="OMV3VN5RR"/>
    <s v="OM"/>
    <n v="690"/>
    <n v="688"/>
    <n v="-2"/>
    <m/>
    <d v="2025-05-20T20:34:00"/>
    <d v="2025-05-20T19:35:00"/>
    <d v="2025-05-20T21:12:00"/>
    <n v="96.550925927779943"/>
    <n v="37.82407407222005"/>
    <s v="pressure balancing"/>
    <d v="2025-05-21T17:56:00"/>
    <d v="2025-05-22T18:56:00"/>
    <n v="1468.7500000068394"/>
    <s v="space consquents"/>
    <d v="2025-05-23T18:42:00"/>
    <d v="2025-05-23T19:25:00"/>
    <n v="42.104166670542327"/>
    <m/>
    <n v="2.8958333333357587"/>
    <n v="3"/>
    <n v="0.10416666666424135"/>
    <n v="69.500000000058208"/>
    <n v="24"/>
    <n v="45.500000000058208"/>
    <n v="3.4285714285670426"/>
    <m/>
    <m/>
    <m/>
    <m/>
    <m/>
  </r>
  <r>
    <d v="2025-05-21T00:00:00"/>
    <x v="4"/>
    <s v="KESH"/>
    <s v="OM4SUEIRR"/>
    <s v="DJ"/>
    <s v="SENTONGO PAUL"/>
    <s v="UBR 855Y"/>
    <s v="Sawan Distributors Ltd-Nabingo Tax No.: 1000186379"/>
    <n v="156"/>
    <s v="OM4SUEIRR"/>
    <s v="OM"/>
    <n v="560"/>
    <n v="558"/>
    <n v="-2"/>
    <m/>
    <d v="2025-05-20T21:52:00"/>
    <d v="2025-05-21T02:30:00"/>
    <d v="2025-05-20T22:19:00"/>
    <n v="-249.83796296388996"/>
    <n v="26.87500000417155"/>
    <m/>
    <d v="2025-05-21T12:15:00"/>
    <d v="2025-05-21T15:44:00"/>
    <n v="204.64583333356131"/>
    <s v="Waited for empties from trade"/>
    <d v="2025-05-22T09:33:00"/>
    <d v="2025-05-22T10:16:00"/>
    <n v="42.104166670542327"/>
    <m/>
    <n v="1.4680555555605679"/>
    <n v="2"/>
    <n v="0.53194444443943212"/>
    <n v="35.233333333453629"/>
    <n v="12"/>
    <n v="23.233333333453629"/>
    <n v="6.7144906742837422"/>
    <m/>
    <m/>
    <m/>
    <m/>
    <m/>
  </r>
  <r>
    <d v="2025-05-21T00:00:00"/>
    <x v="4"/>
    <s v="KESH"/>
    <s v="OM8DLV3RR"/>
    <s v="DJ"/>
    <s v="ALLEX TAIMWA"/>
    <s v="UBJ 705D"/>
    <s v="Rugoma Traders-Rukungiri Tax No.: 1000249350"/>
    <n v="156"/>
    <s v="OM8DLV3RR"/>
    <s v="OM"/>
    <n v="256"/>
    <n v="254"/>
    <n v="-2"/>
    <m/>
    <d v="2025-05-20T21:56:00"/>
    <d v="2025-05-21T04:04:00"/>
    <d v="2025-05-20T22:19:00"/>
    <n v="-343.40277778125409"/>
    <n v="22.893518520140788"/>
    <m/>
    <d v="2025-05-21T08:16:00"/>
    <d v="2025-05-21T12:31:00"/>
    <n v="249.6874999931606"/>
    <s v="found another truck to be offloaded"/>
    <d v="2025-05-21T17:03:00"/>
    <d v="2025-05-21T17:45:00"/>
    <n v="41.12500000068394"/>
    <m/>
    <n v="0.78055555556056788"/>
    <n v="2"/>
    <n v="1.2194444444394321"/>
    <n v="18.733333333453629"/>
    <n v="0"/>
    <n v="18.733333333453629"/>
    <n v="8.3274021351778416"/>
    <m/>
    <m/>
    <m/>
    <m/>
    <m/>
  </r>
  <r>
    <d v="2025-05-21T00:00:00"/>
    <x v="4"/>
    <s v="KESH"/>
    <s v="OMT3NL3RR"/>
    <s v="DJ"/>
    <s v="Hassan Byashara"/>
    <s v="UBP 312H"/>
    <s v="Rugoma Traders-Rukungiri Tax No.: 1000249350"/>
    <n v="156"/>
    <s v="OMT3NL3RR"/>
    <s v="OM"/>
    <n v="256"/>
    <n v="254"/>
    <n v="-2"/>
    <m/>
    <d v="2025-05-20T21:01:00"/>
    <d v="2025-05-21T04:04:00"/>
    <d v="2025-05-20T21:55:00"/>
    <n v="-367.29166666458087"/>
    <n v="53.749999997914223"/>
    <s v="Jam at the weigh bridge"/>
    <d v="2025-05-21T12:54:00"/>
    <d v="2025-05-21T17:13:00"/>
    <n v="253.60416667259415"/>
    <s v="Waited for empties from trade"/>
    <m/>
    <d v="1899-12-30T00:39:00"/>
    <n v="38.1875"/>
    <m/>
    <n v="-45797.913194444445"/>
    <n v="2"/>
    <n v="45799.913194444445"/>
    <n v="-1099149.9166666667"/>
    <n v="-549576"/>
    <n v="-549573.91666666674"/>
    <n v="-2.8385626622563808E-4"/>
    <m/>
    <m/>
    <m/>
    <m/>
    <m/>
  </r>
  <r>
    <d v="2025-05-21T00:00:00"/>
    <x v="4"/>
    <s v="KESH"/>
    <s v="OM3H8AGRR"/>
    <s v="DJ"/>
    <s v="KYAPA AKIMU"/>
    <s v="UBR 899Y"/>
    <s v="Kabaco U Ltd Tax No.: 1000025425"/>
    <n v="156"/>
    <s v="OM3H8AGRR"/>
    <s v="OM"/>
    <n v="304"/>
    <n v="302"/>
    <n v="-2"/>
    <m/>
    <d v="2025-05-20T18:15:00"/>
    <d v="2025-05-21T02:22:00"/>
    <d v="2025-05-20T18:42:00"/>
    <n v="-457.87037037152913"/>
    <n v="26.87500000417155"/>
    <m/>
    <d v="2025-05-21T17:13:00"/>
    <d v="2025-05-21T19:45:00"/>
    <n v="148.83333332603797"/>
    <m/>
    <d v="2025-05-21T20:30:00"/>
    <d v="2025-05-21T21:08:00"/>
    <n v="37.208333331509493"/>
    <m/>
    <n v="1.0749999999970896"/>
    <n v="2"/>
    <n v="0.92500000000291038"/>
    <n v="25.799999999930151"/>
    <n v="12"/>
    <n v="13.799999999930151"/>
    <n v="11.304347826144173"/>
    <m/>
    <m/>
    <m/>
    <m/>
    <m/>
  </r>
  <r>
    <d v="2025-05-21T00:00:00"/>
    <x v="4"/>
    <s v="KESH"/>
    <s v="OMC1H0CRR"/>
    <s v="DJ"/>
    <s v="FRED LURE "/>
    <s v="UBP 310H"/>
    <s v="Kobusinge Acaali- Kyenjojo Tax No.: 1000977837"/>
    <n v="156"/>
    <s v="OMC1H0CRR"/>
    <s v="OM"/>
    <n v="580"/>
    <n v="579"/>
    <n v="-1"/>
    <m/>
    <d v="2025-05-20T17:56:00"/>
    <d v="2025-05-21T03:17:00"/>
    <d v="2025-05-20T18:46:00"/>
    <n v="-508.63425925902749"/>
    <n v="49.768518513883464"/>
    <s v="pressure balancing"/>
    <d v="2025-05-21T14:51:00"/>
    <d v="2025-05-21T17:02:00"/>
    <n v="128.27083333082555"/>
    <m/>
    <d v="2025-05-22T11:48:00"/>
    <d v="2025-05-22T12:31:00"/>
    <n v="42.104166670542327"/>
    <m/>
    <n v="1.7097222222218988"/>
    <n v="2"/>
    <n v="0.29027777777810115"/>
    <n v="41.033333333325572"/>
    <n v="12"/>
    <n v="29.033333333325572"/>
    <n v="5.3731343283596456"/>
    <m/>
    <m/>
    <m/>
    <m/>
    <m/>
  </r>
  <r>
    <d v="2025-05-21T00:00:00"/>
    <x v="4"/>
    <s v="NBL"/>
    <s v="OM0GI82RR"/>
    <m/>
    <s v="Abel Mark naffa"/>
    <s v="UBJ 415C"/>
    <s v="KATO INVESTMENTS LIMITED-MASAK Tax No.: 1000098824"/>
    <n v="153.6"/>
    <s v="OM0GI82RR"/>
    <s v="OM"/>
    <n v="596"/>
    <n v="593"/>
    <n v="-3"/>
    <m/>
    <d v="2025-05-20T19:17:00"/>
    <d v="2025-05-21T04:14:00"/>
    <d v="2025-05-20T19:40:00"/>
    <m/>
    <n v="22.893518520140788"/>
    <m/>
    <d v="2025-05-22T10:07:00"/>
    <d v="2025-05-22T11:55:00"/>
    <n v="105.75000000615546"/>
    <m/>
    <d v="2025-05-23T13:15:00"/>
    <d v="2025-05-23T13:58:00"/>
    <n v="42.104166670542327"/>
    <m/>
    <n v="2.7326388888905058"/>
    <n v="2"/>
    <n v="-0.73263888889050577"/>
    <n v="65.583333333372138"/>
    <n v="24"/>
    <n v="41.583333333372138"/>
    <n v="3.6937875751468536"/>
    <m/>
    <m/>
    <m/>
    <m/>
    <m/>
  </r>
  <r>
    <d v="2025-05-21T00:00:00"/>
    <x v="4"/>
    <s v="NBL"/>
    <s v="OMQQ8XXRR"/>
    <m/>
    <s v="Mugisha  George"/>
    <s v="UAV 203T"/>
    <s v="KATO INVESTMENTS LIMITED-MASAK Tax No.: 1000098824"/>
    <n v="153.6"/>
    <s v="OMQQ8XXRR"/>
    <s v="OM"/>
    <n v="596"/>
    <n v="595"/>
    <n v="-1"/>
    <m/>
    <d v="2025-05-20T19:11:00"/>
    <d v="2025-05-21T04:14:00"/>
    <d v="2025-05-20T19:40:00"/>
    <m/>
    <n v="28.865740740972495"/>
    <m/>
    <d v="2025-05-21T08:42:00"/>
    <d v="2025-05-21T15:33:00"/>
    <n v="402.43749999863212"/>
    <s v="Reached late and offloaded the next day"/>
    <d v="2025-05-22T16:06:00"/>
    <d v="2025-05-22T16:45:00"/>
    <n v="38.18750000136788"/>
    <m/>
    <n v="1.851388888884685"/>
    <n v="2"/>
    <n v="0.148611111115315"/>
    <n v="44.43333333323244"/>
    <n v="12"/>
    <n v="32.43333333323244"/>
    <n v="4.7358684481133961"/>
    <m/>
    <m/>
    <m/>
    <m/>
    <m/>
  </r>
  <r>
    <d v="2025-05-21T00:00:00"/>
    <x v="4"/>
    <s v="NBL"/>
    <s v="OMXQVI0RR"/>
    <m/>
    <s v="Isaac Tumuhimbise"/>
    <s v="UBE 287X"/>
    <s v="KATO INVESTMENTS LIMITED-MASAK Tax No.: 1000098824"/>
    <n v="153.6"/>
    <s v="OMXQVI0RR"/>
    <s v="OM"/>
    <n v="596"/>
    <n v="594"/>
    <n v="-2"/>
    <m/>
    <d v="2025-05-20T15:15:00"/>
    <d v="2025-05-21T04:14:00"/>
    <d v="2025-05-20T16:09:00"/>
    <m/>
    <n v="53.749999997914223"/>
    <s v="Water top up"/>
    <d v="2025-05-21T12:51:00"/>
    <d v="2025-05-21T18:12:00"/>
    <n v="314.31249999863212"/>
    <s v="Waited for empties from trade"/>
    <d v="2025-05-22T14:33:00"/>
    <d v="2025-05-22T15:16:00"/>
    <n v="42.104166670542327"/>
    <m/>
    <n v="1.9333333333270275"/>
    <n v="2"/>
    <n v="6.6666666672972497E-2"/>
    <n v="46.39999999984866"/>
    <n v="12"/>
    <n v="34.39999999984866"/>
    <n v="4.4651162790894112"/>
    <m/>
    <m/>
    <m/>
    <m/>
    <m/>
  </r>
  <r>
    <d v="2025-05-22T00:00:00"/>
    <x v="4"/>
    <s v="NBL"/>
    <s v="OMS6DUJRR"/>
    <s v="Mugisha  George"/>
    <s v="Benon Ssempijja"/>
    <s v="UAY 526V"/>
    <s v="Kabaco U Ltd-Mbarara Tax No.: 1000025425"/>
    <n v="153.6"/>
    <s v="OMS6DUJRR"/>
    <s v="OM"/>
    <n v="20"/>
    <n v="18"/>
    <n v="-2"/>
    <m/>
    <d v="2025-05-22T17:02:00"/>
    <d v="2025-05-21T15:00:00"/>
    <d v="2025-05-22T17:31:00"/>
    <m/>
    <n v="28.865740740972495"/>
    <m/>
    <d v="2025-05-22T18:10:00"/>
    <d v="2025-05-23T10:47:00"/>
    <n v="976.22916666849051"/>
    <s v="Waited for empties from trade"/>
    <d v="2025-05-23T12:00:00"/>
    <d v="2025-05-23T12:49:00"/>
    <n v="47.979166669174447"/>
    <s v="found another truck waiting to offload"/>
    <n v="0.77013888888905058"/>
    <n v="1"/>
    <n v="0.22986111111094942"/>
    <n v="18.483333333337214"/>
    <n v="0"/>
    <n v="18.483333333337214"/>
    <n v="8.3101893597818446"/>
    <m/>
    <m/>
    <m/>
    <m/>
    <m/>
  </r>
  <r>
    <d v="2025-05-22T00:00:00"/>
    <x v="4"/>
    <s v="NBL"/>
    <s v="OMUN8D9RR"/>
    <s v="GODWIN  NIWENSIIMA"/>
    <s v="Bisaso  Ronald"/>
    <s v="UBK 875R"/>
    <s v="KATO INVESTMENTS LIMITED-MASAK Tax No.: 1000098824"/>
    <n v="153.6"/>
    <s v="OMUN8D9RR"/>
    <s v="OM"/>
    <n v="596"/>
    <n v="594"/>
    <n v="-2"/>
    <m/>
    <d v="2025-05-22T19:05:00"/>
    <d v="2025-05-22T11:00:00"/>
    <d v="2025-05-22T19:32:00"/>
    <m/>
    <n v="26.87500000417155"/>
    <m/>
    <d v="2025-05-23T10:38:00"/>
    <d v="2025-05-23T13:51:00"/>
    <n v="188.97916665686353"/>
    <s v="truck faulty"/>
    <d v="2025-05-23T18:10:00"/>
    <d v="2025-05-23T18:52:00"/>
    <n v="41.12500000068394"/>
    <m/>
    <n v="0.94305555555911269"/>
    <n v="2"/>
    <n v="1.0569444444408873"/>
    <n v="22.633333333418705"/>
    <n v="0"/>
    <n v="22.633333333418705"/>
    <n v="6.7864506627137242"/>
    <m/>
    <m/>
    <m/>
    <m/>
    <m/>
  </r>
  <r>
    <d v="2025-05-22T00:00:00"/>
    <x v="4"/>
    <s v="NBL"/>
    <s v="OM7ISAFRR"/>
    <s v="Konge Husein"/>
    <s v="Kilabila Ismail"/>
    <s v="UBE 419T"/>
    <s v="Rugoma Traders-Kanungu/Kihihi Tax No.: 1000249350"/>
    <n v="153.6"/>
    <s v="OM7ISAFRR"/>
    <s v="OM"/>
    <n v="272"/>
    <n v="271"/>
    <n v="-1"/>
    <m/>
    <d v="2025-05-22T09:39:00"/>
    <d v="2025-05-22T01:59:00"/>
    <d v="2025-05-22T10:07:00"/>
    <m/>
    <n v="27.870370367357584"/>
    <m/>
    <d v="2025-05-22T17:58:00"/>
    <d v="2025-05-23T14:31:00"/>
    <n v="1207.3124999958964"/>
    <s v="Reached late and offloaded the next day"/>
    <d v="2025-05-24T09:29:00"/>
    <d v="2025-05-24T10:12:00"/>
    <n v="42.104166670542327"/>
    <m/>
    <n v="1.9736111111124046"/>
    <n v="2"/>
    <n v="2.6388888887595385E-2"/>
    <n v="47.366666666697711"/>
    <n v="12"/>
    <n v="35.366666666697711"/>
    <n v="4.3430725730404856"/>
    <m/>
    <m/>
    <m/>
    <m/>
    <m/>
  </r>
  <r>
    <d v="2025-05-22T00:00:00"/>
    <x v="4"/>
    <s v="NBL"/>
    <s v="OMUD62CRR"/>
    <s v="Abel Mark naffa"/>
    <s v="ANGELO KYOSIGA "/>
    <s v="UAV 051U"/>
    <s v="Kabaco U Ltd Tax No.: 1000025425"/>
    <n v="153.6"/>
    <s v="OMUD62CRR"/>
    <s v="OM"/>
    <n v="304"/>
    <n v="302"/>
    <n v="-2"/>
    <m/>
    <d v="2025-05-23T06:54:00"/>
    <d v="2025-05-23T02:22:00"/>
    <d v="2025-05-23T07:23:00"/>
    <m/>
    <n v="28.865740740972495"/>
    <m/>
    <d v="2025-05-23T15:03:00"/>
    <d v="2025-05-24T13:52:00"/>
    <n v="1340.4791666657547"/>
    <s v="found another truck to be offloaded"/>
    <d v="2025-05-24T19:04:00"/>
    <d v="2025-05-24T19:43:00"/>
    <n v="38.18750000136788"/>
    <m/>
    <n v="1.4868055555562023"/>
    <n v="2"/>
    <n v="0.51319444444379769"/>
    <n v="35.683333333348855"/>
    <n v="12"/>
    <n v="23.683333333348855"/>
    <n v="6.4855735397564809"/>
    <m/>
    <m/>
    <m/>
    <m/>
    <m/>
  </r>
  <r>
    <d v="2025-05-22T00:00:00"/>
    <x v="4"/>
    <s v="KESH"/>
    <s v="OM1HP7ZRR"/>
    <s v="DJ"/>
    <s v="SENTONGO GODFREY"/>
    <s v="UBR 864Y"/>
    <s v="Bates Enterprises Ltd-Ntoroko Tax No.: 1001193253"/>
    <n v="156"/>
    <s v="OM1HP7ZRR"/>
    <s v="OM"/>
    <n v="510"/>
    <n v="507"/>
    <n v="-3"/>
    <m/>
    <d v="2025-05-22T10:20:00"/>
    <d v="2025-05-22T18:27:00"/>
    <d v="2025-05-22T10:47:00"/>
    <n v="-457.87037037152913"/>
    <n v="26.87500000417155"/>
    <m/>
    <d v="2025-05-23T12:43:00"/>
    <d v="2025-05-24T08:41:00"/>
    <n v="1173.0416666637029"/>
    <s v="Waited for empties from trade"/>
    <d v="2025-05-24T19:38:00"/>
    <d v="2025-05-24T20:20:00"/>
    <n v="41.12500000068394"/>
    <m/>
    <n v="2.3687500000014552"/>
    <n v="3"/>
    <n v="0.63124999999854481"/>
    <n v="56.850000000034925"/>
    <n v="24"/>
    <n v="32.850000000034925"/>
    <n v="4.7488584474835358"/>
    <m/>
    <m/>
    <m/>
    <m/>
    <m/>
  </r>
  <r>
    <d v="2025-05-23T00:00:00"/>
    <x v="4"/>
    <s v="NBL"/>
    <s v="OMK3CFYRR"/>
    <s v="ALLEX TAIMWA"/>
    <s v="James  Kironde"/>
    <s v="UBK 881R"/>
    <s v="KATO INVESTMENTS LIMITED-MASAK Tax No.: 1000098824"/>
    <n v="153.6"/>
    <s v="OMK3CFYRR"/>
    <s v="OM"/>
    <n v="596"/>
    <n v="595"/>
    <n v="-1"/>
    <m/>
    <d v="2025-05-23T13:19:00"/>
    <d v="2025-05-23T04:14:00"/>
    <d v="2025-05-23T13:46:00"/>
    <m/>
    <n v="26.87500000417155"/>
    <m/>
    <d v="2025-05-23T17:37:00"/>
    <d v="2025-05-25T14:17:00"/>
    <n v="2624.1666666643869"/>
    <s v="Waited for empties from trade"/>
    <d v="2025-05-25T18:50:00"/>
    <d v="2025-05-25T19:29:00"/>
    <n v="38.18750000136788"/>
    <m/>
    <n v="2.211111111108039"/>
    <n v="2"/>
    <n v="-0.21111111110803904"/>
    <n v="53.066666666592937"/>
    <n v="24"/>
    <n v="29.066666666592937"/>
    <n v="5.2844036697381744"/>
    <m/>
    <m/>
    <m/>
    <m/>
    <m/>
  </r>
  <r>
    <d v="2025-05-24T00:00:00"/>
    <x v="4"/>
    <s v="NBL"/>
    <s v="OMR5398RR"/>
    <s v="MUKOSE MUZAMIRU"/>
    <s v="Mugisha  George"/>
    <s v="UAV 203T"/>
    <s v="Kabaco U Ltd Tax No.: 1000025425"/>
    <n v="153.6"/>
    <s v="OMR5398RR"/>
    <s v="OM"/>
    <n v="304"/>
    <n v="302"/>
    <n v="-2"/>
    <m/>
    <d v="2025-05-25T10:17:00"/>
    <d v="2025-05-24T02:22:00"/>
    <d v="2025-05-25T10:45:00"/>
    <m/>
    <n v="27.870370367357584"/>
    <m/>
    <d v="2025-05-25T13:52:00"/>
    <d v="2025-05-25T17:09:00"/>
    <n v="192.89583333629707"/>
    <s v="Waited for empties from trade"/>
    <m/>
    <d v="1899-12-30T00:42:00"/>
    <n v="41.124999999999993"/>
    <m/>
    <n v="-45802.447916666664"/>
    <n v="2"/>
    <n v="45804.447916666664"/>
    <n v="-1099258.75"/>
    <n v="-549636"/>
    <n v="-549622.75"/>
    <n v="-2.7946441445518766E-4"/>
    <m/>
    <m/>
    <m/>
    <m/>
    <m/>
  </r>
  <r>
    <d v="2025-05-24T00:00:00"/>
    <x v="4"/>
    <s v="NBL"/>
    <s v="OMKJEM0RR"/>
    <s v="Isaac Tumuhimbise"/>
    <s v="Konge Husein"/>
    <s v="UBJ 707D"/>
    <s v="Kabaco U Ltd-Mbarara Tax No.: 1000025425"/>
    <n v="153.6"/>
    <s v="OMKJEM0RR"/>
    <s v="OM"/>
    <n v="20"/>
    <n v="18"/>
    <n v="-2"/>
    <m/>
    <d v="2025-05-25T07:19:00"/>
    <d v="2025-05-24T07:42:00"/>
    <d v="2025-05-25T07:57:00"/>
    <m/>
    <n v="37.82407407222005"/>
    <s v="DJ failures "/>
    <d v="2025-05-25T13:16:00"/>
    <d v="2025-05-25T18:48:00"/>
    <n v="325.08333333629707"/>
    <s v="truck faulty"/>
    <d v="2025-05-26T12:45:00"/>
    <d v="2025-05-26T13:24:00"/>
    <n v="38.18750000136788"/>
    <m/>
    <n v="1.1999999999970896"/>
    <n v="1"/>
    <n v="-0.19999999999708962"/>
    <n v="28.799999999930151"/>
    <n v="12"/>
    <n v="16.799999999930151"/>
    <n v="9.1428571428951564"/>
    <m/>
    <m/>
    <m/>
    <m/>
    <m/>
  </r>
  <r>
    <d v="2025-05-24T00:00:00"/>
    <x v="4"/>
    <s v="NBL"/>
    <s v="OMNUP3ARR"/>
    <s v="ANGELO KYOSIGA "/>
    <s v="Abel Mark naffa"/>
    <s v="UBJ 415C"/>
    <s v="Kabaco U Ltd Tax No.: 1000025425"/>
    <n v="153.6"/>
    <s v="OMNUP3ARR"/>
    <s v="OM"/>
    <n v="304"/>
    <n v="301"/>
    <n v="-3"/>
    <m/>
    <d v="2025-05-24T16:07:00"/>
    <d v="2025-05-24T02:22:00"/>
    <d v="2025-05-24T16:30:00"/>
    <m/>
    <n v="22.893518520140788"/>
    <m/>
    <d v="2025-05-25T08:36:00"/>
    <d v="2025-05-25T12:16:00"/>
    <n v="215.41666667122627"/>
    <s v="Reached late and offloaded the next day"/>
    <d v="2025-05-26T12:37:00"/>
    <d v="2025-05-26T13:15:00"/>
    <n v="37.208333331509493"/>
    <m/>
    <n v="1.8381944444408873"/>
    <n v="2"/>
    <n v="0.16180555555911269"/>
    <n v="44.116666666581295"/>
    <n v="12"/>
    <n v="32.116666666581295"/>
    <n v="4.782563570329267"/>
    <m/>
    <m/>
    <m/>
    <m/>
    <m/>
  </r>
  <r>
    <d v="2025-05-24T00:00:00"/>
    <x v="4"/>
    <s v="NBL"/>
    <s v="OMEGPEVRR"/>
    <s v="SENTONGO PAUL"/>
    <s v="Tumusiime Robert"/>
    <s v="UBJ 988D"/>
    <s v="Rugoma Traders-Kanungu/Kihihi Tax No.: 1000249350"/>
    <n v="153.6"/>
    <s v="OMEGPEVRR"/>
    <s v="OM"/>
    <n v="272"/>
    <n v="271"/>
    <n v="-1"/>
    <m/>
    <d v="2025-05-24T11:23:00"/>
    <d v="2025-05-24T01:59:00"/>
    <d v="2025-05-24T11:50:00"/>
    <m/>
    <n v="26.87500000417155"/>
    <m/>
    <d v="2025-05-24T18:42:00"/>
    <d v="2025-05-25T12:57:00"/>
    <n v="1072.1874999965803"/>
    <s v="less casuals and offloaded the next day"/>
    <d v="2025-05-26T10:09:00"/>
    <d v="2025-05-26T10:45:00"/>
    <n v="35.25000000205182"/>
    <m/>
    <n v="1.929861111115315"/>
    <n v="2"/>
    <n v="7.0138888884685002E-2"/>
    <n v="46.31666666676756"/>
    <n v="12"/>
    <n v="34.31666666676756"/>
    <n v="4.4759592034836837"/>
    <m/>
    <m/>
    <m/>
    <m/>
    <m/>
  </r>
  <r>
    <d v="2025-05-24T00:00:00"/>
    <x v="4"/>
    <s v="NBL"/>
    <s v="OM0TVD8RR"/>
    <s v="Jacob Oneka"/>
    <s v="Stephen Musoke "/>
    <s v="UBJ 375N"/>
    <s v="RUGOMA TRADERS CO. LTD NTUNGAM Tax No.: 1000249350"/>
    <n v="153.6"/>
    <s v="OM0TVD8RR"/>
    <s v="OM"/>
    <n v="150"/>
    <n v="148"/>
    <n v="-2"/>
    <m/>
    <d v="2025-05-24T14:05:00"/>
    <d v="2025-05-24T06:15:00"/>
    <d v="2025-05-24T14:34:00"/>
    <m/>
    <n v="28.865740740972495"/>
    <m/>
    <d v="2025-05-24T16:58:00"/>
    <d v="2025-05-25T14:19:00"/>
    <n v="1254.3125000054715"/>
    <s v="found another truck to be offloaded"/>
    <d v="2025-05-25T16:48:00"/>
    <d v="2025-05-25T17:26:00"/>
    <n v="37.208333331509493"/>
    <m/>
    <n v="1.0930555555532919"/>
    <n v="1"/>
    <n v="-9.3055555553291924E-2"/>
    <n v="26.233333333279006"/>
    <n v="12"/>
    <n v="14.233333333279006"/>
    <n v="10.791569086692244"/>
    <m/>
    <m/>
    <m/>
    <m/>
    <m/>
  </r>
  <r>
    <d v="2025-05-24T00:00:00"/>
    <x v="4"/>
    <s v="KESH"/>
    <s v="OMUYY1TRR"/>
    <s v="DJ"/>
    <s v="ALLEX TAIMWA"/>
    <s v="UBJ 705D"/>
    <s v="Boniface Harera Tax No.: 1000317747"/>
    <n v="156"/>
    <s v="OMUYY1TRR"/>
    <s v="OM"/>
    <n v="448"/>
    <n v="447"/>
    <n v="-1"/>
    <m/>
    <d v="2025-05-23T19:10:00"/>
    <d v="2025-05-24T01:30:00"/>
    <d v="2025-05-23T19:38:00"/>
    <n v="-350.37037036527181"/>
    <n v="27.870370367357584"/>
    <m/>
    <d v="2025-05-24T12:53:00"/>
    <d v="2025-05-24T18:56:00"/>
    <n v="355.43749999931606"/>
    <s v="Waited for empties from trade"/>
    <d v="2025-05-25T15:12:00"/>
    <d v="2025-05-25T15:51:00"/>
    <n v="38.18750000136788"/>
    <m/>
    <n v="1.8152777777722804"/>
    <n v="2"/>
    <n v="0.18472222222771961"/>
    <n v="43.566666666534729"/>
    <n v="12"/>
    <n v="31.566666666534729"/>
    <n v="4.9419218585211837"/>
    <m/>
    <m/>
    <m/>
    <m/>
    <m/>
  </r>
  <r>
    <d v="2025-05-24T00:00:00"/>
    <x v="4"/>
    <s v="KESH"/>
    <s v="OMTK64WRR"/>
    <s v="DJ"/>
    <s v="MUKOSE MUZAMIRU"/>
    <s v="UBJ 417C"/>
    <s v="Kabaco U Ltd Tax No.: 1000025425"/>
    <n v="156"/>
    <s v="OMTK64WRR"/>
    <s v="OM"/>
    <n v="304"/>
    <n v="302"/>
    <n v="-2"/>
    <m/>
    <d v="2025-05-23T19:43:00"/>
    <d v="2025-05-24T02:22:00"/>
    <d v="2025-05-23T20:06:00"/>
    <n v="-374.25925925902749"/>
    <n v="22.893518520140788"/>
    <m/>
    <d v="2025-05-24T10:22:00"/>
    <d v="2025-05-24T16:46:00"/>
    <n v="376.00000000478758"/>
    <s v="Waited for empties from trade"/>
    <d v="2025-05-25T09:12:00"/>
    <d v="2025-05-25T10:01:00"/>
    <n v="47.979166669174447"/>
    <s v="pre trip inspections"/>
    <n v="1.5458333333299379"/>
    <n v="2"/>
    <n v="0.45416666667006211"/>
    <n v="37.099999999918509"/>
    <n v="12"/>
    <n v="25.099999999918509"/>
    <n v="6.215139442251254"/>
    <m/>
    <m/>
    <m/>
    <m/>
    <m/>
  </r>
  <r>
    <d v="2025-05-24T00:00:00"/>
    <x v="4"/>
    <s v="NBL"/>
    <s v="OMYS43NRR"/>
    <s v="Isaac Tumuhimbise"/>
    <s v="Benon Ssempijja"/>
    <s v="UAY 526V"/>
    <s v="RUGOMA TRADERS CO. LTD NTUNGAM Tax No.: 1000249350"/>
    <n v="153.6"/>
    <s v="OMYS43NRR"/>
    <s v="OM"/>
    <n v="150"/>
    <n v="148"/>
    <n v="-2"/>
    <m/>
    <d v="2025-05-23T20:38:00"/>
    <d v="2025-05-24T06:15:00"/>
    <d v="2025-05-23T21:01:00"/>
    <m/>
    <n v="22.893518520140788"/>
    <m/>
    <d v="2025-05-24T09:23:00"/>
    <d v="2025-05-24T14:06:00"/>
    <n v="277.10416666712263"/>
    <s v="space consquents"/>
    <d v="2025-05-24T16:51:00"/>
    <d v="2025-05-24T17:27:00"/>
    <n v="35.25000000205182"/>
    <m/>
    <n v="0.82638888888322981"/>
    <n v="1"/>
    <n v="0.17361111111677019"/>
    <n v="19.833333333197515"/>
    <n v="0"/>
    <n v="19.833333333197515"/>
    <n v="7.7445378151790845"/>
    <m/>
    <m/>
    <m/>
    <m/>
    <m/>
  </r>
  <r>
    <d v="2025-05-24T00:00:00"/>
    <x v="4"/>
    <s v="NBL"/>
    <s v="OMD6NY4RR"/>
    <s v="Hassan Byashara"/>
    <s v="Isaac Tumuhimbise"/>
    <s v="UBE 287X"/>
    <s v="Kabaco U Ltd-Mbarara Tax No.: 1000025425"/>
    <n v="153.6"/>
    <s v="OMD6NY4RR"/>
    <s v="OM"/>
    <n v="20"/>
    <n v="17"/>
    <n v="-3"/>
    <m/>
    <d v="2025-05-23T19:52:00"/>
    <d v="2025-05-24T07:42:00"/>
    <d v="2025-05-23T20:21:00"/>
    <m/>
    <n v="28.865740740972495"/>
    <m/>
    <d v="2025-05-24T08:59:00"/>
    <d v="2025-05-24T12:41:00"/>
    <n v="217.37500000068394"/>
    <s v="Reached late and offloaded the next day"/>
    <d v="2025-05-24T13:17:00"/>
    <d v="2025-05-24T14:00:00"/>
    <n v="42.104166670542327"/>
    <m/>
    <n v="0.70555555555620231"/>
    <n v="1"/>
    <n v="0.29444444444379769"/>
    <n v="16.933333333348855"/>
    <n v="0"/>
    <n v="16.933333333348855"/>
    <n v="9.0708661417239682"/>
    <m/>
    <m/>
    <m/>
    <m/>
    <m/>
  </r>
  <r>
    <d v="2025-05-25T00:00:00"/>
    <x v="4"/>
    <s v="NBL"/>
    <s v="OMY9ORHRR"/>
    <s v="Bisaso  Ronald"/>
    <s v="ANGELO KYOSIGA "/>
    <s v="UAV 051U"/>
    <s v="KATO INVESTMENTS LTD- KALISIZO Tax No.: 1000098824"/>
    <n v="153.6"/>
    <s v="OMY9ORHRR"/>
    <s v="OM"/>
    <n v="288"/>
    <n v="286"/>
    <n v="-2"/>
    <m/>
    <d v="2025-05-25T19:04:00"/>
    <d v="2025-05-25T03:43:00"/>
    <d v="2025-05-25T19:31:00"/>
    <m/>
    <n v="26.87500000417155"/>
    <m/>
    <d v="2025-05-26T10:21:00"/>
    <d v="2025-05-26T14:57:00"/>
    <n v="270.24999999863212"/>
    <s v="Waited for empties from trade"/>
    <m/>
    <d v="1899-12-30T00:39:00"/>
    <n v="38.1875"/>
    <m/>
    <n v="-45802.813194444447"/>
    <n v="2"/>
    <n v="45804.813194444447"/>
    <n v="-1099267.5166666666"/>
    <n v="-549636"/>
    <n v="-549631.5166666666"/>
    <n v="-2.7945995697541728E-4"/>
    <m/>
    <m/>
    <m/>
    <m/>
    <m/>
  </r>
  <r>
    <d v="2025-05-25T00:00:00"/>
    <x v="4"/>
    <s v="KESH"/>
    <s v="OM6U5PNRR"/>
    <s v="DJ"/>
    <s v="SENTONGO PAUL"/>
    <s v="UBR 855Y"/>
    <s v="Kabaco U Ltd Tax No.: 1000025425"/>
    <n v="156"/>
    <s v="OM6U5PNRR"/>
    <s v="OM"/>
    <n v="304"/>
    <n v="301"/>
    <n v="-3"/>
    <m/>
    <d v="2025-05-25T10:32:00"/>
    <d v="2025-05-25T02:22:00"/>
    <d v="2025-05-25T11:00:00"/>
    <n v="515.60185185347416"/>
    <n v="27.870370367357584"/>
    <m/>
    <d v="2025-05-25T14:32:00"/>
    <d v="2025-05-25T20:47:00"/>
    <n v="367.1874999965803"/>
    <s v="Waited for empties from trade"/>
    <d v="2025-05-26T06:38:00"/>
    <d v="2025-05-26T07:21:00"/>
    <n v="42.104166670542327"/>
    <m/>
    <n v="0.81805555555183673"/>
    <n v="2"/>
    <n v="1.1819444444481633"/>
    <n v="19.633333333244082"/>
    <n v="0"/>
    <n v="19.633333333244082"/>
    <n v="7.9456706282194824"/>
    <m/>
    <m/>
    <m/>
    <m/>
    <m/>
  </r>
  <r>
    <d v="2025-05-25T00:00:00"/>
    <x v="4"/>
    <s v="NBL"/>
    <s v="OMT4SKARR"/>
    <s v="DJ"/>
    <s v="Jacob Oneka"/>
    <s v="UBE 422T"/>
    <s v="Kabaco U Ltd-Mbarara Tax No.: 1000025425"/>
    <n v="153.6"/>
    <s v="OMT4SKARR"/>
    <s v="OM"/>
    <n v="20"/>
    <n v="18"/>
    <n v="-2"/>
    <m/>
    <d v="2025-05-25T13:10:00"/>
    <d v="2025-05-25T07:42:00"/>
    <d v="2025-05-25T13:37:00"/>
    <m/>
    <n v="26.87500000417155"/>
    <m/>
    <d v="2025-05-25T14:22:00"/>
    <d v="2025-05-25T18:08:00"/>
    <n v="221.29166666985839"/>
    <s v="truck faulty"/>
    <d v="2025-05-25T18:36:00"/>
    <d v="2025-05-25T19:14:00"/>
    <n v="37.208333331509493"/>
    <m/>
    <n v="0.20763888888905058"/>
    <n v="1"/>
    <n v="0.79236111111094942"/>
    <n v="4.9833333333372138"/>
    <n v="0"/>
    <n v="4.9833333333372138"/>
    <n v="30.822742474892387"/>
    <m/>
    <m/>
    <m/>
    <m/>
    <m/>
  </r>
  <r>
    <d v="2025-05-25T00:00:00"/>
    <x v="4"/>
    <s v="NBL"/>
    <s v="OMT00KKRR"/>
    <s v="DJ"/>
    <s v="Benon Ssempijja"/>
    <s v="UAY 526V"/>
    <s v="KATO INVESTMENTS LIMITED-MASAK Tax No.: 1000098824"/>
    <n v="153.6"/>
    <s v="OMT00KKRR"/>
    <s v="OM"/>
    <n v="596"/>
    <n v="594"/>
    <n v="-2"/>
    <m/>
    <d v="2025-05-25T08:10:00"/>
    <d v="2025-05-25T04:14:00"/>
    <d v="2025-05-25T08:33:00"/>
    <m/>
    <n v="22.893518520140788"/>
    <m/>
    <d v="2025-05-25T11:19:00"/>
    <d v="2025-05-25T16:07:00"/>
    <n v="281.99999999589636"/>
    <s v="Reached late and offloaded the next day"/>
    <d v="2025-05-25T18:26:00"/>
    <d v="2025-05-25T19:08:00"/>
    <n v="41.12500000068394"/>
    <m/>
    <n v="0.41180555555911269"/>
    <n v="2"/>
    <n v="1.5881944444408873"/>
    <n v="9.8833333334187046"/>
    <n v="0"/>
    <n v="9.8833333334187046"/>
    <n v="15.541315345565586"/>
    <m/>
    <m/>
    <m/>
    <m/>
    <m/>
  </r>
  <r>
    <d v="2025-05-25T00:00:00"/>
    <x v="4"/>
    <s v="KESH"/>
    <s v="OM1CS1IRR"/>
    <s v="DJ"/>
    <s v="SENTONG DAVID"/>
    <s v="UBP 298H"/>
    <s v="Kabaco U Ltd Tax No.: 1000025425"/>
    <n v="156"/>
    <s v="OM1CS1IRR"/>
    <s v="OM"/>
    <n v="304"/>
    <n v="302"/>
    <n v="-2"/>
    <m/>
    <d v="2025-05-24T19:41:00"/>
    <d v="2025-05-25T02:22:00"/>
    <d v="2025-05-24T20:10:00"/>
    <n v="-370.27777777499676"/>
    <n v="28.865740740972495"/>
    <m/>
    <d v="2025-05-25T15:09:00"/>
    <d v="2025-05-26T13:15:00"/>
    <n v="1298.3750000054715"/>
    <s v="found another truck to be offloaded"/>
    <d v="2025-05-26T19:21:00"/>
    <d v="2025-05-26T20:04:00"/>
    <n v="42.104166670542327"/>
    <m/>
    <n v="1.9659722222204437"/>
    <n v="2"/>
    <n v="3.4027777779556345E-2"/>
    <n v="47.183333333290648"/>
    <n v="12"/>
    <n v="35.183333333290648"/>
    <n v="4.4339175746145694"/>
    <m/>
    <m/>
    <m/>
    <m/>
    <m/>
  </r>
  <r>
    <d v="2025-05-25T00:00:00"/>
    <x v="4"/>
    <s v="NBL"/>
    <s v="OM7WANURR"/>
    <s v="DJ"/>
    <s v="Isaac Tumuhimbise"/>
    <s v="UBE 287X"/>
    <s v="KATO INVESTMENTS LTD- KALISIZO Tax No.: 1000098824"/>
    <n v="153.6"/>
    <s v="OM7WANURR"/>
    <s v="OM"/>
    <n v="288"/>
    <n v="285"/>
    <n v="-3"/>
    <m/>
    <d v="2025-05-24T20:36:00"/>
    <d v="2025-05-25T03:43:00"/>
    <d v="2025-05-24T21:03:00"/>
    <m/>
    <n v="26.87500000417155"/>
    <m/>
    <d v="2025-05-25T09:57:00"/>
    <d v="2025-05-25T13:02:00"/>
    <n v="181.14583333903283"/>
    <s v="Waited for empties from trade"/>
    <d v="2025-05-26T12:15:00"/>
    <d v="2025-05-26T12:58:00"/>
    <n v="42.104166670542327"/>
    <m/>
    <n v="1.6333333333313931"/>
    <n v="2"/>
    <n v="0.36666666666860692"/>
    <n v="39.199999999953434"/>
    <n v="12"/>
    <n v="27.199999999953434"/>
    <n v="5.6470588235390791"/>
    <m/>
    <m/>
    <m/>
    <m/>
    <m/>
  </r>
  <r>
    <d v="2025-05-25T00:00:00"/>
    <x v="4"/>
    <s v="KESH"/>
    <s v="OMHW32IRR"/>
    <s v="DJ"/>
    <s v="Hassan Byashara"/>
    <s v="UBP 312H"/>
    <s v="Boniface Harera Tax No.: 1000317747"/>
    <n v="156"/>
    <s v="OMHW32IRR"/>
    <s v="OM"/>
    <n v="448"/>
    <n v="445"/>
    <n v="-3"/>
    <m/>
    <d v="2025-05-24T15:11:00"/>
    <d v="2025-05-25T01:30:00"/>
    <d v="2025-05-24T15:34:00"/>
    <n v="-593.24074074514408"/>
    <n v="22.893518520140788"/>
    <m/>
    <d v="2025-05-26T09:00:00"/>
    <d v="2025-05-26T15:12:00"/>
    <n v="364.24999999726424"/>
    <s v="space consquents"/>
    <m/>
    <d v="1899-12-30T00:39:00"/>
    <n v="38.1875"/>
    <m/>
    <n v="-45801.648611111108"/>
    <n v="2"/>
    <n v="45803.648611111108"/>
    <n v="-1099239.5666666667"/>
    <n v="-549624"/>
    <n v="-549615.56666666665"/>
    <n v="-2.8383475552942554E-4"/>
    <m/>
    <m/>
    <m/>
    <m/>
    <m/>
  </r>
  <r>
    <d v="2025-05-25T00:00:00"/>
    <x v="4"/>
    <s v="NBL"/>
    <s v="OM6VU6BRR"/>
    <s v="DJ"/>
    <s v="Bisaso  Ronald"/>
    <s v="UBK 875R"/>
    <s v="KATO INVESTMENTS LIMITED-MASAK Tax No.: 1000098824"/>
    <n v="153.6"/>
    <s v="OM6VU6BRR"/>
    <s v="OM"/>
    <n v="596"/>
    <n v="594"/>
    <n v="-2"/>
    <m/>
    <d v="2025-05-24T16:41:00"/>
    <d v="2025-05-25T04:14:00"/>
    <d v="2025-05-24T17:09:00"/>
    <m/>
    <n v="27.870370367357584"/>
    <m/>
    <d v="2025-05-24T21:37:00"/>
    <d v="2025-05-26T18:45:00"/>
    <n v="2651.5833333383489"/>
    <s v="Waited for empties from trade"/>
    <m/>
    <d v="1899-12-30T00:42:00"/>
    <n v="41.124999999999993"/>
    <m/>
    <n v="-45801.714583333334"/>
    <n v="2"/>
    <n v="45803.714583333334"/>
    <n v="-1099241.1499999999"/>
    <n v="-549624"/>
    <n v="-549617.14999999991"/>
    <n v="-2.7946726189311964E-4"/>
    <m/>
    <m/>
    <m/>
    <m/>
    <m/>
  </r>
  <r>
    <d v="2025-05-25T00:00:00"/>
    <x v="4"/>
    <s v="NBL"/>
    <s v="OMC6OKARR"/>
    <s v="DJ"/>
    <s v="Kilabila Ismail"/>
    <s v="UBE 419T"/>
    <s v="KATO INVESTMENTS LIMITED-MASAK Tax No.: 1000098824"/>
    <n v="153.6"/>
    <s v="OMC6OKARR"/>
    <s v="OM"/>
    <n v="596"/>
    <n v="593"/>
    <n v="-3"/>
    <m/>
    <d v="2025-05-24T15:19:00"/>
    <d v="2025-05-25T04:14:00"/>
    <d v="2025-05-24T15:48:00"/>
    <m/>
    <n v="28.865740740972495"/>
    <m/>
    <d v="2025-05-24T20:09:00"/>
    <d v="2025-05-25T16:49:00"/>
    <n v="1214.1666666643869"/>
    <s v="Waited for empties from trade"/>
    <d v="2025-05-26T10:00:00"/>
    <d v="2025-05-26T10:43:00"/>
    <n v="42.104166670542327"/>
    <m/>
    <n v="1.7583333333313931"/>
    <n v="2"/>
    <n v="0.24166666666860692"/>
    <n v="42.199999999953434"/>
    <n v="12"/>
    <n v="30.199999999953434"/>
    <n v="5.08609271523963"/>
    <m/>
    <m/>
    <m/>
    <m/>
    <m/>
  </r>
  <r>
    <m/>
    <x v="5"/>
    <m/>
    <m/>
    <m/>
    <m/>
    <m/>
    <m/>
    <m/>
    <m/>
    <m/>
    <m/>
    <n v="-4"/>
    <m/>
    <m/>
    <m/>
    <m/>
    <m/>
    <m/>
    <m/>
    <s v="stock recon delays"/>
    <m/>
    <m/>
    <m/>
    <s v="space consquents"/>
    <m/>
    <m/>
    <m/>
    <s v="sorting delays"/>
    <m/>
    <m/>
    <m/>
    <m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327">
  <r>
    <d v="2025-01-01T00:00:00"/>
    <x v="0"/>
    <m/>
    <s v="OM02L6Y5"/>
    <s v="Manual"/>
    <s v="MUKOSE MUZAMIRU"/>
    <s v="UBE 690K"/>
    <s v="Kato Investment Ltd -Kagadi"/>
    <n v="151.68"/>
    <s v="A19778"/>
    <s v="OM"/>
    <n v="670"/>
    <n v="612"/>
    <n v="-5"/>
    <m/>
    <d v="2025-01-01T07:58:00"/>
    <d v="2025-01-01T07:30:00"/>
    <d v="2025-01-01T08:38:00"/>
    <n v="67.685185186807459"/>
    <n v="39.814814819449872"/>
    <x v="0"/>
    <d v="2025-01-02T10:08:00"/>
    <d v="2025-01-02T13:47:00"/>
    <n v="214.43750000136788"/>
    <s v="space consquents"/>
    <d v="2025-01-03T10:22:31"/>
    <d v="2025-01-03T11:21:31"/>
    <n v="57.770833336981013"/>
    <x v="0"/>
    <n v="2.0725833333344781"/>
    <n v="2"/>
    <n v="-7.2583333334478084E-2"/>
    <n v="49.742000000027474"/>
    <n v="24"/>
    <n v="25.742000000027474"/>
    <n v="5.892316059351959"/>
    <m/>
    <m/>
    <m/>
    <m/>
    <m/>
  </r>
  <r>
    <d v="2025-01-01T20:17:33"/>
    <x v="0"/>
    <m/>
    <s v="OM7APO5RR"/>
    <s v="DJ"/>
    <s v="Stephen Musoke "/>
    <s v="UBJ 375N"/>
    <s v="Kabaco U Ltd-Mbarara"/>
    <n v="140.1"/>
    <s v="Z82022"/>
    <s v="OM"/>
    <n v="20"/>
    <n v="14"/>
    <n v="3"/>
    <m/>
    <d v="2025-01-02T14:55:00"/>
    <d v="2025-01-02T07:42:00"/>
    <d v="2025-01-02T15:38:00"/>
    <n v="473.79629629722331"/>
    <n v="42.80092592986572"/>
    <x v="0"/>
    <d v="2025-01-02T16:07:00"/>
    <d v="2025-01-02T19:21:00"/>
    <n v="189.95833333698101"/>
    <s v="Reached late and offloaded the next day"/>
    <d v="2025-01-02T20:10:00"/>
    <d v="2025-01-02T21:06:00"/>
    <n v="54.833333337664953"/>
    <x v="0"/>
    <n v="0.18888888889341615"/>
    <n v="1"/>
    <n v="0.81111111110658385"/>
    <n v="4.5333333334419876"/>
    <n v="0"/>
    <n v="4.5333333334419876"/>
    <n v="30.904411763965168"/>
    <m/>
    <m/>
    <m/>
    <m/>
    <m/>
  </r>
  <r>
    <d v="2025-01-01T20:18:31"/>
    <x v="0"/>
    <m/>
    <s v="OMCOX6YRR"/>
    <s v="DJ"/>
    <s v="Isaac Tumuhimbise"/>
    <s v="UBE 287X"/>
    <s v="Kabaco U Ltd-Mbarara"/>
    <n v="153.60000000000002"/>
    <s v="Z82023"/>
    <s v="OM"/>
    <n v="20"/>
    <n v="13"/>
    <n v="-7"/>
    <m/>
    <d v="2025-01-02T10:47:00"/>
    <d v="2025-01-02T07:42:00"/>
    <d v="2025-01-02T11:24:00"/>
    <n v="220.97222222291748"/>
    <n v="36.828703698605146"/>
    <x v="0"/>
    <d v="2025-01-02T12:02:00"/>
    <d v="2025-01-02T16:40:00"/>
    <n v="272.20833333834889"/>
    <s v="truck faulty"/>
    <d v="2025-01-02T17:17:00"/>
    <d v="2025-01-02T18:16:00"/>
    <n v="57.770833336981013"/>
    <x v="0"/>
    <n v="0.24513888888759539"/>
    <n v="1"/>
    <n v="0.75486111111240461"/>
    <n v="5.8833333333022892"/>
    <n v="0"/>
    <n v="5.8833333333022892"/>
    <n v="26.107648725350227"/>
    <m/>
    <m/>
    <m/>
    <m/>
    <m/>
  </r>
  <r>
    <d v="2025-01-01T20:19:18"/>
    <x v="0"/>
    <m/>
    <s v="OMZLGL1RR"/>
    <s v="DJ"/>
    <s v="James  Kironde"/>
    <s v="UBK 881R"/>
    <s v="KATO INVESTMENTS LIMITED-MASAK"/>
    <n v="153.60000000000002"/>
    <s v="F15655"/>
    <s v="OM"/>
    <n v="340"/>
    <n v="342"/>
    <n v="2"/>
    <m/>
    <d v="2025-01-02T06:59:00"/>
    <d v="2025-01-02T04:14:00"/>
    <d v="2025-01-02T07:37:00"/>
    <n v="202.06018518680744"/>
    <n v="37.82407407222005"/>
    <x v="0"/>
    <d v="2025-01-02T09:24:00"/>
    <d v="2025-01-02T13:35:00"/>
    <n v="245.77083332398615"/>
    <s v="slept at the RD and offloaded the next day"/>
    <d v="2025-01-03T09:22:00"/>
    <d v="2025-01-03T10:21:00"/>
    <n v="57.770833336981013"/>
    <x v="0"/>
    <n v="1.0729166666642413"/>
    <n v="1"/>
    <n v="-7.2916666664241347E-2"/>
    <n v="25.749999999941792"/>
    <n v="12"/>
    <n v="13.749999999941792"/>
    <n v="11.170909090956382"/>
    <m/>
    <m/>
    <m/>
    <m/>
    <m/>
  </r>
  <r>
    <d v="2025-01-01T20:20:55"/>
    <x v="0"/>
    <m/>
    <s v="OM33KZQRR"/>
    <s v="DJ"/>
    <s v="Jacob Oneka"/>
    <s v="UBE 422T"/>
    <s v="Kato Investments Ltd-Bulenga"/>
    <n v="153.60000000000002"/>
    <s v="A19779"/>
    <s v="OM"/>
    <n v="560"/>
    <n v="559"/>
    <n v="-1"/>
    <m/>
    <d v="2025-01-02T11:42:00"/>
    <d v="2025-01-01T21:30:00"/>
    <d v="2025-01-02T12:47:00"/>
    <n v="912.75462962221354"/>
    <n v="64.699074076391597"/>
    <x v="1"/>
    <d v="2025-01-03T10:45:00"/>
    <d v="2025-01-03T15:35:00"/>
    <n v="283.95833333561313"/>
    <s v="Waited for empties from trade"/>
    <d v="2025-01-04T11:40:00"/>
    <d v="2025-01-04T12:34:00"/>
    <n v="52.87499999794818"/>
    <x v="0"/>
    <n v="1.953472222223354"/>
    <n v="2"/>
    <n v="4.6527777776645962E-2"/>
    <n v="46.883333333360497"/>
    <n v="12"/>
    <n v="34.883333333360497"/>
    <n v="4.4032489249846272"/>
    <m/>
    <m/>
    <m/>
    <m/>
    <m/>
  </r>
  <r>
    <d v="2025-01-01T20:22:39"/>
    <x v="0"/>
    <m/>
    <s v="OMCP7C6RR"/>
    <s v="Manual"/>
    <s v="Kilabila Ismail"/>
    <s v="UBE 419T"/>
    <s v="RUGOMA TRADERS CO. LTD NTUNGAM"/>
    <n v="153.60000000000002"/>
    <s v="F15657"/>
    <s v="OM"/>
    <n v="130"/>
    <n v="129"/>
    <n v="-1"/>
    <m/>
    <d v="2025-01-02T08:13:39"/>
    <d v="2025-01-02T08:22:39"/>
    <d v="2025-01-02T09:30:39"/>
    <n v="67.685185186807459"/>
    <n v="76.643518518055018"/>
    <x v="2"/>
    <d v="2025-01-02T12:00:39"/>
    <d v="2025-01-02T17:00:39"/>
    <n v="293.7500000034197"/>
    <s v="Waited for empties from trade"/>
    <d v="2025-01-02T19:10:39"/>
    <d v="2025-01-02T20:06:39"/>
    <n v="54.833333337664953"/>
    <x v="0"/>
    <n v="0.40277777778101154"/>
    <n v="1"/>
    <n v="0.59722222221898846"/>
    <n v="9.6666666667442769"/>
    <n v="0"/>
    <n v="9.6666666667442769"/>
    <n v="15.889655172286224"/>
    <m/>
    <m/>
    <m/>
    <m/>
    <m/>
  </r>
  <r>
    <d v="2025-01-01T20:28:12"/>
    <x v="0"/>
    <m/>
    <s v="OMO39VURR"/>
    <s v="DJ"/>
    <s v="ALIPA EREKU"/>
    <s v="UBK 858R"/>
    <s v="KATO INVESTMENTS LTD-KATIKARA"/>
    <n v="133.44"/>
    <s v="A19781"/>
    <s v="OM"/>
    <n v="790"/>
    <n v="792"/>
    <n v="2"/>
    <m/>
    <d v="2025-01-01T20:16:00"/>
    <d v="2025-01-02T15:48:00"/>
    <d v="2025-01-01T20:56:00"/>
    <n v="-1126.7592592611134"/>
    <n v="39.814814819449872"/>
    <x v="0"/>
    <d v="2025-01-03T07:58:00"/>
    <d v="2025-01-03T12:16:00"/>
    <n v="252.62500000273576"/>
    <s v="found another truck at the RD and offloaded the next day"/>
    <d v="2025-01-04T11:27:00"/>
    <d v="2025-01-04T12:26:00"/>
    <n v="57.770833336981013"/>
    <x v="0"/>
    <n v="2.6048611111109494"/>
    <n v="3"/>
    <n v="0.39513888888905058"/>
    <n v="62.516666666662786"/>
    <n v="24"/>
    <n v="38.516666666662786"/>
    <n v="3.464474253570232"/>
    <m/>
    <m/>
    <m/>
    <m/>
    <m/>
  </r>
  <r>
    <d v="2025-01-02T17:45:21"/>
    <x v="0"/>
    <m/>
    <s v="OMY25R8RR"/>
    <s v="DJ"/>
    <s v="Benon Ssempijja"/>
    <s v="UAY 526V"/>
    <s v="Ntale and Sons"/>
    <n v="153.60000000000002"/>
    <s v="A19789"/>
    <s v="OM"/>
    <n v="810"/>
    <n v="812"/>
    <n v="2"/>
    <m/>
    <d v="2025-01-03T07:42:00"/>
    <d v="2025-01-02T19:30:00"/>
    <d v="2025-01-03T08:21:00"/>
    <n v="767.43055555416504"/>
    <n v="38.819444445834961"/>
    <x v="0"/>
    <d v="2025-01-03T20:47:00"/>
    <d v="2025-01-04T13:59:00"/>
    <n v="1010.5000000006839"/>
    <s v="Waited for empties from trade"/>
    <d v="2025-01-05T15:11:00"/>
    <d v="2025-01-05T16:00:00"/>
    <n v="47.979166669174447"/>
    <x v="0"/>
    <n v="2.2847222222262644"/>
    <n v="3"/>
    <n v="0.71527777777373558"/>
    <n v="54.833333333430346"/>
    <n v="24"/>
    <n v="30.833333333430346"/>
    <n v="4.9816216216059486"/>
    <m/>
    <m/>
    <m/>
    <m/>
    <m/>
  </r>
  <r>
    <d v="2025-01-02T17:46:19"/>
    <x v="0"/>
    <m/>
    <s v="OM84GFKRR"/>
    <s v="DJ"/>
    <s v="Kilabila Ismail"/>
    <s v="UBE 419T"/>
    <s v="KATO INVESTMENTS LIMITED-MASAK"/>
    <n v="153.60000000000002"/>
    <s v="F15658"/>
    <s v="OM"/>
    <n v="340"/>
    <n v="340"/>
    <n v="0"/>
    <m/>
    <d v="2025-01-02T18:01:00"/>
    <d v="2025-01-03T04:14:00"/>
    <d v="2025-01-02T18:44:00"/>
    <n v="-567.3611111145874"/>
    <n v="42.80092592986572"/>
    <x v="0"/>
    <d v="2025-01-03T12:09:00"/>
    <d v="2025-01-03T15:09:00"/>
    <n v="176.25"/>
    <m/>
    <d v="2025-01-04T10:40:00"/>
    <d v="2025-01-04T11:36:00"/>
    <n v="54.833333337664953"/>
    <x v="0"/>
    <n v="1.663888888891961"/>
    <n v="2"/>
    <n v="0.33611111110803904"/>
    <n v="39.933333333407063"/>
    <n v="12"/>
    <n v="27.933333333407063"/>
    <n v="5.4988066825630524"/>
    <m/>
    <m/>
    <m/>
    <m/>
    <m/>
  </r>
  <r>
    <d v="2025-01-02T23:12:54"/>
    <x v="0"/>
    <m/>
    <s v="OMN00PNRR"/>
    <s v="DJ"/>
    <s v="James  Kironde"/>
    <s v="UBK 881R"/>
    <s v="Sawan Distributors Ltd-Nabingo"/>
    <n v="153.6"/>
    <s v="A19800"/>
    <s v="OM"/>
    <n v="560"/>
    <n v="562"/>
    <n v="2"/>
    <m/>
    <d v="2025-01-03T13:30:00"/>
    <d v="2025-01-03T08:00:00"/>
    <d v="2025-01-03T14:29:00"/>
    <n v="387.19907407430583"/>
    <n v="58.726851855559893"/>
    <x v="1"/>
    <d v="2025-01-03T21:09:00"/>
    <d v="2025-01-04T12:35:00"/>
    <n v="906.70833333424525"/>
    <s v="space consquents"/>
    <d v="2025-01-06T14:11:00"/>
    <d v="2025-01-06T15:10:00"/>
    <n v="57.770833336981013"/>
    <x v="0"/>
    <n v="2.9874999999956344"/>
    <n v="2"/>
    <n v="-0.98749999999563443"/>
    <n v="71.699999999895226"/>
    <n v="24"/>
    <n v="47.699999999895226"/>
    <n v="3.2201257861705948"/>
    <m/>
    <m/>
    <m/>
    <m/>
    <m/>
  </r>
  <r>
    <d v="2025-01-02T23:13:56"/>
    <x v="0"/>
    <m/>
    <s v="OM8F9LXRR"/>
    <s v="DJ"/>
    <s v="Bisaso  Ronald"/>
    <s v="UBK 875R"/>
    <s v="Kabaco U Ltd-Mbarara"/>
    <n v="149.4"/>
    <s v="Z82038"/>
    <s v="OM"/>
    <n v="20"/>
    <n v="22"/>
    <n v="2"/>
    <m/>
    <d v="2025-01-03T13:59:00"/>
    <d v="2025-01-03T08:00:00"/>
    <d v="2025-01-03T14:37:00"/>
    <n v="395.1620370319385"/>
    <n v="37.82407407222005"/>
    <x v="0"/>
    <d v="2025-01-03T15:47:00"/>
    <d v="2025-01-03T18:46:00"/>
    <n v="175.27083334040071"/>
    <m/>
    <d v="2025-01-03T19:16:00"/>
    <d v="2025-01-03T20:08:00"/>
    <n v="50.916666668490507"/>
    <x v="0"/>
    <n v="0.19374999999854481"/>
    <n v="2"/>
    <n v="1.8062500000014552"/>
    <n v="4.6499999999650754"/>
    <n v="0"/>
    <n v="4.6499999999650754"/>
    <n v="32.129032258305827"/>
    <m/>
    <m/>
    <m/>
    <m/>
    <m/>
  </r>
  <r>
    <d v="2025-01-02T23:14:52"/>
    <x v="0"/>
    <m/>
    <s v="OMHX7MPRR"/>
    <s v="DJ"/>
    <s v="Stephen Musoke "/>
    <s v="UBJ 375N"/>
    <s v="Kobusinge Steven-Kamwenge"/>
    <n v="153.60000000000002"/>
    <s v="Z82039"/>
    <s v="OM"/>
    <n v="230"/>
    <n v="230"/>
    <n v="0"/>
    <m/>
    <d v="2025-01-03T09:11:00"/>
    <d v="2025-01-03T09:00:00"/>
    <d v="2025-01-03T09:55:00"/>
    <n v="54.745370371529134"/>
    <n v="43.796296293051761"/>
    <x v="0"/>
    <d v="2025-01-03T13:10:00"/>
    <d v="2025-01-03T17:08:00"/>
    <n v="233.04166666712263"/>
    <s v="Waited for empties from trade"/>
    <d v="2025-01-04T09:33:00"/>
    <d v="2025-01-04T10:32:00"/>
    <n v="57.770833336981013"/>
    <x v="0"/>
    <n v="0.98472222222335404"/>
    <n v="2"/>
    <n v="1.015277777776646"/>
    <n v="23.633333333360497"/>
    <n v="0"/>
    <n v="23.633333333360497"/>
    <n v="6.4992947813747595"/>
    <m/>
    <m/>
    <m/>
    <m/>
    <m/>
  </r>
  <r>
    <d v="2025-01-02T23:15:44"/>
    <x v="0"/>
    <m/>
    <s v="OMVZ7HGRR"/>
    <s v="DJ"/>
    <s v="Isaac Tumuhimbise"/>
    <s v="UBE 287X"/>
    <s v="Agaba Services"/>
    <n v="153.60000000000002"/>
    <s v="F15659"/>
    <s v="OM"/>
    <n v="302"/>
    <n v="293"/>
    <n v="-9"/>
    <m/>
    <d v="2025-01-03T06:17:00"/>
    <d v="2025-01-03T08:30:00"/>
    <d v="2025-01-03T07:14:00"/>
    <n v="-75.6481481444401"/>
    <n v="56.736111108330078"/>
    <x v="3"/>
    <d v="2025-01-03T12:37:00"/>
    <d v="2025-01-03T14:34:00"/>
    <n v="114.56250000410364"/>
    <m/>
    <d v="2025-01-04T08:36:00"/>
    <d v="2025-01-04T09:28:00"/>
    <n v="50.916666668490507"/>
    <x v="0"/>
    <n v="1.0569444444408873"/>
    <n v="2"/>
    <n v="0.94305555555911269"/>
    <n v="25.366666666581295"/>
    <n v="12"/>
    <n v="13.366666666581295"/>
    <n v="11.491271820522273"/>
    <m/>
    <m/>
    <m/>
    <m/>
    <m/>
  </r>
  <r>
    <d v="2025-01-02T23:16:43"/>
    <x v="0"/>
    <m/>
    <s v="OM976EURR"/>
    <s v="DJ"/>
    <s v="Mugisha  George"/>
    <s v="UAV 203T"/>
    <s v="Kobusinge Acaali- Kyenjojo"/>
    <n v="153.60000000000002"/>
    <s v="Z82040"/>
    <s v="OM"/>
    <n v="480"/>
    <n v="469"/>
    <n v="-11"/>
    <m/>
    <d v="2025-01-03T08:53:00"/>
    <d v="2025-01-04T03:17:00"/>
    <d v="2025-01-03T10:09:00"/>
    <n v="-1023.2407407388868"/>
    <n v="75.6481481444401"/>
    <x v="4"/>
    <d v="2025-01-04T08:26:00"/>
    <d v="2025-01-04T13:38:00"/>
    <n v="305.50000000068394"/>
    <s v="Waited for empties from trade"/>
    <d v="2025-01-05T10:02:00"/>
    <d v="2025-01-05T10:59:00"/>
    <n v="55.81249999726424"/>
    <x v="0"/>
    <n v="1.9951388888875954"/>
    <n v="2"/>
    <n v="4.8611111124046147E-3"/>
    <n v="47.883333333302289"/>
    <n v="12"/>
    <n v="35.883333333302289"/>
    <n v="4.2805387830970618"/>
    <m/>
    <m/>
    <m/>
    <m/>
    <m/>
  </r>
  <r>
    <d v="2025-01-03T00:00:00"/>
    <x v="0"/>
    <m/>
    <s v="OM02L7BP"/>
    <s v="Manual"/>
    <m/>
    <s v="UBE 678K"/>
    <s v="Ntale and Sons Ltd-Kakiri"/>
    <n v="156"/>
    <s v="A19821"/>
    <s v="OM"/>
    <n v="620"/>
    <n v="612"/>
    <n v="-8"/>
    <m/>
    <d v="2025-01-03T08:05:00"/>
    <d v="2025-01-03T07:30:00"/>
    <d v="2025-01-03T08:45:00"/>
    <n v="74.652777770825196"/>
    <n v="39.814814819449872"/>
    <x v="0"/>
    <d v="2025-01-03T21:15:00"/>
    <d v="2025-01-04T03:22:00"/>
    <n v="359.35416666849051"/>
    <s v="Waited for empties from trade"/>
    <d v="2025-01-05T14:17:24"/>
    <d v="2025-01-05T15:14:24"/>
    <n v="55.81249999726424"/>
    <x v="0"/>
    <n v="2.2308333333348855"/>
    <n v="3"/>
    <n v="0.76916666666511446"/>
    <n v="53.540000000037253"/>
    <n v="24"/>
    <n v="29.540000000037253"/>
    <n v="5.2809749492147349"/>
    <m/>
    <m/>
    <m/>
    <m/>
    <m/>
  </r>
  <r>
    <d v="2025-01-03T00:00:00"/>
    <x v="0"/>
    <m/>
    <s v="OM02L7BK"/>
    <s v="Manual"/>
    <m/>
    <s v="UBE 678K"/>
    <s v="Kato Investments Ltd- Kakumiro"/>
    <n v="156"/>
    <s v="A19818"/>
    <s v="OM"/>
    <n v="765"/>
    <n v="767"/>
    <n v="2"/>
    <m/>
    <d v="2025-01-03T08:12:00"/>
    <d v="2025-01-03T07:30:00"/>
    <d v="2025-01-03T08:53:00"/>
    <n v="82.615740738886714"/>
    <n v="40.810185182635905"/>
    <x v="0"/>
    <d v="2025-01-03T17:53:00"/>
    <d v="2025-01-03T20:26:00"/>
    <n v="149.81249999589636"/>
    <m/>
    <d v="2025-01-04T21:07:38"/>
    <d v="2025-01-04T22:06:38"/>
    <n v="57.770833336981013"/>
    <x v="0"/>
    <n v="1.5101666666669189"/>
    <n v="3"/>
    <n v="1.4898333333330811"/>
    <n v="36.244000000006054"/>
    <n v="12"/>
    <n v="24.244000000006054"/>
    <n v="6.434581752184501"/>
    <m/>
    <m/>
    <m/>
    <m/>
    <m/>
  </r>
  <r>
    <d v="2025-01-03T00:00:00"/>
    <x v="0"/>
    <m/>
    <s v="OM02L7BR"/>
    <s v="Manual"/>
    <s v="MUKOSE MUZAMIRU"/>
    <s v="UBE 690K"/>
    <s v="Kabaco U Ltd"/>
    <n v="156"/>
    <s v="Z82048"/>
    <s v="OM"/>
    <n v="320"/>
    <n v="319"/>
    <n v="-1"/>
    <m/>
    <d v="2025-01-03T07:59:00"/>
    <d v="2025-01-03T07:30:00"/>
    <d v="2025-01-03T08:42:00"/>
    <n v="71.666666660409348"/>
    <n v="42.80092592986572"/>
    <x v="0"/>
    <d v="2025-01-03T14:42:00"/>
    <d v="2025-01-03T17:23:00"/>
    <n v="157.64583333424525"/>
    <m/>
    <d v="2025-01-04T11:48:12"/>
    <d v="2025-01-04T12:47:12"/>
    <n v="57.770833336981013"/>
    <x v="0"/>
    <n v="1.1293055555579485"/>
    <n v="2"/>
    <n v="0.87069444444205146"/>
    <n v="27.103333333390765"/>
    <n v="12"/>
    <n v="15.103333333390765"/>
    <n v="10.328845729380278"/>
    <m/>
    <m/>
    <m/>
    <m/>
    <m/>
  </r>
  <r>
    <d v="2025-01-03T00:00:00"/>
    <x v="0"/>
    <m/>
    <s v="OM02L777"/>
    <s v="Manual"/>
    <m/>
    <s v="UBP 311H"/>
    <s v="Kato Investments Ltd- Kyegegwa"/>
    <n v="156"/>
    <s v="A19812"/>
    <s v="OM"/>
    <n v="600"/>
    <n v="591"/>
    <n v="-9"/>
    <m/>
    <d v="2025-01-03T07:29:00"/>
    <d v="2025-01-03T07:30:00"/>
    <d v="2025-01-03T08:46:00"/>
    <n v="75.6481481444401"/>
    <n v="76.643518518055018"/>
    <x v="5"/>
    <d v="2025-01-04T11:06:00"/>
    <d v="2025-01-04T14:01:00"/>
    <n v="171.35416667122627"/>
    <m/>
    <d v="2025-01-04T21:16:00"/>
    <d v="2025-01-04T22:12:00"/>
    <n v="54.833333337664953"/>
    <x v="0"/>
    <n v="1.5208333333284827"/>
    <n v="2"/>
    <n v="0.47916666667151731"/>
    <n v="36.499999999883585"/>
    <n v="12"/>
    <n v="24.499999999883585"/>
    <n v="6.367346938805766"/>
    <m/>
    <m/>
    <m/>
    <m/>
    <m/>
  </r>
  <r>
    <d v="2025-01-03T00:00:00"/>
    <x v="0"/>
    <m/>
    <s v="OM02L77A"/>
    <s v="Manual"/>
    <m/>
    <s v="UBP 311H"/>
    <s v="Kobusinge Steven-FPortal"/>
    <n v="156"/>
    <s v="Z82042"/>
    <s v="OM"/>
    <n v="390"/>
    <n v="386"/>
    <n v="-4"/>
    <m/>
    <d v="2025-01-03T08:04:00"/>
    <d v="2025-01-03T07:30:00"/>
    <d v="2025-01-03T08:47:00"/>
    <n v="76.643518518055018"/>
    <n v="42.80092592986572"/>
    <x v="0"/>
    <d v="2025-01-04T10:17:00"/>
    <d v="2025-01-04T12:50:00"/>
    <n v="149.81249999589636"/>
    <m/>
    <d v="2025-01-05T08:56:22"/>
    <d v="2025-01-05T09:55:22"/>
    <n v="57.770833336981013"/>
    <x v="0"/>
    <n v="2.0065000000031432"/>
    <n v="2"/>
    <n v="-6.5000000031432137E-3"/>
    <n v="48.156000000075437"/>
    <n v="24"/>
    <n v="24.156000000075437"/>
    <n v="6.4580228514453069"/>
    <m/>
    <m/>
    <m/>
    <m/>
    <m/>
  </r>
  <r>
    <d v="2025-01-03T00:00:00"/>
    <x v="0"/>
    <m/>
    <s v="OM02L7BL"/>
    <s v="Manual"/>
    <s v="Ekwalikwa Yusuf"/>
    <s v="UBP 311H"/>
    <s v="Kobusinge Steven-Kamwenge"/>
    <n v="156"/>
    <s v="Z82047"/>
    <s v="OM"/>
    <n v="230"/>
    <n v="232"/>
    <n v="2"/>
    <m/>
    <d v="2025-01-03T08:23:00"/>
    <d v="2025-01-03T07:30:00"/>
    <d v="2025-01-03T09:02:00"/>
    <n v="91.574074070134273"/>
    <n v="38.819444445834961"/>
    <x v="0"/>
    <d v="2025-01-04T09:32:00"/>
    <d v="2025-01-04T12:01:00"/>
    <n v="145.89583333698101"/>
    <m/>
    <d v="2025-01-04T19:43:00"/>
    <d v="2025-01-04T20:35:00"/>
    <n v="50.916666668490507"/>
    <x v="0"/>
    <n v="1.445138888891961"/>
    <n v="2"/>
    <n v="0.55486111110803904"/>
    <n v="34.683333333407063"/>
    <n v="12"/>
    <n v="22.683333333407063"/>
    <n v="6.877296105782202"/>
    <m/>
    <m/>
    <m/>
    <m/>
    <m/>
  </r>
  <r>
    <d v="2025-01-03T00:00:00"/>
    <x v="0"/>
    <m/>
    <s v="OM02L7BM"/>
    <s v="Manual"/>
    <s v="Ekwalikwa Yusuf"/>
    <s v="UBP 311H"/>
    <s v="Kato Investment Ltd -Mubende"/>
    <n v="154.34400000000002"/>
    <s v="A19820"/>
    <s v="OM"/>
    <n v="680"/>
    <n v="682"/>
    <n v="2"/>
    <m/>
    <d v="2025-01-03T08:15:00"/>
    <d v="2025-01-03T07:30:00"/>
    <d v="2025-01-03T08:58:00"/>
    <n v="87.592592586103521"/>
    <n v="42.80092592986572"/>
    <x v="0"/>
    <d v="2025-01-04T11:15:00"/>
    <d v="2025-01-04T14:10:00"/>
    <n v="171.35416667122627"/>
    <m/>
    <d v="2025-01-05T18:52:48"/>
    <d v="2025-01-05T19:39:48"/>
    <n v="46.020833329457673"/>
    <x v="0"/>
    <n v="2.4130555555530009"/>
    <n v="2"/>
    <n v="-0.41305555555300089"/>
    <n v="57.913333333272021"/>
    <n v="24"/>
    <n v="33.913333333272021"/>
    <n v="4.5511303322276113"/>
    <m/>
    <m/>
    <m/>
    <m/>
    <m/>
  </r>
  <r>
    <d v="2025-01-03T00:00:00"/>
    <x v="0"/>
    <m/>
    <s v="OM02L77B"/>
    <s v="Manual"/>
    <m/>
    <s v="UBP 311H"/>
    <s v="KATO INVESTMENTS LTD-KATIKARA"/>
    <n v="156"/>
    <s v="A19813"/>
    <s v="OM"/>
    <n v="790"/>
    <n v="792"/>
    <n v="2"/>
    <m/>
    <d v="2025-01-03T07:58:00"/>
    <d v="2025-01-03T07:30:00"/>
    <d v="2025-01-03T08:38:00"/>
    <n v="67.685185186807459"/>
    <n v="39.814814819449872"/>
    <x v="0"/>
    <d v="2025-01-04T09:53:00"/>
    <d v="2025-01-04T15:29:00"/>
    <n v="328.99999999521242"/>
    <s v="found another truck to be offloaded"/>
    <d v="2025-01-05T19:40:00"/>
    <d v="2025-01-05T20:39:00"/>
    <n v="57.770833336981013"/>
    <x v="0"/>
    <n v="2.4597222222218988"/>
    <n v="3"/>
    <n v="0.54027777777810115"/>
    <n v="59.033333333325572"/>
    <n v="24"/>
    <n v="35.033333333325572"/>
    <n v="4.4529019980980369"/>
    <m/>
    <m/>
    <m/>
    <m/>
    <m/>
  </r>
  <r>
    <d v="2025-01-03T00:00:00"/>
    <x v="0"/>
    <m/>
    <s v="OM02L7BH"/>
    <s v="Manual"/>
    <m/>
    <s v="UBP 311H"/>
    <s v="Kobusinge Steven-FPortal"/>
    <n v="156"/>
    <s v="Z82046"/>
    <s v="OM"/>
    <n v="390"/>
    <n v="386"/>
    <n v="-4"/>
    <m/>
    <d v="2025-01-03T07:35:00"/>
    <d v="2025-01-03T07:30:00"/>
    <d v="2025-01-03T08:38:00"/>
    <n v="67.685185186807459"/>
    <n v="62.708333329161782"/>
    <x v="3"/>
    <d v="2025-01-04T10:08:00"/>
    <d v="2025-01-04T12:41:00"/>
    <n v="149.81249999589636"/>
    <m/>
    <d v="2025-01-05T09:30:34"/>
    <d v="2025-01-05T10:27:34"/>
    <n v="55.81249999726424"/>
    <x v="0"/>
    <n v="2.0365000000019791"/>
    <n v="2"/>
    <n v="-3.650000000197906E-2"/>
    <n v="48.876000000047497"/>
    <n v="24"/>
    <n v="24.876000000047497"/>
    <n v="6.2711046791969025"/>
    <m/>
    <m/>
    <m/>
    <m/>
    <m/>
  </r>
  <r>
    <d v="2025-01-03T12:01:02"/>
    <x v="0"/>
    <m/>
    <s v="OMJVKLYRR"/>
    <s v="DJ"/>
    <s v="Abel Mark naffa"/>
    <s v="UBJ 415C"/>
    <s v="KATO INVESTMENTS LIMITED-MASAK"/>
    <n v="153.60000000000002"/>
    <s v="F15660"/>
    <s v="OM"/>
    <n v="340"/>
    <n v="255"/>
    <n v="-85"/>
    <m/>
    <d v="2025-01-03T16:19:00"/>
    <d v="2025-01-04T04:14:00"/>
    <d v="2025-01-03T16:54:00"/>
    <n v="-676.85185184721684"/>
    <n v="34.837962961804202"/>
    <x v="0"/>
    <d v="2025-01-04T12:00:00"/>
    <d v="2025-01-04T14:29:00"/>
    <n v="145.89583333698101"/>
    <m/>
    <d v="2025-01-06T13:03:00"/>
    <d v="2025-01-06T14:02:00"/>
    <n v="57.770833336981013"/>
    <x v="0"/>
    <n v="2.8395833333270275"/>
    <n v="2"/>
    <n v="-0.8395833333270275"/>
    <n v="68.14999999984866"/>
    <n v="24"/>
    <n v="44.14999999984866"/>
    <n v="3.4790486976336701"/>
    <m/>
    <m/>
    <m/>
    <m/>
    <m/>
  </r>
  <r>
    <d v="2025-01-03T12:03:43"/>
    <x v="0"/>
    <m/>
    <s v="OMFII1DRR"/>
    <s v="Manual"/>
    <s v="Angello Lumala"/>
    <s v="UAV 051U"/>
    <s v="KATO INVESTMENTS LTD- KALISIZO"/>
    <n v="153.60000000000002"/>
    <s v="F15661"/>
    <s v="OM"/>
    <n v="350"/>
    <n v="351"/>
    <n v="1"/>
    <m/>
    <d v="2025-01-04T00:32:43"/>
    <d v="2025-01-04T00:03:43"/>
    <d v="2025-01-04T01:15:43"/>
    <n v="71.666666660409348"/>
    <n v="42.80092592986572"/>
    <x v="0"/>
    <d v="2025-01-04T08:15:43"/>
    <d v="2025-01-04T10:48:43"/>
    <n v="149.81249999589636"/>
    <m/>
    <d v="2025-01-04T18:15:43"/>
    <d v="2025-01-04T19:14:43"/>
    <n v="57.770833336981013"/>
    <x v="0"/>
    <n v="0.70833333333575865"/>
    <n v="2"/>
    <n v="1.2916666666642413"/>
    <n v="17.000000000058208"/>
    <n v="0"/>
    <n v="17.000000000058208"/>
    <n v="9.0352941176161234"/>
    <m/>
    <m/>
    <m/>
    <m/>
    <m/>
  </r>
  <r>
    <d v="2025-01-03T12:07:32"/>
    <x v="0"/>
    <m/>
    <s v="OMY3M6PRR"/>
    <s v="DJ"/>
    <s v="Tumusiime Robert"/>
    <s v="UBJ 988D"/>
    <s v="RUGOMA TRADERS CO. LTD NTUNGAM"/>
    <n v="153.60000000000002"/>
    <s v="F15662"/>
    <s v="OM"/>
    <n v="130"/>
    <n v="129"/>
    <n v="-1"/>
    <m/>
    <d v="2025-01-03T17:25:00"/>
    <d v="2025-01-04T06:15:00"/>
    <d v="2025-01-03T18:04:00"/>
    <n v="-727.61574073471513"/>
    <n v="38.819444445834961"/>
    <x v="0"/>
    <d v="2025-01-04T07:58:00"/>
    <d v="2025-01-04T10:39:00"/>
    <n v="157.64583333424525"/>
    <m/>
    <d v="2025-01-04T17:08:00"/>
    <d v="2025-01-04T18:07:00"/>
    <n v="57.770833336981013"/>
    <x v="0"/>
    <n v="0.96111111110803904"/>
    <n v="1"/>
    <n v="3.888888889196096E-2"/>
    <n v="23.066666666592937"/>
    <n v="0"/>
    <n v="23.066666666592937"/>
    <n v="6.6589595375935398"/>
    <m/>
    <m/>
    <m/>
    <m/>
    <m/>
  </r>
  <r>
    <d v="2025-01-03T12:08:24"/>
    <x v="0"/>
    <m/>
    <s v="OM0MCP3RR"/>
    <s v="DJ"/>
    <s v="SULAIMAN MUBIRU"/>
    <s v="UBK 862R"/>
    <s v="Boniface Harera"/>
    <n v="156"/>
    <s v="F15663"/>
    <s v="OM"/>
    <n v="470"/>
    <n v="469"/>
    <n v="-1"/>
    <m/>
    <d v="2025-01-03T14:35:00"/>
    <d v="2025-01-04T01:30:00"/>
    <d v="2025-01-03T15:28:00"/>
    <n v="-599.21296296597575"/>
    <n v="52.75462963472819"/>
    <x v="2"/>
    <d v="2025-01-04T10:21:00"/>
    <d v="2025-01-04T13:16:00"/>
    <n v="171.35416667122627"/>
    <m/>
    <d v="2025-01-04T10:15:00"/>
    <d v="2025-01-04T11:09:00"/>
    <n v="52.87499999794818"/>
    <x v="0"/>
    <n v="0.78263888889341615"/>
    <n v="2"/>
    <n v="1.2173611111065838"/>
    <n v="18.783333333441988"/>
    <n v="0"/>
    <n v="18.783333333441988"/>
    <n v="8.3052351374852318"/>
    <m/>
    <m/>
    <m/>
    <m/>
    <m/>
  </r>
  <r>
    <d v="2025-01-03T20:31:37"/>
    <x v="0"/>
    <m/>
    <s v="OMHN31TRR"/>
    <s v="DJ"/>
    <s v="Konge Husein"/>
    <s v="UBJ 707D"/>
    <s v="Kabaco U Ltd-Mbarara"/>
    <n v="151.80000000000001"/>
    <s v="Z82049"/>
    <s v="OM"/>
    <n v="20"/>
    <n v="14"/>
    <n v="-6"/>
    <m/>
    <d v="2025-01-04T07:29:00"/>
    <d v="2025-01-04T07:42:00"/>
    <d v="2025-01-04T08:22:00"/>
    <n v="39.814814819449872"/>
    <n v="52.75462963472819"/>
    <x v="2"/>
    <d v="2025-01-04T09:13:00"/>
    <d v="2025-01-04T14:33:00"/>
    <n v="313.33333332877373"/>
    <s v="Waited for empties from trade"/>
    <d v="2025-01-04T14:12:00"/>
    <d v="2025-01-04T14:59:00"/>
    <n v="46.020833329457673"/>
    <x v="0"/>
    <n v="0.24305555555474712"/>
    <n v="2"/>
    <n v="1.7569444444452529"/>
    <n v="5.8333333333139308"/>
    <n v="0"/>
    <n v="5.8333333333139308"/>
    <n v="26.0228571429437"/>
    <m/>
    <m/>
    <m/>
    <m/>
    <m/>
  </r>
  <r>
    <d v="2025-01-03T20:38:28"/>
    <x v="0"/>
    <m/>
    <s v="OM4WLDZRR"/>
    <s v="Manual"/>
    <s v="Kabene John"/>
    <s v="UBA 523T"/>
    <s v="RUGOMA TRADERS CO. LTD NTUNGAM"/>
    <n v="153.60000000000002"/>
    <s v="F15664"/>
    <s v="OM"/>
    <n v="130"/>
    <n v="129"/>
    <n v="-1"/>
    <m/>
    <d v="2025-01-04T09:03:28"/>
    <d v="2025-01-04T08:38:28"/>
    <d v="2025-01-04T09:46:28"/>
    <n v="67.685185186807459"/>
    <n v="42.80092592986572"/>
    <x v="0"/>
    <d v="2025-01-04T12:02:28"/>
    <d v="2025-01-04T14:49:28"/>
    <n v="163.52083333287737"/>
    <m/>
    <d v="2025-01-04T18:38:28"/>
    <d v="2025-01-04T19:37:28"/>
    <n v="57.770833336981013"/>
    <x v="0"/>
    <n v="0.36944444444816327"/>
    <n v="1"/>
    <n v="0.63055555555183673"/>
    <n v="8.8666666667559184"/>
    <n v="0"/>
    <n v="8.8666666667559184"/>
    <n v="17.323308270502316"/>
    <m/>
    <m/>
    <m/>
    <m/>
    <m/>
  </r>
  <r>
    <d v="2025-01-03T20:42:06"/>
    <x v="0"/>
    <m/>
    <s v="OMF1PUWRR"/>
    <s v="DJ"/>
    <s v="Bisaso  Ronald"/>
    <s v="UBK 875R"/>
    <s v="Ntale and Sons"/>
    <n v="151.94400000000002"/>
    <s v="A19824"/>
    <s v="OM"/>
    <n v="810"/>
    <n v="809"/>
    <n v="-1"/>
    <m/>
    <d v="2025-01-04T08:14:00"/>
    <d v="2025-01-03T21:30:00"/>
    <d v="2025-01-04T08:53:00"/>
    <n v="679.83796295763261"/>
    <n v="38.819444445834961"/>
    <x v="0"/>
    <d v="2025-01-06T14:32:00"/>
    <d v="2025-01-06T17:05:00"/>
    <n v="149.81249999589636"/>
    <m/>
    <d v="2025-01-07T20:41:00"/>
    <d v="2025-01-07T21:40:00"/>
    <n v="57.770833336981013"/>
    <x v="0"/>
    <n v="3.4916666666686069"/>
    <n v="3"/>
    <n v="-0.49166666666860692"/>
    <n v="83.800000000046566"/>
    <n v="36"/>
    <n v="47.800000000046566"/>
    <n v="3.1787447698713804"/>
    <m/>
    <m/>
    <m/>
    <m/>
    <m/>
  </r>
  <r>
    <d v="2025-01-03T20:43:12"/>
    <x v="0"/>
    <m/>
    <s v="OM7HSU6RR"/>
    <s v="DJ"/>
    <s v="Isaac Tumuhimbise"/>
    <s v="UBE 287X"/>
    <s v="KATO INVESTMENTS LIMITED-MASAK"/>
    <n v="153.60000000000002"/>
    <s v="F15665"/>
    <s v="OM"/>
    <n v="340"/>
    <n v="296"/>
    <n v="-44"/>
    <m/>
    <d v="2025-01-04T11:16:00"/>
    <d v="2025-01-04T04:14:00"/>
    <d v="2025-01-04T11:56:00"/>
    <n v="459.86111110833008"/>
    <n v="39.814814819449872"/>
    <x v="0"/>
    <d v="2025-01-05T09:05:00"/>
    <d v="2025-01-05T12:00:00"/>
    <n v="171.35416667122627"/>
    <m/>
    <d v="2025-01-05T15:58:00"/>
    <d v="2025-01-05T16:55:00"/>
    <n v="55.81249999726424"/>
    <x v="0"/>
    <n v="1.1680555555576575"/>
    <n v="2"/>
    <n v="0.8319444444423425"/>
    <n v="28.03333333338378"/>
    <n v="12"/>
    <n v="16.03333333338378"/>
    <n v="9.5800415800114394"/>
    <m/>
    <m/>
    <m/>
    <m/>
    <m/>
  </r>
  <r>
    <d v="2025-01-03T20:43:57"/>
    <x v="0"/>
    <m/>
    <s v="OMS5GYURR"/>
    <s v="DJ"/>
    <s v="NAMINYA SIRAJE"/>
    <s v="UBP 301H"/>
    <s v="Boniface Harera"/>
    <n v="156"/>
    <s v="F15666"/>
    <s v="OM"/>
    <n v="470"/>
    <n v="469"/>
    <n v="-1"/>
    <m/>
    <d v="2025-01-03T19:27:00"/>
    <d v="2025-01-04T01:30:00"/>
    <d v="2025-01-03T20:07:00"/>
    <n v="-321.5046296242993"/>
    <n v="39.814814819449872"/>
    <x v="0"/>
    <d v="2025-01-06T13:44:00"/>
    <d v="2025-01-06T16:31:00"/>
    <n v="163.52083333287737"/>
    <m/>
    <d v="2025-01-07T15:40:00"/>
    <d v="2025-01-07T16:29:00"/>
    <n v="47.979166669174447"/>
    <x v="0"/>
    <n v="3.8145833333328483"/>
    <n v="2"/>
    <n v="-1.8145833333328483"/>
    <n v="91.549999999988358"/>
    <n v="36"/>
    <n v="55.549999999988358"/>
    <n v="2.8082808280833969"/>
    <m/>
    <m/>
    <m/>
    <m/>
    <m/>
  </r>
  <r>
    <d v="2025-01-03T20:44:46"/>
    <x v="0"/>
    <m/>
    <s v="OMF7GZSRR"/>
    <s v="DJ"/>
    <s v="BYEKWASO TWAHA"/>
    <s v="UBE 680K"/>
    <s v="Kato Investments Ltd-Bulenga"/>
    <n v="156"/>
    <s v="A19825"/>
    <s v="OM"/>
    <n v="560"/>
    <n v="507"/>
    <n v="-53"/>
    <m/>
    <d v="2025-01-03T19:49:00"/>
    <d v="2025-01-03T21:30:00"/>
    <d v="2025-01-03T20:29:00"/>
    <n v="-60.717592602789715"/>
    <n v="39.814814819449872"/>
    <x v="0"/>
    <d v="2025-01-04T16:33:00"/>
    <d v="2025-01-04T19:28:00"/>
    <n v="171.35416667122627"/>
    <m/>
    <d v="2025-01-05T10:04:00"/>
    <d v="2025-01-05T11:00:00"/>
    <n v="54.833333337664953"/>
    <x v="0"/>
    <n v="1.5659722222262644"/>
    <n v="3"/>
    <n v="1.4340277777737356"/>
    <n v="37.583333333430346"/>
    <n v="12"/>
    <n v="25.583333333430346"/>
    <n v="6.0977198696837176"/>
    <m/>
    <m/>
    <m/>
    <m/>
    <m/>
  </r>
  <r>
    <d v="2025-01-03T23:38:19"/>
    <x v="0"/>
    <m/>
    <s v="OMUDTTERR"/>
    <s v="DJ"/>
    <s v="Kilabila Ismail"/>
    <s v="UBE 419T"/>
    <s v="Rugoma Traders-Kanungu/Kihihi"/>
    <n v="153.60000000000002"/>
    <s v="F15667"/>
    <s v="OM"/>
    <n v="414"/>
    <n v="413"/>
    <n v="-1"/>
    <m/>
    <d v="2025-01-04T18:26:00"/>
    <d v="2025-01-04T08:30:00"/>
    <d v="2025-01-04T19:09:00"/>
    <n v="636.04166667500976"/>
    <n v="42.80092592986572"/>
    <x v="0"/>
    <d v="2025-01-05T10:51:00"/>
    <d v="2025-01-05T16:08:00"/>
    <n v="310.39583332945767"/>
    <s v="Waited for empties from trade"/>
    <d v="2025-01-06T11:17:00"/>
    <d v="2025-01-06T12:11:00"/>
    <n v="52.87499999794818"/>
    <x v="0"/>
    <n v="1.6722222222160781"/>
    <n v="2"/>
    <n v="0.32777777778392192"/>
    <n v="40.133333333185874"/>
    <n v="12"/>
    <n v="28.133333333185874"/>
    <n v="5.4597156398390441"/>
    <m/>
    <m/>
    <m/>
    <m/>
    <m/>
  </r>
  <r>
    <d v="2025-01-03T23:39:11"/>
    <x v="0"/>
    <m/>
    <s v="OM8Y8XJRR"/>
    <s v="DJ"/>
    <s v="Stephen Musoke "/>
    <s v="UBJ 375N"/>
    <s v="Agaba Services"/>
    <n v="153.60000000000002"/>
    <s v="F15668"/>
    <s v="OM"/>
    <n v="302"/>
    <n v="290"/>
    <n v="-12"/>
    <m/>
    <d v="2025-01-04T13:20:00"/>
    <d v="2025-01-04T08:30:00"/>
    <d v="2025-01-04T14:00:00"/>
    <n v="328.4722222291748"/>
    <n v="39.814814819449872"/>
    <x v="0"/>
    <d v="2025-01-04T18:38:00"/>
    <d v="2025-01-04T21:11:00"/>
    <n v="149.81249999589636"/>
    <m/>
    <d v="2025-01-05T14:44:00"/>
    <d v="2025-01-05T15:41:00"/>
    <n v="55.81249999726424"/>
    <x v="0"/>
    <n v="1.0305555555532919"/>
    <n v="2"/>
    <n v="0.96944444444670808"/>
    <n v="24.733333333279006"/>
    <n v="12"/>
    <n v="12.733333333279006"/>
    <n v="12.062827225182359"/>
    <m/>
    <m/>
    <m/>
    <m/>
    <m/>
  </r>
  <r>
    <d v="2025-01-03T23:39:53"/>
    <x v="0"/>
    <m/>
    <s v="OM4CG3KRR"/>
    <s v="Manual"/>
    <s v="Luyaga Isaac"/>
    <s v="UAY 265V"/>
    <s v="KATO INVESTMENTS LTD- KALISIZO"/>
    <n v="152.00200000000001"/>
    <s v="F15669"/>
    <s v="OM"/>
    <n v="350"/>
    <n v="351"/>
    <n v="1"/>
    <m/>
    <d v="2025-01-04T11:20:00"/>
    <d v="2025-01-04T08:30:00"/>
    <d v="2025-01-04T11:59:00"/>
    <n v="208.03240740763917"/>
    <n v="38.819444445834961"/>
    <x v="0"/>
    <d v="2025-01-04T19:21:00"/>
    <d v="2025-01-04T21:54:00"/>
    <n v="149.81249999589636"/>
    <m/>
    <d v="2025-01-05T18:10:00"/>
    <d v="2025-01-05T18:57:00"/>
    <n v="46.020833329457673"/>
    <x v="0"/>
    <n v="1.257638888891961"/>
    <n v="2"/>
    <n v="0.74236111110803904"/>
    <n v="30.183333333407063"/>
    <n v="12"/>
    <n v="18.183333333407063"/>
    <n v="8.359413382184254"/>
    <m/>
    <m/>
    <m/>
    <m/>
    <m/>
  </r>
  <r>
    <d v="2025-01-04T00:00:00"/>
    <x v="0"/>
    <m/>
    <s v="OM02L7HP"/>
    <s v="Manual"/>
    <s v="MUKOSE MUZAMIRU"/>
    <s v="UBE 690K"/>
    <s v="Rugoma Traders-Rukungiri"/>
    <n v="156"/>
    <s v="Z82057"/>
    <s v="OM"/>
    <n v="256"/>
    <n v="255"/>
    <n v="-1"/>
    <m/>
    <d v="2025-01-04T07:58:00"/>
    <d v="2025-01-04T07:30:00"/>
    <d v="2025-01-04T08:38:00"/>
    <n v="67.685185186807459"/>
    <n v="39.814814819449872"/>
    <x v="0"/>
    <d v="2025-01-04T15:38:00"/>
    <d v="2025-01-04T18:11:00"/>
    <n v="149.81249999589636"/>
    <m/>
    <d v="2025-01-04T21:02:00"/>
    <d v="2025-01-04T21:54:00"/>
    <n v="50.916666668490507"/>
    <x v="0"/>
    <n v="0.51666666666278616"/>
    <n v="2"/>
    <n v="1.4833333333372138"/>
    <n v="12.399999999906868"/>
    <n v="0"/>
    <n v="12.399999999906868"/>
    <n v="12.580645161384812"/>
    <m/>
    <m/>
    <m/>
    <m/>
    <m/>
  </r>
  <r>
    <d v="2025-01-04T00:00:00"/>
    <x v="0"/>
    <m/>
    <s v="OM02L7EK"/>
    <s v="Manual"/>
    <s v="MUKOSE MUZAMIRU"/>
    <s v="UBE 690K"/>
    <s v="Kato Investment Ltd -Kagadi"/>
    <n v="156"/>
    <s v="A19840"/>
    <s v="OM"/>
    <n v="670"/>
    <n v="612"/>
    <n v="-58"/>
    <m/>
    <d v="2025-01-04T07:20:00"/>
    <d v="2025-01-04T07:30:00"/>
    <d v="2025-01-04T08:04:00"/>
    <n v="33.842592588189291"/>
    <n v="43.796296293051761"/>
    <x v="0"/>
    <d v="2025-01-05T11:34:00"/>
    <d v="2025-01-05T14:29:00"/>
    <n v="171.35416667122627"/>
    <m/>
    <d v="2025-01-06T14:59:31"/>
    <d v="2025-01-06T15:58:31"/>
    <n v="57.770833336981013"/>
    <x v="0"/>
    <n v="2.2885555555549217"/>
    <n v="2"/>
    <n v="-0.28855555555492174"/>
    <n v="54.925333333318122"/>
    <n v="24"/>
    <n v="30.925333333318122"/>
    <n v="5.0444080365636612"/>
    <m/>
    <m/>
    <m/>
    <m/>
    <m/>
  </r>
  <r>
    <d v="2025-01-04T00:00:00"/>
    <x v="0"/>
    <m/>
    <s v="OM02L7EN"/>
    <s v="Manual"/>
    <m/>
    <s v="UBE 678K"/>
    <s v="Ntale and Sons Ltd-Kakiri"/>
    <n v="156"/>
    <s v="A19842"/>
    <s v="OM"/>
    <n v="620"/>
    <n v="602"/>
    <n v="-18"/>
    <m/>
    <d v="2025-01-04T07:54:00"/>
    <d v="2025-01-04T07:30:00"/>
    <d v="2025-01-04T08:38:00"/>
    <n v="67.685185186807459"/>
    <n v="43.796296293051761"/>
    <x v="0"/>
    <d v="2025-01-04T21:08:00"/>
    <d v="2025-01-04T23:41:00"/>
    <n v="149.81249999589636"/>
    <m/>
    <d v="2025-01-06T11:10:24"/>
    <d v="2025-01-06T11:59:24"/>
    <n v="47.979166669174447"/>
    <x v="0"/>
    <n v="2.1058333333348855"/>
    <n v="3"/>
    <n v="0.89416666666511446"/>
    <n v="50.540000000037253"/>
    <n v="24"/>
    <n v="26.540000000037253"/>
    <n v="5.87792012056447"/>
    <m/>
    <m/>
    <m/>
    <m/>
    <m/>
  </r>
  <r>
    <d v="2025-01-04T00:00:00"/>
    <x v="0"/>
    <m/>
    <s v="OM02L7HG"/>
    <s v="Manual"/>
    <s v="MUKOSE MUZAMIRU"/>
    <s v="UBE 690K"/>
    <s v="Kobusinge Steven-FPortal"/>
    <n v="156"/>
    <s v="Z82054"/>
    <s v="OM"/>
    <n v="390"/>
    <n v="392"/>
    <n v="2"/>
    <m/>
    <d v="2025-01-04T07:58:00"/>
    <d v="2025-01-04T07:30:00"/>
    <d v="2025-01-04T08:38:00"/>
    <n v="67.685185186807459"/>
    <n v="39.814814819449872"/>
    <x v="0"/>
    <d v="2025-01-05T10:08:00"/>
    <d v="2025-01-05T12:55:00"/>
    <n v="163.52083333287737"/>
    <m/>
    <d v="2025-01-06T10:51:12"/>
    <d v="2025-01-06T11:44:12"/>
    <n v="51.895833338348893"/>
    <x v="0"/>
    <n v="2.0924999999988358"/>
    <n v="2"/>
    <n v="-9.2499999998835847E-2"/>
    <n v="50.21999999997206"/>
    <n v="24"/>
    <n v="26.21999999997206"/>
    <n v="5.9496567505784226"/>
    <m/>
    <m/>
    <m/>
    <m/>
    <m/>
  </r>
  <r>
    <d v="2025-01-04T00:00:00"/>
    <x v="0"/>
    <m/>
    <s v="OM02L7HR"/>
    <s v="Manual"/>
    <s v="MUKOSE MUZAMIRU"/>
    <s v="UBE 690K"/>
    <s v="Kato Investment Ltd -Kagadi"/>
    <n v="156"/>
    <s v="A19849"/>
    <s v="OM"/>
    <n v="670"/>
    <n v="603"/>
    <n v="-67"/>
    <m/>
    <d v="2025-01-04T12:53:00"/>
    <d v="2025-01-04T12:00:00"/>
    <d v="2025-01-04T13:32:00"/>
    <n v="91.574074070134273"/>
    <n v="38.819444445834961"/>
    <x v="0"/>
    <d v="2025-01-05T15:32:00"/>
    <d v="2025-01-05T18:27:00"/>
    <n v="171.35416667122627"/>
    <m/>
    <d v="2025-01-06T16:55:31"/>
    <d v="2025-01-06T17:51:31"/>
    <n v="54.833333337664953"/>
    <x v="0"/>
    <n v="2.1413333333330229"/>
    <n v="2"/>
    <n v="-0.14133333333302289"/>
    <n v="51.391999999992549"/>
    <n v="24"/>
    <n v="27.391999999992549"/>
    <n v="5.6950934579454744"/>
    <m/>
    <m/>
    <m/>
    <m/>
    <m/>
  </r>
  <r>
    <d v="2025-01-04T00:00:00"/>
    <x v="0"/>
    <m/>
    <s v="OM02L7HJ"/>
    <s v="Manual"/>
    <m/>
    <s v="UBE 678K"/>
    <s v="Kabaco U Ltd"/>
    <n v="156"/>
    <s v="Z82055"/>
    <s v="OM"/>
    <n v="320"/>
    <n v="321"/>
    <n v="1"/>
    <m/>
    <d v="2025-01-04T07:58:00"/>
    <d v="2025-01-04T07:30:00"/>
    <d v="2025-01-04T08:38:00"/>
    <n v="67.685185186807459"/>
    <n v="39.814814819449872"/>
    <x v="0"/>
    <d v="2025-01-04T14:38:00"/>
    <d v="2025-01-04T17:07:00"/>
    <n v="145.89583333698101"/>
    <m/>
    <d v="2025-01-05T10:03:12"/>
    <d v="2025-01-05T10:52:12"/>
    <n v="47.979166669174447"/>
    <x v="0"/>
    <n v="1.0591666666659876"/>
    <n v="2"/>
    <n v="0.94083333333401242"/>
    <n v="25.419999999983702"/>
    <n v="12"/>
    <n v="13.419999999983702"/>
    <n v="11.624441132651972"/>
    <m/>
    <m/>
    <m/>
    <m/>
    <m/>
  </r>
  <r>
    <d v="2025-01-04T00:00:00"/>
    <x v="0"/>
    <m/>
    <s v="OM02L7HQ"/>
    <s v="Manual"/>
    <m/>
    <s v="UBE 678K"/>
    <s v="Kobusinge Steven-Kamwenge"/>
    <n v="156"/>
    <s v="Z82058"/>
    <s v="OM"/>
    <n v="230"/>
    <n v="229"/>
    <n v="-1"/>
    <m/>
    <d v="2025-01-04T07:58:00"/>
    <d v="2025-01-04T07:30:00"/>
    <d v="2025-01-04T08:38:00"/>
    <n v="67.685185186807459"/>
    <n v="39.814814819449872"/>
    <x v="0"/>
    <d v="2025-01-05T09:08:00"/>
    <d v="2025-01-05T11:41:00"/>
    <n v="149.81249999589636"/>
    <m/>
    <d v="2025-01-05T18:54:00"/>
    <d v="2025-01-05T19:43:00"/>
    <n v="47.979166669174447"/>
    <x v="0"/>
    <n v="1.4277777777751908"/>
    <n v="2"/>
    <n v="0.57222222222480923"/>
    <n v="34.266666666604578"/>
    <n v="12"/>
    <n v="22.266666666604578"/>
    <n v="7.0059880239716312"/>
    <m/>
    <m/>
    <m/>
    <m/>
    <m/>
  </r>
  <r>
    <d v="2025-01-04T11:34:15"/>
    <x v="0"/>
    <m/>
    <s v="OMWYCZRRR"/>
    <s v="DJ"/>
    <s v="Konge Husein"/>
    <s v="UBJ 707D"/>
    <s v="KATO INVESTMENTS LTD- KALISIZO"/>
    <n v="153.60000000000002"/>
    <s v="F15670"/>
    <s v="OM"/>
    <n v="350"/>
    <n v="351"/>
    <n v="1"/>
    <m/>
    <d v="2025-01-04T15:11:00"/>
    <d v="2025-01-05T08:00:00"/>
    <d v="2025-01-04T15:51:00"/>
    <n v="-964.51388889375573"/>
    <n v="39.814814819449872"/>
    <x v="0"/>
    <d v="2025-01-05T09:25:00"/>
    <d v="2025-01-05T12:12:00"/>
    <n v="163.52083333287737"/>
    <m/>
    <d v="2025-01-06T12:25:00"/>
    <d v="2025-01-06T13:24:00"/>
    <n v="57.770833336981013"/>
    <x v="0"/>
    <n v="1.8569444444437977"/>
    <n v="2"/>
    <n v="0.14305555555620231"/>
    <n v="44.566666666651145"/>
    <n v="12"/>
    <n v="32.566666666651145"/>
    <n v="4.7164790174024533"/>
    <m/>
    <m/>
    <m/>
    <m/>
    <m/>
  </r>
  <r>
    <d v="2025-01-04T11:41:53"/>
    <x v="0"/>
    <m/>
    <s v="OM2E5A6RR"/>
    <s v="DJ"/>
    <s v="Jacob Oneka"/>
    <s v="UBE 422T"/>
    <s v="KATO INVESTMENTS LIMITED-MASAK"/>
    <n v="153.60000000000002"/>
    <s v="F15671"/>
    <s v="OM"/>
    <n v="340"/>
    <n v="299"/>
    <n v="-41"/>
    <m/>
    <d v="2025-01-04T14:00:00"/>
    <d v="2025-01-05T04:14:00"/>
    <d v="2025-01-04T15:03:00"/>
    <n v="-787.33796296388994"/>
    <n v="62.708333329161782"/>
    <x v="5"/>
    <d v="2025-01-04T18:43:00"/>
    <d v="2025-01-04T21:16:00"/>
    <n v="149.81249999589636"/>
    <m/>
    <d v="2025-01-05T17:50:00"/>
    <d v="2025-01-05T18:44:00"/>
    <n v="52.87499999794818"/>
    <x v="0"/>
    <n v="1.1159722222218988"/>
    <n v="2"/>
    <n v="0.88402777777810115"/>
    <n v="26.783333333325572"/>
    <n v="12"/>
    <n v="14.783333333325572"/>
    <n v="10.390078917705569"/>
    <m/>
    <m/>
    <m/>
    <m/>
    <m/>
  </r>
  <r>
    <d v="2025-01-04T19:37:50"/>
    <x v="0"/>
    <m/>
    <s v="OMO3M45RR"/>
    <s v="DJ"/>
    <s v="NASASIRA STEPHENE"/>
    <s v="UBK 882R"/>
    <s v="Kato Investment Ltd -Mityana"/>
    <n v="187.20000000000002"/>
    <s v="A19850"/>
    <s v="OM"/>
    <n v="690"/>
    <n v="692"/>
    <n v="2"/>
    <m/>
    <d v="2025-01-05T10:03:00"/>
    <d v="2025-01-04T21:00:00"/>
    <d v="2025-01-05T11:00:00"/>
    <n v="836.1111111145874"/>
    <n v="56.736111108330078"/>
    <x v="1"/>
    <d v="2025-01-06T10:17:00"/>
    <d v="2025-01-06T12:50:00"/>
    <n v="149.81249999589636"/>
    <m/>
    <d v="2025-01-07T06:25:00"/>
    <d v="2025-01-07T07:21:00"/>
    <n v="54.833333337664953"/>
    <x v="0"/>
    <n v="1.8090277777737356"/>
    <n v="2"/>
    <n v="0.19097222222626442"/>
    <n v="43.416666666569654"/>
    <n v="12"/>
    <n v="31.416666666569654"/>
    <n v="5.9586206896735732"/>
    <m/>
    <m/>
    <m/>
    <m/>
    <m/>
  </r>
  <r>
    <d v="2025-01-04T19:38:31"/>
    <x v="0"/>
    <m/>
    <s v="OMCD8ZSRR"/>
    <s v="Manual"/>
    <m/>
    <s v="UBJ 417C"/>
    <s v="Boniface Harera"/>
    <n v="156"/>
    <s v="F15672"/>
    <s v="OM"/>
    <n v="470"/>
    <n v="465"/>
    <n v="-5"/>
    <m/>
    <d v="2025-01-05T08:28:31"/>
    <d v="2025-01-05T07:38:31"/>
    <d v="2025-01-05T09:10:31"/>
    <n v="91.574074070134273"/>
    <n v="41.805555556250816"/>
    <x v="0"/>
    <d v="2025-01-06T10:40:31"/>
    <d v="2025-01-06T13:18:31"/>
    <n v="154.70833333492919"/>
    <m/>
    <d v="2025-01-07T14:43:31"/>
    <d v="2025-01-07T15:40:31"/>
    <n v="55.81249999726424"/>
    <x v="0"/>
    <n v="2.2312499999970896"/>
    <n v="2"/>
    <n v="-0.23124999999708962"/>
    <n v="53.549999999930151"/>
    <n v="24"/>
    <n v="29.549999999930151"/>
    <n v="5.279187817271362"/>
    <m/>
    <m/>
    <m/>
    <m/>
    <m/>
  </r>
  <r>
    <d v="2025-01-04T19:40:31"/>
    <x v="0"/>
    <m/>
    <s v="OMA2QVIRR"/>
    <s v="DJ"/>
    <s v="Tumusiime Robert"/>
    <s v="UBJ 988D"/>
    <s v="Agaba Services"/>
    <n v="153.60000000000002"/>
    <s v="F15673"/>
    <s v="OM"/>
    <n v="302"/>
    <n v="291"/>
    <n v="-11"/>
    <m/>
    <d v="2025-01-05T07:39:00"/>
    <d v="2025-01-05T04:15:00"/>
    <d v="2025-01-05T08:22:00"/>
    <n v="245.85648147985921"/>
    <n v="42.80092592986572"/>
    <x v="0"/>
    <d v="2025-01-05T14:11:00"/>
    <d v="2025-01-05T16:52:00"/>
    <n v="157.64583333424525"/>
    <m/>
    <d v="2025-01-06T10:45:00"/>
    <d v="2025-01-06T11:37:00"/>
    <n v="50.916666668490507"/>
    <x v="0"/>
    <n v="1.0993055555518367"/>
    <n v="2"/>
    <n v="0.90069444444816327"/>
    <n v="26.383333333244082"/>
    <n v="12"/>
    <n v="14.383333333244082"/>
    <n v="10.679026651282953"/>
    <m/>
    <m/>
    <m/>
    <m/>
    <m/>
  </r>
  <r>
    <d v="2025-01-04T19:54:57"/>
    <x v="0"/>
    <m/>
    <s v="OMG49BWRR"/>
    <s v="Manual"/>
    <s v="Hamudi Sesanga"/>
    <s v="UAT 351G"/>
    <s v="RUGOMA TRADERS CO. LTD NTUNGAM"/>
    <n v="153.60000000000002"/>
    <s v="F15674"/>
    <s v="OM"/>
    <n v="130"/>
    <n v="129"/>
    <n v="-1"/>
    <m/>
    <d v="2025-01-05T08:26:57"/>
    <d v="2025-01-05T07:54:57"/>
    <d v="2025-01-05T09:06:57"/>
    <n v="71.666666660409348"/>
    <n v="39.814814819449872"/>
    <x v="0"/>
    <d v="2025-01-05T11:36:57"/>
    <d v="2025-01-05T15:33:57"/>
    <n v="232.06249999726424"/>
    <s v="found another truck at the RD"/>
    <d v="2025-01-05T21:06:57"/>
    <d v="2025-01-05T21:59:57"/>
    <n v="51.895833338348893"/>
    <x v="0"/>
    <n v="0.5"/>
    <n v="1"/>
    <n v="0.5"/>
    <n v="12"/>
    <n v="0"/>
    <n v="12"/>
    <n v="12.800000000000002"/>
    <m/>
    <m/>
    <m/>
    <m/>
    <m/>
  </r>
  <r>
    <d v="2025-01-04T20:23:20"/>
    <x v="0"/>
    <m/>
    <s v="OM96U3ORR"/>
    <s v="DJ"/>
    <s v="Kabene John"/>
    <s v="UBA 523T"/>
    <s v="Ntale and Sons"/>
    <n v="153.60000000000002"/>
    <s v="A19851"/>
    <s v="OM"/>
    <n v="810"/>
    <n v="812"/>
    <n v="2"/>
    <m/>
    <d v="2025-01-06T10:33:00"/>
    <d v="2025-01-04T21:30:00"/>
    <d v="2025-01-06T11:13:00"/>
    <n v="2252.5231481486117"/>
    <n v="39.814814819449872"/>
    <x v="0"/>
    <d v="2025-01-07T10:10:00"/>
    <d v="2025-01-07T12:43:00"/>
    <n v="149.81249999589636"/>
    <m/>
    <d v="2025-01-08T14:54:00"/>
    <d v="2025-01-08T15:48:00"/>
    <n v="52.87499999794818"/>
    <x v="0"/>
    <n v="2.1534722222204437"/>
    <n v="3"/>
    <n v="0.84652777777955635"/>
    <n v="51.683333333290648"/>
    <n v="24"/>
    <n v="27.683333333290648"/>
    <n v="5.5484647802614155"/>
    <m/>
    <m/>
    <m/>
    <m/>
    <m/>
  </r>
  <r>
    <d v="2025-01-04T23:12:04"/>
    <x v="0"/>
    <m/>
    <s v="OM4RC6WRR"/>
    <s v="DJ"/>
    <s v="Mugisha  George"/>
    <s v="UAV 203T"/>
    <s v="Kato Investments Ltd-Bulenga"/>
    <n v="153.60000000000002"/>
    <s v="A19856"/>
    <s v="OM"/>
    <n v="560"/>
    <n v="559"/>
    <n v="-1"/>
    <m/>
    <d v="2025-01-05T15:55:00"/>
    <d v="2025-01-05T20:13:00"/>
    <d v="2025-01-05T16:38:00"/>
    <n v="-214.00462962847087"/>
    <n v="42.80092592986572"/>
    <x v="0"/>
    <d v="2025-01-06T11:58:00"/>
    <d v="2025-01-06T14:39:00"/>
    <n v="157.64583333424525"/>
    <m/>
    <d v="2025-01-08T12:02:00"/>
    <d v="2025-01-08T12:59:00"/>
    <n v="55.81249999726424"/>
    <x v="0"/>
    <n v="2.8083333333270275"/>
    <n v="3"/>
    <n v="0.1916666666729725"/>
    <n v="67.39999999984866"/>
    <n v="24"/>
    <n v="43.39999999984866"/>
    <n v="3.5391705069247843"/>
    <m/>
    <m/>
    <m/>
    <m/>
    <m/>
  </r>
  <r>
    <d v="2025-01-04T23:14:37"/>
    <x v="0"/>
    <m/>
    <s v="OM9SFUBRR"/>
    <s v="Manual"/>
    <s v="Kabene John"/>
    <s v="UBA 523T"/>
    <s v="Kabaco U Ltd-Mbarara"/>
    <n v="153.60000000000002"/>
    <s v="Z82060"/>
    <s v="OM"/>
    <n v="20"/>
    <n v="12"/>
    <n v="-8"/>
    <m/>
    <d v="2025-01-05T11:49:37"/>
    <d v="2025-01-05T11:14:37"/>
    <d v="2025-01-05T12:29:37"/>
    <n v="74.652777770825196"/>
    <n v="39.814814819449872"/>
    <x v="0"/>
    <d v="2025-01-05T13:00:37"/>
    <d v="2025-01-05T15:41:37"/>
    <n v="157.64583333424525"/>
    <m/>
    <d v="2025-01-05T17:28:37"/>
    <d v="2025-01-05T18:27:37"/>
    <n v="57.770833336981013"/>
    <x v="0"/>
    <n v="0.20763888888905058"/>
    <n v="2"/>
    <n v="1.7923611111109494"/>
    <n v="4.9833333333372138"/>
    <n v="0"/>
    <n v="4.9833333333372138"/>
    <n v="30.82274247489239"/>
    <m/>
    <m/>
    <m/>
    <m/>
    <m/>
  </r>
  <r>
    <d v="2025-01-04T23:29:34"/>
    <x v="0"/>
    <m/>
    <s v="OMC6AUJRR"/>
    <s v="Manual"/>
    <s v="Angello Lumala"/>
    <s v="UAV 051U"/>
    <s v="KATO INVESTMENTS LTD- KALISIZO"/>
    <n v="153.60000000000002"/>
    <s v="F15675"/>
    <s v="OM"/>
    <n v="350"/>
    <n v="351"/>
    <n v="1"/>
    <m/>
    <d v="2025-01-05T12:08:34"/>
    <d v="2025-01-05T11:29:34"/>
    <d v="2025-01-05T12:57:34"/>
    <n v="87.592592586103521"/>
    <n v="48.77314815069743"/>
    <x v="6"/>
    <d v="2025-01-05T19:57:34"/>
    <d v="2025-01-05T22:52:34"/>
    <n v="171.35416667122627"/>
    <m/>
    <d v="2025-01-06T19:09:05"/>
    <d v="2025-01-06T20:06:05"/>
    <n v="55.81249999726424"/>
    <x v="0"/>
    <n v="1.2580000000016298"/>
    <n v="2"/>
    <n v="0.74199999999837019"/>
    <n v="30.192000000039116"/>
    <n v="12"/>
    <n v="18.192000000039116"/>
    <n v="8.4432717677918738"/>
    <m/>
    <m/>
    <m/>
    <m/>
    <m/>
  </r>
  <r>
    <d v="2025-01-05T00:00:00"/>
    <x v="0"/>
    <m/>
    <s v="OM02L7NZ"/>
    <s v="Manual"/>
    <s v="MUKOSE MUZAMIRU"/>
    <s v="UBE 690K"/>
    <s v="Rugoma Traders-Rukungiri"/>
    <n v="156"/>
    <s v="Z82079"/>
    <s v="OM"/>
    <n v="256"/>
    <n v="255"/>
    <n v="-1"/>
    <m/>
    <d v="2025-01-05T08:19:00"/>
    <d v="2025-01-05T07:30:00"/>
    <d v="2025-01-05T09:02:00"/>
    <n v="91.574074070134273"/>
    <n v="42.80092592986572"/>
    <x v="0"/>
    <d v="2025-01-05T16:12:00"/>
    <d v="2025-01-05T18:45:00"/>
    <n v="149.81249999589636"/>
    <m/>
    <d v="2025-01-05T21:36:00"/>
    <d v="2025-01-05T22:32:00"/>
    <n v="54.833333337664953"/>
    <x v="0"/>
    <n v="0.52361111110803904"/>
    <n v="2"/>
    <n v="1.476388888891961"/>
    <n v="12.566666666592937"/>
    <n v="0"/>
    <n v="12.566666666592937"/>
    <n v="12.413793103521108"/>
    <m/>
    <m/>
    <m/>
    <m/>
    <m/>
  </r>
  <r>
    <d v="2025-01-05T00:00:00"/>
    <x v="0"/>
    <m/>
    <s v="OM02L7P3"/>
    <s v="Manual"/>
    <m/>
    <s v="UBE 687K"/>
    <s v="Kobusinge Steven-Kamwenge"/>
    <n v="156"/>
    <s v="Z82080"/>
    <s v="OM"/>
    <n v="230"/>
    <n v="234"/>
    <n v="4"/>
    <m/>
    <d v="2025-01-05T07:59:00"/>
    <d v="2025-01-05T07:30:00"/>
    <d v="2025-01-05T08:42:00"/>
    <n v="71.666666660409348"/>
    <n v="42.80092592986572"/>
    <x v="0"/>
    <d v="2025-01-06T09:12:00"/>
    <d v="2025-01-06T11:41:00"/>
    <n v="145.89583333698101"/>
    <m/>
    <d v="2025-01-06T16:49:00"/>
    <d v="2025-01-06T17:47:00"/>
    <n v="56.791666667122627"/>
    <x v="0"/>
    <n v="1.3381944444408873"/>
    <n v="2"/>
    <n v="0.66180555555911269"/>
    <n v="32.116666666581295"/>
    <n v="12"/>
    <n v="20.116666666581295"/>
    <n v="7.7547638774148488"/>
    <m/>
    <m/>
    <m/>
    <m/>
    <m/>
  </r>
  <r>
    <d v="2025-01-05T00:00:00"/>
    <x v="0"/>
    <m/>
    <s v="OM02L7NY"/>
    <s v="Manual"/>
    <m/>
    <s v="UBP 311H"/>
    <s v="Kobusinge Steven-FPortal"/>
    <n v="156"/>
    <s v="Z82078"/>
    <s v="OM"/>
    <n v="390"/>
    <n v="388"/>
    <n v="-2"/>
    <m/>
    <d v="2025-01-05T07:43:00"/>
    <d v="2025-01-05T07:30:00"/>
    <d v="2025-01-05T08:46:00"/>
    <n v="75.6481481444401"/>
    <n v="62.708333329161782"/>
    <x v="1"/>
    <d v="2025-01-06T10:16:00"/>
    <d v="2025-01-06T14:23:00"/>
    <n v="241.85416666507081"/>
    <s v="truck faulty"/>
    <d v="2025-01-07T08:55:22"/>
    <d v="2025-01-07T09:52:22"/>
    <n v="55.81249999726424"/>
    <x v="0"/>
    <n v="2.0065000000031432"/>
    <n v="2"/>
    <n v="-6.5000000031432137E-3"/>
    <n v="48.156000000075437"/>
    <n v="24"/>
    <n v="24.156000000075437"/>
    <n v="6.4580228514453069"/>
    <m/>
    <m/>
    <m/>
    <m/>
    <m/>
  </r>
  <r>
    <d v="2025-01-05T00:00:00"/>
    <x v="0"/>
    <m/>
    <s v="OM02L7PK"/>
    <s v="Manual"/>
    <s v="MUKOSE MUZAMIRU"/>
    <s v="UBE 690K"/>
    <s v="Kobusinge Acaali- Kyenjojo"/>
    <n v="156"/>
    <s v="Z82081"/>
    <m/>
    <n v="480"/>
    <n v="479"/>
    <n v="-1"/>
    <m/>
    <d v="2025-01-05T07:58:00"/>
    <d v="2025-01-05T07:30:00"/>
    <d v="2025-01-05T08:38:00"/>
    <n v="67.685185186807459"/>
    <n v="39.814814819449872"/>
    <x v="0"/>
    <d v="2025-01-06T10:38:00"/>
    <d v="2025-01-06T13:11:00"/>
    <n v="149.81249999589636"/>
    <m/>
    <d v="2025-01-07T16:24:44"/>
    <d v="2025-01-07T17:21:44"/>
    <n v="55.81249999726424"/>
    <x v="0"/>
    <n v="2.3241222222277429"/>
    <n v="2"/>
    <n v="-0.3241222222277429"/>
    <n v="55.778933333465829"/>
    <n v="24"/>
    <n v="31.778933333465829"/>
    <n v="4.9089124031648721"/>
    <m/>
    <m/>
    <m/>
    <m/>
    <m/>
  </r>
  <r>
    <d v="2025-01-05T00:00:00"/>
    <x v="0"/>
    <m/>
    <s v="OM02L7LG"/>
    <s v="Manual"/>
    <m/>
    <s v="UBP 311H"/>
    <s v="Kabaco U Ltd"/>
    <n v="156"/>
    <s v="Z82067"/>
    <m/>
    <n v="320"/>
    <n v="323"/>
    <n v="3"/>
    <m/>
    <d v="2025-01-05T12:28:00"/>
    <d v="2025-01-05T12:00:00"/>
    <d v="2025-01-05T13:12:00"/>
    <n v="71.666666660409348"/>
    <n v="43.796296293051761"/>
    <x v="0"/>
    <d v="2025-01-05T19:12:00"/>
    <d v="2025-01-05T21:41:00"/>
    <n v="145.89583333698101"/>
    <m/>
    <d v="2025-01-07T07:19:12"/>
    <d v="2025-01-07T08:16:12"/>
    <n v="55.81249999726424"/>
    <x v="0"/>
    <n v="1.7549999999973807"/>
    <n v="2"/>
    <n v="0.24500000000261934"/>
    <n v="42.119999999937136"/>
    <n v="12"/>
    <n v="30.119999999937136"/>
    <n v="5.1792828685367063"/>
    <m/>
    <m/>
    <m/>
    <m/>
    <m/>
  </r>
  <r>
    <d v="2025-01-05T00:00:00"/>
    <x v="0"/>
    <m/>
    <s v="OM02L7NX"/>
    <s v="Manual"/>
    <s v="Ekwalikwa Yusuf"/>
    <s v="UBP 311H"/>
    <s v="Kobusinge Steven-FPortal"/>
    <n v="156"/>
    <s v="Z82077"/>
    <m/>
    <n v="390"/>
    <n v="392"/>
    <n v="2"/>
    <m/>
    <d v="2025-01-05T07:39:00"/>
    <d v="2025-01-05T07:30:00"/>
    <d v="2025-01-05T08:38:00"/>
    <n v="67.685185186807459"/>
    <n v="58.726851855559893"/>
    <x v="2"/>
    <d v="2025-01-06T10:08:00"/>
    <d v="2025-01-06T12:41:00"/>
    <n v="149.81249999589636"/>
    <m/>
    <d v="2025-01-07T13:15:12"/>
    <d v="2025-01-07T14:14:12"/>
    <n v="57.770833336981013"/>
    <x v="0"/>
    <n v="2.1924999999973807"/>
    <n v="2"/>
    <n v="-0.19249999999738066"/>
    <n v="52.619999999937136"/>
    <n v="24"/>
    <n v="28.619999999937136"/>
    <n v="5.4507337526325177"/>
    <m/>
    <m/>
    <m/>
    <m/>
    <m/>
  </r>
  <r>
    <d v="2025-01-05T00:00:00"/>
    <x v="0"/>
    <m/>
    <s v="OM02L7LH"/>
    <s v="Manual"/>
    <s v="Ekwalikwa Yusuf"/>
    <s v="UBP 311H"/>
    <s v="Kobusinge Steven-FPortal"/>
    <n v="156"/>
    <s v="Z82068"/>
    <m/>
    <n v="390"/>
    <n v="392"/>
    <n v="2"/>
    <m/>
    <d v="2025-01-05T08:14:00"/>
    <d v="2025-01-05T07:30:00"/>
    <d v="2025-01-05T08:53:00"/>
    <n v="82.615740738886714"/>
    <n v="38.819444445834961"/>
    <x v="0"/>
    <d v="2025-01-06T10:23:00"/>
    <d v="2025-01-06T13:18:00"/>
    <n v="171.35416667122627"/>
    <m/>
    <d v="2025-01-07T11:06:12"/>
    <d v="2025-01-07T12:03:12"/>
    <n v="55.81249999726424"/>
    <x v="0"/>
    <n v="2.0924999999988358"/>
    <n v="2"/>
    <n v="-9.2499999998835847E-2"/>
    <n v="50.21999999997206"/>
    <n v="24"/>
    <n v="26.21999999997206"/>
    <n v="5.9496567505784226"/>
    <m/>
    <m/>
    <m/>
    <m/>
    <m/>
  </r>
  <r>
    <d v="2025-01-05T00:00:00"/>
    <x v="0"/>
    <m/>
    <s v="OM02L7NV"/>
    <s v="Manual"/>
    <m/>
    <s v="UBP 311H"/>
    <s v="Kato Investments Ltd- Kakumiro"/>
    <n v="156"/>
    <s v="A19875"/>
    <m/>
    <n v="765"/>
    <n v="764"/>
    <n v="-1"/>
    <m/>
    <d v="2025-01-05T07:58:00"/>
    <d v="2025-01-05T07:30:00"/>
    <d v="2025-01-05T08:38:00"/>
    <n v="67.685185186807459"/>
    <n v="39.814814819449872"/>
    <x v="0"/>
    <d v="2025-01-05T17:38:00"/>
    <d v="2025-01-05T20:07:00"/>
    <n v="145.89583333698101"/>
    <m/>
    <d v="2025-01-07T06:41:22"/>
    <d v="2025-01-07T07:38:22"/>
    <n v="55.81249999726424"/>
    <x v="0"/>
    <n v="1.919000000001688"/>
    <n v="3"/>
    <n v="1.080999999998312"/>
    <n v="46.056000000040513"/>
    <n v="12"/>
    <n v="34.056000000040513"/>
    <n v="4.5806906271968062"/>
    <m/>
    <m/>
    <m/>
    <m/>
    <m/>
  </r>
  <r>
    <d v="2025-01-05T00:00:00"/>
    <x v="0"/>
    <m/>
    <s v="OM02L7P1"/>
    <s v="Manual"/>
    <s v="MUKOSE MUZAMIRU"/>
    <s v="UBE 690K"/>
    <s v="KATO INVESTMENTS LTD-KATIKARA"/>
    <n v="156"/>
    <s v="A19877"/>
    <m/>
    <n v="790"/>
    <n v="788"/>
    <n v="-2"/>
    <m/>
    <d v="2025-01-05T08:08:00"/>
    <d v="2025-01-05T07:30:00"/>
    <d v="2025-01-05T08:47:00"/>
    <n v="76.643518518055018"/>
    <n v="38.819444445834961"/>
    <x v="0"/>
    <d v="2025-01-06T10:32:00"/>
    <d v="2025-01-06T16:39:00"/>
    <n v="359.35416666849051"/>
    <s v="slept at the RD and offloaded the next day"/>
    <d v="2025-01-07T18:41:00"/>
    <d v="2025-01-07T19:39:00"/>
    <n v="56.791666667122627"/>
    <x v="0"/>
    <n v="2.4124999999912689"/>
    <n v="3"/>
    <n v="0.58750000000873115"/>
    <n v="57.899999999790452"/>
    <n v="24"/>
    <n v="33.899999999790452"/>
    <n v="4.6017699115328696"/>
    <m/>
    <m/>
    <m/>
    <m/>
    <m/>
  </r>
  <r>
    <d v="2025-01-05T00:00:00"/>
    <x v="0"/>
    <m/>
    <s v="OM02L7LJ"/>
    <s v="Manual"/>
    <m/>
    <s v="UBP 311H"/>
    <s v="KATO INVESTMENTS LTD-KATIKARA"/>
    <n v="156"/>
    <s v="A19867"/>
    <m/>
    <n v="790"/>
    <n v="788"/>
    <n v="-2"/>
    <m/>
    <d v="2025-01-05T07:58:00"/>
    <d v="2025-01-05T07:30:00"/>
    <d v="2025-01-05T08:38:00"/>
    <n v="67.685185186807459"/>
    <n v="39.814814819449872"/>
    <x v="0"/>
    <d v="2025-01-06T09:53:00"/>
    <d v="2025-01-06T12:48:00"/>
    <n v="171.35416667122627"/>
    <m/>
    <d v="2025-01-07T19:40:00"/>
    <d v="2025-01-07T20:37:00"/>
    <n v="55.81249999726424"/>
    <x v="0"/>
    <n v="2.4597222222218988"/>
    <n v="3"/>
    <n v="0.54027777777810115"/>
    <n v="59.033333333325572"/>
    <n v="24"/>
    <n v="35.033333333325572"/>
    <n v="4.4529019980980369"/>
    <m/>
    <m/>
    <m/>
    <m/>
    <m/>
  </r>
  <r>
    <d v="2025-01-05T13:12:27"/>
    <x v="0"/>
    <m/>
    <s v="OMWSZKWRR"/>
    <s v="DJ"/>
    <s v="Benon Ssempijja"/>
    <s v="UAY 526V"/>
    <s v="Rugoma Traders-Kanungu/Kihihi"/>
    <n v="153.60000000000002"/>
    <s v="F15677"/>
    <s v="OM"/>
    <n v="414"/>
    <n v="413"/>
    <n v="-1"/>
    <m/>
    <d v="2025-01-05T16:58:00"/>
    <d v="2025-01-06T01:59:00"/>
    <d v="2025-01-05T18:14:00"/>
    <n v="-462.84722221874591"/>
    <n v="75.6481481444401"/>
    <x v="1"/>
    <d v="2025-01-06T12:20:00"/>
    <d v="2025-01-06T14:49:00"/>
    <n v="145.89583333698101"/>
    <m/>
    <d v="2025-01-07T12:36:00"/>
    <d v="2025-01-07T13:53:00"/>
    <n v="75.395833332877373"/>
    <x v="1"/>
    <n v="1.765277777776646"/>
    <n v="2"/>
    <n v="0.23472222222335404"/>
    <n v="42.366666666639503"/>
    <n v="12"/>
    <n v="30.366666666639503"/>
    <n v="5.0581778265687403"/>
    <m/>
    <m/>
    <m/>
    <m/>
    <m/>
  </r>
  <r>
    <d v="2025-01-05T13:13:52"/>
    <x v="0"/>
    <m/>
    <s v="OMIUJ2ERR"/>
    <s v="Manual"/>
    <s v="Godwin Niwensiima"/>
    <s v="UAR 731Q"/>
    <s v="Kabaco U Ltd-Mbarara"/>
    <n v="153.60000000000002"/>
    <s v="Z82066"/>
    <m/>
    <n v="20"/>
    <n v="12"/>
    <n v="-8"/>
    <m/>
    <d v="2025-01-06T13:41:52"/>
    <d v="2025-01-06T01:13:52"/>
    <d v="2025-01-06T14:21:52"/>
    <n v="784.35185185347416"/>
    <n v="39.814814819449872"/>
    <x v="0"/>
    <d v="2025-01-06T14:57:52"/>
    <d v="2025-01-06T18:14:52"/>
    <n v="192.89583333629707"/>
    <s v="Waited for empties from trade"/>
    <d v="2025-01-06T19:06:52"/>
    <d v="2025-01-06T20:02:52"/>
    <n v="54.833333337664953"/>
    <x v="0"/>
    <n v="0.19791666666424135"/>
    <n v="2"/>
    <n v="1.8020833333357587"/>
    <n v="4.7499999999417923"/>
    <n v="0"/>
    <n v="4.7499999999417923"/>
    <n v="32.336842105659429"/>
    <m/>
    <m/>
    <m/>
    <m/>
    <m/>
  </r>
  <r>
    <d v="2025-01-05T14:34:19"/>
    <x v="0"/>
    <m/>
    <s v="OMNWADWRR"/>
    <s v="Manual"/>
    <m/>
    <s v="UBJ 419C"/>
    <s v="Ntale and Sons Ltd-Kakiri"/>
    <n v="156"/>
    <s v="A19868"/>
    <s v="OM"/>
    <n v="620"/>
    <n v="602"/>
    <n v="-18"/>
    <m/>
    <d v="2025-01-06T02:52:19"/>
    <d v="2025-01-06T02:34:19"/>
    <d v="2025-01-06T03:49:19"/>
    <n v="74.652777770825196"/>
    <n v="56.736111108330078"/>
    <x v="1"/>
    <d v="2025-01-06T16:19:19"/>
    <d v="2025-01-06T18:48:19"/>
    <n v="145.89583333698101"/>
    <m/>
    <d v="2025-01-08T09:21:43"/>
    <d v="2025-01-08T10:18:43"/>
    <n v="55.81249999726424"/>
    <x v="0"/>
    <n v="2.2308333333348855"/>
    <n v="3"/>
    <n v="0.76916666666511446"/>
    <n v="53.540000000037253"/>
    <n v="24"/>
    <n v="29.540000000037253"/>
    <n v="5.2809749492147349"/>
    <m/>
    <m/>
    <m/>
    <m/>
    <m/>
  </r>
  <r>
    <d v="2025-01-05T14:37:21"/>
    <x v="0"/>
    <m/>
    <s v="OMZFBPWRR"/>
    <s v="DJ"/>
    <s v="James  Kironde"/>
    <s v="UBK 881R"/>
    <s v="KATO INVESTMENTS LIMITED-MASAK"/>
    <n v="153.60000000000002"/>
    <s v="F15679"/>
    <m/>
    <n v="340"/>
    <n v="339"/>
    <n v="-1"/>
    <m/>
    <d v="2025-01-07T06:32:00"/>
    <d v="2025-01-06T04:14:00"/>
    <d v="2025-01-07T07:21:00"/>
    <n v="1619.4675925944466"/>
    <n v="48.77314815069743"/>
    <x v="2"/>
    <d v="2025-01-07T12:21:00"/>
    <d v="2025-01-07T15:16:00"/>
    <n v="171.35416667122627"/>
    <m/>
    <d v="2025-01-08T12:27:00"/>
    <d v="2025-01-08T13:16:00"/>
    <n v="47.979166669174447"/>
    <x v="0"/>
    <n v="1.2125000000014552"/>
    <n v="2"/>
    <n v="0.78749999999854481"/>
    <n v="29.100000000034925"/>
    <n v="12"/>
    <n v="17.100000000034925"/>
    <n v="8.9824561403325323"/>
    <m/>
    <m/>
    <m/>
    <m/>
    <m/>
  </r>
  <r>
    <d v="2025-01-05T14:38:19"/>
    <x v="0"/>
    <m/>
    <s v="OMXTBKSRR"/>
    <s v="DJ"/>
    <s v="Isaac Tumuhimbise"/>
    <s v="UBE 287X"/>
    <s v="KATO INVESTMENTS LIMITED-MASAK"/>
    <n v="153.60000000000002"/>
    <s v="F15680"/>
    <m/>
    <n v="340"/>
    <n v="339"/>
    <n v="-1"/>
    <m/>
    <d v="2025-01-05T18:47:00"/>
    <d v="2025-01-06T04:14:00"/>
    <d v="2025-01-05T19:28:00"/>
    <n v="-523.56481481110677"/>
    <n v="40.810185182635905"/>
    <x v="0"/>
    <d v="2025-01-06T10:23:00"/>
    <d v="2025-01-06T13:14:00"/>
    <n v="167.43750000205182"/>
    <m/>
    <d v="2025-01-07T13:49:00"/>
    <d v="2025-01-07T14:45:00"/>
    <n v="54.833333337664953"/>
    <x v="0"/>
    <n v="1.7645833333299379"/>
    <n v="2"/>
    <n v="0.23541666667006211"/>
    <n v="42.349999999918509"/>
    <n v="12"/>
    <n v="30.349999999918509"/>
    <n v="5.0609555189592239"/>
    <m/>
    <m/>
    <m/>
    <m/>
    <m/>
  </r>
  <r>
    <d v="2025-01-05T15:54:21"/>
    <x v="0"/>
    <m/>
    <s v="OMK5QNURR"/>
    <s v="Manual"/>
    <s v="Godwin Niwensiima"/>
    <s v="UAR 731Q"/>
    <s v="Kabaco U Ltd-Mbarara"/>
    <n v="153.60000000000002"/>
    <s v="Z82069"/>
    <m/>
    <n v="20"/>
    <n v="12"/>
    <n v="-8"/>
    <m/>
    <d v="2025-01-06T10:42:21"/>
    <d v="2025-01-06T03:54:21"/>
    <d v="2025-01-06T11:22:21"/>
    <n v="445.92592592986574"/>
    <n v="39.814814819449872"/>
    <x v="0"/>
    <d v="2025-01-06T11:47:21"/>
    <d v="2025-01-06T17:54:21"/>
    <n v="359.35416666849051"/>
    <s v="found another truck at the RD"/>
    <d v="2025-01-06T15:36:21"/>
    <d v="2025-01-06T16:34:21"/>
    <n v="56.791666667122627"/>
    <x v="0"/>
    <n v="0.17638888888905058"/>
    <n v="2"/>
    <n v="1.8236111111109494"/>
    <n v="4.2333333333372138"/>
    <n v="0"/>
    <n v="4.2333333333372138"/>
    <n v="36.28346456689588"/>
    <m/>
    <m/>
    <m/>
    <m/>
    <m/>
  </r>
  <r>
    <d v="2025-01-05T16:48:09"/>
    <x v="0"/>
    <m/>
    <s v="OMQO9OURR"/>
    <s v="DJ"/>
    <s v="Jacob Oneka"/>
    <s v="UBE 422T"/>
    <s v="Kabaco U Ltd"/>
    <n v="153.60000000000002"/>
    <s v="Z82071"/>
    <m/>
    <n v="320"/>
    <n v="320"/>
    <n v="0"/>
    <m/>
    <d v="2025-01-05T19:06:00"/>
    <d v="2025-01-06T02:22:00"/>
    <d v="2025-01-05T19:46:00"/>
    <n v="-394.16666666875244"/>
    <n v="39.814814819449872"/>
    <x v="0"/>
    <d v="2025-01-05T23:58:00"/>
    <d v="2025-01-06T02:45:00"/>
    <n v="163.52083333287737"/>
    <m/>
    <d v="2025-01-06T12:04:00"/>
    <d v="2025-01-06T13:01:00"/>
    <n v="55.81249999726424"/>
    <x v="0"/>
    <n v="0.67916666666860692"/>
    <n v="2"/>
    <n v="1.3208333333313931"/>
    <n v="16.300000000046566"/>
    <n v="0"/>
    <n v="16.300000000046566"/>
    <n v="9.4233128834086628"/>
    <m/>
    <m/>
    <m/>
    <m/>
    <m/>
  </r>
  <r>
    <d v="2025-01-05T16:49:09"/>
    <x v="0"/>
    <m/>
    <s v="OM42HHBRR"/>
    <s v="Manual"/>
    <s v="SENTONG DAVID"/>
    <s v="UBP 298H"/>
    <s v="Kabaco U Ltd"/>
    <n v="156"/>
    <s v="Z82072"/>
    <m/>
    <n v="320"/>
    <n v="321"/>
    <n v="1"/>
    <m/>
    <d v="2025-01-05T16:36:00"/>
    <d v="2025-01-06T02:22:00"/>
    <d v="2025-01-05T17:35:00"/>
    <n v="-524.56018518472172"/>
    <n v="58.726851855559893"/>
    <x v="7"/>
    <d v="2025-01-06T08:01:00"/>
    <d v="2025-01-06T10:52:00"/>
    <n v="167.43750000205182"/>
    <m/>
    <d v="2025-01-07T14:56:00"/>
    <d v="2025-01-07T15:52:00"/>
    <n v="54.833333337664953"/>
    <x v="0"/>
    <n v="1.8895833333299379"/>
    <n v="2"/>
    <n v="0.11041666667006211"/>
    <n v="45.349999999918509"/>
    <n v="12"/>
    <n v="33.349999999918509"/>
    <n v="4.6776611694267221"/>
    <m/>
    <m/>
    <m/>
    <m/>
    <m/>
  </r>
  <r>
    <d v="2025-01-05T16:49:53"/>
    <x v="0"/>
    <m/>
    <s v="OMNK83VRR"/>
    <s v="DJ"/>
    <s v="ALIPA EREKU"/>
    <s v="UBK 858R"/>
    <s v="Bates Enterprises U Ltd"/>
    <n v="156"/>
    <s v="Z82073"/>
    <m/>
    <n v="606"/>
    <n v="576"/>
    <n v="-30"/>
    <m/>
    <d v="2025-01-05T17:56:00"/>
    <d v="2025-01-05T17:30:00"/>
    <d v="2025-01-05T18:39:00"/>
    <n v="68.680555560422363"/>
    <n v="42.80092592986572"/>
    <x v="0"/>
    <d v="2025-01-07T07:57:00"/>
    <d v="2025-01-07T10:44:00"/>
    <n v="163.52083333287737"/>
    <m/>
    <d v="2025-01-08T10:08:00"/>
    <d v="2025-01-08T11:05:00"/>
    <n v="55.81249999726424"/>
    <x v="0"/>
    <n v="2.6451388888890506"/>
    <n v="3"/>
    <n v="0.35486111111094942"/>
    <n v="63.483333333337214"/>
    <n v="24"/>
    <n v="39.483333333337214"/>
    <n v="3.9510341916416549"/>
    <m/>
    <m/>
    <m/>
    <m/>
    <m/>
  </r>
  <r>
    <d v="2025-01-05T23:16:45"/>
    <x v="0"/>
    <m/>
    <s v="OM49I5JRR"/>
    <s v="Manual"/>
    <s v="ZIWA ABASI"/>
    <s v="UBJ 420C"/>
    <s v="Boniface Harera"/>
    <n v="156"/>
    <s v="F15681"/>
    <m/>
    <n v="470"/>
    <n v="465"/>
    <n v="-5"/>
    <m/>
    <d v="2025-01-06T11:44:45"/>
    <d v="2025-01-06T11:16:45"/>
    <d v="2025-01-06T12:24:45"/>
    <n v="67.685185186807459"/>
    <n v="39.814814819449872"/>
    <x v="0"/>
    <d v="2025-01-07T12:24:45"/>
    <d v="2025-01-07T15:11:45"/>
    <n v="163.52083333287737"/>
    <m/>
    <d v="2025-01-08T16:07:45"/>
    <d v="2025-01-08T16:56:45"/>
    <n v="47.979166669174447"/>
    <x v="0"/>
    <n v="2.1548611111065838"/>
    <n v="2"/>
    <n v="-0.15486111110658385"/>
    <n v="51.716666666558012"/>
    <n v="24"/>
    <n v="27.716666666558012"/>
    <n v="5.6283824413930805"/>
    <m/>
    <m/>
    <m/>
    <m/>
    <m/>
  </r>
  <r>
    <d v="2025-01-05T23:17:56"/>
    <x v="0"/>
    <m/>
    <s v="OMYOY87RR"/>
    <s v="DJ"/>
    <s v="SULAIMAN MUBIRU"/>
    <s v="UBK 862R"/>
    <s v="Kato Investment Ltd -Kagadi"/>
    <n v="156"/>
    <s v="A19879"/>
    <m/>
    <n v="670"/>
    <n v="622"/>
    <n v="-48"/>
    <m/>
    <d v="2025-01-05T22:50:00"/>
    <d v="2025-01-06T17:46:00"/>
    <d v="2025-01-05T23:31:00"/>
    <n v="-1089.9305555520793"/>
    <n v="40.810185182635905"/>
    <x v="0"/>
    <d v="2025-01-06T20:05:00"/>
    <d v="2025-01-06T23:32:00"/>
    <n v="202.68750000410364"/>
    <s v="space consquents"/>
    <d v="2025-01-07T22:06:00"/>
    <d v="2025-01-07T23:03:00"/>
    <n v="55.81249999726424"/>
    <x v="0"/>
    <n v="1.9409722222189885"/>
    <n v="2"/>
    <n v="5.9027777781011537E-2"/>
    <n v="46.583333333255723"/>
    <n v="12"/>
    <n v="34.583333333255723"/>
    <n v="4.5108433735040991"/>
    <m/>
    <m/>
    <m/>
    <m/>
    <m/>
  </r>
  <r>
    <d v="2025-01-05T23:19:22"/>
    <x v="0"/>
    <m/>
    <s v="OMU06VORR"/>
    <s v="DJ"/>
    <s v="BYEKWASO TWAHA"/>
    <s v="UBE 680K"/>
    <s v="Kato Investment Ltd -Mityana"/>
    <n v="156"/>
    <s v="A19880"/>
    <s v="OM"/>
    <n v="690"/>
    <n v="692"/>
    <n v="2"/>
    <m/>
    <d v="2025-01-06T12:15:00"/>
    <d v="2025-01-06T19:35:00"/>
    <d v="2025-01-06T13:31:00"/>
    <n v="-362.3148148069352"/>
    <n v="75.6481481444401"/>
    <x v="5"/>
    <d v="2025-01-07T16:11:00"/>
    <d v="2025-01-07T18:52:00"/>
    <n v="157.64583333424525"/>
    <m/>
    <d v="2025-01-08T09:45:00"/>
    <d v="2025-01-08T10:43:00"/>
    <n v="56.791666667122627"/>
    <x v="0"/>
    <n v="1.8430555555532919"/>
    <n v="2"/>
    <n v="0.15694444444670808"/>
    <n v="44.233333333279006"/>
    <n v="12"/>
    <n v="32.233333333279006"/>
    <n v="4.8397104446824075"/>
    <m/>
    <m/>
    <m/>
    <m/>
    <m/>
  </r>
  <r>
    <d v="2025-01-06T00:00:00"/>
    <x v="0"/>
    <m/>
    <s v="OM02L7T0"/>
    <s v="Manual"/>
    <s v="Kakembo Masuud"/>
    <s v="UBB 115P"/>
    <s v="Boniface Harera"/>
    <n v="156"/>
    <s v="F15684"/>
    <m/>
    <n v="470"/>
    <n v="469"/>
    <n v="-1"/>
    <m/>
    <d v="2025-01-06T07:58:00"/>
    <d v="2025-01-06T07:30:00"/>
    <d v="2025-01-06T08:38:00"/>
    <n v="67.685185186807459"/>
    <n v="39.814814819449872"/>
    <x v="0"/>
    <d v="2025-01-07T10:38:00"/>
    <d v="2025-01-07T13:16:00"/>
    <n v="154.70833333492919"/>
    <m/>
    <d v="2025-01-08T14:41:00"/>
    <d v="2025-01-08T15:39:00"/>
    <n v="56.791666667122627"/>
    <x v="0"/>
    <n v="2.2520833333328483"/>
    <n v="2"/>
    <n v="-0.25208333333284827"/>
    <n v="54.049999999988358"/>
    <n v="24"/>
    <n v="30.049999999988358"/>
    <n v="5.191347753745772"/>
    <m/>
    <m/>
    <m/>
    <m/>
    <m/>
  </r>
  <r>
    <d v="2025-01-06T00:00:00"/>
    <x v="0"/>
    <m/>
    <s v="OM02L7T9"/>
    <s v="Manual"/>
    <s v="Kakembo Masuud"/>
    <s v="UBB 115P"/>
    <s v="Kobusinge Steven-FPortal"/>
    <n v="156"/>
    <s v="Z82085"/>
    <m/>
    <n v="390"/>
    <n v="388"/>
    <n v="-2"/>
    <m/>
    <d v="2025-01-06T08:22:00"/>
    <d v="2025-01-06T07:30:00"/>
    <d v="2025-01-06T09:02:00"/>
    <n v="91.574074070134273"/>
    <n v="39.814814819449872"/>
    <x v="0"/>
    <d v="2025-01-07T10:32:00"/>
    <d v="2025-01-07T13:27:00"/>
    <n v="171.35416667122627"/>
    <m/>
    <d v="2025-01-08T11:15:12"/>
    <d v="2025-01-08T12:14:12"/>
    <n v="57.770833336981013"/>
    <x v="0"/>
    <n v="2.0924999999988358"/>
    <n v="2"/>
    <n v="-9.2499999998835847E-2"/>
    <n v="50.21999999997206"/>
    <n v="24"/>
    <n v="26.21999999997206"/>
    <n v="5.9496567505784226"/>
    <m/>
    <m/>
    <m/>
    <m/>
    <m/>
  </r>
  <r>
    <d v="2025-01-06T13:20:00"/>
    <x v="0"/>
    <m/>
    <s v="OMTGDUXRR"/>
    <s v="DJ"/>
    <s v="Tumusiime Robert"/>
    <s v="UBJ 988D"/>
    <s v="Rugoma Traders-Kanungu/Kihihi"/>
    <n v="153.60000000000002"/>
    <s v="F15682"/>
    <m/>
    <n v="414"/>
    <n v="413"/>
    <n v="-1"/>
    <m/>
    <d v="2025-01-06T14:53:00"/>
    <d v="2025-01-07T01:59:00"/>
    <d v="2025-01-06T15:33:00"/>
    <n v="-623.10185184930253"/>
    <n v="39.814814819449872"/>
    <x v="0"/>
    <d v="2025-01-07T12:17:00"/>
    <d v="2025-01-07T15:08:00"/>
    <n v="167.43750000205182"/>
    <m/>
    <d v="2025-01-08T12:56:00"/>
    <d v="2025-01-08T14:22:00"/>
    <n v="84.208333330825553"/>
    <x v="2"/>
    <n v="1.890972222223354"/>
    <n v="2"/>
    <n v="0.10902777777664596"/>
    <n v="45.383333333360497"/>
    <n v="12"/>
    <n v="33.383333333360497"/>
    <n v="4.6010983524675497"/>
    <m/>
    <m/>
    <m/>
    <m/>
    <m/>
  </r>
  <r>
    <d v="2025-01-06T13:21:23"/>
    <x v="0"/>
    <m/>
    <s v="OM4O141RR"/>
    <s v="DJ"/>
    <s v="Kilabila Ismail"/>
    <s v="UBE 419T"/>
    <s v="Agaba Services"/>
    <n v="153.60000000000002"/>
    <s v="F15683"/>
    <m/>
    <n v="302"/>
    <n v="295"/>
    <n v="-7"/>
    <m/>
    <d v="2025-01-06T18:49:00"/>
    <d v="2025-01-07T04:15:00"/>
    <d v="2025-01-06T19:28:00"/>
    <n v="-524.56018518472172"/>
    <n v="38.819444445834961"/>
    <x v="0"/>
    <d v="2025-01-07T11:44:00"/>
    <d v="2025-01-07T14:31:00"/>
    <n v="163.52083333287737"/>
    <m/>
    <d v="2025-01-07T18:01:00"/>
    <d v="2025-01-07T18:57:00"/>
    <n v="54.833333337664953"/>
    <x v="0"/>
    <n v="0.93958333333284827"/>
    <n v="2"/>
    <n v="1.0604166666671517"/>
    <n v="22.549999999988358"/>
    <n v="0"/>
    <n v="22.549999999988358"/>
    <n v="6.8115299334846702"/>
    <m/>
    <m/>
    <m/>
    <m/>
    <m/>
  </r>
  <r>
    <d v="2025-01-06T14:10:46"/>
    <x v="0"/>
    <m/>
    <s v="OM76ZVYRR"/>
    <s v="Manual"/>
    <s v="Angello Lumala"/>
    <s v="UAV 051U"/>
    <s v="KATO INVESTMENTS LIMITED-MASAK"/>
    <n v="153.60000000000002"/>
    <s v="F15685"/>
    <m/>
    <n v="340"/>
    <n v="328"/>
    <n v="-12"/>
    <m/>
    <d v="2025-01-07T02:41:46"/>
    <d v="2025-01-07T02:10:46"/>
    <d v="2025-01-07T03:22:46"/>
    <n v="71.666666660409348"/>
    <n v="40.810185182635905"/>
    <x v="0"/>
    <d v="2025-01-07T06:35:46"/>
    <d v="2025-01-07T09:16:46"/>
    <n v="157.64583333424525"/>
    <m/>
    <d v="2025-01-08T01:51:46"/>
    <d v="2025-01-08T02:50:46"/>
    <n v="57.770833336981013"/>
    <x v="0"/>
    <n v="0.93680555555329192"/>
    <n v="2"/>
    <n v="1.0631944444467081"/>
    <n v="22.483333333279006"/>
    <n v="0"/>
    <n v="22.483333333279006"/>
    <n v="6.8317272053537952"/>
    <m/>
    <m/>
    <m/>
    <m/>
    <m/>
  </r>
  <r>
    <d v="2025-01-06T18:12:48"/>
    <x v="0"/>
    <m/>
    <s v="OMYKJ8LRR"/>
    <s v="DJ"/>
    <s v="Jacob Oneka"/>
    <s v="UBE 422T"/>
    <s v="KATO INVESTMENTS LTD-KATIKARA"/>
    <n v="153.60000000000002"/>
    <s v="A19895"/>
    <m/>
    <n v="790"/>
    <n v="792"/>
    <n v="2"/>
    <m/>
    <d v="2025-01-06T17:23:00"/>
    <d v="2025-01-06T20:00:00"/>
    <d v="2025-01-06T18:26:00"/>
    <n v="-93.564814817364095"/>
    <n v="62.708333329161782"/>
    <x v="2"/>
    <d v="2025-01-07T18:26:00"/>
    <d v="2025-01-07T21:07:00"/>
    <n v="157.64583333424525"/>
    <m/>
    <d v="2025-01-09T09:51:00"/>
    <d v="2025-01-09T10:48:00"/>
    <n v="55.81249999726424"/>
    <x v="0"/>
    <n v="2.6423611111094942"/>
    <n v="3"/>
    <n v="0.35763888889050577"/>
    <n v="63.416666666627862"/>
    <n v="24"/>
    <n v="39.416666666627862"/>
    <n v="3.896828752646543"/>
    <m/>
    <m/>
    <m/>
    <m/>
    <m/>
  </r>
  <r>
    <d v="2025-01-06T18:14:21"/>
    <x v="0"/>
    <m/>
    <s v="OMSZNXIRR"/>
    <s v="DJ"/>
    <s v="Stephen Musoke "/>
    <s v="UBJ 375N"/>
    <s v="KATO INVESTMENTS LTD- KALISIZO"/>
    <n v="153.60000000000002"/>
    <s v="F15686"/>
    <m/>
    <n v="350"/>
    <n v="343"/>
    <n v="-7"/>
    <m/>
    <d v="2025-01-07T17:42:00"/>
    <d v="2025-01-07T03:43:00"/>
    <d v="2025-01-07T18:22:00"/>
    <n v="874.93055554999353"/>
    <n v="39.814814819449872"/>
    <x v="0"/>
    <d v="2025-01-08T11:13:00"/>
    <d v="2025-01-08T17:13:00"/>
    <n v="352.5"/>
    <s v="slept at the RD and offloaded the next day"/>
    <d v="2025-01-09T10:20:00"/>
    <d v="2025-01-09T11:16:00"/>
    <n v="54.833333337664953"/>
    <x v="0"/>
    <n v="1.6652777777781012"/>
    <n v="2"/>
    <n v="0.33472222222189885"/>
    <n v="39.966666666674428"/>
    <n v="12"/>
    <n v="27.966666666674428"/>
    <n v="5.4922526817624817"/>
    <m/>
    <m/>
    <m/>
    <m/>
    <m/>
  </r>
  <r>
    <d v="2025-01-06T18:15:08"/>
    <x v="0"/>
    <m/>
    <s v="OMRF7ELRR"/>
    <s v="Manual"/>
    <s v="Godwin Niwensiima"/>
    <s v="UAR 731Q"/>
    <s v="KATO INVESTMENTS LIMITED-MASAK"/>
    <n v="153.60000000000002"/>
    <s v="F15687"/>
    <m/>
    <n v="340"/>
    <n v="328"/>
    <n v="-12"/>
    <m/>
    <d v="2025-01-07T07:58:08"/>
    <d v="2025-01-07T07:30:08"/>
    <d v="2025-01-07T08:38:08"/>
    <n v="67.685185186807459"/>
    <n v="39.814814819449872"/>
    <x v="0"/>
    <d v="2025-01-07T11:51:08"/>
    <d v="2025-01-07T14:38:08"/>
    <n v="163.52083333287737"/>
    <m/>
    <d v="2025-01-08T07:23:08"/>
    <d v="2025-01-08T08:16:08"/>
    <n v="51.895833338348893"/>
    <x v="0"/>
    <n v="0.94791666666424135"/>
    <n v="2"/>
    <n v="1.0520833333357587"/>
    <n v="22.749999999941792"/>
    <n v="0"/>
    <n v="22.749999999941792"/>
    <n v="6.7516483516656276"/>
    <m/>
    <m/>
    <m/>
    <m/>
    <m/>
  </r>
  <r>
    <d v="2025-01-06T18:17:21"/>
    <x v="0"/>
    <m/>
    <s v="OMLA1GERR"/>
    <s v="Manual"/>
    <s v="Hamudi Sesanga"/>
    <s v="UAT 351G"/>
    <s v="KATO INVESTMENTS LIMITED-MASAK"/>
    <n v="153.60000000000002"/>
    <s v="F15688"/>
    <m/>
    <n v="340"/>
    <n v="339"/>
    <n v="-1"/>
    <m/>
    <d v="2025-01-07T07:54:21"/>
    <d v="2025-01-07T07:30:21"/>
    <d v="2025-01-07T08:38:21"/>
    <n v="67.685185186807459"/>
    <n v="43.796296293051761"/>
    <x v="0"/>
    <d v="2025-01-07T11:51:21"/>
    <d v="2025-01-07T14:24:21"/>
    <n v="149.81249999589636"/>
    <m/>
    <d v="2025-01-08T07:27:21"/>
    <d v="2025-01-08T08:23:21"/>
    <n v="54.833333337664953"/>
    <x v="0"/>
    <n v="0.95069444444379769"/>
    <n v="2"/>
    <n v="1.0493055555562023"/>
    <n v="22.816666666651145"/>
    <n v="0"/>
    <n v="22.816666666651145"/>
    <n v="6.7319211103040697"/>
    <m/>
    <m/>
    <m/>
    <m/>
    <m/>
  </r>
  <r>
    <d v="2025-01-06T22:23:00"/>
    <x v="0"/>
    <m/>
    <s v="OMXCAB3RR"/>
    <s v="Manual"/>
    <s v="Nakalya John"/>
    <s v="UBM 648D"/>
    <s v="Kabaco U Ltd"/>
    <n v="156"/>
    <s v="Z82086"/>
    <m/>
    <n v="320"/>
    <n v="323"/>
    <n v="3"/>
    <m/>
    <d v="2025-01-07T10:49:00"/>
    <d v="2025-01-07T10:23:00"/>
    <d v="2025-01-07T11:46:00"/>
    <n v="82.615740738886714"/>
    <n v="56.736111108330078"/>
    <x v="7"/>
    <d v="2025-01-07T17:46:00"/>
    <d v="2025-01-07T20:41:00"/>
    <n v="171.35416667122627"/>
    <m/>
    <d v="2025-01-08T19:30:00"/>
    <d v="2025-01-08T20:26:00"/>
    <n v="54.833333337664953"/>
    <x v="0"/>
    <n v="1.3222222222175333"/>
    <n v="2"/>
    <n v="0.67777777778246673"/>
    <n v="31.733333333220799"/>
    <n v="12"/>
    <n v="19.733333333220799"/>
    <n v="7.9054054054504883"/>
    <m/>
    <m/>
    <m/>
    <m/>
    <m/>
  </r>
  <r>
    <d v="2025-01-06T23:03:37"/>
    <x v="0"/>
    <m/>
    <s v="OMZ2EAARR"/>
    <s v="DJ"/>
    <s v="Bisaso  Ronald"/>
    <s v="UBK 875R"/>
    <s v="Rugoma Traders-Kanungu/Kihihi"/>
    <n v="153.60000000000002"/>
    <s v="F15689"/>
    <m/>
    <n v="414"/>
    <n v="413"/>
    <n v="-1"/>
    <m/>
    <d v="2025-01-08T10:11:00"/>
    <d v="2025-01-07T08:00:00"/>
    <d v="2025-01-08T11:04:00"/>
    <n v="1616.4814814736019"/>
    <n v="52.75462963472819"/>
    <x v="8"/>
    <d v="2025-01-08T17:34:00"/>
    <d v="2025-01-08T20:21:00"/>
    <n v="163.52083333287737"/>
    <m/>
    <d v="2025-01-10T10:07:00"/>
    <d v="2025-01-10T11:03:00"/>
    <n v="54.833333337664953"/>
    <x v="0"/>
    <n v="1.9604166666686069"/>
    <n v="2"/>
    <n v="3.9583333331393078E-2"/>
    <n v="47.050000000046566"/>
    <n v="12"/>
    <n v="35.050000000046566"/>
    <n v="4.3823109843023094"/>
    <m/>
    <m/>
    <m/>
    <m/>
    <m/>
  </r>
  <r>
    <d v="2025-01-07T00:00:00"/>
    <x v="0"/>
    <m/>
    <s v="OM02L8B9"/>
    <s v="Manual"/>
    <m/>
    <s v="UBP 311H"/>
    <s v="Sawan Distributors Ltd-Kayabwe"/>
    <n v="156"/>
    <s v="A19916"/>
    <m/>
    <n v="382"/>
    <n v="381"/>
    <n v="-1"/>
    <m/>
    <d v="2025-01-07T07:59:00"/>
    <d v="2025-01-07T07:30:00"/>
    <d v="2025-01-07T08:42:00"/>
    <n v="71.666666660409348"/>
    <n v="42.80092592986572"/>
    <x v="0"/>
    <d v="2025-01-08T11:42:00"/>
    <d v="2025-01-08T14:15:00"/>
    <n v="149.81249999589636"/>
    <m/>
    <d v="2025-01-09T13:57:00"/>
    <d v="2025-01-09T14:56:00"/>
    <n v="57.770833336981013"/>
    <x v="0"/>
    <n v="2.21875"/>
    <n v="2"/>
    <n v="-0.21875"/>
    <n v="53.25"/>
    <n v="24"/>
    <n v="29.25"/>
    <n v="5.333333333333333"/>
    <m/>
    <m/>
    <m/>
    <m/>
    <m/>
  </r>
  <r>
    <d v="2025-01-07T00:00:00"/>
    <x v="0"/>
    <m/>
    <s v="OM02L801"/>
    <s v="Manual"/>
    <m/>
    <s v="UBK 866R"/>
    <s v="Kato Investment Ltd -Kagadi"/>
    <n v="156"/>
    <s v="A19901"/>
    <m/>
    <n v="670"/>
    <n v="612"/>
    <n v="-58"/>
    <m/>
    <d v="2025-01-07T08:08:00"/>
    <d v="2025-01-07T07:30:00"/>
    <d v="2025-01-07T08:47:00"/>
    <n v="76.643518518055018"/>
    <n v="38.819444445834961"/>
    <x v="0"/>
    <d v="2025-01-08T10:17:00"/>
    <d v="2025-01-08T14:44:00"/>
    <n v="261.43750000068394"/>
    <s v="Waited for empties from trade"/>
    <d v="2025-01-09T09:47:31"/>
    <d v="2025-01-09T10:45:31"/>
    <n v="56.791666667122627"/>
    <x v="0"/>
    <n v="2.0420277777811862"/>
    <n v="2"/>
    <n v="-4.202777778118616E-2"/>
    <n v="49.008666666748468"/>
    <n v="24"/>
    <n v="25.008666666748468"/>
    <n v="6.2378375496290515"/>
    <m/>
    <m/>
    <m/>
    <m/>
    <m/>
  </r>
  <r>
    <d v="2025-01-07T00:00:00"/>
    <x v="0"/>
    <m/>
    <s v="OM02L87X"/>
    <s v="Manual"/>
    <m/>
    <s v="UBP 311H"/>
    <s v="Boniface Harera"/>
    <n v="156"/>
    <s v="F15690"/>
    <m/>
    <n v="470"/>
    <n v="465"/>
    <n v="-5"/>
    <m/>
    <d v="2025-01-07T08:07:00"/>
    <d v="2025-01-07T07:30:00"/>
    <d v="2025-01-07T08:46:00"/>
    <n v="75.6481481444401"/>
    <n v="38.819444445834961"/>
    <x v="0"/>
    <d v="2025-01-08T10:16:00"/>
    <d v="2025-01-08T15:23:00"/>
    <n v="300.60416666165111"/>
    <s v="Reached late and offloaded the next day"/>
    <d v="2025-01-09T13:52:00"/>
    <d v="2025-01-09T14:48:00"/>
    <n v="54.833333337664953"/>
    <x v="0"/>
    <n v="2.2124999999941792"/>
    <n v="2"/>
    <n v="-0.21249999999417923"/>
    <n v="53.099999999860302"/>
    <n v="24"/>
    <n v="29.099999999860302"/>
    <n v="5.3608247422937767"/>
    <m/>
    <m/>
    <m/>
    <m/>
    <m/>
  </r>
  <r>
    <d v="2025-01-07T00:00:00"/>
    <x v="0"/>
    <m/>
    <s v="OM02L80B"/>
    <s v="Manual"/>
    <m/>
    <s v="UBK 866R"/>
    <s v="Kabaco U Ltd"/>
    <n v="156"/>
    <s v="Z82087"/>
    <m/>
    <n v="320"/>
    <n v="321"/>
    <n v="1"/>
    <m/>
    <d v="2025-01-07T07:58:00"/>
    <d v="2025-01-07T07:30:00"/>
    <d v="2025-01-07T08:38:00"/>
    <n v="67.685185186807459"/>
    <n v="39.814814819449872"/>
    <x v="0"/>
    <d v="2025-01-07T14:38:00"/>
    <d v="2025-01-07T17:07:00"/>
    <n v="145.89583333698101"/>
    <m/>
    <d v="2025-01-08T11:53:12"/>
    <d v="2025-01-08T12:49:12"/>
    <n v="54.833333337664953"/>
    <x v="0"/>
    <n v="1.1355555555564933"/>
    <n v="2"/>
    <n v="0.86444444444350665"/>
    <n v="27.25333333335584"/>
    <n v="12"/>
    <n v="15.25333333335584"/>
    <n v="10.227272727257636"/>
    <m/>
    <m/>
    <m/>
    <m/>
    <m/>
  </r>
  <r>
    <d v="2025-01-07T00:00:00"/>
    <x v="0"/>
    <m/>
    <s v="OM02L8AK"/>
    <s v="Manual"/>
    <s v="Ekwalikwa Yusuf"/>
    <s v="UBP 311H"/>
    <s v="Ntale and Sons Ltd-Kakiri"/>
    <n v="155.10000000000002"/>
    <s v="A19913"/>
    <m/>
    <n v="620"/>
    <n v="602"/>
    <n v="-18"/>
    <m/>
    <d v="2025-01-07T07:41:00"/>
    <d v="2025-01-07T07:30:00"/>
    <d v="2025-01-07T08:58:00"/>
    <n v="87.592592586103521"/>
    <n v="76.643518518055018"/>
    <x v="0"/>
    <d v="2025-01-08T08:28:00"/>
    <d v="2025-01-08T11:15:00"/>
    <n v="163.52083333287737"/>
    <m/>
    <d v="2025-01-09T10:02:36"/>
    <d v="2025-01-09T11:00:36"/>
    <n v="56.791666667122627"/>
    <x v="0"/>
    <n v="2.0448611111060018"/>
    <n v="3"/>
    <n v="0.95513888889399823"/>
    <n v="49.076666666544043"/>
    <n v="24"/>
    <n v="25.076666666544043"/>
    <n v="6.1850325668254067"/>
    <m/>
    <m/>
    <m/>
    <m/>
    <m/>
  </r>
  <r>
    <d v="2025-01-07T00:00:00"/>
    <x v="0"/>
    <m/>
    <s v="OM02L807"/>
    <s v="Manual"/>
    <m/>
    <s v="UBK 866R"/>
    <s v="Kato Investments Ltd- Kyegegwa"/>
    <n v="156"/>
    <s v="A19902"/>
    <s v="OM"/>
    <n v="600"/>
    <n v="572"/>
    <n v="-28"/>
    <m/>
    <d v="2025-01-07T08:13:00"/>
    <d v="2025-01-07T07:30:00"/>
    <d v="2025-01-07T09:02:00"/>
    <n v="91.574074070134273"/>
    <n v="48.77314815069743"/>
    <x v="1"/>
    <d v="2025-01-08T10:32:00"/>
    <d v="2025-01-08T13:27:00"/>
    <n v="171.35416667122627"/>
    <m/>
    <d v="2025-01-09T11:27:12"/>
    <d v="2025-01-09T12:24:12"/>
    <n v="55.81249999726424"/>
    <x v="0"/>
    <n v="2.1008333333375049"/>
    <n v="2"/>
    <n v="-0.10083333333750488"/>
    <n v="50.420000000100117"/>
    <n v="24"/>
    <n v="26.420000000100117"/>
    <n v="5.9046177138307661"/>
    <m/>
    <m/>
    <m/>
    <m/>
    <m/>
  </r>
  <r>
    <d v="2025-01-07T12:42:38"/>
    <x v="0"/>
    <m/>
    <s v="OM7OPDRRR"/>
    <s v="DJ"/>
    <s v="NASASIRA STEPHENE"/>
    <s v="UBK 882R"/>
    <s v="Kato Investment Ltd -Mityana"/>
    <n v="187.20000000000002"/>
    <s v="A19903"/>
    <s v="OM"/>
    <n v="690"/>
    <n v="692"/>
    <n v="2"/>
    <m/>
    <d v="2025-01-07T12:01:00"/>
    <d v="2025-01-07T13:35:00"/>
    <d v="2025-01-07T12:44:00"/>
    <n v="-50.763888887498375"/>
    <n v="42.80092592986572"/>
    <x v="0"/>
    <d v="2025-01-08T12:56:00"/>
    <d v="2025-01-08T19:03:00"/>
    <n v="359.35416666849051"/>
    <s v="Waited for empties from trade"/>
    <d v="2025-01-09T10:49:00"/>
    <d v="2025-01-09T11:45:00"/>
    <n v="54.833333337664953"/>
    <x v="0"/>
    <n v="1.9201388888905058"/>
    <n v="3"/>
    <n v="1.0798611111094942"/>
    <n v="46.083333333372138"/>
    <n v="12"/>
    <n v="34.083333333372138"/>
    <n v="5.492420537891058"/>
    <m/>
    <m/>
    <m/>
    <m/>
    <m/>
  </r>
  <r>
    <d v="2025-01-07T12:59:15"/>
    <x v="0"/>
    <m/>
    <s v="OMCGJHRRR"/>
    <s v="DJ"/>
    <s v="Abel Mark naffa"/>
    <s v="UBJ 415C"/>
    <s v="Kabaco U Ltd-Mbarara"/>
    <n v="153.60000000000002"/>
    <s v="Z82089"/>
    <s v="OM"/>
    <n v="20"/>
    <n v="12"/>
    <n v="-8"/>
    <m/>
    <d v="2025-01-07T19:17:00"/>
    <d v="2025-01-07T15:00:00"/>
    <d v="2025-01-07T19:58:00"/>
    <n v="296.62037036735757"/>
    <n v="40.810185182635905"/>
    <x v="0"/>
    <d v="2025-01-08T11:07:00"/>
    <d v="2025-01-08T13:40:00"/>
    <n v="149.81249999589636"/>
    <m/>
    <d v="2025-01-08T14:26:00"/>
    <d v="2025-01-08T15:24:00"/>
    <n v="56.791666667122627"/>
    <x v="0"/>
    <n v="0.76944444444961846"/>
    <n v="2"/>
    <n v="1.2305555555503815"/>
    <n v="18.466666666790843"/>
    <n v="0"/>
    <n v="18.466666666790843"/>
    <n v="8.3176895306299912"/>
    <m/>
    <m/>
    <m/>
    <m/>
    <m/>
  </r>
  <r>
    <d v="2025-01-07T18:53:39"/>
    <x v="0"/>
    <m/>
    <s v="OMFEHYMRR"/>
    <s v="DJ"/>
    <s v="Konge Husein"/>
    <s v="UBJ 707D"/>
    <s v="Kabaco U Ltd"/>
    <n v="153.60000000000002"/>
    <s v="Z82091"/>
    <s v="OM"/>
    <n v="320"/>
    <n v="317"/>
    <n v="-3"/>
    <m/>
    <d v="2025-01-07T18:50:00"/>
    <d v="2025-01-08T02:22:00"/>
    <d v="2025-01-07T19:33:00"/>
    <n v="-407.10648148403078"/>
    <n v="42.80092592986572"/>
    <x v="0"/>
    <d v="2025-01-08T10:58:00"/>
    <d v="2025-01-08T13:31:00"/>
    <n v="149.81249999589636"/>
    <m/>
    <d v="2025-01-10T07:51:00"/>
    <d v="2025-01-10T08:47:00"/>
    <n v="54.833333337664953"/>
    <x v="0"/>
    <n v="2.5124999999970896"/>
    <n v="2"/>
    <n v="-0.51249999999708962"/>
    <n v="60.299999999930151"/>
    <n v="24"/>
    <n v="36.299999999930151"/>
    <n v="4.2314049586858289"/>
    <m/>
    <m/>
    <m/>
    <m/>
    <m/>
  </r>
  <r>
    <d v="2025-01-07T18:54:46"/>
    <x v="0"/>
    <m/>
    <s v="OMIFRI4RR"/>
    <s v="DJ"/>
    <s v="Benon Ssempijja"/>
    <s v="UAY 526V"/>
    <s v="Agaba Services"/>
    <n v="153.60000000000002"/>
    <s v="F15691"/>
    <s v="OM"/>
    <n v="302"/>
    <n v="294"/>
    <n v="-8"/>
    <m/>
    <d v="2025-01-08T09:18:00"/>
    <d v="2025-01-08T04:15:00"/>
    <d v="2025-01-08T09:57:00"/>
    <n v="340.41666666040936"/>
    <n v="38.819444445834961"/>
    <x v="0"/>
    <d v="2025-01-08T15:29:00"/>
    <d v="2025-01-08T18:02:00"/>
    <n v="149.81249999589636"/>
    <m/>
    <d v="2025-01-09T08:58:00"/>
    <d v="2025-01-09T09:56:00"/>
    <n v="56.791666667122627"/>
    <x v="0"/>
    <n v="0.95902777778246673"/>
    <n v="2"/>
    <n v="1.0409722222175333"/>
    <n v="23.016666666779201"/>
    <n v="0"/>
    <n v="23.016666666779201"/>
    <n v="6.6734250542758451"/>
    <m/>
    <m/>
    <m/>
    <m/>
    <m/>
  </r>
  <r>
    <d v="2025-01-07T18:55:40"/>
    <x v="0"/>
    <m/>
    <s v="OM65I70RR"/>
    <s v="DJ"/>
    <s v="Kilabila Ismail"/>
    <s v="UBE 419T"/>
    <s v="Kabaco U Ltd-Mbarara"/>
    <n v="153.60000000000002"/>
    <s v="Z82092"/>
    <s v="OM"/>
    <n v="20"/>
    <n v="14"/>
    <n v="-6"/>
    <m/>
    <d v="2025-01-07T18:39:00"/>
    <d v="2025-01-08T07:42:00"/>
    <d v="2025-01-07T19:19:00"/>
    <n v="-739.56018518680742"/>
    <n v="39.814814819449872"/>
    <x v="0"/>
    <d v="2025-01-07T20:08:00"/>
    <d v="2025-01-07T22:41:00"/>
    <n v="149.81249999589636"/>
    <m/>
    <d v="2025-01-08T15:39:00"/>
    <d v="2025-01-08T16:38:00"/>
    <n v="57.770833336981013"/>
    <x v="0"/>
    <n v="0.84722222222626442"/>
    <n v="2"/>
    <n v="1.1527777777737356"/>
    <n v="20.333333333430346"/>
    <n v="0"/>
    <n v="20.333333333430346"/>
    <n v="7.5540983606196974"/>
    <m/>
    <m/>
    <m/>
    <m/>
    <m/>
  </r>
  <r>
    <d v="2025-01-07T19:03:53"/>
    <x v="0"/>
    <m/>
    <s v="OMBC2B0RR"/>
    <s v="DJ"/>
    <s v="SENTONG DAVID"/>
    <s v="UBP 298H"/>
    <s v="Rugoma Traders-Rukungiri"/>
    <n v="156"/>
    <s v="Z82093"/>
    <s v="OM"/>
    <n v="256"/>
    <n v="255"/>
    <n v="-1"/>
    <m/>
    <d v="2025-01-08T09:45:00"/>
    <d v="2025-01-08T04:04:00"/>
    <d v="2025-01-08T10:28:00"/>
    <n v="382.22222222708905"/>
    <n v="42.80092592986572"/>
    <x v="0"/>
    <d v="2025-01-08T17:08:00"/>
    <d v="2025-01-08T19:49:00"/>
    <n v="157.64583333424525"/>
    <m/>
    <d v="2025-01-09T16:46:00"/>
    <d v="2025-01-09T17:44:00"/>
    <n v="56.791666667122627"/>
    <x v="0"/>
    <n v="1.2624999999970896"/>
    <n v="2"/>
    <n v="0.73750000000291038"/>
    <n v="30.299999999930151"/>
    <n v="12"/>
    <n v="18.299999999930151"/>
    <n v="8.5245901639669643"/>
    <m/>
    <m/>
    <m/>
    <m/>
    <m/>
  </r>
  <r>
    <d v="2025-01-07T19:49:39"/>
    <x v="0"/>
    <m/>
    <s v="OM8ZA87RR"/>
    <s v="DJ"/>
    <s v="Isaac Tumuhimbise"/>
    <s v="UBE 287X"/>
    <s v="KATO INVESTMENTS LIMITED-MASAK"/>
    <n v="153.60000000000002"/>
    <s v="F15692"/>
    <s v="OM"/>
    <n v="340"/>
    <n v="154"/>
    <n v="-186"/>
    <m/>
    <d v="2025-01-08T06:52:00"/>
    <d v="2025-01-08T04:14:00"/>
    <d v="2025-01-08T07:35:00"/>
    <n v="200.06944443957764"/>
    <n v="42.80092592986572"/>
    <x v="0"/>
    <d v="2025-01-08T10:35:00"/>
    <d v="2025-01-08T13:22:00"/>
    <n v="163.52083333287737"/>
    <m/>
    <d v="2025-01-09T08:37:00"/>
    <d v="2025-01-09T10:04:00"/>
    <n v="85.18750000068394"/>
    <x v="3"/>
    <n v="1.0430555555576575"/>
    <n v="2"/>
    <n v="0.9569444444423425"/>
    <n v="25.03333333338378"/>
    <n v="12"/>
    <n v="13.03333333338378"/>
    <n v="11.785166240363594"/>
    <m/>
    <m/>
    <m/>
    <m/>
    <m/>
  </r>
  <r>
    <d v="2025-01-07T19:50:22"/>
    <x v="0"/>
    <m/>
    <s v="OMDMEGIRR"/>
    <s v="Manual"/>
    <m/>
    <s v="UBF 379L"/>
    <s v="Kobusinge Steven-FPortal"/>
    <n v="156"/>
    <s v="Z82094"/>
    <s v="OM"/>
    <n v="390"/>
    <n v="392"/>
    <n v="2"/>
    <m/>
    <d v="2025-01-08T08:18:22"/>
    <d v="2025-01-08T07:50:22"/>
    <d v="2025-01-08T08:58:22"/>
    <n v="67.685185186807459"/>
    <n v="39.814814819449872"/>
    <x v="0"/>
    <d v="2025-01-09T10:28:22"/>
    <d v="2025-01-09T13:19:22"/>
    <n v="167.43750000205182"/>
    <m/>
    <d v="2025-01-10T12:13:29"/>
    <d v="2025-01-10T13:02:29"/>
    <n v="47.979166669174447"/>
    <x v="0"/>
    <n v="2.1354999999966822"/>
    <n v="2"/>
    <n v="-0.13549999999668216"/>
    <n v="51.251999999920372"/>
    <n v="24"/>
    <n v="27.251999999920372"/>
    <n v="5.7243505064015787"/>
    <m/>
    <m/>
    <m/>
    <m/>
    <m/>
  </r>
  <r>
    <d v="2025-01-07T19:53:28"/>
    <x v="0"/>
    <m/>
    <s v="OMTPUGSRR"/>
    <s v="Manual"/>
    <m/>
    <s v="UBJ 417C"/>
    <s v="Kato Investment Ltd -Mityana"/>
    <n v="156"/>
    <s v="A19912"/>
    <s v="OM"/>
    <n v="690"/>
    <n v="692"/>
    <n v="2"/>
    <m/>
    <d v="2025-01-08T08:22:28"/>
    <d v="2025-01-08T07:53:28"/>
    <d v="2025-01-08T09:05:28"/>
    <n v="71.666666660409348"/>
    <n v="42.80092592986572"/>
    <x v="0"/>
    <d v="2025-01-09T11:05:28"/>
    <d v="2025-01-09T16:52:28"/>
    <n v="339.77083333287737"/>
    <s v="Dj failure at customer"/>
    <d v="2025-01-10T11:21:47"/>
    <d v="2025-01-10T12:10:47"/>
    <n v="47.979166669174447"/>
    <x v="0"/>
    <n v="2.0946666666714009"/>
    <n v="3"/>
    <n v="0.90533333332859911"/>
    <n v="50.272000000113621"/>
    <n v="24"/>
    <n v="26.272000000113621"/>
    <n v="5.9378806333482537"/>
    <m/>
    <m/>
    <m/>
    <m/>
    <m/>
  </r>
  <r>
    <d v="2025-01-07T19:57:51"/>
    <x v="0"/>
    <m/>
    <s v="OM2GG6XRR"/>
    <s v="Manual"/>
    <m/>
    <s v="UBM 644D"/>
    <s v="Kabaco U Ltd"/>
    <n v="156"/>
    <s v="Z82095"/>
    <s v="OM"/>
    <n v="320"/>
    <n v="323"/>
    <n v="3"/>
    <m/>
    <d v="2025-01-07T20:05:51"/>
    <d v="2025-01-08T07:57:51"/>
    <d v="2025-01-07T20:46:51"/>
    <n v="-667.89351851596928"/>
    <n v="40.810185182635905"/>
    <x v="0"/>
    <d v="2025-01-08T14:46:51"/>
    <d v="2025-01-08T17:19:51"/>
    <n v="149.81249999589636"/>
    <m/>
    <d v="2025-01-09T12:33:03"/>
    <d v="2025-01-09T13:32:03"/>
    <n v="57.770833336981013"/>
    <x v="0"/>
    <n v="1.6570833333244082"/>
    <n v="2"/>
    <n v="0.34291666667559184"/>
    <n v="39.769999999785796"/>
    <n v="12"/>
    <n v="27.769999999785796"/>
    <n v="5.6175729204610478"/>
    <m/>
    <m/>
    <m/>
    <m/>
    <m/>
  </r>
  <r>
    <d v="2025-01-07T21:59:12"/>
    <x v="0"/>
    <m/>
    <s v="OM87MA9RR"/>
    <s v="Manual"/>
    <m/>
    <s v="UBP 301H"/>
    <s v="Kato Investment Ltd -Kagadi"/>
    <n v="156"/>
    <s v="A19918"/>
    <s v="OM"/>
    <n v="670"/>
    <n v="607"/>
    <n v="-63"/>
    <m/>
    <d v="2025-01-08T10:32:12"/>
    <d v="2025-01-08T09:59:12"/>
    <d v="2025-01-08T11:14:12"/>
    <n v="74.652777770825196"/>
    <n v="41.805555556250816"/>
    <x v="0"/>
    <d v="2025-01-09T12:44:12"/>
    <d v="2025-01-09T15:17:12"/>
    <n v="149.81249999589636"/>
    <m/>
    <d v="2025-01-10T11:55:43"/>
    <d v="2025-01-10T12:53:43"/>
    <n v="56.791666667122627"/>
    <x v="0"/>
    <n v="2.0288333333373885"/>
    <n v="2"/>
    <n v="-2.8833333337388467E-2"/>
    <n v="48.692000000097323"/>
    <n v="24"/>
    <n v="24.692000000097323"/>
    <n v="6.3178357362459554"/>
    <m/>
    <m/>
    <m/>
    <m/>
    <m/>
  </r>
  <r>
    <d v="2025-01-08T00:00:00"/>
    <x v="0"/>
    <m/>
    <s v="OM02L8JN"/>
    <s v="Manual"/>
    <m/>
    <s v="UBP 311H"/>
    <s v="Ntale and Sons Ltd-Kakiri"/>
    <n v="155.10000000000002"/>
    <s v="A19922"/>
    <s v="OM"/>
    <n v="620"/>
    <n v="602"/>
    <n v="-18"/>
    <m/>
    <d v="2025-01-08T07:58:00"/>
    <d v="2025-01-08T07:30:00"/>
    <d v="2025-01-08T08:38:00"/>
    <n v="67.685185186807459"/>
    <n v="39.814814819449872"/>
    <x v="0"/>
    <d v="2025-01-08T21:08:00"/>
    <d v="2025-01-08T23:55:00"/>
    <n v="163.52083333287737"/>
    <m/>
    <d v="2025-01-10T11:10:24"/>
    <d v="2025-01-10T12:08:24"/>
    <n v="56.791666667122627"/>
    <x v="0"/>
    <n v="2.1058333333348855"/>
    <n v="3"/>
    <n v="0.89416666666511446"/>
    <n v="50.540000000037253"/>
    <n v="24"/>
    <n v="26.540000000037253"/>
    <n v="5.8440090429458298"/>
    <m/>
    <m/>
    <m/>
    <m/>
    <m/>
  </r>
  <r>
    <d v="2025-01-08T00:00:00"/>
    <x v="0"/>
    <m/>
    <s v="OM02L8M9"/>
    <s v="Manual"/>
    <m/>
    <s v="UBE 678K"/>
    <s v="Kobusinge Steven-FPortal"/>
    <n v="156"/>
    <s v="Z82096"/>
    <s v="OM"/>
    <n v="390"/>
    <n v="388"/>
    <n v="-2"/>
    <m/>
    <d v="2025-01-08T08:02:00"/>
    <d v="2025-01-08T07:30:00"/>
    <d v="2025-01-08T08:42:00"/>
    <n v="71.666666660409348"/>
    <n v="39.814814819449872"/>
    <x v="0"/>
    <d v="2025-01-09T10:12:00"/>
    <d v="2025-01-09T16:02:00"/>
    <n v="342.70833333219343"/>
    <s v="found another truck at the RD"/>
    <d v="2025-01-10T09:34:34"/>
    <d v="2025-01-10T10:32:34"/>
    <n v="56.791666667122627"/>
    <x v="0"/>
    <n v="2.0365000000019791"/>
    <n v="2"/>
    <n v="-3.650000000197906E-2"/>
    <n v="48.876000000047497"/>
    <n v="24"/>
    <n v="24.876000000047497"/>
    <n v="6.2711046791969025"/>
    <m/>
    <m/>
    <m/>
    <m/>
    <m/>
  </r>
  <r>
    <d v="2025-01-08T00:00:00"/>
    <x v="0"/>
    <m/>
    <s v="OM02L8PX"/>
    <s v="Manual"/>
    <s v="Ekwalikwa Yusuf"/>
    <s v="UBP 311H"/>
    <s v="Kabaco U Ltd"/>
    <n v="156"/>
    <s v="Z82099"/>
    <s v="OM"/>
    <n v="320"/>
    <n v="323"/>
    <n v="3"/>
    <m/>
    <d v="2025-01-08T07:58:00"/>
    <d v="2025-01-08T07:30:00"/>
    <d v="2025-01-08T08:38:00"/>
    <n v="67.685185186807459"/>
    <n v="39.814814819449872"/>
    <x v="0"/>
    <d v="2025-01-08T14:38:00"/>
    <d v="2025-01-08T20:07:00"/>
    <n v="322.14583333698101"/>
    <s v="found another truck at the RD and offloaded the next day"/>
    <d v="2025-01-09T12:26:12"/>
    <d v="2025-01-09T13:22:12"/>
    <n v="54.833333337664953"/>
    <x v="0"/>
    <n v="1.1584722222251003"/>
    <n v="2"/>
    <n v="0.84152777777489973"/>
    <n v="27.803333333402406"/>
    <n v="12"/>
    <n v="15.803333333402406"/>
    <n v="9.8713351613152174"/>
    <m/>
    <m/>
    <m/>
    <m/>
    <m/>
  </r>
  <r>
    <d v="2025-01-08T00:00:00"/>
    <x v="0"/>
    <m/>
    <s v="OM02L8Q3"/>
    <s v="Manual"/>
    <s v="Ekwalikwa Yusuf"/>
    <s v="UBP 311H"/>
    <s v="Kobusinge Steven-Kamwenge"/>
    <n v="156"/>
    <s v="Z82101"/>
    <s v="OM"/>
    <n v="230"/>
    <n v="234"/>
    <n v="4"/>
    <m/>
    <d v="2025-01-08T08:18:00"/>
    <d v="2025-01-08T07:30:00"/>
    <d v="2025-01-08T08:58:00"/>
    <n v="87.592592586103521"/>
    <n v="39.814814819449872"/>
    <x v="0"/>
    <d v="2025-01-09T09:58:00"/>
    <d v="2025-01-09T19:25:00"/>
    <n v="555.18750000410364"/>
    <s v="Waited for empties from trade"/>
    <d v="2025-01-10T12:27:24"/>
    <d v="2025-01-10T13:17:24"/>
    <n v="48.958333328773733"/>
    <x v="0"/>
    <n v="2.1454166666662786"/>
    <n v="2"/>
    <n v="-0.14541666666627862"/>
    <n v="51.489999999990687"/>
    <n v="24"/>
    <n v="27.489999999990687"/>
    <n v="5.6747908330321151"/>
    <m/>
    <m/>
    <m/>
    <m/>
    <m/>
  </r>
  <r>
    <d v="2025-01-08T00:00:00"/>
    <x v="0"/>
    <m/>
    <s v="OM02L8Q4"/>
    <s v="Manual"/>
    <m/>
    <s v="UBP 311H"/>
    <s v="Kobusinge Acaali- Kyenjojo"/>
    <n v="156"/>
    <s v="Z82102"/>
    <s v="OM"/>
    <n v="480"/>
    <n v="479"/>
    <n v="-1"/>
    <m/>
    <d v="2025-01-08T07:58:00"/>
    <d v="2025-01-08T07:30:00"/>
    <d v="2025-01-08T08:38:00"/>
    <n v="67.685185186807459"/>
    <n v="39.814814819449872"/>
    <x v="0"/>
    <d v="2025-01-09T10:23:00"/>
    <d v="2025-01-09T17:12:00"/>
    <n v="400.47916666917445"/>
    <s v="found another truck at the RD"/>
    <d v="2025-01-10T19:38:44"/>
    <d v="2025-01-10T20:35:44"/>
    <n v="55.81249999726424"/>
    <x v="0"/>
    <n v="2.4588444444452762"/>
    <n v="2"/>
    <n v="-0.45884444444527617"/>
    <n v="59.012266666686628"/>
    <n v="24"/>
    <n v="35.012266666686628"/>
    <n v="4.4555812819862481"/>
    <m/>
    <m/>
    <m/>
    <m/>
    <m/>
  </r>
  <r>
    <d v="2025-01-08T12:07:41"/>
    <x v="0"/>
    <m/>
    <s v="OMAXS8ORR"/>
    <s v="Manual"/>
    <m/>
    <s v="UBJ 419C"/>
    <s v="Boniface Harera"/>
    <n v="156"/>
    <s v="F15694"/>
    <s v="OM"/>
    <n v="470"/>
    <n v="465"/>
    <n v="-5"/>
    <m/>
    <d v="2025-01-09T00:43:41"/>
    <d v="2025-01-09T00:07:41"/>
    <d v="2025-01-09T01:39:41"/>
    <n v="91.574074070134273"/>
    <n v="55.740740745144045"/>
    <x v="8"/>
    <d v="2025-01-10T01:39:41"/>
    <d v="2025-01-10T07:24:41"/>
    <n v="337.8125000034197"/>
    <s v="Waited for empties from trade"/>
    <d v="2025-01-11T07:17:29"/>
    <d v="2025-01-11T08:11:29"/>
    <n v="52.87499999794818"/>
    <x v="0"/>
    <n v="2.234583333338378"/>
    <n v="2"/>
    <n v="-0.234583333338378"/>
    <n v="53.630000000121072"/>
    <n v="24"/>
    <n v="29.630000000121072"/>
    <n v="5.2649341883011331"/>
    <m/>
    <m/>
    <m/>
    <m/>
    <m/>
  </r>
  <r>
    <d v="2025-01-08T12:58:25"/>
    <x v="0"/>
    <m/>
    <s v="OM6FUXCRR"/>
    <s v="DJ"/>
    <s v="KASULE JOHNBOSC"/>
    <s v="UBJ 705D"/>
    <s v="Kato Investments Ltd- Kyegegwa"/>
    <n v="156"/>
    <s v="A19923"/>
    <s v="OM"/>
    <n v="600"/>
    <n v="603"/>
    <n v="3"/>
    <m/>
    <d v="2025-01-08T13:34:00"/>
    <d v="2025-01-08T20:24:00"/>
    <d v="2025-01-08T14:18:00"/>
    <n v="-364.30555555416504"/>
    <n v="43.796296293051761"/>
    <x v="0"/>
    <d v="2025-01-09T08:54:00"/>
    <d v="2025-01-09T11:53:00"/>
    <n v="175.27083333014161"/>
    <m/>
    <d v="2025-01-09T20:28:00"/>
    <d v="2025-01-09T21:24:00"/>
    <n v="54.833333337664953"/>
    <x v="0"/>
    <n v="1.2569444444452529"/>
    <n v="2"/>
    <n v="0.74305555555474712"/>
    <n v="30.166666666686069"/>
    <n v="12"/>
    <n v="18.166666666686069"/>
    <n v="8.587155963293581"/>
    <m/>
    <m/>
    <m/>
    <m/>
    <m/>
  </r>
  <r>
    <d v="2025-01-08T13:15:27"/>
    <x v="0"/>
    <m/>
    <s v="OMOMP47RR"/>
    <s v="Manual"/>
    <s v="Angello Lumala"/>
    <s v="UAV 051U"/>
    <s v="Rugoma Traders-Kanungu/Kihihi"/>
    <n v="153.60000000000002"/>
    <s v="F15695"/>
    <s v="OM"/>
    <n v="414"/>
    <n v="413"/>
    <n v="-1"/>
    <m/>
    <d v="2025-01-09T13:52:27"/>
    <d v="2025-01-09T01:15:27"/>
    <d v="2025-01-09T14:32:27"/>
    <n v="793.31018518472172"/>
    <n v="39.814814819449872"/>
    <x v="0"/>
    <d v="2025-01-09T21:07:27"/>
    <d v="2025-01-10T13:41:03"/>
    <n v="972.90000000328291"/>
    <s v="Waited for empties from trade"/>
    <d v="2025-01-11T07:55:27"/>
    <d v="2025-01-11T08:51:27"/>
    <n v="54.833333337664953"/>
    <x v="0"/>
    <n v="1.7243055555591127"/>
    <n v="2"/>
    <n v="0.27569444444088731"/>
    <n v="41.383333333418705"/>
    <n v="12"/>
    <n v="29.383333333418705"/>
    <n v="5.2274532047494189"/>
    <m/>
    <m/>
    <m/>
    <m/>
    <m/>
  </r>
  <r>
    <d v="2025-01-08T16:01:20"/>
    <x v="0"/>
    <m/>
    <s v="OMN3QBKRR"/>
    <s v="DJ"/>
    <s v="Mugisha  George"/>
    <s v="UAV 203T"/>
    <s v="KATO INVESTMENTS LIMITED-MASAK"/>
    <n v="153.60000000000002"/>
    <s v="F15696"/>
    <s v="OM"/>
    <n v="340"/>
    <n v="151"/>
    <n v="-189"/>
    <s v="Delivered to Lyatonde"/>
    <d v="2025-01-08T16:58:00"/>
    <d v="2025-01-09T04:14:00"/>
    <d v="2025-01-08T17:41:00"/>
    <n v="-630.06944444374915"/>
    <n v="42.80092592986572"/>
    <x v="0"/>
    <d v="2025-01-08T20:25:00"/>
    <d v="2025-01-09T13:01:00"/>
    <n v="975.24999999863212"/>
    <s v="Waited for empties from trade"/>
    <d v="2025-01-09T16:09:00"/>
    <d v="2025-01-09T17:05:00"/>
    <n v="54.833333337664953"/>
    <x v="0"/>
    <n v="0.93611111111385981"/>
    <n v="2"/>
    <n v="1.0638888888861402"/>
    <n v="22.466666666732635"/>
    <n v="0"/>
    <n v="22.466666666732635"/>
    <n v="6.8367952522054454"/>
    <m/>
    <m/>
    <m/>
    <m/>
    <m/>
  </r>
  <r>
    <d v="2025-01-08T18:51:08"/>
    <x v="0"/>
    <m/>
    <s v="OM7J2X1RR"/>
    <s v="DJ"/>
    <s v="James  Kironde"/>
    <s v="UBK 881R"/>
    <s v="Ntale and Sons"/>
    <n v="153.60000000000002"/>
    <s v="A19929"/>
    <s v="OM"/>
    <n v="810"/>
    <n v="809"/>
    <n v="-1"/>
    <m/>
    <d v="2025-01-09T06:35:00"/>
    <d v="2025-01-08T20:00:00"/>
    <d v="2025-01-09T07:15:00"/>
    <n v="671.875"/>
    <n v="39.814814819449872"/>
    <x v="0"/>
    <d v="2025-01-09T18:37:00"/>
    <d v="2025-01-10T15:07:00"/>
    <n v="1204.3750000068394"/>
    <s v="Reached late and offloaded the next day"/>
    <d v="2025-01-11T17:05:00"/>
    <d v="2025-01-11T17:53:00"/>
    <n v="46.99999999931606"/>
    <x v="0"/>
    <n v="2.4097222222189885"/>
    <n v="3"/>
    <n v="0.59027777778101154"/>
    <n v="57.833333333255723"/>
    <n v="24"/>
    <n v="33.833333333255723"/>
    <n v="4.5399014778429274"/>
    <m/>
    <m/>
    <m/>
    <m/>
    <m/>
  </r>
  <r>
    <d v="2025-01-08T18:52:08"/>
    <x v="0"/>
    <m/>
    <s v="OM6MJPIRR"/>
    <s v="Manual"/>
    <s v="Hamudi Sesanga"/>
    <s v="UAT 351G"/>
    <s v="Kabaco U Ltd-Mbarara"/>
    <n v="152.02500000000001"/>
    <s v="Z82097"/>
    <s v="OM"/>
    <n v="20"/>
    <n v="12"/>
    <n v="-8"/>
    <m/>
    <d v="2025-01-09T07:58:08"/>
    <d v="2025-01-09T07:30:08"/>
    <d v="2025-01-09T08:38:08"/>
    <n v="67.685185186807459"/>
    <n v="39.814814819449872"/>
    <x v="0"/>
    <d v="2025-01-09T09:20:08"/>
    <d v="2025-01-09T11:38:08"/>
    <n v="135.12499999931606"/>
    <m/>
    <d v="2025-01-09T12:10:08"/>
    <d v="2025-01-09T13:08:08"/>
    <n v="56.791666667122627"/>
    <x v="0"/>
    <n v="0.14722222222189885"/>
    <n v="2"/>
    <n v="1.8527777777781012"/>
    <n v="3.5333333333255723"/>
    <n v="0"/>
    <n v="3.5333333333255723"/>
    <n v="43.025943396320926"/>
    <m/>
    <m/>
    <m/>
    <m/>
    <m/>
  </r>
  <r>
    <d v="2025-01-08T18:55:50"/>
    <x v="0"/>
    <m/>
    <s v="OMGCPOPRR"/>
    <s v="DJ"/>
    <s v="ALIPA EREKU"/>
    <s v="UBK 858R"/>
    <s v="Rugoma Traders-Rukungiri"/>
    <n v="156"/>
    <s v="Z82098"/>
    <s v="OM"/>
    <n v="256"/>
    <n v="254"/>
    <n v="-2"/>
    <m/>
    <d v="2025-01-08T20:16:00"/>
    <d v="2025-01-09T04:04:00"/>
    <d v="2025-01-08T20:57:00"/>
    <n v="-425.0231481465259"/>
    <n v="40.810185182635905"/>
    <x v="0"/>
    <d v="2025-01-09T08:37:00"/>
    <d v="2025-01-09T17:57:00"/>
    <n v="548.33333333561313"/>
    <s v="space consquents"/>
    <d v="2025-01-10T09:01:00"/>
    <d v="2025-01-10T09:59:00"/>
    <n v="56.791666667122627"/>
    <x v="0"/>
    <n v="1.5027777777795563"/>
    <n v="2"/>
    <n v="0.49722222222044365"/>
    <n v="36.066666666709352"/>
    <n v="12"/>
    <n v="24.066666666709352"/>
    <n v="6.4819944598222987"/>
    <m/>
    <m/>
    <m/>
    <m/>
    <m/>
  </r>
  <r>
    <d v="2025-01-08T18:56:47"/>
    <x v="0"/>
    <m/>
    <s v="OM50BJLRR"/>
    <s v="DJ"/>
    <s v="Abel Mark naffa"/>
    <s v="UBJ 415C"/>
    <s v="Ntale and Sons"/>
    <n v="153.60000000000002"/>
    <s v="A19930"/>
    <s v="OM"/>
    <n v="810"/>
    <n v="804"/>
    <n v="-6"/>
    <m/>
    <d v="2025-01-08T19:11:00"/>
    <d v="2025-01-08T20:00:00"/>
    <d v="2025-01-08T19:52:00"/>
    <n v="-7.9629629680615226"/>
    <n v="40.810185182635905"/>
    <x v="0"/>
    <d v="2025-01-09T13:21:00"/>
    <d v="2025-01-10T13:30:00"/>
    <n v="1418.8124999979482"/>
    <s v="Reached late and offloaded the next day"/>
    <d v="2025-01-12T12:35:00"/>
    <d v="2025-01-12T13:34:00"/>
    <n v="57.770833336981013"/>
    <x v="0"/>
    <n v="3.6965277777781012"/>
    <n v="3"/>
    <n v="-0.69652777777810115"/>
    <n v="88.716666666674428"/>
    <n v="36"/>
    <n v="52.716666666674428"/>
    <n v="2.9136895352509153"/>
    <m/>
    <m/>
    <m/>
    <m/>
    <m/>
  </r>
  <r>
    <d v="2025-01-08T18:57:56"/>
    <x v="0"/>
    <m/>
    <s v="OM1NWRKRR"/>
    <s v="DJ"/>
    <s v="Kilabila Ismail"/>
    <s v="UBE 419T"/>
    <s v="Kato Investments Ltd-Bulenga"/>
    <n v="153.60000000000002"/>
    <s v="A19931"/>
    <s v="OM"/>
    <n v="560"/>
    <n v="559"/>
    <n v="-1"/>
    <m/>
    <d v="2025-01-08T18:51:00"/>
    <d v="2025-01-08T20:13:00"/>
    <d v="2025-01-08T19:31:00"/>
    <n v="-41.805555556250816"/>
    <n v="39.814814819449872"/>
    <x v="0"/>
    <d v="2025-01-09T14:15:00"/>
    <d v="2025-01-09T18:58:00"/>
    <n v="277.10416666712263"/>
    <s v="truck faulty"/>
    <d v="2025-01-10T17:24:00"/>
    <d v="2025-01-10T18:16:00"/>
    <n v="50.916666668490507"/>
    <x v="0"/>
    <n v="1.9118055555518367"/>
    <n v="3"/>
    <n v="1.0881944444481633"/>
    <n v="45.883333333244082"/>
    <n v="12"/>
    <n v="33.883333333244082"/>
    <n v="4.5332021643011693"/>
    <m/>
    <m/>
    <m/>
    <m/>
    <m/>
  </r>
  <r>
    <d v="2025-01-08T19:19:40"/>
    <x v="0"/>
    <m/>
    <s v="OM7S3B6RR"/>
    <s v="DJ"/>
    <s v="Kabene John"/>
    <s v="UBA 523T"/>
    <s v="KATO INVESTMENTS LIMITED-MASAK"/>
    <n v="153.60000000000002"/>
    <s v="F15697"/>
    <s v="OM"/>
    <n v="340"/>
    <n v="300"/>
    <n v="-40"/>
    <m/>
    <d v="2025-01-09T07:58:00"/>
    <d v="2025-01-09T04:14:00"/>
    <d v="2025-01-09T08:41:00"/>
    <n v="265.76388888958417"/>
    <n v="42.80092592986572"/>
    <x v="0"/>
    <d v="2025-01-09T10:57:00"/>
    <d v="2025-01-09T15:53:00"/>
    <n v="289.83333333424525"/>
    <s v="Waited for empties from trade"/>
    <d v="2025-01-10T12:03:00"/>
    <d v="2025-01-10T12:53:00"/>
    <n v="48.958333328773733"/>
    <x v="0"/>
    <n v="1.140277777776646"/>
    <n v="2"/>
    <n v="0.85972222222335404"/>
    <n v="27.366666666639503"/>
    <n v="12"/>
    <n v="15.366666666639503"/>
    <n v="9.995661605223745"/>
    <m/>
    <m/>
    <m/>
    <m/>
    <m/>
  </r>
  <r>
    <d v="2025-01-08T19:20:44"/>
    <x v="0"/>
    <m/>
    <s v="OM49LLCRR"/>
    <s v="DJ"/>
    <s v="BYEKWASO TWAHA"/>
    <s v="UBE 680K"/>
    <s v="Kato Investments Ltd- Kyegegwa"/>
    <n v="156"/>
    <s v="A19933"/>
    <s v="OM"/>
    <n v="600"/>
    <n v="564"/>
    <n v="-36"/>
    <m/>
    <d v="2025-01-08T19:48:00"/>
    <d v="2025-01-08T20:24:00"/>
    <d v="2025-01-08T20:30:00"/>
    <n v="5.9722222208317062"/>
    <n v="41.805555556250816"/>
    <x v="0"/>
    <d v="2025-01-09T10:04:00"/>
    <d v="2025-01-09T16:14:00"/>
    <n v="362.29166666780657"/>
    <s v="found another truck to be offloaded"/>
    <d v="2025-01-10T06:49:00"/>
    <d v="2025-01-10T07:45:00"/>
    <n v="54.833333337664953"/>
    <x v="0"/>
    <n v="1.429861111115315"/>
    <n v="2"/>
    <n v="0.570138888884685"/>
    <n v="34.31666666676756"/>
    <n v="12"/>
    <n v="22.31666666676756"/>
    <n v="6.9902912621043196"/>
    <m/>
    <m/>
    <m/>
    <m/>
    <m/>
  </r>
  <r>
    <d v="2025-01-08T19:23:57"/>
    <x v="0"/>
    <m/>
    <s v="OMAQNGLRR"/>
    <s v="Manual"/>
    <s v="ZIWA ABASI"/>
    <s v="UBJ 420C"/>
    <s v="Kato Investment Ltd -Mityana"/>
    <n v="156"/>
    <s v="A19934"/>
    <s v="OM"/>
    <n v="690"/>
    <n v="692"/>
    <n v="2"/>
    <m/>
    <d v="2025-01-09T07:51:57"/>
    <d v="2025-01-09T07:23:57"/>
    <d v="2025-01-09T08:31:57"/>
    <n v="67.685185186807459"/>
    <n v="39.814814819449872"/>
    <x v="0"/>
    <d v="2025-01-10T10:31:57"/>
    <d v="2025-01-10T15:21:57"/>
    <n v="283.95833333561313"/>
    <s v="Dj failure at customer"/>
    <d v="2025-01-11T12:47:52"/>
    <d v="2025-01-11T13:46:52"/>
    <n v="57.770833336981013"/>
    <x v="0"/>
    <n v="2.1777222222226555"/>
    <n v="3"/>
    <n v="0.82227777777734445"/>
    <n v="52.265333333343733"/>
    <n v="24"/>
    <n v="28.265333333343733"/>
    <n v="5.5191282607649867"/>
    <m/>
    <m/>
    <m/>
    <m/>
    <m/>
  </r>
  <r>
    <d v="2025-01-10T00:00:00"/>
    <x v="0"/>
    <m/>
    <s v="OMFFWYQRR"/>
    <s v="Manual"/>
    <s v="Bisaso  Ronald"/>
    <s v="UBK 875R"/>
    <s v="Kato Investments Ltd-Bulenga"/>
    <n v="153.6"/>
    <s v="A19983"/>
    <s v="OM"/>
    <n v="560"/>
    <n v="558"/>
    <n v="-2"/>
    <m/>
    <d v="2025-01-11T07:58:00"/>
    <d v="2025-01-11T07:30:00"/>
    <d v="2025-01-11T08:41:00"/>
    <n v="70.671296297223307"/>
    <n v="42.80092592986572"/>
    <x v="0"/>
    <d v="2025-01-10T14:03:00"/>
    <d v="2025-01-10T16:57:00"/>
    <n v="170.37500000136788"/>
    <m/>
    <d v="2025-01-13T11:55:00"/>
    <d v="2025-01-13T12:53:00"/>
    <n v="56.791666667122627"/>
    <x v="0"/>
    <n v="2.1347222222248092"/>
    <n v="3"/>
    <n v="0.86527777777519077"/>
    <n v="51.233333333395422"/>
    <n v="24"/>
    <n v="27.233333333395422"/>
    <n v="5.6401468788121107"/>
    <m/>
    <m/>
    <m/>
    <m/>
    <m/>
  </r>
  <r>
    <d v="2025-01-10T00:00:00"/>
    <x v="0"/>
    <m/>
    <s v="OMHK4MCRR"/>
    <s v="Manual"/>
    <s v="ALIPA EREKU"/>
    <s v="UBK 858R"/>
    <s v="Kato Investment Ltd -Kagadi"/>
    <n v="156"/>
    <s v="A19985"/>
    <s v="OM"/>
    <n v="670"/>
    <n v="669"/>
    <n v="-1"/>
    <m/>
    <d v="2025-01-11T07:58:00"/>
    <d v="2025-01-11T07:30:00"/>
    <d v="2025-01-11T08:41:00"/>
    <n v="70.671296297223307"/>
    <n v="42.80092592986572"/>
    <x v="0"/>
    <d v="2025-01-12T11:55:00"/>
    <d v="2025-01-12T14:22:00"/>
    <n v="143.93749999726424"/>
    <m/>
    <d v="2025-01-13T08:28:31"/>
    <d v="2025-01-13T09:24:31"/>
    <n v="54.833333337664953"/>
    <x v="0"/>
    <n v="1.9913333333315677"/>
    <n v="2"/>
    <n v="8.666666668432299E-3"/>
    <n v="47.791999999957625"/>
    <n v="12"/>
    <n v="35.791999999957625"/>
    <n v="4.358515869473198"/>
    <m/>
    <m/>
    <m/>
    <m/>
    <m/>
  </r>
  <r>
    <d v="2025-01-10T00:00:00"/>
    <x v="0"/>
    <m/>
    <s v="OM07GNXRR"/>
    <s v="Manual"/>
    <s v="Hamudi Sesanga"/>
    <s v="UAT 351G"/>
    <s v="KATO INVESTMENTS LIMITED-MASAK"/>
    <n v="153.6"/>
    <s v="F15703"/>
    <s v="OM"/>
    <n v="298"/>
    <n v="295"/>
    <n v="-3"/>
    <m/>
    <d v="2025-01-11T08:11:00"/>
    <d v="2025-01-11T07:30:00"/>
    <d v="2025-01-11T08:54:00"/>
    <n v="83.611111112501632"/>
    <n v="42.80092592986572"/>
    <x v="0"/>
    <d v="2025-01-12T09:13:00"/>
    <d v="2025-01-12T12:07:00"/>
    <n v="170.37500000136788"/>
    <m/>
    <d v="2025-01-11T19:10:00"/>
    <d v="2025-01-11T20:07:00"/>
    <n v="55.81249999726424"/>
    <x v="0"/>
    <n v="0.42777777777519077"/>
    <n v="2"/>
    <n v="1.5722222222248092"/>
    <n v="10.266666666604578"/>
    <n v="0"/>
    <n v="10.266666666604578"/>
    <n v="14.961038961129438"/>
    <m/>
    <m/>
    <m/>
    <m/>
    <m/>
  </r>
  <r>
    <d v="2025-01-11T00:00:00"/>
    <x v="0"/>
    <m/>
    <s v="OM02L9W8"/>
    <s v="Manual"/>
    <s v="Bulega Sperito"/>
    <s v="UBE 673K"/>
    <s v="Kabaco U Ltd "/>
    <n v="156"/>
    <s v="Z82141"/>
    <s v="OM"/>
    <n v="320"/>
    <n v="317"/>
    <n v="-3"/>
    <m/>
    <d v="2025-01-11T06:53:00"/>
    <d v="2025-01-11T07:30:00"/>
    <d v="2025-01-11T07:34:00"/>
    <n v="3.9814814840307613"/>
    <n v="40.810185182635905"/>
    <x v="0"/>
    <d v="2025-01-11T12:07:00"/>
    <d v="2025-01-11T14:59:00"/>
    <n v="168.41666666165111"/>
    <m/>
    <d v="2025-01-12T11:22:12"/>
    <d v="2025-01-12T12:20:12"/>
    <n v="56.791666667122627"/>
    <x v="0"/>
    <n v="1.1584722222251003"/>
    <n v="2"/>
    <n v="0.84152777777489973"/>
    <n v="27.803333333402406"/>
    <n v="12"/>
    <n v="15.803333333402406"/>
    <n v="9.8713351613152174"/>
    <m/>
    <m/>
    <m/>
    <m/>
    <m/>
  </r>
  <r>
    <d v="2025-01-11T00:00:00"/>
    <x v="0"/>
    <m/>
    <s v="OM02L9WM"/>
    <s v="Manual"/>
    <m/>
    <s v="UBK 866R"/>
    <s v="Kabaco U Ltd "/>
    <n v="156"/>
    <s v="Z82142"/>
    <s v="OM"/>
    <n v="320"/>
    <n v="319"/>
    <n v="-1"/>
    <m/>
    <d v="2025-01-11T07:21:00"/>
    <d v="2025-01-11T07:30:00"/>
    <d v="2025-01-11T08:04:00"/>
    <n v="33.842592598618161"/>
    <n v="42.80092592986572"/>
    <x v="0"/>
    <d v="2025-01-11T13:34:00"/>
    <d v="2025-01-11T16:46:00"/>
    <n v="187.99999999726424"/>
    <s v="Waited for empties from trade"/>
    <d v="2025-01-12T11:19:12"/>
    <d v="2025-01-12T12:18:12"/>
    <n v="57.770833336981013"/>
    <x v="0"/>
    <n v="1.1355555555564933"/>
    <n v="2"/>
    <n v="0.86444444444350665"/>
    <n v="27.25333333335584"/>
    <n v="12"/>
    <n v="15.25333333335584"/>
    <n v="10.227272727257636"/>
    <m/>
    <m/>
    <m/>
    <m/>
    <m/>
  </r>
  <r>
    <d v="2025-01-11T00:00:00"/>
    <x v="0"/>
    <m/>
    <s v="OM02L9X4"/>
    <s v="Manual"/>
    <s v="Bulega Sperito"/>
    <s v="UBE 673K"/>
    <s v="KATO INVESTMENTS LTD-KATIKARA"/>
    <n v="156"/>
    <s v="A20003"/>
    <s v="OM"/>
    <n v="790"/>
    <n v="787"/>
    <n v="-3"/>
    <m/>
    <d v="2025-01-11T07:04:00"/>
    <d v="2025-01-11T07:30:00"/>
    <d v="2025-01-11T07:48:00"/>
    <n v="17.916666662495118"/>
    <n v="43.796296293051761"/>
    <x v="0"/>
    <d v="2025-01-12T09:52:00"/>
    <d v="2025-01-12T12:46:00"/>
    <n v="170.37500000136788"/>
    <m/>
    <d v="2025-01-13T18:37:00"/>
    <d v="2025-01-13T19:35:00"/>
    <n v="56.791666667122627"/>
    <x v="0"/>
    <n v="2.4506944444437977"/>
    <n v="3"/>
    <n v="0.54930555555620231"/>
    <n v="58.816666666651145"/>
    <n v="24"/>
    <n v="34.816666666651145"/>
    <n v="4.4806127333672441"/>
    <m/>
    <m/>
    <m/>
    <m/>
    <m/>
  </r>
  <r>
    <d v="2025-01-11T00:00:00"/>
    <x v="0"/>
    <m/>
    <s v="OM4DOVGRR"/>
    <s v="Manual"/>
    <s v="Isaac Tumuhimbise"/>
    <s v="UBE 287X"/>
    <s v="KATO INVESTMENTS LTD- KALISIZO"/>
    <n v="153.6"/>
    <s v="F15704"/>
    <s v="OM"/>
    <n v="350"/>
    <n v="349"/>
    <n v="-1"/>
    <m/>
    <d v="2025-01-11T16:28:00"/>
    <d v="2025-01-11T16:16:00"/>
    <d v="2025-01-11T17:09:00"/>
    <n v="52.75462963472819"/>
    <n v="40.810185182635905"/>
    <x v="0"/>
    <d v="2025-01-12T09:16:00"/>
    <d v="2025-01-12T12:15:00"/>
    <n v="175.27083333014161"/>
    <m/>
    <d v="2025-01-13T13:59:00"/>
    <d v="2025-01-13T14:56:00"/>
    <n v="55.81249999726424"/>
    <x v="0"/>
    <n v="1.8680555555547471"/>
    <n v="2"/>
    <n v="0.13194444444525288"/>
    <n v="44.833333333313931"/>
    <n v="12"/>
    <n v="32.833333333313931"/>
    <n v="4.6781725888352517"/>
    <m/>
    <m/>
    <m/>
    <m/>
    <m/>
  </r>
  <r>
    <d v="2025-01-11T00:00:00"/>
    <x v="0"/>
    <m/>
    <s v="OMDBS1TRR"/>
    <s v="Manual"/>
    <s v="Luyaga Isaac"/>
    <s v="UAY 265V"/>
    <s v="Kato Investments Ltd-Bulenga"/>
    <n v="153.6"/>
    <s v="A19992"/>
    <s v="OM"/>
    <n v="560"/>
    <n v="561"/>
    <n v="1"/>
    <m/>
    <d v="2025-01-12T08:10:00"/>
    <d v="2025-01-12T07:30:00"/>
    <d v="2025-01-12T08:50:00"/>
    <n v="79.629629628470866"/>
    <n v="39.814814819449872"/>
    <x v="0"/>
    <d v="2025-01-12T09:09:00"/>
    <d v="2025-01-12T12:01:00"/>
    <n v="168.41666666165111"/>
    <m/>
    <d v="2025-01-14T14:21:12"/>
    <d v="2025-01-14T15:20:12"/>
    <n v="57.770833336981013"/>
    <x v="0"/>
    <n v="2.2300000000032014"/>
    <n v="3"/>
    <n v="0.76999999999679858"/>
    <n v="53.520000000076834"/>
    <n v="24"/>
    <n v="29.520000000076834"/>
    <n v="5.2032520325067821"/>
    <m/>
    <m/>
    <m/>
    <m/>
    <m/>
  </r>
  <r>
    <d v="2025-01-11T00:00:00"/>
    <x v="0"/>
    <m/>
    <s v="OM25K0CRR"/>
    <s v="DJ"/>
    <s v="James  Kironde"/>
    <s v="UBK 881R"/>
    <s v="Kabaco U Ltd-Mbarara "/>
    <n v="153.6"/>
    <s v="Z82139"/>
    <s v="OM"/>
    <n v="20"/>
    <n v="19"/>
    <n v="-1"/>
    <m/>
    <d v="2025-01-12T07:10:00"/>
    <d v="2025-01-12T07:30:00"/>
    <d v="2025-01-12T07:51:00"/>
    <n v="20.902777772910969"/>
    <n v="40.810185182635905"/>
    <x v="0"/>
    <d v="2025-01-13T08:50:00"/>
    <d v="2025-01-13T12:00:00"/>
    <n v="186.04166666780657"/>
    <s v="Dj failure at customer"/>
    <d v="2025-01-12T14:18:00"/>
    <d v="2025-01-12T15:12:00"/>
    <n v="52.87499999794818"/>
    <x v="0"/>
    <n v="0.26875000000291038"/>
    <n v="1"/>
    <n v="0.73124999999708962"/>
    <n v="6.4500000000698492"/>
    <n v="0"/>
    <n v="6.4500000000698492"/>
    <n v="23.813953488114201"/>
    <m/>
    <m/>
    <m/>
    <m/>
    <m/>
  </r>
  <r>
    <d v="2025-01-11T00:00:00"/>
    <x v="0"/>
    <m/>
    <s v="OMJUD54RR"/>
    <s v="Manual"/>
    <s v="Kilabila Ismail"/>
    <s v="UBE 419T"/>
    <s v="KATO INVESTMENTS LIMITED-MASAK"/>
    <n v="153.6"/>
    <s v="F15709"/>
    <s v="OM"/>
    <n v="298"/>
    <n v="297"/>
    <n v="-1"/>
    <m/>
    <d v="2025-01-12T08:09:00"/>
    <d v="2025-01-12T07:30:00"/>
    <d v="2025-01-12T08:52:00"/>
    <n v="81.62037036527181"/>
    <n v="42.80092592986572"/>
    <x v="0"/>
    <d v="2025-01-12T09:17:24"/>
    <d v="2025-01-12T12:09:24"/>
    <n v="168.41666666165111"/>
    <m/>
    <d v="2025-01-13T07:38:00"/>
    <d v="2025-01-13T08:36:00"/>
    <n v="56.791666667122627"/>
    <x v="0"/>
    <n v="0.94861111111094942"/>
    <n v="2"/>
    <n v="1.0513888888890506"/>
    <n v="22.766666666662786"/>
    <n v="0"/>
    <n v="22.766666666662786"/>
    <n v="6.7467057101036385"/>
    <m/>
    <m/>
    <m/>
    <m/>
    <m/>
  </r>
  <r>
    <d v="2025-01-11T00:00:00"/>
    <x v="0"/>
    <m/>
    <s v="OM0X9GERR"/>
    <s v="Manual"/>
    <s v="Hamudi Sesanga"/>
    <s v="UAT 351G"/>
    <s v="KATO INVESTMENTS LIMITED-MASAK"/>
    <n v="153.6"/>
    <s v="F15710"/>
    <s v="OM"/>
    <n v="298"/>
    <n v="297"/>
    <n v="-1"/>
    <m/>
    <d v="2025-01-12T07:52:00"/>
    <d v="2025-01-12T07:30:00"/>
    <d v="2025-01-12T08:35:00"/>
    <n v="64.699074065962733"/>
    <n v="42.80092592986572"/>
    <x v="0"/>
    <d v="2025-01-12T12:05:00"/>
    <d v="2025-01-12T14:57:00"/>
    <n v="168.41666666165111"/>
    <m/>
    <d v="2025-01-13T08:04:00"/>
    <d v="2025-01-13T09:00:00"/>
    <n v="54.833333337664953"/>
    <x v="0"/>
    <n v="0.97847222221753327"/>
    <n v="2"/>
    <n v="1.0215277777824667"/>
    <n v="23.483333333220799"/>
    <n v="0"/>
    <n v="23.483333333220799"/>
    <n v="6.5408090844884059"/>
    <m/>
    <m/>
    <m/>
    <m/>
    <m/>
  </r>
  <r>
    <d v="2025-01-12T00:00:00"/>
    <x v="0"/>
    <m/>
    <s v="OM02L9YT"/>
    <s v="Manual"/>
    <m/>
    <s v="UBK 866R"/>
    <s v="Kobusinge Steven-Kamwenge"/>
    <n v="156"/>
    <s v="Z82148"/>
    <s v="OM"/>
    <n v="288"/>
    <n v="289"/>
    <n v="1"/>
    <m/>
    <d v="2025-01-12T07:57:00"/>
    <d v="2025-01-12T07:30:00"/>
    <d v="2025-01-12T08:53:00"/>
    <n v="82.615740738886714"/>
    <n v="55.740740745144045"/>
    <x v="1"/>
    <d v="2025-01-12T11:48:00"/>
    <d v="2025-01-12T14:40:00"/>
    <n v="168.41666666165111"/>
    <m/>
    <d v="2025-01-14T10:12:24"/>
    <d v="2025-01-14T11:06:24"/>
    <n v="52.87499999794818"/>
    <x v="0"/>
    <n v="2.055138888892543"/>
    <n v="2"/>
    <n v="-5.5138888892543036E-2"/>
    <n v="49.323333333421033"/>
    <n v="24"/>
    <n v="25.323333333421033"/>
    <n v="6.1603264446278692"/>
    <m/>
    <m/>
    <m/>
    <m/>
    <m/>
  </r>
  <r>
    <d v="2025-01-13T00:00:00"/>
    <x v="0"/>
    <m/>
    <s v="OM02LA1G"/>
    <s v="Manual"/>
    <m/>
    <s v="UBE 678K"/>
    <s v="Kato Investment Ltd -Mityana"/>
    <n v="157.5"/>
    <s v="A20019"/>
    <s v="OM"/>
    <n v="690"/>
    <n v="689"/>
    <n v="-1"/>
    <m/>
    <d v="2025-01-13T07:58:00"/>
    <d v="2025-01-13T07:30:00"/>
    <d v="2025-01-13T08:37:00"/>
    <n v="66.689814813192541"/>
    <n v="38.819444445834961"/>
    <x v="0"/>
    <d v="2025-01-13T09:23:00"/>
    <d v="2025-01-13T11:50:00"/>
    <n v="143.93749999726424"/>
    <m/>
    <d v="2025-01-15T09:58:55"/>
    <d v="2025-01-15T10:56:55"/>
    <n v="56.791666667122627"/>
    <x v="0"/>
    <n v="2.0568888888810761"/>
    <n v="3"/>
    <n v="0.94311111111892387"/>
    <n v="49.365333333145827"/>
    <n v="24"/>
    <n v="25.365333333145827"/>
    <n v="6.209261984907128"/>
    <m/>
    <m/>
    <m/>
    <m/>
    <m/>
  </r>
  <r>
    <d v="2025-01-13T00:00:00"/>
    <x v="0"/>
    <m/>
    <s v="OMWT228RR"/>
    <s v="Manual"/>
    <s v="Mugisha  George"/>
    <s v="UAV 203T"/>
    <s v="Kabaco U Ltd-Mbarara "/>
    <n v="153.6"/>
    <s v="Z82152"/>
    <s v="OM"/>
    <n v="20"/>
    <n v="21"/>
    <n v="1"/>
    <m/>
    <d v="2025-01-13T12:43:00"/>
    <d v="2025-01-13T12:06:00"/>
    <d v="2025-01-13T13:26:00"/>
    <n v="79.629629628470866"/>
    <n v="42.80092592986572"/>
    <x v="0"/>
    <d v="2025-01-14T09:37:00"/>
    <d v="2025-01-14T12:27:00"/>
    <n v="166.45833333219343"/>
    <m/>
    <d v="2025-01-13T18:27:00"/>
    <d v="2025-01-13T19:25:00"/>
    <n v="56.791666667122627"/>
    <x v="0"/>
    <n v="0.20902777778246673"/>
    <n v="1"/>
    <n v="0.79097222221753327"/>
    <n v="5.0166666667792015"/>
    <n v="0"/>
    <n v="5.0166666667792015"/>
    <n v="30.617940198648721"/>
    <m/>
    <m/>
    <m/>
    <m/>
    <m/>
  </r>
  <r>
    <d v="2025-01-13T00:00:00"/>
    <x v="0"/>
    <m/>
    <s v="OMRIOMRRR"/>
    <s v="Manual"/>
    <s v="Benon Ssempijja"/>
    <s v="UAY 526V"/>
    <s v="Ntale and Sons"/>
    <n v="144"/>
    <s v="A20020"/>
    <s v="OM"/>
    <n v="810"/>
    <n v="811"/>
    <n v="1"/>
    <m/>
    <d v="2025-01-13T12:30:00"/>
    <d v="2025-01-13T12:07:00"/>
    <d v="2025-01-13T13:11:00"/>
    <n v="63.703703702776693"/>
    <n v="40.810185182635905"/>
    <x v="0"/>
    <d v="2025-01-13T14:02:00"/>
    <d v="2025-01-13T16:42:00"/>
    <n v="156.66666666438687"/>
    <m/>
    <d v="2025-01-18T14:51:48"/>
    <d v="2025-01-18T16:12:48"/>
    <n v="79.31250000205182"/>
    <x v="3"/>
    <n v="5.069999999999709"/>
    <n v="3"/>
    <n v="-2.069999999999709"/>
    <n v="121.67999999999302"/>
    <n v="60"/>
    <n v="61.679999999993015"/>
    <n v="2.3346303501948169"/>
    <m/>
    <m/>
    <m/>
    <m/>
    <m/>
  </r>
  <r>
    <d v="2025-01-13T00:00:00"/>
    <x v="0"/>
    <m/>
    <s v="OM7MQQSRR"/>
    <s v="Manual"/>
    <s v="Angello Lumala"/>
    <s v="UAV 051U"/>
    <s v="RUGOMA TRADERS CO. LTD NTUNGAM"/>
    <n v="153.6"/>
    <s v="F15714"/>
    <s v="OM"/>
    <n v="150"/>
    <n v="149"/>
    <n v="-1"/>
    <m/>
    <d v="2025-01-13T22:18:00"/>
    <d v="2025-01-13T22:06:00"/>
    <d v="2025-01-13T22:57:00"/>
    <n v="50.763888897927245"/>
    <n v="38.819444445834961"/>
    <x v="0"/>
    <d v="2025-01-14T19:11:00"/>
    <d v="2025-01-14T22:03:00"/>
    <n v="168.41666666165111"/>
    <m/>
    <d v="2025-01-14T18:37:00"/>
    <d v="2025-01-14T19:33:00"/>
    <n v="54.833333337664953"/>
    <x v="0"/>
    <n v="0.81944444444525288"/>
    <n v="1"/>
    <n v="0.18055555555474712"/>
    <n v="19.666666666686069"/>
    <n v="0"/>
    <n v="19.666666666686069"/>
    <n v="7.8101694915177182"/>
    <m/>
    <m/>
    <m/>
    <m/>
    <m/>
  </r>
  <r>
    <d v="2025-01-14T00:00:00"/>
    <x v="0"/>
    <m/>
    <s v="OM2878BRR"/>
    <s v="Manual"/>
    <s v="Kilabila Ismail"/>
    <s v="UBE 419T"/>
    <s v="Boniface Harera"/>
    <n v="153.6"/>
    <s v="F15715"/>
    <s v="OM"/>
    <n v="448"/>
    <n v="449"/>
    <n v="1"/>
    <m/>
    <d v="2025-01-15T07:10:00"/>
    <d v="2025-01-15T07:30:00"/>
    <d v="2025-01-15T07:50:00"/>
    <n v="19.907407409724936"/>
    <n v="39.814814819449872"/>
    <x v="0"/>
    <d v="2025-01-14T11:27:00"/>
    <d v="2025-01-14T15:29:00"/>
    <n v="236.95833333629707"/>
    <s v="Waited for empties from trade"/>
    <d v="2025-01-17T13:33:00"/>
    <d v="2025-01-17T14:30:00"/>
    <n v="55.81249999726424"/>
    <x v="0"/>
    <n v="2.2381944444423425"/>
    <n v="2"/>
    <n v="-0.2381944444423425"/>
    <n v="53.71666666661622"/>
    <n v="24"/>
    <n v="29.71666666661622"/>
    <n v="5.16881660124265"/>
    <m/>
    <m/>
    <m/>
    <m/>
    <m/>
  </r>
  <r>
    <d v="2025-01-14T00:00:00"/>
    <x v="0"/>
    <m/>
    <s v="OMMGTQTRR"/>
    <s v="Manual"/>
    <s v="Isaac Tumuhimbise"/>
    <s v="UBE 287X"/>
    <s v="Kabaco U Ltd "/>
    <n v="153.6"/>
    <s v="Z82160"/>
    <s v="OM"/>
    <n v="320"/>
    <n v="319"/>
    <n v="-1"/>
    <m/>
    <d v="2025-01-15T06:57:00"/>
    <d v="2025-01-15T07:30:00"/>
    <d v="2025-01-15T07:36:00"/>
    <n v="5.9722222208317062"/>
    <n v="38.819444445834961"/>
    <x v="0"/>
    <d v="2025-01-16T09:50:00"/>
    <d v="2025-01-16T12:49:00"/>
    <n v="175.27083333014161"/>
    <m/>
    <d v="2025-01-16T11:22:12"/>
    <d v="2025-01-16T12:11:12"/>
    <n v="47.979166669174447"/>
    <x v="0"/>
    <n v="1.1570833333316841"/>
    <n v="2"/>
    <n v="0.84291666666831588"/>
    <n v="27.769999999960419"/>
    <n v="12"/>
    <n v="15.769999999960419"/>
    <n v="9.7400126823326261"/>
    <m/>
    <m/>
    <m/>
    <m/>
    <m/>
  </r>
  <r>
    <d v="2025-01-14T00:00:00"/>
    <x v="0"/>
    <m/>
    <s v="OMU6OH3RR"/>
    <s v="Manual"/>
    <s v="Hamudi Sesanga"/>
    <s v="UAT 351G"/>
    <s v="Kabaco U Ltd-Mbarara "/>
    <n v="155.625"/>
    <s v="Z82159"/>
    <s v="OM"/>
    <n v="20"/>
    <n v="17"/>
    <n v="-3"/>
    <m/>
    <d v="2025-01-15T06:51:00"/>
    <d v="2025-01-15T07:30:00"/>
    <d v="2025-01-15T07:30:00"/>
    <n v="0"/>
    <n v="38.819444445834961"/>
    <x v="0"/>
    <d v="2025-01-15T13:36:00"/>
    <d v="2025-01-15T16:28:00"/>
    <n v="168.41666666165111"/>
    <m/>
    <d v="2025-01-15T11:58:00"/>
    <d v="2025-01-15T12:56:00"/>
    <n v="56.791666667122627"/>
    <x v="0"/>
    <n v="0.18611111111385981"/>
    <n v="1"/>
    <n v="0.81388888888614019"/>
    <n v="4.4666666667326353"/>
    <n v="0"/>
    <n v="4.4666666667326353"/>
    <n v="34.841417909933185"/>
    <m/>
    <m/>
    <m/>
    <m/>
    <m/>
  </r>
  <r>
    <d v="2025-01-15T00:00:00"/>
    <x v="0"/>
    <m/>
    <s v="OMIPYWZRR"/>
    <s v="Manual"/>
    <s v="Hamudi Sesanga"/>
    <s v="UAT 351G"/>
    <s v="KATO INVESTMENTS LTD- KALISIZO"/>
    <n v="151.42500000000001"/>
    <s v="F15718"/>
    <s v="OM"/>
    <n v="350"/>
    <n v="349"/>
    <n v="-1"/>
    <m/>
    <d v="2025-01-15T17:19:00"/>
    <d v="2025-01-15T17:00:00"/>
    <d v="2025-01-15T18:02:00"/>
    <n v="61.712962955546878"/>
    <n v="42.80092592986572"/>
    <x v="0"/>
    <d v="2025-01-15T08:12:00"/>
    <d v="2025-01-15T11:12:00"/>
    <n v="176.25"/>
    <m/>
    <d v="2025-01-17T11:34:38"/>
    <d v="2025-01-17T12:30:38"/>
    <n v="54.833333337664953"/>
    <x v="0"/>
    <n v="1.7310000000070431"/>
    <n v="2"/>
    <n v="0.26899999999295687"/>
    <n v="41.544000000169035"/>
    <n v="12"/>
    <n v="29.544000000169035"/>
    <n v="5.1254061738130803"/>
    <m/>
    <m/>
    <m/>
    <m/>
    <m/>
  </r>
  <r>
    <d v="2025-01-15T00:00:00"/>
    <x v="0"/>
    <m/>
    <s v="OMK9VQKRR"/>
    <s v="Manual"/>
    <s v="BYEKWASO TWAHA"/>
    <s v="UBE 680K"/>
    <s v="Ntale and Sons Ltd-Kakiri"/>
    <n v="156"/>
    <s v="A20070"/>
    <s v="OM"/>
    <n v="620"/>
    <n v="621"/>
    <n v="1"/>
    <m/>
    <d v="2025-01-16T07:14:00"/>
    <d v="2025-01-16T07:30:00"/>
    <d v="2025-01-16T07:55:00"/>
    <n v="24.884259256941732"/>
    <n v="40.810185182635905"/>
    <x v="0"/>
    <d v="2025-01-16T07:02:00"/>
    <d v="2025-01-16T10:02:00"/>
    <n v="176.25"/>
    <m/>
    <d v="2025-01-18T10:27:24"/>
    <d v="2025-01-18T11:24:24"/>
    <n v="55.81249999726424"/>
    <x v="0"/>
    <n v="2.1058333333348855"/>
    <n v="3"/>
    <n v="0.89416666666511446"/>
    <n v="50.540000000037253"/>
    <n v="24"/>
    <n v="26.540000000037253"/>
    <n v="5.87792012056447"/>
    <m/>
    <m/>
    <m/>
    <m/>
    <m/>
  </r>
  <r>
    <d v="2025-01-16T00:00:00"/>
    <x v="0"/>
    <m/>
    <s v="OM02LB8W"/>
    <s v="Manual"/>
    <m/>
    <s v="UBK 866R"/>
    <s v="Kato Investment Ltd -Mubende"/>
    <n v="156"/>
    <s v="A20086"/>
    <s v="OM"/>
    <n v="680"/>
    <n v="677"/>
    <n v="-3"/>
    <m/>
    <d v="2025-01-16T07:45:00"/>
    <d v="2025-01-16T07:30:00"/>
    <d v="2025-01-16T08:26:00"/>
    <n v="55.740740734715168"/>
    <n v="40.810185182635905"/>
    <x v="0"/>
    <d v="2025-01-16T20:25:00"/>
    <d v="2025-01-16T23:05:00"/>
    <n v="156.66666666438687"/>
    <m/>
    <d v="2025-01-18T16:03:17"/>
    <d v="2025-01-18T17:00:17"/>
    <n v="55.81249999726424"/>
    <x v="0"/>
    <n v="2.3175555555571918"/>
    <n v="3"/>
    <n v="0.68244444444280816"/>
    <n v="55.621333333372604"/>
    <n v="24"/>
    <n v="31.621333333372604"/>
    <n v="4.9333783099955602"/>
    <m/>
    <m/>
    <m/>
    <m/>
    <m/>
  </r>
  <r>
    <d v="2025-01-16T00:00:00"/>
    <x v="0"/>
    <m/>
    <s v="OM02LBA5"/>
    <s v="Manual"/>
    <s v="Kakembo Masuud"/>
    <s v="UBB 115P"/>
    <s v="Kobusinge Acaali- Kyenjojo"/>
    <n v="156"/>
    <s v="Z82195"/>
    <s v="OM"/>
    <n v="580"/>
    <n v="577"/>
    <n v="-3"/>
    <m/>
    <d v="2025-01-16T07:10:00"/>
    <d v="2025-01-16T07:30:00"/>
    <d v="2025-01-16T07:50:00"/>
    <n v="19.907407409724936"/>
    <n v="39.814814819449872"/>
    <x v="0"/>
    <d v="2025-01-17T10:43:00"/>
    <d v="2025-01-17T13:43:00"/>
    <n v="176.25"/>
    <m/>
    <d v="2025-01-18T16:47:58"/>
    <d v="2025-01-18T17:45:58"/>
    <n v="56.791666667122627"/>
    <x v="0"/>
    <n v="2.3735833333339542"/>
    <n v="2"/>
    <n v="-0.37358333333395422"/>
    <n v="56.966000000014901"/>
    <n v="24"/>
    <n v="32.966000000014901"/>
    <n v="4.7321482739771126"/>
    <m/>
    <m/>
    <m/>
    <m/>
    <m/>
  </r>
  <r>
    <d v="2025-01-16T00:00:00"/>
    <x v="0"/>
    <m/>
    <s v="OM02LB8X"/>
    <s v="Manual"/>
    <m/>
    <s v="UBK 866R"/>
    <s v="Bates Enterprises U Ltd"/>
    <n v="156"/>
    <s v="Z82190"/>
    <s v="OM"/>
    <n v="464"/>
    <n v="461"/>
    <n v="-3"/>
    <m/>
    <d v="2025-01-16T06:37:00"/>
    <d v="2025-01-16T07:30:00"/>
    <d v="2025-01-16T07:40:00"/>
    <n v="9.9537037048624679"/>
    <n v="62.708333329161782"/>
    <x v="2"/>
    <d v="2025-01-17T09:50:00"/>
    <d v="2025-01-17T12:33:00"/>
    <n v="159.60416666370293"/>
    <m/>
    <d v="2025-01-19T15:04:00"/>
    <d v="2025-01-19T16:00:00"/>
    <n v="54.833333337664953"/>
    <x v="0"/>
    <n v="3.3083333333343035"/>
    <n v="3"/>
    <n v="-0.30833333333430346"/>
    <n v="79.400000000023283"/>
    <n v="36"/>
    <n v="43.400000000023283"/>
    <n v="3.5944700460810211"/>
    <m/>
    <m/>
    <m/>
    <m/>
    <m/>
  </r>
  <r>
    <d v="2025-01-16T00:00:00"/>
    <x v="0"/>
    <m/>
    <s v="OM02LB8G"/>
    <s v="Manual"/>
    <m/>
    <s v="UBK 866R"/>
    <s v="Kabaco U Ltd "/>
    <n v="156"/>
    <s v="Z82186"/>
    <s v="OM"/>
    <n v="320"/>
    <n v="318"/>
    <n v="-2"/>
    <m/>
    <d v="2025-01-16T07:21:00"/>
    <d v="2025-01-16T07:30:00"/>
    <d v="2025-01-16T08:02:00"/>
    <n v="31.851851851388346"/>
    <n v="40.810185182635905"/>
    <x v="0"/>
    <d v="2025-01-18T07:40:00"/>
    <d v="2025-01-18T10:40:00"/>
    <n v="176.25"/>
    <m/>
    <d v="2025-01-17T11:08:12"/>
    <d v="2025-01-17T12:05:12"/>
    <n v="55.81249999726424"/>
    <x v="0"/>
    <n v="1.1293055555579485"/>
    <n v="2"/>
    <n v="0.87069444444205146"/>
    <n v="27.103333333390765"/>
    <n v="12"/>
    <n v="15.103333333390765"/>
    <n v="10.328845729380278"/>
    <m/>
    <m/>
    <m/>
    <m/>
    <m/>
  </r>
  <r>
    <d v="2025-01-16T00:00:00"/>
    <x v="0"/>
    <m/>
    <s v="OMGCR2FRR"/>
    <s v="Manual"/>
    <s v="Luyaga Isaac"/>
    <s v="UAY 265V"/>
    <s v="RUGOMA TRADERS CO. LTD NTUNGAM"/>
    <n v="153.6"/>
    <s v="F15725"/>
    <s v="OM"/>
    <n v="150"/>
    <n v="151"/>
    <n v="1"/>
    <m/>
    <d v="2025-01-17T08:02:00"/>
    <d v="2025-01-17T07:30:00"/>
    <d v="2025-01-17T08:42:00"/>
    <n v="71.666666660409348"/>
    <n v="39.814814819449872"/>
    <x v="0"/>
    <d v="2025-01-16T14:02:00"/>
    <d v="2025-01-16T16:54:00"/>
    <n v="168.41666666165111"/>
    <m/>
    <d v="2025-01-17T19:08:00"/>
    <d v="2025-01-17T20:05:00"/>
    <n v="55.81249999726424"/>
    <x v="0"/>
    <n v="0.43472222222771961"/>
    <n v="1"/>
    <n v="0.56527777777228039"/>
    <n v="10.433333333465271"/>
    <n v="0"/>
    <n v="10.433333333465271"/>
    <n v="14.722044728248333"/>
    <m/>
    <m/>
    <m/>
    <m/>
    <m/>
  </r>
  <r>
    <d v="2025-01-16T00:00:00"/>
    <x v="0"/>
    <m/>
    <s v="OML8B0JRR"/>
    <s v="Manual"/>
    <m/>
    <s v="UBF 379L"/>
    <s v="Kabaco U Ltd "/>
    <n v="154.34399999999999"/>
    <s v="Z82197"/>
    <s v="OM"/>
    <n v="320"/>
    <n v="319"/>
    <n v="-1"/>
    <m/>
    <d v="2025-01-17T08:11:00"/>
    <d v="2025-01-17T07:30:00"/>
    <d v="2025-01-17T08:52:00"/>
    <n v="81.62037036527181"/>
    <n v="40.810185182635905"/>
    <x v="0"/>
    <d v="2025-01-17T10:58:00"/>
    <d v="2025-01-17T13:58:00"/>
    <n v="176.25"/>
    <m/>
    <d v="2025-01-18T12:40:12"/>
    <d v="2025-01-18T13:36:12"/>
    <n v="54.833333337664953"/>
    <x v="0"/>
    <n v="1.1584722222251003"/>
    <n v="2"/>
    <n v="0.84152777777489973"/>
    <n v="27.803333333402406"/>
    <n v="12"/>
    <n v="15.803333333402406"/>
    <n v="9.7665471419104861"/>
    <m/>
    <m/>
    <m/>
    <m/>
    <m/>
  </r>
  <r>
    <d v="2025-01-16T00:00:00"/>
    <x v="0"/>
    <m/>
    <s v="OMFJAHBRR"/>
    <s v="Manual"/>
    <m/>
    <s v="UBJ 419C"/>
    <s v="KATO INVESTMENTS LTD-KATIKARA"/>
    <n v="156"/>
    <s v="A20095"/>
    <s v="OM"/>
    <n v="790"/>
    <n v="789"/>
    <n v="-1"/>
    <m/>
    <d v="2025-01-16T07:39:00"/>
    <d v="2025-01-16T07:30:00"/>
    <d v="2025-01-16T08:44:00"/>
    <n v="73.657407407639155"/>
    <n v="64.699074076391597"/>
    <x v="8"/>
    <d v="2025-01-17T14:52:00"/>
    <d v="2025-01-17T17:35:00"/>
    <n v="159.60416666370293"/>
    <m/>
    <d v="2025-01-18T19:46:00"/>
    <d v="2025-01-18T20:45:00"/>
    <n v="57.770833336981013"/>
    <x v="0"/>
    <n v="2.4597222222218988"/>
    <n v="3"/>
    <n v="0.54027777777810115"/>
    <n v="59.033333333325572"/>
    <n v="24"/>
    <n v="35.033333333325572"/>
    <n v="4.4529019980980369"/>
    <m/>
    <m/>
    <m/>
    <m/>
    <m/>
  </r>
  <r>
    <d v="2025-01-17T00:00:00"/>
    <x v="0"/>
    <m/>
    <s v="OM02LBK3"/>
    <s v="Manual"/>
    <s v="Kakembo Masuud"/>
    <s v="UBB 115P"/>
    <s v="Bates Enterprises U Ltd"/>
    <n v="156"/>
    <s v="Z82198"/>
    <s v="OM"/>
    <n v="464"/>
    <n v="465"/>
    <n v="1"/>
    <m/>
    <d v="2025-01-17T08:01:00"/>
    <d v="2025-01-17T07:30:00"/>
    <d v="2025-01-17T08:42:00"/>
    <n v="71.666666660409348"/>
    <n v="40.810185182635905"/>
    <x v="0"/>
    <d v="2025-01-17T09:59:00"/>
    <d v="2025-01-17T12:58:00"/>
    <n v="175.27083333014161"/>
    <m/>
    <d v="2025-01-20T16:16:00"/>
    <d v="2025-01-20T17:15:00"/>
    <n v="57.770833336981013"/>
    <x v="0"/>
    <n v="3.3152777777795563"/>
    <n v="3"/>
    <n v="-0.31527777777955635"/>
    <n v="79.566666666709352"/>
    <n v="36"/>
    <n v="43.566666666709352"/>
    <n v="3.5807192042811131"/>
    <m/>
    <m/>
    <m/>
    <m/>
    <m/>
  </r>
  <r>
    <d v="2025-01-17T00:00:00"/>
    <x v="0"/>
    <m/>
    <s v="OMC325YRR"/>
    <s v="Manual"/>
    <s v="Isaac Tumuhimbise"/>
    <s v="UBE 287X"/>
    <s v="Rugoma Traders-Kanungu/Kihihi"/>
    <n v="153.6"/>
    <s v="F15726"/>
    <s v="OM"/>
    <n v="414"/>
    <n v="415"/>
    <n v="1"/>
    <m/>
    <d v="2025-01-17T14:19:00"/>
    <d v="2025-01-17T13:59:00"/>
    <d v="2025-01-17T15:00:00"/>
    <n v="60.717592592360838"/>
    <n v="40.810185182635905"/>
    <x v="0"/>
    <d v="2025-01-19T08:42:00"/>
    <d v="2025-01-19T13:34:00"/>
    <n v="285.91666666507081"/>
    <s v="truck faulty"/>
    <d v="2025-01-18T19:10:00"/>
    <d v="2025-01-18T20:32:00"/>
    <n v="80.291666661651107"/>
    <x v="4"/>
    <n v="1.1736111111094942"/>
    <n v="2"/>
    <n v="0.82638888889050577"/>
    <n v="28.166666666627862"/>
    <n v="12"/>
    <n v="16.166666666627862"/>
    <n v="9.5010309278578564"/>
    <m/>
    <m/>
    <m/>
    <m/>
    <m/>
  </r>
  <r>
    <d v="2025-01-17T00:00:00"/>
    <x v="0"/>
    <m/>
    <s v="OMGBRN0RR"/>
    <s v="Manual"/>
    <s v="Mugisha  George"/>
    <s v="UAV 203T"/>
    <s v="KATO INVESTMENTS LIMITED-MASAK"/>
    <n v="153.6"/>
    <s v="F15727"/>
    <s v="OM"/>
    <n v="298"/>
    <n v="295"/>
    <n v="-3"/>
    <m/>
    <d v="2025-01-17T16:25:00"/>
    <d v="2025-01-17T15:53:00"/>
    <d v="2025-01-17T17:06:00"/>
    <n v="72.662037034024252"/>
    <n v="40.810185182635905"/>
    <x v="0"/>
    <d v="2025-01-18T07:35:00"/>
    <d v="2025-01-18T10:27:00"/>
    <n v="168.41666666165111"/>
    <m/>
    <d v="2025-01-18T15:22:00"/>
    <d v="2025-01-18T16:44:00"/>
    <n v="80.291666661651107"/>
    <x v="5"/>
    <n v="0.92777777777519077"/>
    <n v="2"/>
    <n v="1.0722222222248092"/>
    <n v="22.266666666604578"/>
    <n v="0"/>
    <n v="22.266666666604578"/>
    <n v="6.8982035928336058"/>
    <m/>
    <m/>
    <m/>
    <m/>
    <m/>
  </r>
  <r>
    <d v="2025-01-17T00:00:00"/>
    <x v="0"/>
    <m/>
    <s v="OMZ664MRR"/>
    <s v="Manual"/>
    <s v="SENTONG DAVID"/>
    <s v="UBP 298H"/>
    <s v="Kato Investment Ltd -Kagadi"/>
    <n v="156"/>
    <s v="A20123"/>
    <s v="OM"/>
    <n v="670"/>
    <n v="669"/>
    <n v="-1"/>
    <m/>
    <d v="2025-01-18T08:05:00"/>
    <d v="2025-01-18T07:30:00"/>
    <d v="2025-01-18T08:46:00"/>
    <n v="75.6481481444401"/>
    <n v="40.810185182635905"/>
    <x v="0"/>
    <d v="2025-01-18T08:19:00"/>
    <d v="2025-01-18T11:19:00"/>
    <n v="176.25"/>
    <m/>
    <d v="2025-01-20T09:34:31"/>
    <d v="2025-01-20T10:27:31"/>
    <n v="51.895833338348893"/>
    <x v="0"/>
    <n v="2.0336944444497931"/>
    <n v="2"/>
    <n v="-3.3694444449793082E-2"/>
    <n v="48.808666666795034"/>
    <n v="24"/>
    <n v="24.808666666795034"/>
    <n v="6.2881251175339052"/>
    <m/>
    <m/>
    <m/>
    <m/>
    <m/>
  </r>
  <r>
    <d v="2025-01-17T00:00:00"/>
    <x v="0"/>
    <m/>
    <s v="OM4B5TARR"/>
    <s v="Manual"/>
    <m/>
    <s v="UBM 648D"/>
    <s v="Kato Investment Ltd -Mityana"/>
    <n v="156"/>
    <s v="A20124"/>
    <s v="OM"/>
    <n v="690"/>
    <n v="687"/>
    <n v="-3"/>
    <m/>
    <d v="2025-01-17T08:11:00"/>
    <d v="2025-01-17T07:30:00"/>
    <d v="2025-01-17T08:55:00"/>
    <n v="84.606481475687659"/>
    <n v="43.796296293051761"/>
    <x v="0"/>
    <d v="2025-01-19T10:46:00"/>
    <d v="2025-01-19T13:38:00"/>
    <n v="168.41666666165111"/>
    <m/>
    <d v="2025-01-19T12:14:43"/>
    <d v="2025-01-19T13:11:43"/>
    <n v="55.81249999726424"/>
    <x v="0"/>
    <n v="2.1386944444457185"/>
    <n v="3"/>
    <n v="0.86130555555428145"/>
    <n v="51.328666666697245"/>
    <n v="24"/>
    <n v="27.328666666697245"/>
    <n v="5.7082916595452433"/>
    <m/>
    <m/>
    <m/>
    <m/>
    <m/>
  </r>
  <r>
    <d v="2025-01-18T00:00:00"/>
    <x v="0"/>
    <m/>
    <s v="OMN2SNYRR"/>
    <s v="Manual"/>
    <s v="Tumusiime Robert"/>
    <s v="UBJ 988D"/>
    <s v="RUGOMA TRADERS CO. LTD NTUNGAM"/>
    <n v="153.6"/>
    <s v="F15738"/>
    <s v="OM"/>
    <n v="150"/>
    <n v="151"/>
    <n v="1"/>
    <m/>
    <d v="2025-01-19T08:02:00"/>
    <d v="2025-01-19T07:30:00"/>
    <d v="2025-01-19T08:42:00"/>
    <n v="71.666666660409348"/>
    <n v="39.814814819449872"/>
    <x v="0"/>
    <d v="2025-01-18T10:55:00"/>
    <d v="2025-01-18T13:35:00"/>
    <n v="156.66666666438687"/>
    <m/>
    <d v="2025-01-19T19:28:00"/>
    <d v="2025-01-19T20:24:00"/>
    <n v="54.833333337664953"/>
    <x v="0"/>
    <n v="0.44861111111822538"/>
    <n v="1"/>
    <n v="0.55138888888177462"/>
    <n v="10.766666666837409"/>
    <n v="0"/>
    <n v="10.766666666837409"/>
    <n v="14.266253869742799"/>
    <m/>
    <m/>
    <m/>
    <m/>
    <m/>
  </r>
  <r>
    <d v="2025-01-19T00:00:00"/>
    <x v="0"/>
    <m/>
    <s v="OM02LBWD"/>
    <s v="Manual"/>
    <m/>
    <s v="UBP 311H"/>
    <s v="KATO INVESTMENTS LTD-KATIKARA"/>
    <n v="156"/>
    <s v="A20149"/>
    <s v="OM"/>
    <n v="790"/>
    <n v="787"/>
    <n v="-3"/>
    <m/>
    <d v="2025-01-19T06:58:00"/>
    <d v="2025-01-19T07:30:00"/>
    <d v="2025-01-19T07:42:00"/>
    <n v="11.944444441663412"/>
    <n v="43.796296293051761"/>
    <x v="0"/>
    <d v="2025-01-19T10:58:00"/>
    <d v="2025-01-19T13:41:00"/>
    <n v="159.60416666370293"/>
    <m/>
    <d v="2025-01-21T17:11:00"/>
    <d v="2025-01-21T18:07:00"/>
    <n v="54.833333337664953"/>
    <x v="0"/>
    <n v="2.3951388888890506"/>
    <n v="3"/>
    <n v="0.60486111111094942"/>
    <n v="57.483333333337214"/>
    <n v="24"/>
    <n v="33.483333333337214"/>
    <n v="4.6590343454449554"/>
    <m/>
    <m/>
    <m/>
    <m/>
    <m/>
  </r>
  <r>
    <d v="2025-01-19T00:00:00"/>
    <x v="0"/>
    <m/>
    <s v="OMFHMV5RR"/>
    <s v="Manual"/>
    <s v="Isaac Tumuhimbise"/>
    <s v="UBE 287X"/>
    <s v="Kabaco U Ltd-Mbarara "/>
    <n v="153.6"/>
    <s v="Z82223"/>
    <s v="OM"/>
    <n v="20"/>
    <n v="19"/>
    <n v="-1"/>
    <m/>
    <d v="2025-01-19T14:18:00"/>
    <d v="2025-01-19T14:05:00"/>
    <d v="2025-01-19T15:19:00"/>
    <n v="73.657407407639155"/>
    <n v="60.717592592360838"/>
    <x v="7"/>
    <d v="2025-01-20T08:57:00"/>
    <d v="2025-01-20T11:45:00"/>
    <n v="164.50000000273576"/>
    <m/>
    <d v="2025-01-20T12:28:55"/>
    <d v="2025-01-20T13:17:55"/>
    <n v="47.979166669174447"/>
    <x v="0"/>
    <n v="0.88188888889271766"/>
    <n v="1"/>
    <n v="0.11811111110728234"/>
    <n v="21.165333333425224"/>
    <n v="0"/>
    <n v="21.165333333425224"/>
    <n v="7.2571500566649769"/>
    <m/>
    <m/>
    <m/>
    <m/>
    <m/>
  </r>
  <r>
    <d v="2025-01-19T00:00:00"/>
    <x v="0"/>
    <m/>
    <s v="OMZW8IMRR"/>
    <s v="Manual"/>
    <s v="Jacob Oneka"/>
    <s v="UBE 422T"/>
    <s v="Rugoma Traders-Kanungu/Kihihi"/>
    <n v="153.6"/>
    <s v="F15740"/>
    <s v="OM"/>
    <n v="414"/>
    <n v="411"/>
    <n v="-3"/>
    <m/>
    <d v="2025-01-19T14:35:00"/>
    <d v="2025-01-19T14:07:00"/>
    <d v="2025-01-19T15:16:00"/>
    <n v="68.680555560422363"/>
    <n v="40.810185182635905"/>
    <x v="0"/>
    <d v="2025-01-19T15:46:00"/>
    <d v="2025-01-19T18:13:00"/>
    <n v="143.93749999726424"/>
    <m/>
    <d v="2025-01-20T19:40:00"/>
    <d v="2025-01-20T20:35:00"/>
    <n v="53.854166667806567"/>
    <x v="0"/>
    <n v="1.1833333333343035"/>
    <n v="2"/>
    <n v="0.81666666666569654"/>
    <n v="28.400000000023283"/>
    <n v="12"/>
    <n v="16.400000000023283"/>
    <n v="9.3658536585232888"/>
    <m/>
    <m/>
    <m/>
    <m/>
    <m/>
  </r>
  <r>
    <d v="2025-01-19T00:00:00"/>
    <x v="0"/>
    <m/>
    <s v="OMSRSHURR"/>
    <s v="Manual"/>
    <s v="Kilabila Ismail"/>
    <s v="UBE 419T"/>
    <s v="KATO INVESTMENTS LIMITED-MASAK"/>
    <n v="156"/>
    <s v="F15741"/>
    <s v="OM"/>
    <n v="298"/>
    <n v="295"/>
    <n v="-3"/>
    <m/>
    <d v="2025-01-19T14:41:00"/>
    <d v="2025-01-19T14:08:00"/>
    <d v="2025-01-19T15:22:00"/>
    <n v="73.657407407639155"/>
    <n v="40.810185182635905"/>
    <x v="0"/>
    <d v="2025-01-20T08:15:00"/>
    <d v="2025-01-20T12:38:00"/>
    <n v="257.52083333150949"/>
    <s v="Dj failure at customer"/>
    <d v="2025-01-20T15:58:12"/>
    <d v="2025-01-20T16:55:12"/>
    <n v="55.81249999726424"/>
    <x v="0"/>
    <n v="1.0251388888864312"/>
    <n v="2"/>
    <n v="0.97486111111356877"/>
    <n v="24.60333333327435"/>
    <n v="12"/>
    <n v="12.60333333327435"/>
    <n v="12.377677863057134"/>
    <m/>
    <m/>
    <m/>
    <m/>
    <m/>
  </r>
  <r>
    <d v="2025-01-19T00:00:00"/>
    <x v="0"/>
    <m/>
    <s v="OM07KFYRR"/>
    <s v="Manual"/>
    <s v="Hamudi Sesanga"/>
    <s v="UAT 351G"/>
    <s v="RUGOMA TRADERS CO. LTD NTUNGAM"/>
    <n v="153.6"/>
    <s v="F15742"/>
    <s v="OM"/>
    <n v="150"/>
    <n v="148"/>
    <n v="-2"/>
    <m/>
    <d v="2025-01-19T14:46:00"/>
    <d v="2025-01-19T14:10:00"/>
    <d v="2025-01-19T15:27:00"/>
    <n v="76.643518518055018"/>
    <n v="40.810185182635905"/>
    <x v="0"/>
    <d v="2025-01-19T18:35:00"/>
    <d v="2025-01-19T21:35:00"/>
    <n v="176.25"/>
    <m/>
    <d v="2025-01-20T15:54:36"/>
    <d v="2025-01-20T16:51:36"/>
    <n v="55.81249999726424"/>
    <x v="0"/>
    <n v="1.0191666666723904"/>
    <n v="1"/>
    <n v="-1.916666667239042E-2"/>
    <n v="24.46000000013737"/>
    <n v="12"/>
    <n v="12.46000000013737"/>
    <n v="12.327447832929902"/>
    <m/>
    <m/>
    <m/>
    <m/>
    <m/>
  </r>
  <r>
    <d v="2025-01-19T00:00:00"/>
    <x v="0"/>
    <m/>
    <s v="OM2JT1CRR"/>
    <s v="Manual"/>
    <s v="Abel Mark naffa"/>
    <s v="UBJ 415C"/>
    <s v="KATO INVESTMENTS LTD- KALISIZO"/>
    <n v="153.6"/>
    <s v="F15743"/>
    <s v="OM"/>
    <n v="350"/>
    <n v="349"/>
    <n v="-1"/>
    <m/>
    <d v="2025-01-19T17:18:00"/>
    <d v="2025-01-19T16:51:00"/>
    <d v="2025-01-19T18:01:00"/>
    <n v="69.675925934037267"/>
    <n v="42.80092592986572"/>
    <x v="0"/>
    <d v="2025-01-19T17:27:00"/>
    <d v="2025-01-19T20:19:00"/>
    <n v="168.41666666165111"/>
    <m/>
    <d v="2025-01-22T08:43:14"/>
    <d v="2025-01-22T09:43:14"/>
    <n v="58.7499999965803"/>
    <x v="0"/>
    <n v="2.612666666667792"/>
    <n v="2"/>
    <n v="-0.61266666666779201"/>
    <n v="62.704000000027008"/>
    <n v="24"/>
    <n v="38.704000000027008"/>
    <n v="3.9685820586991736"/>
    <m/>
    <m/>
    <m/>
    <m/>
    <m/>
  </r>
  <r>
    <d v="2025-01-20T00:00:00"/>
    <x v="0"/>
    <m/>
    <s v="OM02LCCT"/>
    <s v="Manual"/>
    <m/>
    <s v="UBE 684K"/>
    <s v="Kato Investments Ltd- Kyegegwa"/>
    <n v="156"/>
    <s v="A20176"/>
    <s v="OM"/>
    <n v="600"/>
    <n v="599"/>
    <n v="-1"/>
    <m/>
    <d v="2025-01-20T07:01:00"/>
    <d v="2025-01-20T07:30:00"/>
    <d v="2025-01-20T07:41:00"/>
    <n v="10.949074078477375"/>
    <n v="39.814814819449872"/>
    <x v="0"/>
    <d v="2025-01-21T08:01:00"/>
    <d v="2025-01-21T10:53:00"/>
    <n v="168.41666666165111"/>
    <m/>
    <d v="2025-01-22T08:00:55"/>
    <d v="2025-01-22T08:53:55"/>
    <n v="51.895833338348893"/>
    <x v="0"/>
    <n v="2.0138333333379705"/>
    <n v="2"/>
    <n v="-1.3833333337970544E-2"/>
    <n v="48.332000000111293"/>
    <n v="24"/>
    <n v="24.332000000111293"/>
    <n v="6.4113102087492386"/>
    <m/>
    <m/>
    <m/>
    <m/>
    <m/>
  </r>
  <r>
    <d v="2025-01-20T00:00:00"/>
    <x v="0"/>
    <m/>
    <s v="OM02LCCD"/>
    <s v="Manual"/>
    <m/>
    <s v="UBF 379L"/>
    <s v="Kato Investment Ltd -Mityana"/>
    <n v="156"/>
    <s v="A20173"/>
    <s v="OM"/>
    <n v="690"/>
    <n v="687"/>
    <n v="-3"/>
    <m/>
    <d v="2025-01-20T07:17:00"/>
    <d v="2025-01-20T07:30:00"/>
    <d v="2025-01-20T07:58:00"/>
    <n v="27.870370377786458"/>
    <n v="40.810185182635905"/>
    <x v="0"/>
    <d v="2025-01-21T09:11:00"/>
    <d v="2025-01-21T11:38:00"/>
    <n v="143.93749999726424"/>
    <m/>
    <d v="2025-01-22T09:49:55"/>
    <d v="2025-01-22T11:12:55"/>
    <n v="81.270833331509493"/>
    <x v="6"/>
    <n v="2.0777222222241107"/>
    <n v="3"/>
    <n v="0.92227777777588926"/>
    <n v="49.865333333378658"/>
    <n v="24"/>
    <n v="25.865333333378658"/>
    <n v="6.0312387236349805"/>
    <m/>
    <m/>
    <m/>
    <m/>
    <m/>
  </r>
  <r>
    <d v="2025-01-20T00:00:00"/>
    <x v="0"/>
    <m/>
    <s v="OMA4Y0IRR"/>
    <s v="Manual"/>
    <s v="SENTONG DAVID"/>
    <s v="UBP 298H"/>
    <s v="Boniface Harera"/>
    <n v="156"/>
    <s v="F15748"/>
    <s v="OM"/>
    <n v="448"/>
    <n v="445"/>
    <n v="-3"/>
    <m/>
    <d v="2025-01-21T08:14:00"/>
    <d v="2025-01-21T07:30:00"/>
    <d v="2025-01-21T08:57:00"/>
    <n v="86.59722222291748"/>
    <n v="42.80092592986572"/>
    <x v="0"/>
    <d v="2025-01-21T09:58:00"/>
    <d v="2025-01-21T12:58:00"/>
    <n v="176.25"/>
    <m/>
    <d v="2025-01-23T14:30:00"/>
    <d v="2025-01-23T15:22:00"/>
    <n v="50.916666668490507"/>
    <x v="0"/>
    <n v="2.2312499999970896"/>
    <n v="2"/>
    <n v="-0.23124999999708962"/>
    <n v="53.549999999930151"/>
    <n v="24"/>
    <n v="29.549999999930151"/>
    <n v="5.279187817271362"/>
    <m/>
    <m/>
    <m/>
    <m/>
    <m/>
  </r>
  <r>
    <d v="2025-01-20T00:00:00"/>
    <x v="0"/>
    <m/>
    <s v="OM6MVL0RR"/>
    <s v="Manual"/>
    <s v="ALIPA EREKU"/>
    <s v="UBK 858R"/>
    <s v="KATO INVESTMENTS LTD-KATIKARA"/>
    <n v="154.34399999999999"/>
    <s v="A20172"/>
    <s v="OM"/>
    <n v="790"/>
    <n v="788"/>
    <n v="-2"/>
    <m/>
    <d v="2025-01-20T19:45:00"/>
    <d v="2025-01-21T07:30:00"/>
    <d v="2025-01-20T20:27:00"/>
    <n v="-659.93055555833655"/>
    <n v="41.805555556250816"/>
    <x v="0"/>
    <d v="2025-01-22T10:27:00"/>
    <d v="2025-01-22T14:28:00"/>
    <n v="235.97916666643869"/>
    <s v="Reached late and offloaded the next day"/>
    <d v="2025-01-23T07:36:00"/>
    <d v="2025-01-23T08:30:00"/>
    <n v="52.87499999794818"/>
    <x v="0"/>
    <n v="2.4645833333343035"/>
    <n v="3"/>
    <n v="0.53541666666569654"/>
    <n v="59.150000000023283"/>
    <n v="24"/>
    <n v="35.150000000023283"/>
    <n v="4.3910099573228383"/>
    <m/>
    <m/>
    <m/>
    <m/>
    <m/>
  </r>
  <r>
    <d v="2025-01-20T00:00:00"/>
    <x v="0"/>
    <m/>
    <s v="OM4DE3NRR"/>
    <s v="Manual"/>
    <s v="Konge Husein"/>
    <s v="UBJ 707D"/>
    <s v="KATO INVESTMENTS LIMITED-MASAK"/>
    <n v="148.80000000000001"/>
    <s v="F15753"/>
    <s v="OM"/>
    <n v="298"/>
    <n v="297"/>
    <n v="-1"/>
    <m/>
    <d v="2025-01-21T07:06:00"/>
    <d v="2025-01-21T07:30:00"/>
    <d v="2025-01-21T07:46:00"/>
    <n v="15.925925925694173"/>
    <n v="39.814814819449872"/>
    <x v="0"/>
    <d v="2025-01-21T21:42:00"/>
    <d v="2025-01-22T00:34:00"/>
    <n v="168.41666666165111"/>
    <m/>
    <d v="2025-01-21T18:47:00"/>
    <d v="2025-01-21T19:44:00"/>
    <n v="55.81249999726424"/>
    <x v="0"/>
    <n v="0.45902777777519077"/>
    <n v="2"/>
    <n v="1.5409722222248092"/>
    <n v="11.016666666604578"/>
    <n v="0"/>
    <n v="11.016666666604578"/>
    <n v="13.506807866944504"/>
    <m/>
    <m/>
    <m/>
    <m/>
    <m/>
  </r>
  <r>
    <d v="2025-01-21T00:00:00"/>
    <x v="0"/>
    <m/>
    <s v="OM02LCU3"/>
    <s v="Manual"/>
    <s v="Kakembo Masuud"/>
    <s v="UBB 115P"/>
    <s v="Kobusinge Steven-FPortal"/>
    <n v="156"/>
    <s v="Z82255"/>
    <s v="OM"/>
    <n v="304"/>
    <n v="303"/>
    <n v="-1"/>
    <m/>
    <d v="2025-01-21T07:22:00"/>
    <d v="2025-01-21T07:30:00"/>
    <d v="2025-01-21T08:03:00"/>
    <n v="32.847222225003257"/>
    <n v="40.810185182635905"/>
    <x v="0"/>
    <d v="2025-01-21T10:59:00"/>
    <d v="2025-01-21T13:39:00"/>
    <n v="156.66666666438687"/>
    <m/>
    <d v="2025-01-23T11:18:07"/>
    <d v="2025-01-23T12:14:07"/>
    <n v="54.833333337664953"/>
    <x v="0"/>
    <n v="2.1354999999966822"/>
    <n v="2"/>
    <n v="-0.13549999999668216"/>
    <n v="51.251999999920372"/>
    <n v="24"/>
    <n v="27.251999999920372"/>
    <n v="5.7243505064015787"/>
    <m/>
    <m/>
    <m/>
    <m/>
    <m/>
  </r>
  <r>
    <d v="2025-01-21T00:00:00"/>
    <x v="0"/>
    <m/>
    <s v="OM02LCVC"/>
    <s v="Manual"/>
    <s v="BYEKWASO TWAHA"/>
    <s v="UBE 680K"/>
    <s v="Kobusinge Steven-FPortal"/>
    <n v="156"/>
    <s v="Z82267"/>
    <s v="OM"/>
    <n v="304"/>
    <n v="301"/>
    <n v="-3"/>
    <m/>
    <d v="2025-01-21T07:09:00"/>
    <d v="2025-01-21T07:30:00"/>
    <d v="2025-01-21T07:50:00"/>
    <n v="19.907407409724936"/>
    <n v="40.810185182635905"/>
    <x v="0"/>
    <d v="2025-01-22T09:33:00"/>
    <d v="2025-01-22T12:33:00"/>
    <n v="176.25"/>
    <m/>
    <d v="2025-01-23T07:59:22"/>
    <d v="2025-01-23T08:52:22"/>
    <n v="51.895833338348893"/>
    <x v="0"/>
    <n v="2.0065000000031432"/>
    <n v="2"/>
    <n v="-6.5000000031432137E-3"/>
    <n v="48.156000000075437"/>
    <n v="24"/>
    <n v="24.156000000075437"/>
    <n v="6.4580228514453069"/>
    <m/>
    <m/>
    <m/>
    <m/>
    <m/>
  </r>
  <r>
    <d v="2025-01-21T00:00:00"/>
    <x v="0"/>
    <m/>
    <s v="OM02LCUL"/>
    <s v="Manual"/>
    <m/>
    <s v="UBP 311H"/>
    <s v="KATO INVESTMENTS LTD-KATIKARA"/>
    <n v="154.34399999999999"/>
    <s v="A20191"/>
    <s v="OM"/>
    <n v="790"/>
    <n v="789"/>
    <n v="-1"/>
    <m/>
    <d v="2025-01-21T07:11:00"/>
    <d v="2025-01-21T07:30:00"/>
    <d v="2025-01-21T07:51:00"/>
    <n v="20.902777783339843"/>
    <n v="39.814814819449872"/>
    <x v="0"/>
    <d v="2025-01-22T09:20:00"/>
    <d v="2025-01-22T12:48:00"/>
    <n v="203.66666666370293"/>
    <s v="truck faulty"/>
    <d v="2025-01-23T17:15:00"/>
    <d v="2025-01-23T18:11:00"/>
    <n v="54.833333337664953"/>
    <x v="0"/>
    <n v="2.3916666666627862"/>
    <n v="3"/>
    <n v="0.60833333333721384"/>
    <n v="57.399999999906868"/>
    <n v="24"/>
    <n v="33.399999999906868"/>
    <n v="4.6210778443242626"/>
    <m/>
    <m/>
    <m/>
    <m/>
    <m/>
  </r>
  <r>
    <d v="2025-01-21T00:00:00"/>
    <x v="0"/>
    <m/>
    <s v="OM02LCVL"/>
    <s v="Manual"/>
    <m/>
    <s v="UBP 311H"/>
    <s v="Ntale and Sons Ltd-Kakiri"/>
    <n v="156"/>
    <s v="A20194"/>
    <s v="OM"/>
    <n v="620"/>
    <n v="621"/>
    <n v="1"/>
    <m/>
    <d v="2025-01-21T06:48:00"/>
    <d v="2025-01-21T07:30:00"/>
    <d v="2025-01-21T07:30:00"/>
    <n v="0"/>
    <n v="41.805555556250816"/>
    <x v="0"/>
    <d v="2025-01-22T09:06:00"/>
    <d v="2025-01-22T11:58:00"/>
    <n v="168.41666666165111"/>
    <m/>
    <d v="2025-01-23T12:12:00"/>
    <d v="2025-01-23T13:10:00"/>
    <n v="56.791666667122627"/>
    <x v="0"/>
    <n v="2.195833333338669"/>
    <n v="3"/>
    <n v="0.80416666666133096"/>
    <n v="52.700000000128057"/>
    <n v="24"/>
    <n v="28.700000000128057"/>
    <n v="5.4355400696621583"/>
    <m/>
    <m/>
    <m/>
    <m/>
    <m/>
  </r>
  <r>
    <d v="2025-01-22T00:00:00"/>
    <x v="0"/>
    <m/>
    <s v="OMK2QQ0RR"/>
    <s v="Manual"/>
    <s v="Abel Mark naffa"/>
    <s v="UBJ 415C"/>
    <s v="Kato Investments Ltd-Bulenga"/>
    <n v="153.6"/>
    <s v="A20201"/>
    <s v="OM"/>
    <n v="560"/>
    <n v="557"/>
    <n v="-3"/>
    <m/>
    <d v="2025-01-23T07:23:00"/>
    <d v="2025-01-23T07:30:00"/>
    <d v="2025-01-23T08:04:00"/>
    <n v="33.842592598618161"/>
    <n v="40.810185182635905"/>
    <x v="0"/>
    <d v="2025-01-22T08:58:00"/>
    <d v="2025-01-22T11:50:00"/>
    <n v="168.41666666165111"/>
    <m/>
    <d v="2025-01-25T08:04:00"/>
    <d v="2025-01-25T09:22:00"/>
    <n v="76.37500000273576"/>
    <x v="4"/>
    <n v="2"/>
    <n v="3"/>
    <n v="1"/>
    <n v="48"/>
    <n v="24"/>
    <n v="24"/>
    <n v="6.3999999999999995"/>
    <m/>
    <m/>
    <m/>
    <m/>
    <m/>
  </r>
  <r>
    <d v="2025-01-23T00:00:00"/>
    <x v="0"/>
    <m/>
    <s v="OMI94BXRR"/>
    <s v="Manual"/>
    <m/>
    <s v="UBJ 417C"/>
    <s v="Ntale and Sons Ltd-Kakiri"/>
    <n v="156"/>
    <s v="A20219"/>
    <s v="OM"/>
    <n v="620"/>
    <n v="617"/>
    <n v="-3"/>
    <m/>
    <d v="2025-01-23T22:02:00"/>
    <d v="2025-01-23T07:30:00"/>
    <d v="2025-01-23T22:45:00"/>
    <n v="910.76388889584143"/>
    <n v="42.80092592986572"/>
    <x v="0"/>
    <d v="2025-01-24T08:04:00"/>
    <d v="2025-01-24T10:56:00"/>
    <n v="168.41666666165111"/>
    <m/>
    <d v="2025-01-26T09:50:02"/>
    <d v="2025-01-26T10:47:02"/>
    <n v="55.81249999726424"/>
    <x v="0"/>
    <n v="2.4618333333346527"/>
    <n v="3"/>
    <n v="0.53816666666534729"/>
    <n v="59.084000000031665"/>
    <n v="24"/>
    <n v="35.084000000031665"/>
    <n v="4.4464713259565389"/>
    <m/>
    <m/>
    <m/>
    <m/>
    <m/>
  </r>
  <r>
    <d v="2025-01-23T00:00:00"/>
    <x v="0"/>
    <m/>
    <s v="OM30TK9RR"/>
    <s v="Manual"/>
    <m/>
    <s v="UBR 540W"/>
    <s v="Ntale and Sons Ltd-Kakiri"/>
    <n v="156"/>
    <s v="A20220"/>
    <s v="OM"/>
    <n v="620"/>
    <n v="621"/>
    <n v="1"/>
    <m/>
    <d v="2025-01-23T19:49:00"/>
    <d v="2025-01-23T07:30:00"/>
    <d v="2025-01-23T20:30:00"/>
    <n v="776.3888888854126"/>
    <n v="40.810185182635905"/>
    <x v="0"/>
    <d v="2025-01-24T11:15:00"/>
    <d v="2025-01-24T14:07:00"/>
    <n v="168.41666666165111"/>
    <m/>
    <d v="2025-01-26T10:12:00"/>
    <d v="2025-01-26T11:09:00"/>
    <n v="55.81249999726424"/>
    <x v="0"/>
    <n v="2.5708333333313931"/>
    <n v="3"/>
    <n v="0.42916666666860692"/>
    <n v="61.699999999953434"/>
    <n v="24"/>
    <n v="37.699999999953434"/>
    <n v="4.1379310344878695"/>
    <m/>
    <m/>
    <m/>
    <m/>
    <m/>
  </r>
  <r>
    <d v="2025-01-23T00:00:00"/>
    <x v="0"/>
    <m/>
    <s v="OMFZR75RR"/>
    <s v="Manual"/>
    <m/>
    <s v="UBR 903Y"/>
    <s v="KATO INVESTMENTS LTD-KATIKARA"/>
    <n v="156"/>
    <s v="A20230"/>
    <s v="OM"/>
    <n v="790"/>
    <n v="787"/>
    <n v="-3"/>
    <m/>
    <d v="2025-01-24T07:59:00"/>
    <d v="2025-01-23T07:30:00"/>
    <d v="2025-01-24T08:39:00"/>
    <n v="1502.0138888833269"/>
    <n v="39.814814819449872"/>
    <x v="0"/>
    <d v="2025-01-24T09:00:00"/>
    <d v="2025-01-24T11:54:00"/>
    <n v="170.37500000136788"/>
    <m/>
    <d v="2025-01-26T19:58:00"/>
    <d v="2025-01-26T20:54:00"/>
    <n v="54.833333337664953"/>
    <x v="0"/>
    <n v="2.4715277777722804"/>
    <n v="3"/>
    <n v="0.52847222222771961"/>
    <n v="59.316666666534729"/>
    <n v="24"/>
    <n v="35.316666666534729"/>
    <n v="4.4171779141269312"/>
    <m/>
    <m/>
    <m/>
    <m/>
    <m/>
  </r>
  <r>
    <d v="2025-01-23T00:00:00"/>
    <x v="0"/>
    <m/>
    <s v="OM81ATSRR"/>
    <s v="Manual"/>
    <s v="Stephen Musoke "/>
    <s v="UBJ 375N"/>
    <s v="KATO INVESTMENTS LIMITED-MASAK"/>
    <n v="153.6"/>
    <s v="F15768"/>
    <s v="OM"/>
    <n v="298"/>
    <n v="295"/>
    <n v="-3"/>
    <m/>
    <d v="2025-01-24T07:58:00"/>
    <d v="2025-01-23T07:30:00"/>
    <d v="2025-01-24T08:39:00"/>
    <n v="1502.0138888833269"/>
    <n v="40.810185182635905"/>
    <x v="0"/>
    <d v="2025-01-25T10:24:00"/>
    <d v="2025-01-25T13:16:00"/>
    <n v="168.41666666165111"/>
    <m/>
    <d v="2025-01-25T09:47:00"/>
    <d v="2025-01-25T10:39:00"/>
    <n v="50.916666668490507"/>
    <x v="0"/>
    <n v="1.047222222223354"/>
    <n v="2"/>
    <n v="0.95277777777664596"/>
    <n v="25.133333333360497"/>
    <n v="12"/>
    <n v="13.133333333360497"/>
    <n v="11.695431472057029"/>
    <m/>
    <m/>
    <m/>
    <m/>
    <m/>
  </r>
  <r>
    <d v="2025-01-23T00:00:00"/>
    <x v="0"/>
    <m/>
    <s v="OMY60JXRR"/>
    <s v="Manual"/>
    <s v="Kilabila Ismail"/>
    <s v="UBE 419T"/>
    <s v="Kato Investments Ltd-Bulenga"/>
    <n v="153.6"/>
    <s v="A20235"/>
    <s v="OM"/>
    <n v="560"/>
    <n v="558"/>
    <n v="-2"/>
    <m/>
    <d v="2025-01-24T07:56:00"/>
    <d v="2025-01-23T07:30:00"/>
    <d v="2025-01-24T08:39:00"/>
    <n v="1502.0138888833269"/>
    <n v="42.80092592986572"/>
    <x v="0"/>
    <d v="2025-01-24T11:52:00"/>
    <d v="2025-01-24T14:42:00"/>
    <n v="166.45833333219343"/>
    <m/>
    <d v="2025-01-26T14:10:12"/>
    <d v="2025-01-26T14:55:12"/>
    <n v="44.0625"/>
    <x v="0"/>
    <n v="2.2300000000032014"/>
    <n v="3"/>
    <n v="0.76999999999679858"/>
    <n v="53.520000000076834"/>
    <n v="24"/>
    <n v="29.520000000076834"/>
    <n v="5.2032520325067821"/>
    <m/>
    <m/>
    <m/>
    <m/>
    <m/>
  </r>
  <r>
    <d v="2025-01-23T00:00:00"/>
    <x v="0"/>
    <m/>
    <s v="OM8UP1NRR"/>
    <s v="Manual"/>
    <s v="Jacob Oneka"/>
    <s v="UBE 422T"/>
    <s v="Ntale and Sons"/>
    <n v="153.6"/>
    <s v="A20237"/>
    <s v="OM"/>
    <n v="810"/>
    <n v="807"/>
    <n v="-3"/>
    <m/>
    <d v="2025-01-24T08:09:00"/>
    <d v="2025-01-23T07:30:00"/>
    <d v="2025-01-24T08:52:00"/>
    <n v="1514.9537036986051"/>
    <n v="42.80092592986572"/>
    <x v="0"/>
    <d v="2025-01-25T08:39:00"/>
    <d v="2025-01-25T11:33:00"/>
    <n v="170.37500000136788"/>
    <m/>
    <d v="2025-01-27T07:34:00"/>
    <d v="2025-01-27T08:31:00"/>
    <n v="55.81249999726424"/>
    <x v="0"/>
    <n v="2.9458333333313931"/>
    <n v="3"/>
    <n v="5.4166666668606922E-2"/>
    <n v="70.699999999953434"/>
    <n v="24"/>
    <n v="46.699999999953434"/>
    <n v="3.2890792291253352"/>
    <m/>
    <m/>
    <m/>
    <m/>
    <m/>
  </r>
  <r>
    <d v="2025-01-24T00:00:00"/>
    <x v="0"/>
    <m/>
    <s v="OMW08D3RR"/>
    <s v="Manual"/>
    <m/>
    <s v="UBK 862R"/>
    <s v="KATO INVESTMENTS LTD-KATIKARA"/>
    <n v="156"/>
    <s v="A20270"/>
    <s v="OM"/>
    <n v="790"/>
    <n v="787"/>
    <n v="-3"/>
    <m/>
    <d v="2025-01-24T19:45:00"/>
    <d v="2025-01-25T07:30:00"/>
    <d v="2025-01-24T20:28:00"/>
    <n v="-658.93518518472172"/>
    <n v="42.80092592986572"/>
    <x v="0"/>
    <d v="2025-01-25T14:52:00"/>
    <d v="2025-01-25T17:42:00"/>
    <n v="166.45833333219343"/>
    <m/>
    <d v="2025-01-27T07:30:00"/>
    <d v="2025-01-27T08:26:00"/>
    <n v="54.833333337664953"/>
    <x v="0"/>
    <n v="2.4597222222218988"/>
    <n v="3"/>
    <n v="0.54027777777810115"/>
    <n v="59.033333333325572"/>
    <n v="24"/>
    <n v="35.033333333325572"/>
    <n v="4.4529019980980369"/>
    <m/>
    <m/>
    <m/>
    <m/>
    <m/>
  </r>
  <r>
    <d v="2025-01-24T00:00:00"/>
    <x v="0"/>
    <m/>
    <s v="OMX3L21RR"/>
    <s v="Manual"/>
    <s v="ZIWA ABASI"/>
    <s v="UBJ 420C"/>
    <s v="Kato Investment Ltd -Mubende"/>
    <n v="156"/>
    <s v="A20274"/>
    <s v="OM"/>
    <n v="680"/>
    <n v="678"/>
    <n v="-2"/>
    <m/>
    <d v="2025-01-25T08:13:00"/>
    <d v="2025-01-25T07:30:00"/>
    <d v="2025-01-25T08:53:00"/>
    <n v="82.615740738886714"/>
    <n v="39.814814819449872"/>
    <x v="0"/>
    <d v="2025-01-25T21:43:00"/>
    <d v="2025-01-26T00:33:00"/>
    <n v="166.45833333219343"/>
    <m/>
    <d v="2025-01-27T18:47:48"/>
    <d v="2025-01-27T19:47:48"/>
    <n v="58.7499999965803"/>
    <x v="0"/>
    <n v="2.4130555555530009"/>
    <n v="3"/>
    <n v="0.58694444444699911"/>
    <n v="57.913333333272021"/>
    <n v="24"/>
    <n v="33.913333333272021"/>
    <n v="4.5999606841050333"/>
    <m/>
    <m/>
    <m/>
    <m/>
    <m/>
  </r>
  <r>
    <d v="2025-01-25T00:00:00"/>
    <x v="0"/>
    <m/>
    <s v="OM02LEAV"/>
    <s v="Manual"/>
    <m/>
    <s v="UBP 311H"/>
    <s v="Kato Investment Ltd -Kagadi"/>
    <n v="156"/>
    <s v="A20299"/>
    <s v="OM"/>
    <n v="670"/>
    <n v="671"/>
    <n v="1"/>
    <m/>
    <d v="2025-01-25T09:00:00"/>
    <d v="2025-01-25T07:30:00"/>
    <d v="2025-01-25T09:41:00"/>
    <n v="130.39351852639811"/>
    <n v="40.810185182635905"/>
    <x v="0"/>
    <d v="2025-01-26T11:10:00"/>
    <d v="2025-01-26T14:02:00"/>
    <n v="168.41666666165111"/>
    <m/>
    <d v="2025-01-27T10:40:31"/>
    <d v="2025-01-27T11:37:31"/>
    <n v="55.81249999726424"/>
    <x v="0"/>
    <n v="2.0413333333344781"/>
    <n v="2"/>
    <n v="-4.1333333334478084E-2"/>
    <n v="48.992000000027474"/>
    <n v="24"/>
    <n v="24.992000000027474"/>
    <n v="6.2419974391736757"/>
    <m/>
    <m/>
    <m/>
    <m/>
    <m/>
  </r>
  <r>
    <d v="2025-01-25T00:00:00"/>
    <x v="0"/>
    <m/>
    <s v="OM02LEB2"/>
    <s v="Manual"/>
    <m/>
    <s v="UBE 678K"/>
    <s v="Kobusinge Steven-Kamwenge"/>
    <n v="156"/>
    <s v="Z82334"/>
    <s v="OM"/>
    <n v="288"/>
    <n v="286"/>
    <n v="-2"/>
    <m/>
    <d v="2025-01-25T07:14:00"/>
    <d v="2025-01-25T07:30:00"/>
    <d v="2025-01-25T07:55:00"/>
    <n v="24.884259256941732"/>
    <n v="40.810185182635905"/>
    <x v="0"/>
    <d v="2025-01-26T11:41:00"/>
    <d v="2025-01-26T14:41:00"/>
    <n v="176.25"/>
    <m/>
    <d v="2025-01-26T18:04:00"/>
    <d v="2025-01-26T19:02:00"/>
    <n v="56.791666667122627"/>
    <x v="0"/>
    <n v="1.4229166666627862"/>
    <n v="2"/>
    <n v="0.57708333333721384"/>
    <n v="34.149999999906868"/>
    <n v="12"/>
    <n v="22.149999999906868"/>
    <n v="7.0428893905488001"/>
    <m/>
    <m/>
    <m/>
    <m/>
    <m/>
  </r>
  <r>
    <d v="2025-01-25T00:00:00"/>
    <x v="0"/>
    <m/>
    <s v="OM02LEB0"/>
    <s v="Manual"/>
    <m/>
    <s v="UBP 311H"/>
    <s v="Kobusinge Steven-Kamwenge"/>
    <n v="156"/>
    <s v="Z82333"/>
    <s v="OM"/>
    <n v="288"/>
    <n v="287"/>
    <n v="-1"/>
    <m/>
    <d v="2025-01-25T06:09:00"/>
    <d v="2025-01-25T07:30:00"/>
    <d v="2025-01-25T06:52:00"/>
    <n v="-37.824074082648927"/>
    <n v="42.80092592986572"/>
    <x v="0"/>
    <d v="2025-01-26T08:47:00"/>
    <d v="2025-01-26T11:37:00"/>
    <n v="166.45833333219343"/>
    <m/>
    <d v="2025-01-27T08:41:24"/>
    <d v="2025-01-27T09:40:24"/>
    <n v="57.770833336981013"/>
    <x v="0"/>
    <n v="2.0759722222283017"/>
    <n v="2"/>
    <n v="-7.5972222228301689E-2"/>
    <n v="49.823333333479241"/>
    <n v="24"/>
    <n v="25.823333333479241"/>
    <n v="6.0410481476359328"/>
    <m/>
    <m/>
    <m/>
    <m/>
    <m/>
  </r>
  <r>
    <d v="2025-01-25T00:00:00"/>
    <x v="0"/>
    <m/>
    <s v="OM02LEAY"/>
    <s v="Manual"/>
    <m/>
    <s v="UBP 311H"/>
    <s v="Kobusinge Steven-FPortal"/>
    <n v="156"/>
    <s v="Z82332"/>
    <s v="OM"/>
    <n v="304"/>
    <n v="301"/>
    <n v="-3"/>
    <m/>
    <d v="2025-01-25T07:58:00"/>
    <d v="2025-01-25T07:30:00"/>
    <d v="2025-01-25T08:38:00"/>
    <n v="67.685185186807459"/>
    <n v="39.814814819449872"/>
    <x v="0"/>
    <d v="2025-01-26T07:22:00"/>
    <d v="2025-01-26T10:14:00"/>
    <n v="168.41666666165111"/>
    <m/>
    <d v="2025-01-27T13:15:12"/>
    <d v="2025-01-27T14:08:12"/>
    <n v="51.895833338348893"/>
    <x v="0"/>
    <n v="2.1924999999973807"/>
    <n v="2"/>
    <n v="-0.19249999999738066"/>
    <n v="52.619999999937136"/>
    <n v="24"/>
    <n v="28.619999999937136"/>
    <n v="5.4507337526325177"/>
    <m/>
    <m/>
    <m/>
    <m/>
    <m/>
  </r>
  <r>
    <d v="2025-01-25T00:00:00"/>
    <x v="0"/>
    <m/>
    <s v="OMYYR0JRR"/>
    <s v="Manual"/>
    <s v="Abel Mark naffa"/>
    <s v="UBJ 415C"/>
    <s v="Kato Investments Ltd-Bulenga"/>
    <n v="153.6"/>
    <s v="A20290"/>
    <s v="OM"/>
    <n v="560"/>
    <n v="559"/>
    <n v="-1"/>
    <m/>
    <d v="2025-01-25T14:54:00"/>
    <d v="2025-01-25T14:26:00"/>
    <d v="2025-01-25T15:33:00"/>
    <n v="66.689814813192541"/>
    <n v="38.819444445834961"/>
    <x v="0"/>
    <d v="2025-01-26T10:08:00"/>
    <d v="2025-01-26T13:00:00"/>
    <n v="168.41666666165111"/>
    <m/>
    <d v="2025-01-27T16:45:00"/>
    <d v="2025-01-27T17:43:00"/>
    <n v="56.791666667122627"/>
    <x v="0"/>
    <n v="2.0500000000029104"/>
    <n v="3"/>
    <n v="0.94999999999708962"/>
    <n v="49.200000000069849"/>
    <n v="24"/>
    <n v="25.200000000069849"/>
    <n v="6.0952380952212"/>
    <m/>
    <m/>
    <m/>
    <m/>
    <m/>
  </r>
  <r>
    <d v="2025-01-25T00:00:00"/>
    <x v="0"/>
    <m/>
    <s v="OM9EIJURR"/>
    <s v="Manual"/>
    <m/>
    <s v="UBM 644D"/>
    <s v="Kobusinge Acaali- Kyenjojo"/>
    <n v="156"/>
    <s v="Z82324"/>
    <s v="OM"/>
    <n v="580"/>
    <n v="577"/>
    <n v="-3"/>
    <m/>
    <d v="2025-01-25T14:50:00"/>
    <d v="2025-01-25T14:22:00"/>
    <d v="2025-01-25T15:29:00"/>
    <n v="66.689814813192541"/>
    <n v="38.819444445834961"/>
    <x v="0"/>
    <d v="2025-01-26T15:33:00"/>
    <d v="2025-01-26T18:33:00"/>
    <n v="176.25"/>
    <m/>
    <d v="2025-01-28T18:22:48"/>
    <d v="2025-01-28T19:19:48"/>
    <n v="55.81249999726424"/>
    <x v="0"/>
    <n v="3.1206944444493274"/>
    <n v="2"/>
    <n v="-1.1206944444493274"/>
    <n v="74.896666666783858"/>
    <n v="36"/>
    <n v="38.896666666783858"/>
    <n v="4.0106264461272598"/>
    <m/>
    <m/>
    <m/>
    <m/>
    <m/>
  </r>
  <r>
    <d v="2025-01-25T00:00:00"/>
    <x v="0"/>
    <m/>
    <s v="OM1IHTVRR"/>
    <s v="Manual"/>
    <s v="NTUMWA SOLOMON"/>
    <s v="UBR 540W"/>
    <s v="KATO INVESTMENTS LTD-KATIKARA"/>
    <n v="156"/>
    <s v="A20291"/>
    <s v="OM"/>
    <n v="790"/>
    <n v="791"/>
    <n v="1"/>
    <m/>
    <d v="2025-01-25T15:25:00"/>
    <d v="2025-01-25T14:30:00"/>
    <d v="2025-01-25T16:09:00"/>
    <n v="98.541666675009765"/>
    <n v="43.796296293051761"/>
    <x v="0"/>
    <d v="2025-01-26T17:54:00"/>
    <d v="2025-01-26T20:46:00"/>
    <n v="168.41666666165111"/>
    <m/>
    <d v="2025-01-28T04:58:00"/>
    <d v="2025-01-28T05:58:00"/>
    <n v="58.7499999965803"/>
    <x v="0"/>
    <n v="2.5340277777795563"/>
    <n v="3"/>
    <n v="0.46597222222044365"/>
    <n v="60.816666666709352"/>
    <n v="24"/>
    <n v="36.816666666709352"/>
    <n v="4.2372114078719543"/>
    <m/>
    <m/>
    <m/>
    <m/>
    <m/>
  </r>
  <r>
    <d v="2025-01-25T00:00:00"/>
    <x v="0"/>
    <m/>
    <s v="OM7D5ZMRR"/>
    <s v="Manual"/>
    <m/>
    <s v="UBF 379L"/>
    <s v="Boniface Harera"/>
    <n v="156"/>
    <s v="F15778"/>
    <s v="OM"/>
    <n v="448"/>
    <n v="446"/>
    <n v="-2"/>
    <m/>
    <d v="2025-01-25T15:34:00"/>
    <d v="2025-01-25T14:40:00"/>
    <d v="2025-01-25T16:17:00"/>
    <n v="96.55092593820882"/>
    <n v="42.80092592986572"/>
    <x v="0"/>
    <d v="2025-01-26T17:24:00"/>
    <d v="2025-01-26T20:14:00"/>
    <n v="166.45833333219343"/>
    <m/>
    <d v="2025-01-27T16:36:48"/>
    <d v="2025-01-27T17:31:48"/>
    <n v="53.854166667806567"/>
    <x v="0"/>
    <n v="2.0137499999982538"/>
    <n v="2"/>
    <n v="-1.374999999825377E-2"/>
    <n v="48.32999999995809"/>
    <n v="24"/>
    <n v="24.32999999995809"/>
    <n v="6.4118372379888502"/>
    <m/>
    <m/>
    <m/>
    <m/>
    <m/>
  </r>
  <r>
    <d v="2025-01-26T00:00:00"/>
    <x v="0"/>
    <m/>
    <s v="OM02LEE4"/>
    <s v="Manual"/>
    <m/>
    <s v="UBK 866R"/>
    <s v="Kabaco U Ltd"/>
    <n v="156"/>
    <s v="Z82343"/>
    <s v="OM"/>
    <n v="320"/>
    <n v="319"/>
    <n v="-1"/>
    <m/>
    <d v="2025-01-26T07:58:00"/>
    <d v="2025-01-26T07:30:00"/>
    <d v="2025-01-26T08:37:00"/>
    <n v="66.689814813192541"/>
    <n v="38.819444445834961"/>
    <x v="0"/>
    <d v="2025-01-26T16:17:00"/>
    <d v="2025-01-26T19:00:00"/>
    <n v="159.60416666370293"/>
    <m/>
    <d v="2025-01-27T11:43:12"/>
    <d v="2025-01-27T12:42:12"/>
    <n v="57.770833336981013"/>
    <x v="0"/>
    <n v="1.1293055555579485"/>
    <n v="2"/>
    <n v="0.87069444444205146"/>
    <n v="27.103333333390765"/>
    <n v="12"/>
    <n v="15.103333333390765"/>
    <n v="10.328845729380278"/>
    <m/>
    <m/>
    <m/>
    <m/>
    <m/>
  </r>
  <r>
    <d v="2025-01-26T00:00:00"/>
    <x v="0"/>
    <m/>
    <s v="OMQV2WDRR"/>
    <s v="Manual"/>
    <m/>
    <s v="UBR 535W"/>
    <s v="Kabaco U Ltd"/>
    <n v="156"/>
    <s v="Z82339"/>
    <s v="OM"/>
    <n v="320"/>
    <n v="319"/>
    <n v="-1"/>
    <m/>
    <d v="2025-01-26T13:18:00"/>
    <d v="2025-01-26T12:50:00"/>
    <d v="2025-01-26T13:57:00"/>
    <n v="66.689814823621418"/>
    <n v="38.819444445834961"/>
    <x v="0"/>
    <d v="2025-01-26T14:37:00"/>
    <d v="2025-01-26T18:47:00"/>
    <n v="244.79166666438687"/>
    <s v="Waited for empties from trade"/>
    <d v="2025-01-27T17:12:12"/>
    <d v="2025-01-27T18:09:12"/>
    <n v="55.81249999726424"/>
    <x v="0"/>
    <n v="1.1355555555564933"/>
    <n v="2"/>
    <n v="0.86444444444350665"/>
    <n v="27.25333333335584"/>
    <n v="12"/>
    <n v="15.25333333335584"/>
    <n v="10.227272727257636"/>
    <m/>
    <m/>
    <m/>
    <m/>
    <m/>
  </r>
  <r>
    <d v="2025-01-27T00:00:00"/>
    <x v="0"/>
    <m/>
    <s v="OM02LEQX"/>
    <s v="Manual"/>
    <m/>
    <s v="UBP 311H"/>
    <s v="Kobusinge Steven-Kamwenge"/>
    <n v="156"/>
    <s v="Z82356"/>
    <s v="OM"/>
    <n v="288"/>
    <n v="289"/>
    <n v="1"/>
    <m/>
    <d v="2025-01-27T06:40:00"/>
    <d v="2025-01-27T07:30:00"/>
    <d v="2025-01-27T07:41:00"/>
    <n v="10.949074078477375"/>
    <n v="60.717592592360838"/>
    <x v="1"/>
    <d v="2025-01-26T19:57:00"/>
    <d v="2025-01-26T22:49:00"/>
    <n v="168.41666666165111"/>
    <m/>
    <d v="2025-01-28T19:29:00"/>
    <d v="2025-01-28T20:26:00"/>
    <n v="55.81249999726424"/>
    <x v="0"/>
    <n v="1.4916666666686069"/>
    <n v="2"/>
    <n v="0.50833333333139308"/>
    <n v="35.800000000046566"/>
    <n v="12"/>
    <n v="23.800000000046566"/>
    <n v="6.5546218487266712"/>
    <m/>
    <m/>
    <m/>
    <m/>
    <m/>
  </r>
  <r>
    <d v="2025-01-27T00:00:00"/>
    <x v="0"/>
    <m/>
    <s v="OM1NA56RR"/>
    <s v="Manual"/>
    <s v="Hamudi Sesanga"/>
    <s v="UAT 351G"/>
    <s v="KATO INVESTMENTS LIMITED-MASAK"/>
    <n v="153.6"/>
    <s v="F15782"/>
    <s v="OM"/>
    <n v="298"/>
    <n v="297"/>
    <n v="-1"/>
    <m/>
    <d v="2025-01-27T16:11:00"/>
    <d v="2025-01-27T15:17:00"/>
    <d v="2025-01-27T16:52:00"/>
    <n v="94.560185180550135"/>
    <n v="40.810185182635905"/>
    <x v="0"/>
    <d v="2025-01-28T08:33:00"/>
    <d v="2025-01-28T11:23:00"/>
    <n v="166.45833333219343"/>
    <m/>
    <d v="2025-01-28T15:43:00"/>
    <d v="2025-01-28T16:41:00"/>
    <n v="56.791666667122627"/>
    <x v="0"/>
    <n v="0.95208333332993789"/>
    <n v="2"/>
    <n v="1.0479166666700621"/>
    <n v="22.849999999918509"/>
    <n v="0"/>
    <n v="22.849999999918509"/>
    <n v="6.7221006564791148"/>
    <m/>
    <m/>
    <m/>
    <m/>
    <m/>
  </r>
  <r>
    <d v="2025-01-27T00:00:00"/>
    <x v="0"/>
    <m/>
    <s v="OM59X9SRR"/>
    <s v="Manual"/>
    <s v="Ntende Nassar"/>
    <s v="UBR 537W"/>
    <s v="Kobusinge Steven-FPortal"/>
    <n v="156"/>
    <s v="Z82357"/>
    <s v="OM"/>
    <n v="304"/>
    <n v="302"/>
    <n v="-2"/>
    <m/>
    <d v="2025-01-27T16:08:00"/>
    <d v="2025-01-27T15:32:00"/>
    <d v="2025-01-27T16:49:00"/>
    <n v="76.643518518055018"/>
    <n v="40.810185182635905"/>
    <x v="0"/>
    <d v="2025-01-28T08:05:00"/>
    <d v="2025-01-28T10:57:00"/>
    <n v="168.41666666165111"/>
    <m/>
    <d v="2025-01-29T13:58:22"/>
    <d v="2025-01-29T14:57:22"/>
    <n v="57.770833336981013"/>
    <x v="0"/>
    <n v="1.8815000000031432"/>
    <n v="2"/>
    <n v="0.11849999999685679"/>
    <n v="45.156000000075437"/>
    <n v="12"/>
    <n v="33.156000000075437"/>
    <n v="4.7050307636519806"/>
    <m/>
    <m/>
    <m/>
    <m/>
    <m/>
  </r>
  <r>
    <d v="2025-01-27T00:00:00"/>
    <x v="0"/>
    <m/>
    <s v="OM1UO8SRR"/>
    <s v="Manual"/>
    <m/>
    <s v="UBM 644D"/>
    <s v="Kobusinge Acaali- Kyenjojo"/>
    <n v="156"/>
    <s v="Z82358"/>
    <s v="OM"/>
    <n v="580"/>
    <n v="579"/>
    <n v="-1"/>
    <m/>
    <d v="2025-01-27T16:13:00"/>
    <d v="2025-01-27T15:36:00"/>
    <d v="2025-01-27T16:53:00"/>
    <n v="76.643518518055018"/>
    <n v="39.814814819449872"/>
    <x v="0"/>
    <d v="2025-01-28T15:19:00"/>
    <d v="2025-01-28T18:07:00"/>
    <n v="164.50000000273576"/>
    <m/>
    <d v="2025-01-30T16:42:48"/>
    <d v="2025-01-30T17:39:48"/>
    <n v="55.81249999726424"/>
    <x v="0"/>
    <n v="2.9929166666697711"/>
    <n v="2"/>
    <n v="-0.99291666666977108"/>
    <n v="71.830000000074506"/>
    <n v="24"/>
    <n v="47.830000000074506"/>
    <n v="3.2615513276135686"/>
    <m/>
    <m/>
    <m/>
    <m/>
    <m/>
  </r>
  <r>
    <d v="2025-01-27T00:00:00"/>
    <x v="0"/>
    <m/>
    <s v="OM8EHZZRR"/>
    <s v="Manual"/>
    <s v="ZIWA ABASI"/>
    <s v="UBJ 420C"/>
    <s v="Kabaco U Ltd"/>
    <n v="156"/>
    <s v="Z82359"/>
    <s v="OM"/>
    <n v="320"/>
    <n v="317"/>
    <n v="-3"/>
    <m/>
    <d v="2025-01-27T16:43:00"/>
    <d v="2025-01-27T16:12:00"/>
    <d v="2025-01-27T17:24:00"/>
    <n v="71.666666660409348"/>
    <n v="40.810185182635905"/>
    <x v="0"/>
    <d v="2025-01-28T18:38:00"/>
    <d v="2025-01-28T21:30:00"/>
    <n v="168.41666666165111"/>
    <m/>
    <d v="2025-01-28T19:40:00"/>
    <d v="2025-01-28T20:36:00"/>
    <n v="54.833333337664953"/>
    <x v="0"/>
    <n v="1.0944444444394321"/>
    <n v="2"/>
    <n v="0.90555555556056788"/>
    <n v="26.266666666546371"/>
    <n v="12"/>
    <n v="14.266666666546371"/>
    <n v="10.934579439344537"/>
    <m/>
    <m/>
    <m/>
    <m/>
    <m/>
  </r>
  <r>
    <d v="2025-01-27T00:00:00"/>
    <x v="0"/>
    <m/>
    <s v="OMJV7ZARR"/>
    <s v="Manual"/>
    <m/>
    <s v="UBR 538W"/>
    <s v="Kabaco U Ltd"/>
    <n v="156"/>
    <s v="Z82360"/>
    <s v="OM"/>
    <n v="320"/>
    <n v="317"/>
    <n v="-3"/>
    <m/>
    <d v="2025-01-27T16:49:00"/>
    <d v="2025-01-27T16:18:00"/>
    <d v="2025-01-27T17:30:00"/>
    <n v="71.666666660409348"/>
    <n v="40.810185182635905"/>
    <x v="0"/>
    <d v="2025-01-28T09:24:00"/>
    <d v="2025-01-28T12:18:00"/>
    <n v="170.37500000136788"/>
    <m/>
    <d v="2025-01-28T17:56:00"/>
    <d v="2025-01-28T18:53:00"/>
    <n v="55.81249999726424"/>
    <x v="0"/>
    <n v="1.0180555555489263"/>
    <n v="2"/>
    <n v="0.98194444445107365"/>
    <n v="24.433333333174232"/>
    <n v="12"/>
    <n v="12.433333333174232"/>
    <n v="12.546916890240983"/>
    <m/>
    <m/>
    <m/>
    <m/>
    <m/>
  </r>
  <r>
    <d v="2025-02-01T00:00:00"/>
    <x v="1"/>
    <m/>
    <s v="A20492"/>
    <s v="Manual"/>
    <s v="Tsaale Hassan"/>
    <s v="UBJ 703D"/>
    <s v="Sawan Distributors Ltd-Nabingo"/>
    <n v="156"/>
    <s v="A20492"/>
    <s v="OM"/>
    <n v="560"/>
    <n v="558"/>
    <n v="-2"/>
    <m/>
    <d v="2025-01-31T14:56:00"/>
    <d v="2025-01-31T15:25:00"/>
    <d v="2025-01-31T15:36:00"/>
    <n v="10.949074078477375"/>
    <n v="39.814814819449872"/>
    <x v="0"/>
    <d v="2025-02-03T12:54:00"/>
    <d v="2025-02-03T15:18:00"/>
    <n v="140.99999999794818"/>
    <m/>
    <d v="2025-02-03T10:08:00"/>
    <d v="2025-02-03T10:56:00"/>
    <n v="46.99999999931606"/>
    <x v="0"/>
    <n v="2.7722222222218988"/>
    <n v="2"/>
    <n v="-0.77222222222189885"/>
    <n v="66.533333333325572"/>
    <n v="24"/>
    <n v="42.533333333325572"/>
    <n v="3.6677115987467506"/>
    <m/>
    <m/>
    <m/>
    <m/>
    <m/>
  </r>
  <r>
    <d v="2025-02-01T00:00:00"/>
    <x v="1"/>
    <m/>
    <s v="A20493"/>
    <s v="Manual"/>
    <m/>
    <s v="UBR 535W"/>
    <s v="Kato Investments Ltd- Kakumiro"/>
    <n v="156"/>
    <s v="A20493"/>
    <s v="OM"/>
    <n v="790"/>
    <n v="788"/>
    <n v="-2"/>
    <m/>
    <d v="2025-01-31T13:36:00"/>
    <d v="2025-01-31T14:13:00"/>
    <d v="2025-01-31T14:17:00"/>
    <n v="3.9814814736018889"/>
    <n v="40.810185182635905"/>
    <x v="0"/>
    <d v="2025-02-02T09:48:00"/>
    <d v="2025-02-02T12:27:00"/>
    <n v="155.68750000478758"/>
    <m/>
    <d v="2025-02-03T10:08:00"/>
    <d v="2025-02-03T11:32:00"/>
    <n v="82.25000000136788"/>
    <x v="4"/>
    <n v="2.8270833333372138"/>
    <n v="2"/>
    <n v="-0.82708333333721384"/>
    <n v="67.850000000093132"/>
    <n v="24"/>
    <n v="43.850000000093132"/>
    <n v="3.5575826681794451"/>
    <m/>
    <m/>
    <m/>
    <m/>
    <m/>
  </r>
  <r>
    <d v="2025-02-01T00:00:00"/>
    <x v="1"/>
    <m/>
    <s v="Z82476"/>
    <s v="Manual"/>
    <s v="Nakalya John"/>
    <s v="UBM 648D"/>
    <s v="Kobusinge Steven-Kamwenge"/>
    <n v="156"/>
    <s v="Z82476"/>
    <s v="OM"/>
    <n v="288"/>
    <n v="285"/>
    <n v="-3"/>
    <m/>
    <d v="2025-01-31T20:51:00"/>
    <d v="2025-01-31T20:44:00"/>
    <d v="2025-01-31T21:25:00"/>
    <n v="40.810185182635905"/>
    <n v="33.842592588189291"/>
    <x v="0"/>
    <d v="2025-02-01T17:26:00"/>
    <d v="2025-02-02T09:17:00"/>
    <n v="931.18749999863212"/>
    <s v="slept at the RD and offloaded the next day"/>
    <d v="2025-02-03T12:40:00"/>
    <d v="2025-02-03T13:40:00"/>
    <n v="58.7499999965803"/>
    <x v="0"/>
    <n v="2.6354166666715173"/>
    <n v="2"/>
    <n v="-0.63541666667151731"/>
    <n v="63.250000000116415"/>
    <n v="24"/>
    <n v="39.250000000116415"/>
    <n v="3.9745222929818422"/>
    <m/>
    <m/>
    <m/>
    <m/>
    <m/>
  </r>
  <r>
    <d v="2025-02-01T00:00:00"/>
    <x v="1"/>
    <m/>
    <s v="A20494"/>
    <s v="Manual"/>
    <s v="Sentongo paul"/>
    <s v="UBR 541W"/>
    <s v="KATO INVESTMENTS LTD-KATIKARA"/>
    <n v="156"/>
    <s v="A20494"/>
    <s v="OM"/>
    <n v="790"/>
    <n v="788"/>
    <n v="-2"/>
    <m/>
    <d v="2025-01-31T13:07:00"/>
    <d v="2025-01-31T13:24:00"/>
    <d v="2025-01-31T13:47:00"/>
    <n v="22.893518520140788"/>
    <n v="39.814814819449872"/>
    <x v="0"/>
    <d v="2025-02-01T10:33:00"/>
    <d v="2025-02-01T13:15:00"/>
    <n v="158.62500000410364"/>
    <m/>
    <d v="2025-02-03T12:40:00"/>
    <d v="2025-02-03T13:38:00"/>
    <n v="56.791666667122627"/>
    <x v="0"/>
    <n v="2.953472222223354"/>
    <n v="2"/>
    <n v="-0.95347222222335404"/>
    <n v="70.883333333360497"/>
    <n v="24"/>
    <n v="46.883333333360497"/>
    <n v="3.3274084607161667"/>
    <m/>
    <m/>
    <m/>
    <m/>
    <m/>
  </r>
  <r>
    <d v="2025-02-01T00:00:00"/>
    <x v="1"/>
    <m/>
    <s v="A20497"/>
    <s v="Manual"/>
    <s v="Nminya Siraje"/>
    <s v="UBP 301H"/>
    <s v="Kato Investment Ltd -Mityana"/>
    <n v="156"/>
    <s v="A20497"/>
    <s v="OM"/>
    <n v="690"/>
    <n v="692"/>
    <n v="2"/>
    <m/>
    <d v="2025-01-31T15:15:00"/>
    <d v="2025-01-31T15:05:00"/>
    <d v="2025-01-31T15:56:00"/>
    <n v="50.763888887498375"/>
    <n v="40.810185182635905"/>
    <x v="0"/>
    <d v="2025-02-02T17:32:00"/>
    <d v="2025-02-02T20:34:00"/>
    <n v="178.20833332945767"/>
    <m/>
    <d v="2025-02-03T15:12:00"/>
    <d v="2025-02-03T16:05:00"/>
    <n v="51.895833338348893"/>
    <x v="0"/>
    <n v="2.9694444444394321"/>
    <n v="3"/>
    <n v="3.0555555560567882E-2"/>
    <n v="71.266666666546371"/>
    <n v="24"/>
    <n v="47.266666666546371"/>
    <n v="3.3004231311790626"/>
    <m/>
    <m/>
    <m/>
    <m/>
    <m/>
  </r>
  <r>
    <d v="2025-02-01T00:00:00"/>
    <x v="1"/>
    <m/>
    <s v="Z82469"/>
    <s v="Manual"/>
    <s v="Byanshala Stoney"/>
    <s v="UBP 312H"/>
    <s v="Bates Enterprises Ltd-Ntoroko"/>
    <n v="156"/>
    <s v="Z82469"/>
    <s v="OM"/>
    <n v="464"/>
    <n v="463"/>
    <n v="-1"/>
    <m/>
    <d v="2025-01-31T14:57:00"/>
    <d v="2025-01-31T15:23:00"/>
    <d v="2025-01-31T15:37:00"/>
    <n v="13.935185188893229"/>
    <n v="39.814814819449872"/>
    <x v="0"/>
    <d v="2025-02-03T15:13:00"/>
    <d v="2025-02-03T17:42:00"/>
    <n v="145.89583333698101"/>
    <m/>
    <d v="2025-02-03T15:12:00"/>
    <d v="2025-02-03T16:09:00"/>
    <n v="55.81249999726424"/>
    <x v="0"/>
    <n v="2.9826388888905058"/>
    <n v="3"/>
    <n v="1.7361111109494232E-2"/>
    <n v="71.583333333372138"/>
    <n v="24"/>
    <n v="47.583333333372138"/>
    <n v="3.2784588441304261"/>
    <m/>
    <m/>
    <m/>
    <m/>
    <m/>
  </r>
  <r>
    <d v="2025-02-01T00:00:00"/>
    <x v="1"/>
    <m/>
    <s v="Z82472"/>
    <s v="Manual"/>
    <m/>
    <s v="UBR 534W"/>
    <s v="Kobusinge Steven-FPortal"/>
    <n v="156"/>
    <s v="Z82472"/>
    <s v="OM"/>
    <n v="304"/>
    <n v="302"/>
    <n v="-2"/>
    <m/>
    <d v="2025-01-31T21:42:00"/>
    <d v="2025-01-31T21:44:00"/>
    <d v="2025-01-31T22:25:00"/>
    <n v="40.810185182635905"/>
    <n v="42.80092592986572"/>
    <x v="0"/>
    <d v="2025-02-03T10:52:00"/>
    <d v="2025-02-03T19:08:00"/>
    <n v="485.66666666985839"/>
    <s v="found another truck at the RD"/>
    <d v="2025-02-03T10:40:00"/>
    <d v="2025-02-03T11:38:00"/>
    <n v="56.791666667122627"/>
    <x v="0"/>
    <n v="2.5104166666642413"/>
    <n v="2"/>
    <n v="-0.51041666666424135"/>
    <n v="60.249999999941792"/>
    <n v="24"/>
    <n v="36.249999999941792"/>
    <n v="4.3034482758689787"/>
    <m/>
    <m/>
    <m/>
    <m/>
    <m/>
  </r>
  <r>
    <d v="2025-02-01T00:00:00"/>
    <x v="1"/>
    <m/>
    <s v="Z82475"/>
    <s v="Manual"/>
    <s v="Mulumba Kasim"/>
    <s v="UBE 680K"/>
    <s v="Kobusinge Acaali- Kyenjojo"/>
    <n v="156"/>
    <s v="Z82475"/>
    <s v="OM"/>
    <n v="580"/>
    <n v="579"/>
    <n v="-1"/>
    <m/>
    <d v="2025-01-31T15:06:00"/>
    <d v="2025-01-31T14:16:00"/>
    <d v="2025-01-31T15:47:00"/>
    <n v="90.578703706948247"/>
    <n v="40.810185182635905"/>
    <x v="0"/>
    <d v="2025-02-01T10:57:00"/>
    <d v="2025-02-02T13:39:00"/>
    <n v="1568.6249999938445"/>
    <s v="found another truck at the RD and offloaded the next day"/>
    <d v="2025-02-03T15:12:00"/>
    <d v="2025-02-03T16:00:00"/>
    <n v="46.99999999931606"/>
    <x v="0"/>
    <n v="2.9756944444452529"/>
    <n v="2"/>
    <n v="-0.97569444444525288"/>
    <n v="71.416666666686069"/>
    <n v="24"/>
    <n v="47.416666666686069"/>
    <n v="3.2899824253062109"/>
    <m/>
    <m/>
    <m/>
    <m/>
    <m/>
  </r>
  <r>
    <d v="2025-02-02T00:00:00"/>
    <x v="1"/>
    <m/>
    <s v="A20508"/>
    <s v="Manual"/>
    <m/>
    <s v="UBR 903Y"/>
    <s v="Kato Investment Ltd -Kagadi"/>
    <n v="156"/>
    <s v="A20508"/>
    <s v="OM"/>
    <n v="670"/>
    <n v="671"/>
    <n v="1"/>
    <m/>
    <d v="2025-01-31T15:56:00"/>
    <d v="2025-01-31T15:55:00"/>
    <d v="2025-01-31T16:36:00"/>
    <n v="40.810185182635905"/>
    <n v="39.814814819449872"/>
    <x v="0"/>
    <d v="2025-02-03T15:13:00"/>
    <d v="2025-02-03T17:42:00"/>
    <n v="145.89583333698101"/>
    <m/>
    <d v="2025-02-03T15:12:00"/>
    <d v="2025-02-03T16:05:00"/>
    <n v="51.895833338348893"/>
    <x v="0"/>
    <n v="2.9416666666656965"/>
    <n v="2"/>
    <n v="-0.94166666666569654"/>
    <n v="70.599999999976717"/>
    <n v="24"/>
    <n v="46.599999999976717"/>
    <n v="3.3476394849802134"/>
    <m/>
    <m/>
    <m/>
    <m/>
    <m/>
  </r>
  <r>
    <d v="2025-02-02T00:00:00"/>
    <x v="1"/>
    <m/>
    <s v="A20506"/>
    <s v="Manual"/>
    <s v="Ngobi Fred"/>
    <s v="UBK 866R"/>
    <s v="KATO INVESTMENTS LTD-KATIKARA"/>
    <n v="156"/>
    <s v="A20506"/>
    <s v="OM"/>
    <n v="790"/>
    <n v="788"/>
    <n v="-2"/>
    <m/>
    <d v="2025-01-31T16:57:00"/>
    <d v="2025-01-31T17:20:00"/>
    <d v="2025-01-31T17:37:00"/>
    <n v="16.921296299309081"/>
    <n v="39.814814819449872"/>
    <x v="0"/>
    <d v="2025-02-03T10:52:00"/>
    <d v="2025-02-03T19:08:00"/>
    <n v="485.66666666985839"/>
    <s v="Waited for empties from trade"/>
    <d v="2025-02-03T10:08:00"/>
    <d v="2025-02-03T10:57:00"/>
    <n v="47.979166669174447"/>
    <x v="0"/>
    <n v="2.6881944444467081"/>
    <n v="2"/>
    <n v="-0.68819444444670808"/>
    <n v="64.516666666720994"/>
    <n v="24"/>
    <n v="40.516666666720994"/>
    <n v="3.8502673796739817"/>
    <m/>
    <m/>
    <m/>
    <m/>
    <m/>
  </r>
  <r>
    <d v="2025-02-02T00:00:00"/>
    <x v="1"/>
    <m/>
    <s v="A20510"/>
    <s v="Manual"/>
    <s v="Bwanga Gilbert"/>
    <s v="UBK 862R"/>
    <s v="Kato Investment Ltd -Mityana"/>
    <n v="156"/>
    <s v="A20510"/>
    <s v="OM"/>
    <n v="690"/>
    <n v="692"/>
    <n v="2"/>
    <m/>
    <d v="2025-02-03T07:13:00"/>
    <d v="2025-02-03T07:46:00"/>
    <d v="2025-02-03T07:54:00"/>
    <n v="7.9629629680615226"/>
    <n v="40.810185182635905"/>
    <x v="0"/>
    <d v="2025-02-01T10:57:00"/>
    <d v="2025-02-02T13:39:00"/>
    <n v="1568.6249999938445"/>
    <s v="found another truck at the RD"/>
    <d v="2025-02-03T12:44:00"/>
    <d v="2025-02-03T13:40:00"/>
    <n v="54.833333337664953"/>
    <x v="0"/>
    <n v="0.20138888888322981"/>
    <n v="2"/>
    <n v="1.7986111111167702"/>
    <n v="4.8333333331975155"/>
    <n v="0"/>
    <n v="4.8333333331975155"/>
    <n v="32.275862069872474"/>
    <m/>
    <m/>
    <m/>
    <m/>
    <m/>
  </r>
  <r>
    <d v="2025-02-02T00:00:00"/>
    <x v="1"/>
    <m/>
    <s v="A20509"/>
    <s v="Manual"/>
    <s v="Taimwa Alex"/>
    <s v="UBJ 705D"/>
    <s v="Kato Investment Ltd -Kagadi"/>
    <n v="156"/>
    <s v="A20509"/>
    <s v="OM"/>
    <n v="670"/>
    <n v="672"/>
    <n v="2"/>
    <m/>
    <d v="2025-02-02T11:14:00"/>
    <d v="2025-02-02T11:00:00"/>
    <d v="2025-02-02T11:54:00"/>
    <n v="53.749999997914223"/>
    <n v="39.814814819449872"/>
    <x v="0"/>
    <d v="2025-02-02T14:16:00"/>
    <d v="2025-02-02T17:07:00"/>
    <n v="167.43749999179272"/>
    <m/>
    <d v="2025-02-03T14:59:00"/>
    <d v="2025-02-03T15:48:00"/>
    <n v="47.979166669174447"/>
    <x v="0"/>
    <n v="1.1284722222189885"/>
    <n v="2"/>
    <n v="0.87152777778101154"/>
    <n v="27.083333333255723"/>
    <n v="12"/>
    <n v="15.083333333255723"/>
    <n v="10.342541436517305"/>
    <m/>
    <m/>
    <m/>
    <m/>
    <m/>
  </r>
  <r>
    <d v="2025-02-03T00:00:00"/>
    <x v="1"/>
    <m/>
    <s v="OMRYT3NRR"/>
    <s v="DJ"/>
    <s v="Stephen Musoke "/>
    <s v="UBJ 375N"/>
    <s v="RUGOMA TRADERS CO. LTD NTUNGAM "/>
    <n v="153.6"/>
    <s v="OMRYT3NRR"/>
    <s v="OM"/>
    <n v="150"/>
    <n v="149"/>
    <n v="-1"/>
    <m/>
    <d v="2025-02-02T14:54:00"/>
    <d v="2025-02-02T14:17:00"/>
    <d v="2025-02-02T15:34:00"/>
    <n v="76.643518518055018"/>
    <n v="39.814814819449872"/>
    <x v="0"/>
    <d v="2025-02-02T11:08:00"/>
    <d v="2025-02-02T14:02:00"/>
    <n v="170.37500000136788"/>
    <m/>
    <d v="2025-02-04T07:49:00"/>
    <d v="2025-02-04T08:47:00"/>
    <n v="56.791666667122627"/>
    <x v="0"/>
    <n v="1.6770833333357587"/>
    <n v="1"/>
    <n v="-0.67708333333575865"/>
    <n v="40.250000000058208"/>
    <n v="12"/>
    <n v="28.250000000058208"/>
    <n v="5.4371681415817168"/>
    <m/>
    <m/>
    <m/>
    <m/>
    <m/>
  </r>
  <r>
    <d v="2025-02-03T00:00:00"/>
    <x v="1"/>
    <m/>
    <s v="OMRYT3NRR"/>
    <s v="DJ"/>
    <s v="Stephen Musoke "/>
    <s v="UBJ 375N"/>
    <s v="KATO INVESTMENTS LIMITED-MASAK "/>
    <n v="153.6"/>
    <m/>
    <s v="OM"/>
    <n v="298"/>
    <n v="299"/>
    <n v="1"/>
    <m/>
    <d v="2025-02-01T15:40:00"/>
    <d v="2025-02-01T15:58:00"/>
    <d v="2025-02-01T16:21:00"/>
    <n v="22.893518520140788"/>
    <n v="40.810185182635905"/>
    <x v="0"/>
    <d v="2025-02-01T10:04:00"/>
    <d v="2025-02-01T15:02:00"/>
    <n v="291.79166666370293"/>
    <s v="Waited for empties from trade"/>
    <d v="2025-02-04T10:47:00"/>
    <d v="2025-02-04T12:09:00"/>
    <n v="80.291666661651107"/>
    <x v="4"/>
    <n v="2.7680555555562023"/>
    <n v="2"/>
    <n v="-0.76805555555620231"/>
    <n v="66.433333333348855"/>
    <n v="24"/>
    <n v="42.433333333348855"/>
    <n v="3.6197957580505218"/>
    <m/>
    <m/>
    <m/>
    <m/>
    <m/>
  </r>
  <r>
    <d v="2025-02-03T00:00:00"/>
    <x v="1"/>
    <m/>
    <s v="OM1JESFRR"/>
    <s v="DJ"/>
    <s v="Benon Ssempijja"/>
    <s v="UAY 526V"/>
    <s v="Kabaco U Ltd-Mbarara"/>
    <n v="153.6"/>
    <s v="OM1JESFRR"/>
    <s v="OM"/>
    <n v="20"/>
    <n v="21"/>
    <n v="1"/>
    <m/>
    <d v="2025-02-03T17:17:00"/>
    <d v="2025-02-03T06:15:00"/>
    <d v="2025-02-03T17:57:00"/>
    <n v="698.75000000417151"/>
    <n v="39.814814819449872"/>
    <x v="0"/>
    <d v="2025-02-04T08:57:00"/>
    <d v="2025-02-04T15:39:00"/>
    <n v="393.62500000068394"/>
    <s v="Waited for empties from trade"/>
    <d v="2025-02-04T17:39:00"/>
    <d v="2025-02-04T18:35:00"/>
    <n v="54.833333337664953"/>
    <x v="0"/>
    <n v="0.98750000000291038"/>
    <n v="2"/>
    <n v="1.0124999999970896"/>
    <n v="23.700000000069849"/>
    <n v="0"/>
    <n v="23.700000000069849"/>
    <n v="6.4810126582087468"/>
    <m/>
    <m/>
    <m/>
    <m/>
    <m/>
  </r>
  <r>
    <d v="2025-02-03T00:00:00"/>
    <x v="1"/>
    <m/>
    <s v="OMRGR92RR"/>
    <s v="DJ"/>
    <s v="Isaac Tumuhimbise"/>
    <s v="UBE 287X"/>
    <s v="RUGOMA TRADERS CO. LTD NTUNGAM "/>
    <n v="153.6"/>
    <s v="OMRGR92RR"/>
    <s v="OM"/>
    <n v="150"/>
    <n v="149"/>
    <n v="-1"/>
    <m/>
    <d v="2025-02-03T19:46:00"/>
    <d v="2025-02-03T02:30:00"/>
    <d v="2025-02-03T20:30:00"/>
    <n v="1075"/>
    <n v="43.796296293051761"/>
    <x v="0"/>
    <d v="2025-02-03T16:01:00"/>
    <d v="2025-02-04T11:01:00"/>
    <n v="1116.2499999965803"/>
    <s v="Reached late and offloaded the next day"/>
    <d v="2025-02-05T12:14:00"/>
    <d v="2025-02-05T13:32:00"/>
    <n v="76.37500000273576"/>
    <x v="7"/>
    <n v="1.6555555555605679"/>
    <n v="1"/>
    <n v="-0.65555555556056788"/>
    <n v="39.733333333453629"/>
    <n v="12"/>
    <n v="27.733333333453629"/>
    <n v="5.5384615384375149"/>
    <m/>
    <m/>
    <m/>
    <m/>
    <m/>
  </r>
  <r>
    <d v="2025-02-04T00:00:00"/>
    <x v="1"/>
    <m/>
    <s v="Z82492"/>
    <s v="Manual"/>
    <m/>
    <s v="UBP 305H"/>
    <s v="Kabaco U Ltd "/>
    <n v="156"/>
    <s v="Z82492"/>
    <s v="OM"/>
    <n v="320"/>
    <n v="317"/>
    <n v="-3"/>
    <m/>
    <d v="2025-02-03T18:27:00"/>
    <d v="2025-02-03T04:14:00"/>
    <d v="2025-02-03T19:03:00"/>
    <n v="884.88425925485592"/>
    <n v="35.833333335419105"/>
    <x v="0"/>
    <d v="2025-02-03T08:30:00"/>
    <d v="2025-02-03T12:12:00"/>
    <n v="217.37500000068394"/>
    <s v="Waited for empties from trade"/>
    <d v="2025-02-03T20:24:00"/>
    <d v="2025-02-03T21:16:00"/>
    <n v="50.916666668490507"/>
    <x v="0"/>
    <n v="5.6250000001455192E-2"/>
    <n v="2"/>
    <n v="1.9437499999985448"/>
    <n v="1.3500000000349246"/>
    <n v="0"/>
    <n v="1.3500000000349246"/>
    <n v="115.55555555256612"/>
    <m/>
    <m/>
    <m/>
    <m/>
    <m/>
  </r>
  <r>
    <d v="2025-02-04T00:00:00"/>
    <x v="1"/>
    <m/>
    <s v="Z82491"/>
    <s v="Manual"/>
    <m/>
    <s v="UBR 868Y"/>
    <s v="Kabaco U Ltd "/>
    <n v="156"/>
    <s v="Z82491"/>
    <s v="OM"/>
    <n v="320"/>
    <n v="58"/>
    <n v="-262"/>
    <m/>
    <d v="2025-02-03T19:18:00"/>
    <d v="2025-02-03T07:42:00"/>
    <d v="2025-02-03T19:54:00"/>
    <n v="728.61111111875891"/>
    <n v="35.833333335419105"/>
    <x v="0"/>
    <d v="2025-02-04T12:10:00"/>
    <d v="2025-02-04T14:16:00"/>
    <n v="123.37500000205182"/>
    <m/>
    <d v="2025-02-04T13:03:00"/>
    <d v="2025-02-04T13:58:00"/>
    <n v="53.854166667806567"/>
    <x v="0"/>
    <n v="0.7145833333270275"/>
    <n v="2"/>
    <n v="1.2854166666729725"/>
    <n v="17.14999999984866"/>
    <n v="0"/>
    <n v="17.14999999984866"/>
    <n v="9.0962099126167129"/>
    <m/>
    <m/>
    <m/>
    <m/>
    <m/>
  </r>
  <r>
    <d v="2025-02-04T00:00:00"/>
    <x v="1"/>
    <m/>
    <s v="F15836"/>
    <s v="Manual"/>
    <m/>
    <s v="UBG 237J"/>
    <s v="Boniface Harera"/>
    <n v="156"/>
    <s v="F15836"/>
    <s v="OM"/>
    <n v="448"/>
    <n v="450"/>
    <n v="2"/>
    <m/>
    <d v="2025-02-01T20:12:00"/>
    <d v="2025-02-01T20:03:00"/>
    <d v="2025-02-01T20:44:00"/>
    <n v="40.810185182635905"/>
    <n v="31.851851851388346"/>
    <x v="0"/>
    <d v="2025-02-04T19:57:00"/>
    <d v="2025-02-05T20:09:00"/>
    <n v="1421.7499999972642"/>
    <s v="space consquents"/>
    <d v="2025-02-06T14:55:00"/>
    <d v="2025-02-06T15:40:00"/>
    <n v="44.0625"/>
    <x v="0"/>
    <n v="4.757638888891961"/>
    <n v="2"/>
    <n v="-2.757638888891961"/>
    <n v="114.18333333340706"/>
    <n v="48"/>
    <n v="66.183333333407063"/>
    <n v="2.3570888944823905"/>
    <m/>
    <m/>
    <m/>
    <m/>
    <m/>
  </r>
  <r>
    <d v="2025-02-04T00:00:00"/>
    <x v="1"/>
    <m/>
    <s v="OMEA2E9RR"/>
    <s v="DJ"/>
    <s v="Abel Mark naffa"/>
    <s v="UBJ 415C"/>
    <s v="Sawan Distributors Ltd-Kayabwe "/>
    <n v="153.6"/>
    <s v="OMEA2E9RR"/>
    <s v="OM"/>
    <n v="382"/>
    <n v="384"/>
    <n v="2"/>
    <m/>
    <d v="2025-02-03T09:14:00"/>
    <d v="2025-02-03T08:25:00"/>
    <d v="2025-02-03T09:54:00"/>
    <n v="88.587962959718425"/>
    <n v="39.814814819449872"/>
    <x v="0"/>
    <d v="2025-02-04T17:17:00"/>
    <d v="2025-02-04T19:24:00"/>
    <n v="124.35416667191021"/>
    <m/>
    <d v="2025-02-05T12:44:00"/>
    <d v="2025-02-05T14:04:00"/>
    <n v="78.333333332193433"/>
    <x v="5"/>
    <n v="2.1180555555547471"/>
    <n v="2"/>
    <n v="-0.11805555555474712"/>
    <n v="50.833333333313931"/>
    <n v="24"/>
    <n v="26.833333333313931"/>
    <n v="5.7242236024886113"/>
    <m/>
    <m/>
    <m/>
    <m/>
    <m/>
  </r>
  <r>
    <d v="2025-02-04T00:00:00"/>
    <x v="1"/>
    <m/>
    <s v="OMGW63URR"/>
    <s v="DJ"/>
    <s v="Isaac Tumuhimbise"/>
    <s v="UBE 287X"/>
    <s v="Sawan Distributors Ltd-Kayabwe "/>
    <n v="153.6"/>
    <s v="OMGW63URR"/>
    <s v="OM"/>
    <n v="382"/>
    <n v="379"/>
    <n v="-3"/>
    <m/>
    <d v="2025-02-02T11:12:00"/>
    <d v="2025-02-02T11:43:00"/>
    <d v="2025-02-02T11:54:00"/>
    <n v="10.949074078477375"/>
    <n v="41.805555556250816"/>
    <x v="0"/>
    <d v="2025-02-04T11:56:00"/>
    <d v="2025-02-04T14:38:00"/>
    <n v="158.62500000410364"/>
    <m/>
    <d v="2025-02-05T14:24:00"/>
    <d v="2025-02-05T15:10:00"/>
    <n v="45.041666669858387"/>
    <x v="0"/>
    <n v="3.1041666666642413"/>
    <n v="2"/>
    <n v="-1.1041666666642413"/>
    <n v="74.499999999941792"/>
    <n v="36"/>
    <n v="38.499999999941792"/>
    <n v="3.9896103896164212"/>
    <m/>
    <m/>
    <m/>
    <m/>
    <m/>
  </r>
  <r>
    <d v="2025-02-05T00:00:00"/>
    <x v="1"/>
    <m/>
    <s v="A20570"/>
    <s v="Manual"/>
    <m/>
    <s v="UBR 533W"/>
    <s v="Kato Investment Ltd -Mityana"/>
    <n v="156"/>
    <s v="A20570"/>
    <s v="OM"/>
    <n v="690"/>
    <n v="689"/>
    <n v="-1"/>
    <m/>
    <d v="2025-02-04T18:58:00"/>
    <d v="2025-02-04T02:30:00"/>
    <d v="2025-02-04T19:36:00"/>
    <n v="1021.2500000020858"/>
    <n v="37.82407407222005"/>
    <x v="0"/>
    <d v="2025-02-04T11:56:00"/>
    <d v="2025-02-04T14:38:00"/>
    <n v="158.62500000410364"/>
    <m/>
    <d v="2025-02-05T14:24:00"/>
    <d v="2025-02-05T15:43:00"/>
    <n v="77.354166662335047"/>
    <x v="4"/>
    <n v="0.78333333333284827"/>
    <n v="3"/>
    <n v="2.2166666666671517"/>
    <n v="18.799999999988358"/>
    <n v="0"/>
    <n v="18.799999999988358"/>
    <n v="8.2978723404306702"/>
    <m/>
    <m/>
    <m/>
    <m/>
    <m/>
  </r>
  <r>
    <d v="2025-02-05T00:00:00"/>
    <x v="1"/>
    <m/>
    <s v="Z82522"/>
    <s v="Manual"/>
    <s v="Ikwalikwa Yusuf"/>
    <s v="UBP 311H"/>
    <s v="Kabaco U Ltd "/>
    <n v="156"/>
    <s v="Z82522"/>
    <s v="OM"/>
    <n v="320"/>
    <n v="319"/>
    <n v="-1"/>
    <m/>
    <d v="2025-02-04T17:29:00"/>
    <d v="2025-02-04T04:19:00"/>
    <d v="2025-02-04T18:10:00"/>
    <n v="827.15277778333984"/>
    <n v="40.810185182635905"/>
    <x v="0"/>
    <d v="2025-02-04T17:17:00"/>
    <d v="2025-02-04T19:54:00"/>
    <n v="153.72916667532991"/>
    <m/>
    <d v="2025-02-05T12:44:00"/>
    <d v="2025-02-05T13:40:00"/>
    <n v="54.833333337664953"/>
    <x v="0"/>
    <n v="0.77361111110803904"/>
    <n v="2"/>
    <n v="1.226388888891961"/>
    <n v="18.566666666592937"/>
    <n v="0"/>
    <n v="18.566666666592937"/>
    <n v="8.4021543985970997"/>
    <m/>
    <m/>
    <m/>
    <m/>
    <m/>
  </r>
  <r>
    <d v="2025-02-05T00:00:00"/>
    <x v="1"/>
    <m/>
    <s v="A20568"/>
    <s v="Manual"/>
    <s v="kayanja Sam"/>
    <s v="UBF 379L"/>
    <s v="Kato Investments Ltd-Bulenga"/>
    <n v="156"/>
    <s v="A20568"/>
    <s v="OM"/>
    <n v="560"/>
    <n v="559"/>
    <n v="-1"/>
    <m/>
    <d v="2025-02-05T13:54:00"/>
    <d v="2025-02-05T13:02:00"/>
    <d v="2025-02-05T14:37:00"/>
    <n v="94.560185180550135"/>
    <n v="42.80092592986572"/>
    <x v="0"/>
    <d v="2025-02-06T09:07:00"/>
    <d v="2025-02-06T11:25:00"/>
    <n v="135.12499999931606"/>
    <m/>
    <d v="2025-02-07T15:31:00"/>
    <d v="2025-02-07T16:24:00"/>
    <n v="51.895833338348893"/>
    <x v="0"/>
    <n v="2.0374999999985448"/>
    <n v="3"/>
    <n v="0.96250000000145519"/>
    <n v="48.899999999965075"/>
    <n v="24"/>
    <n v="24.899999999965075"/>
    <n v="6.2650602409726428"/>
    <m/>
    <m/>
    <m/>
    <m/>
    <m/>
  </r>
  <r>
    <d v="2025-02-05T00:00:00"/>
    <x v="1"/>
    <m/>
    <s v="Z82524"/>
    <s v="Manual"/>
    <s v="Eriku Alipa"/>
    <s v="UBK 858R"/>
    <s v="Kobusinge Steven-Kamwenge"/>
    <n v="156"/>
    <s v="Z82524"/>
    <s v="OM"/>
    <n v="288"/>
    <n v="290"/>
    <n v="2"/>
    <m/>
    <d v="2025-02-05T13:05:00"/>
    <d v="2025-02-05T12:59:00"/>
    <d v="2025-02-05T13:42:00"/>
    <n v="42.80092592986572"/>
    <n v="36.828703698605146"/>
    <x v="0"/>
    <d v="2025-02-05T22:10:00"/>
    <d v="2025-02-06T10:26:00"/>
    <n v="720.66666666643869"/>
    <s v="Reached late and offloaded the next day"/>
    <d v="2025-02-07T12:35:00"/>
    <d v="2025-02-07T13:28:00"/>
    <n v="51.895833338348893"/>
    <x v="0"/>
    <n v="1.953472222223354"/>
    <n v="2"/>
    <n v="4.6527777776645962E-2"/>
    <n v="46.883333333360497"/>
    <n v="12"/>
    <n v="34.883333333360497"/>
    <n v="4.4720496894375117"/>
    <m/>
    <m/>
    <m/>
    <m/>
    <m/>
  </r>
  <r>
    <d v="2025-02-05T00:00:00"/>
    <x v="1"/>
    <m/>
    <s v="Z82527"/>
    <s v="Manual"/>
    <s v="Kyakulaga James"/>
    <s v="UBJ 419C"/>
    <s v="Kabaco U Ltd "/>
    <n v="156"/>
    <s v="Z82527"/>
    <s v="OM"/>
    <n v="320"/>
    <n v="321"/>
    <n v="1"/>
    <m/>
    <d v="2025-02-05T12:42:00"/>
    <d v="2025-02-05T12:43:00"/>
    <d v="2025-02-05T13:24:00"/>
    <n v="40.810185182635905"/>
    <n v="41.805555556250816"/>
    <x v="0"/>
    <d v="2025-02-05T18:58:00"/>
    <d v="2025-02-06T12:58:00"/>
    <n v="1057.5"/>
    <s v="truck faulty"/>
    <d v="2025-02-07T12:35:00"/>
    <d v="2025-02-07T13:23:00"/>
    <n v="46.99999999931606"/>
    <x v="0"/>
    <n v="1.9659722222204437"/>
    <n v="2"/>
    <n v="3.4027777779556345E-2"/>
    <n v="47.183333333290648"/>
    <n v="12"/>
    <n v="35.183333333290648"/>
    <n v="4.4339175746145694"/>
    <m/>
    <m/>
    <m/>
    <m/>
    <m/>
  </r>
  <r>
    <d v="2025-02-05T00:00:00"/>
    <x v="1"/>
    <m/>
    <s v="F15854"/>
    <s v="Manual"/>
    <s v="Kabanda Ronald"/>
    <s v="UBE 684K"/>
    <s v="Boniface Harera"/>
    <n v="156"/>
    <s v="F15854"/>
    <s v="OM"/>
    <n v="448"/>
    <n v="445"/>
    <n v="-3"/>
    <m/>
    <d v="2025-02-05T12:18:00"/>
    <d v="2025-02-05T12:06:00"/>
    <d v="2025-02-05T13:00:00"/>
    <n v="53.749999997914223"/>
    <n v="41.805555556250816"/>
    <x v="0"/>
    <d v="2025-02-05T16:34:00"/>
    <d v="2025-02-05T19:39:00"/>
    <n v="181.14583332877373"/>
    <s v="Waited for empties from trade"/>
    <d v="2025-02-05T21:47:00"/>
    <d v="2025-02-05T22:43:00"/>
    <n v="54.833333337664953"/>
    <x v="0"/>
    <n v="0.36597222222189885"/>
    <n v="2"/>
    <n v="1.6340277777781012"/>
    <n v="8.7833333333255723"/>
    <n v="0"/>
    <n v="8.7833333333255723"/>
    <n v="17.760910815954972"/>
    <m/>
    <m/>
    <m/>
    <m/>
    <m/>
  </r>
  <r>
    <d v="2025-02-05T00:00:00"/>
    <x v="1"/>
    <m/>
    <s v="Z82525"/>
    <s v="Manual"/>
    <s v="Lule Fred"/>
    <s v="UBP 310H"/>
    <s v="Kobusinge Acaali- Kyenjojo"/>
    <n v="156"/>
    <s v="Z82525"/>
    <s v="OM"/>
    <n v="580"/>
    <n v="582"/>
    <n v="2"/>
    <m/>
    <d v="2025-02-05T17:26:00"/>
    <d v="2025-02-05T16:47:00"/>
    <d v="2025-02-05T18:04:00"/>
    <n v="76.643518518055018"/>
    <n v="37.82407407222005"/>
    <x v="0"/>
    <d v="2025-02-06T10:57:00"/>
    <d v="2025-02-06T18:31:00"/>
    <n v="444.54166665891535"/>
    <s v="found another truck to be offloaded"/>
    <d v="2025-02-07T15:46:00"/>
    <d v="2025-02-07T16:46:00"/>
    <n v="58.7499999965803"/>
    <x v="0"/>
    <n v="1.9041666666671517"/>
    <n v="2"/>
    <n v="9.5833333332848269E-2"/>
    <n v="45.700000000011642"/>
    <n v="12"/>
    <n v="33.700000000011642"/>
    <n v="4.6290801186927633"/>
    <m/>
    <m/>
    <m/>
    <m/>
    <m/>
  </r>
  <r>
    <d v="2025-02-05T00:00:00"/>
    <x v="1"/>
    <m/>
    <s v="OM08QBORR"/>
    <s v="DJ"/>
    <s v="Benon Ssempijja"/>
    <s v="UAY 526V"/>
    <s v="Kato Investment Ltd -Mityana "/>
    <n v="153.6"/>
    <s v="OM08QBORR"/>
    <s v="OM"/>
    <n v="690"/>
    <n v="689"/>
    <n v="-1"/>
    <m/>
    <d v="2025-02-05T11:57:00"/>
    <d v="2025-02-05T11:59:00"/>
    <d v="2025-02-05T12:40:00"/>
    <n v="40.810185182635905"/>
    <n v="42.80092592986572"/>
    <x v="0"/>
    <d v="2025-02-06T11:17:00"/>
    <d v="2025-02-06T17:01:00"/>
    <n v="336.83333333356131"/>
    <s v="Dj failure at customer"/>
    <d v="2025-02-08T10:54:00"/>
    <d v="2025-02-08T11:52:00"/>
    <n v="56.791666667122627"/>
    <x v="0"/>
    <n v="2.9263888888890506"/>
    <n v="2"/>
    <n v="-0.92638888888905058"/>
    <n v="70.233333333337214"/>
    <n v="24"/>
    <n v="46.233333333337214"/>
    <n v="3.3222782984856618"/>
    <m/>
    <m/>
    <m/>
    <m/>
    <m/>
  </r>
  <r>
    <d v="2025-02-05T00:00:00"/>
    <x v="1"/>
    <m/>
    <s v="OM2G8SKRR"/>
    <s v="DJ"/>
    <s v="Luyaga Isaac"/>
    <s v="UAY 265V"/>
    <s v="Kato Investments Ltd-Bulenga"/>
    <n v="153.6"/>
    <s v="OM2G8SKRR"/>
    <s v="OM"/>
    <n v="560"/>
    <n v="561"/>
    <n v="1"/>
    <m/>
    <d v="2025-02-04T13:43:00"/>
    <d v="2025-02-04T14:08:00"/>
    <d v="2025-02-04T14:25:00"/>
    <n v="16.921296299309081"/>
    <n v="41.805555556250816"/>
    <x v="0"/>
    <d v="2025-02-06T11:34:00"/>
    <d v="2025-02-06T16:34:00"/>
    <n v="293.7500000034197"/>
    <s v="Waited for empties from trade"/>
    <d v="2025-02-07T14:38:00"/>
    <d v="2025-02-07T15:31:00"/>
    <n v="51.895833338348893"/>
    <x v="0"/>
    <n v="3.0090277777781012"/>
    <n v="2"/>
    <n v="-1.0090277777781012"/>
    <n v="72.216666666674428"/>
    <n v="36"/>
    <n v="36.216666666674428"/>
    <n v="4.2411412793364125"/>
    <m/>
    <m/>
    <m/>
    <m/>
    <m/>
  </r>
  <r>
    <d v="2025-02-05T00:00:00"/>
    <x v="1"/>
    <m/>
    <s v="OM3FY6QRR"/>
    <s v="DJ"/>
    <s v="Bisaso  Ronald"/>
    <s v="UBK 875R"/>
    <s v="Kato Investment Ltd -Mityana "/>
    <n v="153.6"/>
    <s v="OM3FY6QRR"/>
    <s v="OM"/>
    <n v="690"/>
    <n v="692"/>
    <n v="2"/>
    <m/>
    <d v="2025-02-05T08:05:00"/>
    <d v="2025-02-05T07:17:00"/>
    <d v="2025-02-05T08:46:00"/>
    <n v="88.587962959718425"/>
    <n v="40.810185182635905"/>
    <x v="0"/>
    <d v="2025-02-06T15:34:00"/>
    <d v="2025-02-07T08:33:00"/>
    <n v="997.77083333356131"/>
    <s v="less casuals and offloaded the next day"/>
    <d v="2025-02-08T14:54:00"/>
    <d v="2025-02-08T15:46:00"/>
    <n v="50.916666668490507"/>
    <x v="0"/>
    <n v="3.2555555555591127"/>
    <n v="2"/>
    <n v="-1.2555555555591127"/>
    <n v="78.133333333418705"/>
    <n v="36"/>
    <n v="42.133333333418705"/>
    <n v="3.6455696202457779"/>
    <m/>
    <m/>
    <m/>
    <m/>
    <m/>
  </r>
  <r>
    <d v="2025-02-05T00:00:00"/>
    <x v="1"/>
    <m/>
    <s v="OMGYL7CRR"/>
    <s v="DJ"/>
    <s v="Tumusiime Robert"/>
    <s v="UBJ 988D"/>
    <s v="KATO INVESTMENTS LTD- KALISIZO "/>
    <n v="153.6"/>
    <s v="OMGYL7CRR"/>
    <s v="OM"/>
    <n v="350"/>
    <n v="352"/>
    <n v="2"/>
    <m/>
    <d v="2025-02-05T13:55:00"/>
    <d v="2025-02-04T20:00:00"/>
    <d v="2025-02-05T14:37:00"/>
    <n v="1111.8287036986051"/>
    <n v="41.805555556250816"/>
    <x v="0"/>
    <d v="2025-02-11T09:57:00"/>
    <d v="2025-02-11T13:11:00"/>
    <n v="189.95833333698101"/>
    <s v="First offloaded their route sale trucks"/>
    <d v="2025-02-05T21:47:00"/>
    <d v="2025-02-05T22:44:00"/>
    <n v="55.81249999726424"/>
    <x v="0"/>
    <n v="0.29861111110949423"/>
    <n v="2"/>
    <n v="1.7013888888905058"/>
    <n v="7.1666666666278616"/>
    <n v="0"/>
    <n v="7.1666666666278616"/>
    <n v="21.432558139650933"/>
    <m/>
    <m/>
    <m/>
    <m/>
    <m/>
  </r>
  <r>
    <d v="2025-02-05T00:00:00"/>
    <x v="1"/>
    <m/>
    <s v="OMMK06ORR"/>
    <s v="DJ"/>
    <s v="Kabene John"/>
    <s v="UBA 523T"/>
    <s v="Ntale and Sons"/>
    <n v="153.6"/>
    <s v="OMMK06ORR"/>
    <s v="OM"/>
    <n v="810"/>
    <n v="812"/>
    <n v="2"/>
    <m/>
    <d v="2025-02-05T12:43:00"/>
    <d v="2025-02-04T20:13:00"/>
    <d v="2025-02-05T13:24:00"/>
    <n v="1026.2268518493026"/>
    <n v="40.810185182635905"/>
    <x v="0"/>
    <d v="2025-02-10T18:37:00"/>
    <d v="2025-02-11T09:23:00"/>
    <n v="867.54166667327809"/>
    <s v="slept at the RD and offloaded the next day"/>
    <d v="2025-02-08T10:54:00"/>
    <d v="2025-02-08T11:44:00"/>
    <n v="48.958333328773733"/>
    <x v="0"/>
    <n v="2.8958333333357587"/>
    <n v="3"/>
    <n v="0.10416666666424135"/>
    <n v="69.500000000058208"/>
    <n v="24"/>
    <n v="45.500000000058208"/>
    <n v="3.3758241758198571"/>
    <m/>
    <m/>
    <m/>
    <m/>
    <m/>
  </r>
  <r>
    <d v="2025-02-06T00:00:00"/>
    <x v="1"/>
    <m/>
    <s v="OM2T10KRR"/>
    <s v="DJ"/>
    <s v="Abel Mark naffa"/>
    <s v="UBJ 415C"/>
    <s v="Kabaco U Ltd "/>
    <n v="153.6"/>
    <s v="OM2T10KRR"/>
    <s v="OM"/>
    <n v="320"/>
    <n v="322"/>
    <n v="2"/>
    <m/>
    <d v="2025-02-05T12:40:00"/>
    <d v="2025-02-04T20:13:00"/>
    <d v="2025-02-05T13:24:00"/>
    <n v="1026.2268518493026"/>
    <n v="43.796296293051761"/>
    <x v="0"/>
    <d v="2025-02-06T10:57:00"/>
    <d v="2025-02-06T18:31:00"/>
    <n v="444.54166665891535"/>
    <s v="found another truck at RD"/>
    <d v="2025-02-07T15:46:00"/>
    <d v="2025-02-07T16:37:00"/>
    <n v="49.93749999863212"/>
    <x v="0"/>
    <n v="2.0986111111124046"/>
    <n v="2"/>
    <n v="-9.8611111112404615E-2"/>
    <n v="50.366666666697711"/>
    <n v="24"/>
    <n v="26.366666666697711"/>
    <n v="5.8255372945569839"/>
    <m/>
    <m/>
    <m/>
    <m/>
    <m/>
  </r>
  <r>
    <d v="2025-02-06T00:00:00"/>
    <x v="1"/>
    <m/>
    <s v="OMF1N6TRR"/>
    <s v="DJ"/>
    <s v="Konge Husein"/>
    <s v="UBJ 707D"/>
    <s v="KATO INVESTMENTS LIMITED-MASAK"/>
    <n v="153.6"/>
    <s v="OMF1N6TRR"/>
    <s v="OM"/>
    <n v="298"/>
    <n v="148"/>
    <n v="-150"/>
    <m/>
    <d v="2025-02-05T12:17:00"/>
    <d v="2025-02-04T20:00:00"/>
    <d v="2025-02-05T13:00:00"/>
    <n v="1015.2777777708252"/>
    <n v="42.80092592986572"/>
    <x v="0"/>
    <d v="2025-02-06T15:34:00"/>
    <d v="2025-02-07T08:33:00"/>
    <n v="997.77083333356131"/>
    <s v="Not enough casuals to offload"/>
    <d v="2025-02-08T14:54:00"/>
    <d v="2025-02-08T15:43:00"/>
    <n v="47.979166669174447"/>
    <x v="0"/>
    <n v="3.0791666666700621"/>
    <n v="2"/>
    <n v="-1.0791666666700621"/>
    <n v="73.900000000081491"/>
    <n v="36"/>
    <n v="37.900000000081491"/>
    <n v="4.0527704485400982"/>
    <m/>
    <m/>
    <m/>
    <m/>
    <m/>
  </r>
  <r>
    <d v="2025-02-06T00:00:00"/>
    <x v="1"/>
    <m/>
    <s v="OMMMFQSRR"/>
    <s v="DJ"/>
    <s v="Isaac Tumuhimbise"/>
    <s v="UBE 287X"/>
    <s v="RUGOMA TRADERS CO. LTD NTUNGAM"/>
    <n v="153.6"/>
    <s v="OMMMFQSRR"/>
    <s v="OM"/>
    <n v="150"/>
    <n v="149"/>
    <n v="-1"/>
    <m/>
    <d v="2025-02-05T17:20:00"/>
    <d v="2025-02-05T03:43:00"/>
    <d v="2025-02-05T18:04:00"/>
    <n v="857.01388888749841"/>
    <n v="43.796296293051761"/>
    <x v="0"/>
    <d v="2025-02-06T11:34:00"/>
    <d v="2025-02-06T16:34:00"/>
    <n v="293.7500000034197"/>
    <s v="Waited for empties from trade"/>
    <d v="2025-02-07T14:38:00"/>
    <d v="2025-02-07T15:32:00"/>
    <n v="52.87499999794818"/>
    <x v="0"/>
    <n v="1.8569444444437977"/>
    <n v="1"/>
    <n v="-0.85694444444379769"/>
    <n v="44.566666666651145"/>
    <n v="12"/>
    <n v="32.566666666651145"/>
    <n v="4.7164790174024525"/>
    <m/>
    <m/>
    <m/>
    <m/>
    <m/>
  </r>
  <r>
    <d v="2025-02-06T00:00:00"/>
    <x v="1"/>
    <m/>
    <s v="OMOHRI9RR"/>
    <s v="DJ"/>
    <s v="ZIWA ABASI"/>
    <s v="UBJ 420C"/>
    <s v="Rugoma Traders-Rukungiri "/>
    <n v="153.6"/>
    <s v="OMOHRI9RR"/>
    <s v="OM"/>
    <n v="256"/>
    <n v="255"/>
    <n v="-1"/>
    <m/>
    <d v="2025-02-07T18:43:00"/>
    <d v="2025-02-06T04:14:00"/>
    <d v="2025-02-07T19:26:00"/>
    <n v="2341.1111111083301"/>
    <n v="42.80092592986572"/>
    <x v="0"/>
    <d v="2025-02-12T15:42:00"/>
    <d v="2025-02-12T17:50:00"/>
    <n v="125.33333333150949"/>
    <m/>
    <d v="2025-02-10T13:48:00"/>
    <d v="2025-02-10T14:39:00"/>
    <n v="49.93749999863212"/>
    <x v="0"/>
    <n v="2.765277777776646"/>
    <n v="2"/>
    <n v="-0.76527777777664596"/>
    <n v="66.366666666639503"/>
    <n v="24"/>
    <n v="42.366666666639503"/>
    <n v="3.62549173879068"/>
    <m/>
    <m/>
    <m/>
    <m/>
    <m/>
  </r>
  <r>
    <d v="2025-02-06T00:00:00"/>
    <x v="1"/>
    <m/>
    <s v="OMPH45PRR"/>
    <s v="DJ"/>
    <s v="MUKOSE MUZAMIRU"/>
    <s v="UBJ 417C"/>
    <s v="Boniface Harera "/>
    <n v="153.6"/>
    <s v="OMPH45PRR"/>
    <s v="OM"/>
    <n v="448"/>
    <n v="450"/>
    <n v="2"/>
    <m/>
    <d v="2025-02-06T19:26:00"/>
    <d v="2025-02-06T06:15:00"/>
    <d v="2025-02-06T20:08:00"/>
    <n v="829.14351852014079"/>
    <n v="41.805555556250816"/>
    <x v="0"/>
    <d v="2025-02-07T10:12:00"/>
    <d v="2025-02-07T18:32:00"/>
    <n v="489.58333332877373"/>
    <s v="found another truck at the RD"/>
    <d v="2025-02-08T09:00:00"/>
    <d v="2025-02-08T09:50:00"/>
    <n v="48.958333328773733"/>
    <x v="0"/>
    <n v="1.5361111111124046"/>
    <n v="2"/>
    <n v="0.46388888888759539"/>
    <n v="36.866666666697711"/>
    <n v="12"/>
    <n v="24.866666666697711"/>
    <n v="6.176943699724192"/>
    <m/>
    <m/>
    <m/>
    <m/>
    <m/>
  </r>
  <r>
    <d v="2025-02-07T00:00:00"/>
    <x v="1"/>
    <m/>
    <s v="A20596"/>
    <s v="Manual"/>
    <s v="Mulumba Kasim"/>
    <s v="UBE 680K"/>
    <s v="Kato Investments Ltd- Kyegegwa"/>
    <n v="156"/>
    <s v="A20596"/>
    <s v="OM"/>
    <n v="600"/>
    <n v="602"/>
    <n v="2"/>
    <m/>
    <d v="2025-02-06T10:11:00"/>
    <d v="2025-02-06T02:22:00"/>
    <d v="2025-02-06T10:55:00"/>
    <n v="510.62499999582843"/>
    <n v="43.796296293051761"/>
    <x v="0"/>
    <d v="2025-02-09T18:55:00"/>
    <d v="2025-02-10T13:15:00"/>
    <n v="1077.0833333356131"/>
    <s v="space consquents"/>
    <d v="2025-02-10T15:52:00"/>
    <d v="2025-02-10T16:48:00"/>
    <n v="54.833333337664953"/>
    <x v="0"/>
    <n v="4.2062500000029104"/>
    <n v="3"/>
    <n v="-1.2062500000029104"/>
    <n v="100.95000000006985"/>
    <n v="48"/>
    <n v="52.950000000069849"/>
    <n v="2.9461756373898811"/>
    <m/>
    <m/>
    <m/>
    <m/>
    <m/>
  </r>
  <r>
    <d v="2025-02-07T00:00:00"/>
    <x v="1"/>
    <m/>
    <s v="Z82547"/>
    <s v="Manual"/>
    <s v="ZIWA ABASI"/>
    <s v="UBJ 420C"/>
    <s v="Kobusinge Steven-FPortal"/>
    <n v="156"/>
    <s v="Z82547"/>
    <s v="OM"/>
    <n v="304"/>
    <n v="306"/>
    <n v="2"/>
    <m/>
    <d v="2025-02-06T21:55:00"/>
    <d v="2025-02-06T04:04:00"/>
    <d v="2025-02-06T22:38:00"/>
    <n v="1108.8425925986182"/>
    <n v="42.80092592986572"/>
    <x v="0"/>
    <d v="2025-02-06T10:31:00"/>
    <d v="2025-02-06T15:45:00"/>
    <n v="307.45833333014161"/>
    <s v="Waited for empties from trade"/>
    <d v="2025-02-07T19:55:00"/>
    <d v="2025-02-07T20:43:00"/>
    <n v="46.99999999931606"/>
    <x v="0"/>
    <n v="0.88680555555038154"/>
    <n v="2"/>
    <n v="1.1131944444496185"/>
    <n v="21.283333333209157"/>
    <n v="0"/>
    <n v="21.283333333209157"/>
    <n v="7.3296789350466804"/>
    <m/>
    <m/>
    <m/>
    <m/>
    <m/>
  </r>
  <r>
    <d v="2025-02-07T00:00:00"/>
    <x v="1"/>
    <m/>
    <s v="A20594"/>
    <s v="Manual"/>
    <s v="Ikwalikwa Yusuf"/>
    <s v="UBP 311H"/>
    <s v="Kato Investments Ltd-Bulenga"/>
    <n v="156"/>
    <s v="A20594"/>
    <s v="OM"/>
    <n v="560"/>
    <n v="558"/>
    <n v="-2"/>
    <m/>
    <d v="2025-02-06T19:13:00"/>
    <d v="2025-02-06T01:30:00"/>
    <d v="2025-02-06T19:55:00"/>
    <n v="1099.8842592569417"/>
    <n v="41.805555556250816"/>
    <x v="0"/>
    <d v="2025-02-06T12:42:00"/>
    <d v="2025-02-06T18:36:00"/>
    <n v="346.62500000136788"/>
    <s v="Not enough casuals to offload"/>
    <d v="2025-02-07T13:36:00"/>
    <d v="2025-02-07T14:32:00"/>
    <n v="54.833333337664953"/>
    <x v="0"/>
    <n v="0.73680555555620231"/>
    <n v="3"/>
    <n v="2.2631944444437977"/>
    <n v="17.683333333348855"/>
    <n v="0"/>
    <n v="17.683333333348855"/>
    <n v="8.8218661639884868"/>
    <m/>
    <m/>
    <m/>
    <m/>
    <m/>
  </r>
  <r>
    <d v="2025-02-07T00:00:00"/>
    <x v="1"/>
    <m/>
    <s v="A20595"/>
    <s v="Manual"/>
    <s v="Kabanda Ronald"/>
    <s v="UBE 684K"/>
    <s v="Kato Investment Ltd -Mubende"/>
    <n v="156"/>
    <s v="A20595"/>
    <s v="OM"/>
    <n v="680"/>
    <n v="678"/>
    <n v="-2"/>
    <m/>
    <d v="2025-02-26T09:18:00"/>
    <d v="2025-02-26T09:37:00"/>
    <d v="2025-02-26T10:00:00"/>
    <n v="22.893518520140788"/>
    <n v="41.805555556250816"/>
    <x v="0"/>
    <d v="2025-02-27T14:49:00"/>
    <d v="2025-02-28T17:33:00"/>
    <n v="1570.5833333335613"/>
    <m/>
    <d v="2025-03-01T19:39:00"/>
    <d v="2025-03-01T20:28:00"/>
    <n v="47.979166669174447"/>
    <x v="0"/>
    <n v="3.4020833333343035"/>
    <n v="2"/>
    <n v="-1.4020833333343035"/>
    <n v="81.650000000023283"/>
    <n v="36"/>
    <n v="45.650000000023283"/>
    <n v="3.4173055859785419"/>
    <m/>
    <m/>
    <m/>
    <m/>
    <m/>
  </r>
  <r>
    <d v="2025-02-07T00:00:00"/>
    <x v="1"/>
    <m/>
    <s v="Z82552"/>
    <s v="Manual"/>
    <s v="Kyakulaga James"/>
    <s v="UBJ 419C"/>
    <s v="Kobusinge Steven-Kamwenge"/>
    <n v="156"/>
    <s v="Z82552"/>
    <s v="OM"/>
    <n v="288"/>
    <n v="290"/>
    <n v="2"/>
    <m/>
    <d v="2025-02-26T14:19:00"/>
    <d v="2025-02-26T14:03:00"/>
    <d v="2025-02-26T15:00:00"/>
    <n v="56.736111108330078"/>
    <n v="40.810185182635905"/>
    <x v="0"/>
    <d v="2025-02-07T13:10:00"/>
    <d v="2025-02-07T15:40:00"/>
    <n v="146.8750000068394"/>
    <m/>
    <d v="2025-02-28T19:39:00"/>
    <d v="2025-02-28T20:39:00"/>
    <n v="58.7499999965803"/>
    <x v="0"/>
    <n v="2.1937499999985448"/>
    <n v="2"/>
    <n v="-0.19374999999854481"/>
    <n v="52.649999999965075"/>
    <n v="24"/>
    <n v="28.649999999965075"/>
    <n v="5.445026178017109"/>
    <m/>
    <m/>
    <m/>
    <m/>
    <m/>
  </r>
  <r>
    <d v="2025-02-07T00:00:00"/>
    <x v="1"/>
    <m/>
    <s v="Z82546"/>
    <s v="Manual"/>
    <s v="Tsaale Hassan"/>
    <s v="UBJ 703D"/>
    <s v="Bates Enterprises U Ltd"/>
    <n v="156"/>
    <s v="Z82546"/>
    <s v="OM"/>
    <n v="414"/>
    <n v="417"/>
    <n v="3"/>
    <m/>
    <d v="2025-02-26T18:22:00"/>
    <d v="2025-02-26T18:40:00"/>
    <d v="2025-02-26T19:03:00"/>
    <n v="22.893518520140788"/>
    <n v="40.810185182635905"/>
    <x v="0"/>
    <d v="2025-02-27T15:28:00"/>
    <d v="2025-02-27T17:30:00"/>
    <n v="119.45833333287737"/>
    <m/>
    <d v="2025-02-28T10:03:00"/>
    <d v="2025-02-28T10:56:00"/>
    <n v="51.895833338348893"/>
    <x v="0"/>
    <n v="1.625"/>
    <n v="3"/>
    <n v="1.375"/>
    <n v="39"/>
    <n v="12"/>
    <n v="27"/>
    <n v="5.7777777777777777"/>
    <m/>
    <m/>
    <m/>
    <m/>
    <m/>
  </r>
  <r>
    <d v="2025-02-07T00:00:00"/>
    <x v="1"/>
    <m/>
    <s v="F15865"/>
    <s v="Manual"/>
    <s v="Lule Fred"/>
    <s v="UBP 310H"/>
    <s v="Boniface Harera"/>
    <n v="156"/>
    <s v="F15865"/>
    <s v="OM"/>
    <n v="448"/>
    <n v="450"/>
    <n v="2"/>
    <m/>
    <d v="2025-02-28T18:19:00"/>
    <d v="2025-02-28T18:40:00"/>
    <d v="2025-02-28T19:03:00"/>
    <n v="22.893518520140788"/>
    <n v="43.796296293051761"/>
    <x v="0"/>
    <d v="2025-02-28T12:24:00"/>
    <d v="2025-02-28T17:56:00"/>
    <n v="325.08333332603797"/>
    <s v="Waited for empties from trade"/>
    <d v="2025-03-01T19:31:00"/>
    <d v="2025-03-01T20:21:00"/>
    <n v="48.958333328773733"/>
    <x v="0"/>
    <n v="1.0194444444496185"/>
    <n v="2"/>
    <n v="0.98055555555038154"/>
    <n v="24.466666666790843"/>
    <n v="12"/>
    <n v="12.466666666790843"/>
    <n v="12.513368983832578"/>
    <m/>
    <m/>
    <m/>
    <m/>
    <m/>
  </r>
  <r>
    <d v="2025-02-07T00:00:00"/>
    <x v="1"/>
    <m/>
    <s v="F15863"/>
    <s v="Manual"/>
    <s v="Eriku Alipa"/>
    <s v="UBK 858R"/>
    <s v="Boniface Harera"/>
    <n v="156"/>
    <s v="F15863"/>
    <s v="OM"/>
    <n v="448"/>
    <n v="450"/>
    <n v="2"/>
    <m/>
    <d v="2025-03-01T06:59:00"/>
    <d v="2025-03-01T07:09:00"/>
    <d v="2025-03-01T07:40:00"/>
    <n v="30.856481477773439"/>
    <n v="40.810185182635905"/>
    <x v="0"/>
    <d v="2025-03-01T18:34:00"/>
    <d v="2025-03-02T20:55:00"/>
    <n v="1548.0625000088912"/>
    <m/>
    <d v="2025-03-03T16:21:00"/>
    <d v="2025-03-03T17:10:00"/>
    <n v="47.979166669174447"/>
    <x v="0"/>
    <n v="2.3618055555562023"/>
    <n v="2"/>
    <n v="-0.36180555555620231"/>
    <n v="56.683333333348855"/>
    <n v="24"/>
    <n v="32.683333333348855"/>
    <n v="4.7730749617519406"/>
    <m/>
    <m/>
    <m/>
    <m/>
    <m/>
  </r>
  <r>
    <d v="2025-02-07T00:00:00"/>
    <x v="1"/>
    <m/>
    <s v="OMSF49ZRR"/>
    <s v="DJ"/>
    <s v="James  Kironde"/>
    <s v="UBK 881R"/>
    <s v="Kabaco U Ltd-Mbarara "/>
    <n v="153.6"/>
    <s v="OMSF49ZRR"/>
    <s v="OM"/>
    <n v="20"/>
    <n v="19"/>
    <n v="-1"/>
    <m/>
    <d v="2025-02-28T18:22:00"/>
    <d v="2025-02-28T18:40:00"/>
    <d v="2025-02-28T19:03:00"/>
    <n v="22.893518520140788"/>
    <n v="40.810185182635905"/>
    <x v="0"/>
    <d v="2025-03-01T10:40:00"/>
    <d v="2025-03-01T13:13:00"/>
    <n v="149.81249999589636"/>
    <m/>
    <d v="2025-03-01T19:39:00"/>
    <d v="2025-03-01T20:33:00"/>
    <n v="52.87499999794818"/>
    <x v="0"/>
    <n v="1.0250000000014552"/>
    <n v="1"/>
    <n v="-2.5000000001455192E-2"/>
    <n v="24.600000000034925"/>
    <n v="12"/>
    <n v="12.600000000034925"/>
    <n v="12.1904761904424"/>
    <m/>
    <m/>
    <m/>
    <m/>
    <m/>
  </r>
  <r>
    <d v="2025-02-07T00:00:00"/>
    <x v="1"/>
    <m/>
    <s v="OMT67LPRR"/>
    <s v="DJ"/>
    <s v="SENTONG DAVID"/>
    <s v="UBP 298H"/>
    <s v="Kobusinge Acaali- Kyenjojo"/>
    <n v="156"/>
    <s v="OMT67LPRR"/>
    <s v="OM"/>
    <n v="580"/>
    <n v="582"/>
    <n v="2"/>
    <m/>
    <d v="2025-03-12T14:10:00"/>
    <d v="2025-03-12T14:11:00"/>
    <d v="2025-03-12T14:52:00"/>
    <n v="40.810185182635905"/>
    <n v="41.805555556250816"/>
    <x v="0"/>
    <d v="2025-03-12T12:15:00"/>
    <d v="2025-03-13T14:29:00"/>
    <n v="1541.2083333404007"/>
    <m/>
    <d v="2025-03-14T19:39:00"/>
    <d v="2025-03-14T20:27:00"/>
    <n v="46.99999999931606"/>
    <x v="0"/>
    <n v="2.1993055555576575"/>
    <n v="2"/>
    <n v="-0.1993055555576575"/>
    <n v="52.78333333338378"/>
    <n v="24"/>
    <n v="28.78333333338378"/>
    <n v="5.4198031267999971"/>
    <m/>
    <m/>
    <m/>
    <m/>
    <m/>
  </r>
  <r>
    <d v="2025-02-08T00:00:00"/>
    <x v="1"/>
    <m/>
    <s v="Z82558"/>
    <s v="Manual"/>
    <s v="Taimwa Alex"/>
    <s v="UBJ 705D"/>
    <s v="Bates Enterprises Ltd-Ntoroko"/>
    <n v="156"/>
    <s v="Z82558"/>
    <s v="OM"/>
    <n v="464"/>
    <n v="462"/>
    <n v="-2"/>
    <m/>
    <d v="2025-02-07T15:04:00"/>
    <d v="2025-02-07T15:31:00"/>
    <d v="2025-02-07T15:48:00"/>
    <n v="16.921296299309081"/>
    <n v="43.796296293051761"/>
    <x v="0"/>
    <d v="2025-02-07T22:12:00"/>
    <d v="2025-02-08T13:51:00"/>
    <n v="919.43749999110878"/>
    <s v="slept at the RD and offloaded the next day"/>
    <d v="2025-02-08T16:21:00"/>
    <d v="2025-02-08T17:17:00"/>
    <n v="54.833333337664953"/>
    <x v="0"/>
    <n v="1.0229166666686069"/>
    <n v="2"/>
    <n v="0.97708333333139308"/>
    <n v="24.550000000046566"/>
    <n v="12"/>
    <n v="12.550000000046566"/>
    <n v="12.43027888441603"/>
    <m/>
    <m/>
    <m/>
    <m/>
    <m/>
  </r>
  <r>
    <d v="2025-02-08T00:00:00"/>
    <x v="1"/>
    <m/>
    <s v="Z82559"/>
    <s v="Manual"/>
    <s v="Ntumwa Solomon"/>
    <s v="UBR 540W"/>
    <s v="Bates Enterprises U Ltd"/>
    <n v="156"/>
    <s v="Z82559"/>
    <s v="OM"/>
    <n v="414"/>
    <n v="413"/>
    <n v="-1"/>
    <m/>
    <d v="2025-02-07T09:27:00"/>
    <d v="2025-02-07T07:42:00"/>
    <d v="2025-02-07T10:09:00"/>
    <n v="146.31944445209228"/>
    <n v="41.805555556250816"/>
    <x v="0"/>
    <d v="2025-02-11T09:57:00"/>
    <d v="2025-02-11T13:11:00"/>
    <n v="189.95833333698101"/>
    <s v="found another truck at the RD"/>
    <d v="2025-02-09T10:03:00"/>
    <d v="2025-02-09T10:56:00"/>
    <n v="51.895833338348893"/>
    <x v="0"/>
    <n v="1.9958333333270275"/>
    <n v="3"/>
    <n v="1.0041666666729725"/>
    <n v="47.89999999984866"/>
    <n v="12"/>
    <n v="35.89999999984866"/>
    <n v="4.3454038997397673"/>
    <m/>
    <m/>
    <m/>
    <m/>
    <m/>
  </r>
  <r>
    <d v="2025-02-08T00:00:00"/>
    <x v="1"/>
    <m/>
    <s v="F15867"/>
    <s v="Manual"/>
    <s v="Bwanga Gilbert"/>
    <s v="UBK 862R"/>
    <s v="Boniface Harera"/>
    <n v="156"/>
    <s v="F15867"/>
    <s v="OM"/>
    <n v="448"/>
    <n v="449"/>
    <n v="1"/>
    <m/>
    <d v="2025-02-07T10:32:00"/>
    <d v="2025-02-07T03:17:00"/>
    <d v="2025-02-07T11:15:00"/>
    <n v="475.78703703402425"/>
    <n v="42.80092592986572"/>
    <x v="0"/>
    <d v="2025-02-10T18:37:00"/>
    <d v="2025-02-11T09:23:00"/>
    <n v="867.54166667327809"/>
    <s v="found another truck at the RD and offloaded the next day"/>
    <d v="2025-02-07T16:21:00"/>
    <d v="2025-02-07T17:14:00"/>
    <n v="51.895833338348893"/>
    <x v="0"/>
    <n v="0.21250000000145519"/>
    <n v="2"/>
    <n v="1.7874999999985448"/>
    <n v="5.1000000000349246"/>
    <n v="0"/>
    <n v="5.1000000000349246"/>
    <n v="30.588235293908181"/>
    <m/>
    <m/>
    <m/>
    <m/>
    <m/>
  </r>
  <r>
    <d v="2025-02-08T00:00:00"/>
    <x v="1"/>
    <m/>
    <s v="OM6CYJIRR"/>
    <s v="DJ"/>
    <s v="ZIWA ABASI"/>
    <s v="UBJ 420C"/>
    <s v="Kobusinge Steven-Fporta"/>
    <n v="156"/>
    <s v="OM6CYJIRR"/>
    <s v="OM"/>
    <n v="304"/>
    <n v="302"/>
    <n v="-2"/>
    <m/>
    <d v="2025-02-07T10:31:00"/>
    <d v="2025-02-07T03:17:00"/>
    <d v="2025-02-07T11:15:00"/>
    <n v="475.78703703402425"/>
    <n v="43.796296293051761"/>
    <x v="0"/>
    <d v="2025-02-11T09:57:00"/>
    <d v="2025-02-11T13:11:00"/>
    <n v="189.95833333698101"/>
    <s v="Waited for empties from trade"/>
    <d v="2025-02-09T10:03:00"/>
    <d v="2025-02-09T10:57:00"/>
    <n v="52.87499999794818"/>
    <x v="0"/>
    <n v="1.9499999999970896"/>
    <n v="2"/>
    <n v="5.0000000002910383E-2"/>
    <n v="46.799999999930151"/>
    <n v="12"/>
    <n v="34.799999999930151"/>
    <n v="4.4827586206986529"/>
    <m/>
    <m/>
    <m/>
    <m/>
    <m/>
  </r>
  <r>
    <d v="2025-02-08T00:00:00"/>
    <x v="1"/>
    <m/>
    <s v="OM97USARR"/>
    <s v="DJ"/>
    <s v="Luyaga Isaac"/>
    <s v="UAY 265V"/>
    <s v="KATO INVESTMENTS LIMITED-MASAK "/>
    <n v="153.6"/>
    <s v="OM97USARR"/>
    <s v="OM"/>
    <n v="298"/>
    <n v="295"/>
    <n v="-3"/>
    <m/>
    <d v="2025-02-07T09:28:00"/>
    <d v="2025-02-07T07:42:00"/>
    <d v="2025-02-07T10:09:00"/>
    <n v="146.31944445209228"/>
    <n v="40.810185182635905"/>
    <x v="0"/>
    <d v="2025-02-11T10:12:00"/>
    <d v="2025-02-11T12:04:00"/>
    <n v="109.66666666507081"/>
    <m/>
    <d v="2025-02-07T16:21:00"/>
    <d v="2025-02-07T17:15:00"/>
    <n v="52.87499999794818"/>
    <x v="0"/>
    <n v="0.25833333333139308"/>
    <n v="2"/>
    <n v="1.7416666666686069"/>
    <n v="6.1999999999534339"/>
    <n v="0"/>
    <n v="6.1999999999534339"/>
    <n v="24.774193548573166"/>
    <m/>
    <m/>
    <m/>
    <m/>
    <m/>
  </r>
  <r>
    <d v="2025-02-08T00:00:00"/>
    <x v="1"/>
    <m/>
    <s v="OMGBWDPRR"/>
    <s v="DJ"/>
    <s v="Benon Ssempijja"/>
    <s v="UAY 526V"/>
    <s v="Kabaco U Ltd-Mbarara "/>
    <n v="153.6"/>
    <s v="OMGBWDPRR"/>
    <s v="OM"/>
    <n v="20"/>
    <n v="19"/>
    <n v="-1"/>
    <m/>
    <d v="2025-02-07T18:14:00"/>
    <d v="2025-02-07T18:14:00"/>
    <d v="2025-02-07T18:55:00"/>
    <n v="40.810185182635905"/>
    <n v="40.810185182635905"/>
    <x v="0"/>
    <d v="2025-02-12T15:42:00"/>
    <d v="2025-02-12T17:50:00"/>
    <n v="125.33333333150949"/>
    <m/>
    <d v="2025-02-09T16:27:00"/>
    <d v="2025-02-09T17:20:00"/>
    <n v="51.895833338348893"/>
    <x v="0"/>
    <n v="1.8972222222218988"/>
    <n v="3"/>
    <n v="1.1027777777781012"/>
    <n v="45.533333333325572"/>
    <n v="12"/>
    <n v="33.533333333325572"/>
    <n v="4.5805168986094102"/>
    <m/>
    <m/>
    <m/>
    <m/>
    <m/>
  </r>
  <r>
    <d v="2025-02-08T00:00:00"/>
    <x v="1"/>
    <m/>
    <s v="OMPS7Y0RR"/>
    <s v="DJ"/>
    <s v="James  Kironde"/>
    <s v="UBK 881R"/>
    <s v="Kabaco U Ltd-Mbarara "/>
    <n v="153.6"/>
    <s v="OMPS7Y0RR"/>
    <s v="OM"/>
    <n v="20"/>
    <n v="21"/>
    <n v="1"/>
    <m/>
    <d v="2025-02-08T07:14:00"/>
    <d v="2025-02-08T07:13:00"/>
    <d v="2025-02-08T07:56:00"/>
    <n v="42.80092592986572"/>
    <n v="41.805555556250816"/>
    <x v="0"/>
    <d v="2025-02-08T08:38:00"/>
    <d v="2025-02-08T15:07:00"/>
    <n v="380.89583333356131"/>
    <s v="Waited for empties from trade"/>
    <d v="2025-02-08T15:39:00"/>
    <d v="2025-02-08T16:32:00"/>
    <n v="51.895833338348893"/>
    <x v="0"/>
    <n v="0.32152777777810115"/>
    <n v="3"/>
    <n v="2.6784722222218988"/>
    <n v="7.7166666666744277"/>
    <n v="0"/>
    <n v="7.7166666666744277"/>
    <n v="19.904967602571773"/>
    <m/>
    <m/>
    <m/>
    <m/>
    <m/>
  </r>
  <r>
    <d v="2025-02-09T00:00:00"/>
    <x v="1"/>
    <m/>
    <s v="Z82566"/>
    <s v="Manual"/>
    <s v="Byanshala Stoney"/>
    <s v="UBP 312H"/>
    <s v="Kabaco U Ltd "/>
    <n v="6.3"/>
    <s v="Z82566"/>
    <s v="OM"/>
    <n v="320"/>
    <n v="319"/>
    <n v="-1"/>
    <m/>
    <d v="2025-02-08T12:03:00"/>
    <d v="2025-02-08T07:42:00"/>
    <d v="2025-02-08T12:45:00"/>
    <n v="301.59722222500324"/>
    <n v="41.805555556250816"/>
    <x v="0"/>
    <d v="2025-02-11T10:12:00"/>
    <d v="2025-02-11T12:04:00"/>
    <n v="109.66666666507081"/>
    <m/>
    <d v="2025-02-08T15:39:00"/>
    <d v="2025-02-08T16:32:00"/>
    <n v="51.895833338348893"/>
    <x v="0"/>
    <n v="0.12083333333430346"/>
    <n v="2"/>
    <n v="1.8791666666656965"/>
    <n v="2.9000000000232831"/>
    <n v="0"/>
    <n v="2.9000000000232831"/>
    <n v="2.1724137930860068"/>
    <m/>
    <m/>
    <m/>
    <m/>
    <m/>
  </r>
  <r>
    <d v="2025-02-09T00:00:00"/>
    <x v="1"/>
    <m/>
    <s v="A20629"/>
    <s v="Manual"/>
    <m/>
    <s v="UBR 903Y"/>
    <s v="KATO INVESTMENTS LTD-KATIKARA"/>
    <n v="6.3"/>
    <s v="A20629"/>
    <s v="OM"/>
    <n v="790"/>
    <n v="792"/>
    <n v="2"/>
    <m/>
    <d v="2025-02-08T05:43:00"/>
    <d v="2025-02-07T20:30:00"/>
    <d v="2025-02-08T06:25:00"/>
    <n v="592.24537037152913"/>
    <n v="41.805555556250816"/>
    <x v="0"/>
    <d v="2025-02-12T15:42:00"/>
    <d v="2025-02-12T17:50:00"/>
    <n v="125.33333333150949"/>
    <m/>
    <d v="2025-02-10T09:38:00"/>
    <d v="2025-02-10T10:31:00"/>
    <n v="51.895833338348893"/>
    <x v="0"/>
    <n v="2.1340277777781012"/>
    <n v="3"/>
    <n v="0.86597222222189885"/>
    <n v="51.216666666674428"/>
    <n v="24"/>
    <n v="27.216666666674428"/>
    <n v="0.23147581139001361"/>
    <m/>
    <m/>
    <m/>
    <m/>
    <m/>
  </r>
  <r>
    <d v="2025-02-09T00:00:00"/>
    <x v="1"/>
    <m/>
    <s v="Z82562"/>
    <s v="Manual"/>
    <s v="Mudunga Musa"/>
    <s v="UBE 678K"/>
    <s v="Kabaco U Ltd "/>
    <n v="156"/>
    <s v="Z82562"/>
    <s v="OM"/>
    <n v="320"/>
    <n v="322"/>
    <n v="2"/>
    <m/>
    <d v="2025-02-08T12:01:00"/>
    <d v="2025-02-08T07:42:00"/>
    <d v="2025-02-08T12:45:00"/>
    <n v="301.59722222500324"/>
    <n v="43.796296293051761"/>
    <x v="0"/>
    <d v="2025-02-08T13:15:00"/>
    <d v="2025-02-08T19:22:00"/>
    <n v="359.35416665823141"/>
    <s v="Dj failure at customer"/>
    <d v="2025-02-08T20:14:00"/>
    <d v="2025-02-08T21:10:00"/>
    <n v="54.833333337664953"/>
    <x v="0"/>
    <n v="0.31180555555329192"/>
    <n v="2"/>
    <n v="1.6881944444467081"/>
    <n v="7.4833333332790062"/>
    <n v="0"/>
    <n v="7.4833333332790062"/>
    <n v="20.8463251671892"/>
    <m/>
    <m/>
    <m/>
    <m/>
    <m/>
  </r>
  <r>
    <d v="2025-02-09T00:00:00"/>
    <x v="1"/>
    <m/>
    <s v="A20628"/>
    <s v="Manual"/>
    <s v="Sentongo paul"/>
    <s v="UBR 541W"/>
    <s v="Kato Investments Ltd- Kyegegwa"/>
    <n v="70.8"/>
    <s v="A20628"/>
    <s v="OM"/>
    <n v="600"/>
    <n v="602"/>
    <n v="2"/>
    <m/>
    <d v="2025-02-08T07:15:00"/>
    <d v="2025-02-08T07:42:00"/>
    <d v="2025-02-08T07:56:00"/>
    <n v="13.935185188893229"/>
    <n v="40.810185182635905"/>
    <x v="0"/>
    <d v="2025-02-08T08:38:00"/>
    <d v="2025-02-08T15:07:00"/>
    <n v="380.89583333356131"/>
    <s v="Waited for empties from trade"/>
    <d v="2025-02-08T15:39:00"/>
    <d v="2025-02-08T16:33:00"/>
    <n v="52.87499999794818"/>
    <x v="0"/>
    <n v="0.32152777777810115"/>
    <n v="3"/>
    <n v="2.6784722222218988"/>
    <n v="7.7166666666744277"/>
    <n v="0"/>
    <n v="7.7166666666744277"/>
    <n v="9.1749460043104261"/>
    <m/>
    <m/>
    <m/>
    <m/>
    <m/>
  </r>
  <r>
    <d v="2025-02-09T00:00:00"/>
    <x v="1"/>
    <m/>
    <s v="Z82563"/>
    <s v="Manual"/>
    <m/>
    <s v="UBF 369L"/>
    <s v="Rugoma Traders-Rukungiri"/>
    <n v="156"/>
    <s v="Z82563"/>
    <s v="OM"/>
    <n v="256"/>
    <n v="258"/>
    <n v="2"/>
    <m/>
    <d v="2025-02-09T07:13:00"/>
    <d v="2025-02-09T07:14:00"/>
    <d v="2025-02-09T07:55:00"/>
    <n v="40.810185182635905"/>
    <n v="41.805555556250816"/>
    <x v="0"/>
    <d v="2025-02-09T07:04:00"/>
    <d v="2025-02-09T22:06:00"/>
    <n v="883.20833332945767"/>
    <s v="found another truck at the RD"/>
    <d v="2025-02-10T16:21:00"/>
    <d v="2025-02-10T17:19:00"/>
    <n v="56.791666667122627"/>
    <x v="0"/>
    <n v="1.351388888891961"/>
    <n v="2"/>
    <n v="0.64861111110803904"/>
    <n v="32.433333333407063"/>
    <n v="12"/>
    <n v="20.433333333407063"/>
    <n v="7.6345840130230229"/>
    <m/>
    <m/>
    <m/>
    <m/>
    <m/>
  </r>
  <r>
    <d v="2025-02-09T00:00:00"/>
    <x v="1"/>
    <m/>
    <s v="F15868"/>
    <s v="Manual"/>
    <m/>
    <s v="UBR 868Y"/>
    <s v="Boniface Harera"/>
    <n v="156"/>
    <s v="F15868"/>
    <s v="OM"/>
    <n v="448"/>
    <n v="447"/>
    <n v="-1"/>
    <m/>
    <d v="2025-02-08T18:04:00"/>
    <d v="2025-02-08T17:54:00"/>
    <d v="2025-02-08T18:45:00"/>
    <n v="50.763888887498375"/>
    <n v="40.810185182635905"/>
    <x v="0"/>
    <d v="2025-02-09T13:54:00"/>
    <d v="2025-02-09T16:28:00"/>
    <n v="150.79166666575475"/>
    <m/>
    <d v="2025-02-11T09:40:00"/>
    <d v="2025-02-11T10:31:00"/>
    <n v="49.93749999863212"/>
    <x v="0"/>
    <n v="2.6215277777810115"/>
    <n v="2"/>
    <n v="-0.62152777778101154"/>
    <n v="62.916666666744277"/>
    <n v="24"/>
    <n v="38.916666666744277"/>
    <n v="4.0085653104845109"/>
    <m/>
    <m/>
    <m/>
    <m/>
    <m/>
  </r>
  <r>
    <d v="2025-02-09T00:00:00"/>
    <x v="1"/>
    <m/>
    <s v="F15870"/>
    <s v="Manual"/>
    <m/>
    <s v="UBR 534W"/>
    <s v="KATO INVESTMENTS LIMITED-MASAK"/>
    <n v="156"/>
    <s v="F15870"/>
    <s v="OM"/>
    <n v="298"/>
    <n v="297"/>
    <n v="-1"/>
    <s v="Delievered to kalangala"/>
    <d v="2025-02-09T07:22:00"/>
    <d v="2025-02-09T07:53:00"/>
    <d v="2025-02-09T08:03:00"/>
    <n v="9.9537037048624679"/>
    <n v="40.810185182635905"/>
    <x v="0"/>
    <d v="2025-02-10T20:22:00"/>
    <d v="2025-02-11T11:48:00"/>
    <n v="906.70833333424525"/>
    <s v="Waited for empties from trade"/>
    <d v="2025-02-10T18:39:00"/>
    <d v="2025-02-10T19:37:00"/>
    <n v="56.791666667122627"/>
    <x v="0"/>
    <n v="1.4416666666656965"/>
    <n v="2"/>
    <n v="0.55833333333430346"/>
    <n v="34.599999999976717"/>
    <n v="12"/>
    <n v="22.599999999976717"/>
    <n v="6.9026548672637489"/>
    <m/>
    <m/>
    <m/>
    <m/>
    <m/>
  </r>
  <r>
    <d v="2025-02-09T00:00:00"/>
    <x v="1"/>
    <m/>
    <s v="Z82565"/>
    <s v="Manual"/>
    <s v="Matovu Musa"/>
    <s v="UBR 538W"/>
    <s v="Kobusinge Acaali- Kyenjojo"/>
    <n v="5.5439999999999996"/>
    <s v="Z82565"/>
    <s v="OM"/>
    <n v="580"/>
    <n v="579"/>
    <n v="-1"/>
    <m/>
    <d v="2025-02-08T21:53:00"/>
    <d v="2025-02-08T22:12:00"/>
    <d v="2025-02-08T22:35:00"/>
    <n v="22.893518520140788"/>
    <n v="41.805555556250816"/>
    <x v="0"/>
    <d v="2025-02-08T18:54:00"/>
    <d v="2025-02-08T21:21:00"/>
    <n v="143.93749999726424"/>
    <m/>
    <d v="2025-02-10T18:39:00"/>
    <d v="2025-02-10T19:39:00"/>
    <n v="58.7499999965803"/>
    <x v="0"/>
    <n v="1.836111111115315"/>
    <n v="2"/>
    <n v="0.163888888884685"/>
    <n v="44.06666666676756"/>
    <n v="12"/>
    <n v="32.06666666676756"/>
    <n v="0.17288981288926891"/>
    <m/>
    <m/>
    <m/>
    <m/>
    <m/>
  </r>
  <r>
    <d v="2025-02-09T00:00:00"/>
    <x v="1"/>
    <m/>
    <s v="OM3EGIHRR"/>
    <s v="DJ"/>
    <s v="Isaac Tumuhimbise"/>
    <s v="UBE 287X"/>
    <s v="Sawan Distributors Ltd-Nabingo "/>
    <n v="153.6"/>
    <s v="OM3EGIHRR"/>
    <s v="OM"/>
    <n v="560"/>
    <n v="561"/>
    <n v="1"/>
    <m/>
    <d v="2025-02-09T09:44:00"/>
    <d v="2025-02-09T10:11:00"/>
    <d v="2025-02-09T10:28:00"/>
    <n v="16.921296299309081"/>
    <n v="43.796296293051761"/>
    <x v="0"/>
    <d v="2025-02-09T16:04:00"/>
    <d v="2025-02-09T18:14:00"/>
    <n v="127.29166667122627"/>
    <m/>
    <d v="2025-02-11T07:31:00"/>
    <d v="2025-02-11T08:29:00"/>
    <n v="56.791666667122627"/>
    <x v="0"/>
    <n v="1.8770833333328483"/>
    <n v="2"/>
    <n v="0.12291666666715173"/>
    <n v="45.049999999988358"/>
    <n v="12"/>
    <n v="33.049999999988358"/>
    <n v="4.6475037821498972"/>
    <m/>
    <m/>
    <m/>
    <m/>
    <m/>
  </r>
  <r>
    <d v="2025-02-09T00:00:00"/>
    <x v="1"/>
    <m/>
    <s v="OMWUMP8RR"/>
    <s v="DJ"/>
    <s v="Bisaso  Ronald"/>
    <s v="UBK 875R"/>
    <s v="Kato Investment Ltd -Mityana "/>
    <n v="153.6"/>
    <s v="OMWUMP8RR"/>
    <s v="OM"/>
    <n v="690"/>
    <n v="689"/>
    <n v="-1"/>
    <m/>
    <d v="2025-02-08T18:50:00"/>
    <d v="2025-02-08T19:08:00"/>
    <d v="2025-02-08T19:31:00"/>
    <n v="22.893518520140788"/>
    <n v="40.810185182635905"/>
    <x v="0"/>
    <d v="2025-02-09T18:01:00"/>
    <d v="2025-02-09T20:54:00"/>
    <n v="169.39583333150949"/>
    <m/>
    <d v="2025-02-11T07:31:00"/>
    <d v="2025-02-11T08:31:00"/>
    <n v="58.7499999965803"/>
    <x v="0"/>
    <n v="2.5"/>
    <n v="2"/>
    <n v="-0.5"/>
    <n v="60"/>
    <n v="24"/>
    <n v="36"/>
    <n v="4.2666666666666666"/>
    <m/>
    <m/>
    <m/>
    <m/>
    <m/>
  </r>
  <r>
    <d v="2025-02-09T00:00:00"/>
    <x v="1"/>
    <m/>
    <s v="OMZIMCMRR"/>
    <s v="DJ"/>
    <s v="Benon Ssempijja"/>
    <s v="UAY 526V"/>
    <s v="KATO INVESTMENTS LIMITED-MASAK"/>
    <n v="153.6"/>
    <s v="OMZIMCMRR"/>
    <s v="OM"/>
    <n v="298"/>
    <n v="300"/>
    <n v="2"/>
    <m/>
    <d v="2025-02-10T12:21:00"/>
    <d v="2025-02-10T12:51:00"/>
    <d v="2025-02-10T13:03:00"/>
    <n v="11.944444441663412"/>
    <n v="41.805555556250816"/>
    <x v="0"/>
    <d v="2025-02-10T14:18:00"/>
    <d v="2025-02-10T16:48:00"/>
    <n v="146.8749999965803"/>
    <m/>
    <d v="2025-02-11T08:03:00"/>
    <d v="2025-02-11T08:56:00"/>
    <n v="51.895833338348893"/>
    <x v="0"/>
    <n v="0.79166666667151731"/>
    <n v="2"/>
    <n v="1.2083333333284827"/>
    <n v="19.000000000116415"/>
    <n v="0"/>
    <n v="19.000000000116415"/>
    <n v="8.084210526266256"/>
    <m/>
    <m/>
    <m/>
    <m/>
    <m/>
  </r>
  <r>
    <d v="2025-02-09T00:00:00"/>
    <x v="1"/>
    <m/>
    <s v="OMU699YRR"/>
    <s v="DJ"/>
    <s v="Jacob Oneka"/>
    <s v="UBE 422T"/>
    <s v="Kato Investment Ltd -Mityana "/>
    <n v="153.6"/>
    <s v="OMU699YRR"/>
    <s v="OM"/>
    <n v="690"/>
    <n v="688"/>
    <n v="-2"/>
    <m/>
    <d v="2025-02-09T07:21:00"/>
    <d v="2025-02-09T07:20:00"/>
    <d v="2025-02-09T08:03:00"/>
    <n v="42.80092592986572"/>
    <n v="41.805555556250816"/>
    <x v="0"/>
    <d v="2025-02-10T10:06:00"/>
    <d v="2025-02-10T18:15:00"/>
    <n v="478.81250000136788"/>
    <s v="Not enough casuals to offload"/>
    <d v="2025-02-11T19:54:00"/>
    <d v="2025-02-11T20:48:00"/>
    <n v="52.87499999794818"/>
    <x v="0"/>
    <n v="2.4937500000014552"/>
    <n v="2"/>
    <n v="-0.49375000000145519"/>
    <n v="59.850000000034925"/>
    <n v="24"/>
    <n v="35.850000000034925"/>
    <n v="4.2845188284477089"/>
    <m/>
    <m/>
    <m/>
    <m/>
    <m/>
  </r>
  <r>
    <d v="2025-02-09T00:00:00"/>
    <x v="1"/>
    <m/>
    <s v="OMAKGLLRR"/>
    <s v="DJ"/>
    <s v="James  Kironde"/>
    <s v="UBK 881R"/>
    <s v="KATO INVESTMENTS LIMITED-MASAK"/>
    <n v="153.6"/>
    <s v="OMAKGLLRR"/>
    <s v="OM"/>
    <n v="560"/>
    <n v="562"/>
    <n v="2"/>
    <m/>
    <d v="2025-02-10T07:19:00"/>
    <d v="2025-02-09T09:00:00"/>
    <d v="2025-02-10T08:03:00"/>
    <n v="1376.5972222250032"/>
    <n v="43.796296293051761"/>
    <x v="0"/>
    <d v="2025-02-11T09:57:00"/>
    <d v="2025-02-11T13:11:00"/>
    <n v="189.95833333698101"/>
    <s v="Waited for empties from trade"/>
    <d v="2025-02-12T06:43:00"/>
    <d v="2025-02-12T07:39:00"/>
    <n v="54.833333337664953"/>
    <x v="0"/>
    <n v="1.9444444444452529"/>
    <n v="2"/>
    <n v="5.5555555554747116E-2"/>
    <n v="46.666666666686069"/>
    <n v="12"/>
    <n v="34.666666666686069"/>
    <n v="4.4307692307667503"/>
    <m/>
    <m/>
    <m/>
    <m/>
    <m/>
  </r>
  <r>
    <d v="2025-02-10T00:00:00"/>
    <x v="1"/>
    <m/>
    <s v="Z82576"/>
    <s v="Manual"/>
    <s v="Tsaale Hassan"/>
    <s v="UBJ 703D"/>
    <s v="Kobusinge Steven-FPortal"/>
    <n v="156"/>
    <s v="Z82576"/>
    <s v="OM"/>
    <n v="298"/>
    <n v="300"/>
    <n v="2"/>
    <m/>
    <d v="2025-02-10T10:57:00"/>
    <d v="2025-02-09T10:00:00"/>
    <d v="2025-02-10T11:38:00"/>
    <n v="1530.8796296347282"/>
    <n v="40.810185182635905"/>
    <x v="0"/>
    <d v="2025-02-11T09:57:00"/>
    <d v="2025-02-11T13:11:00"/>
    <n v="189.95833333698101"/>
    <s v="slept at the RD and offloaded the next day"/>
    <d v="2025-02-10T14:54:00"/>
    <d v="2025-02-10T15:43:00"/>
    <n v="47.979166669174447"/>
    <x v="0"/>
    <n v="0.13611111111094942"/>
    <n v="2"/>
    <n v="1.8638888888890506"/>
    <n v="3.2666666666627862"/>
    <n v="0"/>
    <n v="3.2666666666627862"/>
    <n v="47.755102040873055"/>
    <m/>
    <m/>
    <m/>
    <m/>
    <m/>
  </r>
  <r>
    <d v="2025-02-10T00:00:00"/>
    <x v="1"/>
    <m/>
    <s v="Z82578"/>
    <s v="Manual"/>
    <s v="Nminya Siraje"/>
    <s v="UBP 301H"/>
    <s v="Kobusinge Steven-Kamwenge"/>
    <n v="156"/>
    <s v="Z82578"/>
    <s v="OM"/>
    <n v="288"/>
    <n v="285"/>
    <n v="-3"/>
    <m/>
    <d v="2025-02-10T10:54:00"/>
    <d v="2025-02-09T10:00:00"/>
    <d v="2025-02-10T11:38:00"/>
    <n v="1530.8796296347282"/>
    <n v="43.796296293051761"/>
    <x v="0"/>
    <d v="2025-02-11T10:12:00"/>
    <d v="2025-02-11T12:04:00"/>
    <n v="109.66666666507081"/>
    <m/>
    <d v="2025-02-12T06:43:00"/>
    <d v="2025-02-12T07:39:00"/>
    <n v="54.833333337664953"/>
    <x v="0"/>
    <n v="1.7951388888905058"/>
    <n v="2"/>
    <n v="0.20486111110949423"/>
    <n v="43.083333333372138"/>
    <n v="12"/>
    <n v="31.083333333372138"/>
    <n v="5.0187667560259062"/>
    <m/>
    <m/>
    <m/>
    <m/>
    <m/>
  </r>
  <r>
    <d v="2025-02-10T00:00:00"/>
    <x v="1"/>
    <m/>
    <s v="Z82584"/>
    <s v="Manual"/>
    <s v="Kyakulaga James"/>
    <s v="UBJ 419C"/>
    <s v="Kabaco U Ltd "/>
    <n v="156"/>
    <s v="Z82584"/>
    <s v="OM"/>
    <n v="320"/>
    <n v="322"/>
    <n v="2"/>
    <m/>
    <d v="2025-02-10T07:20:00"/>
    <d v="2025-02-09T09:00:00"/>
    <d v="2025-02-10T08:03:00"/>
    <n v="1376.5972222250032"/>
    <n v="42.80092592986572"/>
    <x v="0"/>
    <d v="2025-02-12T15:42:00"/>
    <d v="2025-02-12T17:50:00"/>
    <n v="125.33333333150949"/>
    <m/>
    <d v="2025-02-11T09:53:00"/>
    <d v="2025-02-11T10:49:00"/>
    <n v="54.833333337664953"/>
    <x v="0"/>
    <n v="1.0763888888905058"/>
    <n v="2"/>
    <n v="0.92361111110949423"/>
    <n v="25.833333333372138"/>
    <n v="12"/>
    <n v="13.833333333372138"/>
    <n v="11.277108433703305"/>
    <m/>
    <m/>
    <m/>
    <m/>
    <m/>
  </r>
  <r>
    <d v="2025-02-10T00:00:00"/>
    <x v="1"/>
    <m/>
    <s v="Z82579"/>
    <s v="Manual"/>
    <s v="Mulumba Kasim"/>
    <s v="UBE 680K"/>
    <s v="Rugoma Traders-Rukungiri"/>
    <n v="5.04"/>
    <s v="Z82579"/>
    <s v="OM"/>
    <n v="256"/>
    <n v="253"/>
    <n v="-3"/>
    <m/>
    <d v="2025-02-10T10:05:00"/>
    <d v="2025-02-09T19:35:00"/>
    <d v="2025-02-10T10:49:00"/>
    <n v="909.7685185222266"/>
    <n v="43.796296293051761"/>
    <x v="0"/>
    <d v="2025-02-10T10:06:00"/>
    <d v="2025-02-10T18:15:00"/>
    <n v="478.81250000136788"/>
    <s v="Waited for empties from trade"/>
    <d v="2025-02-11T19:54:00"/>
    <d v="2025-02-11T20:48:00"/>
    <n v="52.87499999794818"/>
    <x v="0"/>
    <n v="1.3784722222262644"/>
    <n v="2"/>
    <n v="0.62152777777373558"/>
    <n v="33.083333333430346"/>
    <n v="12"/>
    <n v="21.083333333430346"/>
    <n v="0.23905138339810952"/>
    <m/>
    <m/>
    <m/>
    <m/>
    <m/>
  </r>
  <r>
    <d v="2025-02-10T00:00:00"/>
    <x v="1"/>
    <m/>
    <s v="Z82582"/>
    <s v="Manual"/>
    <s v="ZIWA ABASI"/>
    <s v="UBJ 420C"/>
    <s v="Kabaco U Ltd "/>
    <n v="5.04"/>
    <s v="Z82582"/>
    <s v="OM"/>
    <n v="320"/>
    <n v="321"/>
    <n v="1"/>
    <m/>
    <d v="2025-02-10T09:47:00"/>
    <d v="2025-02-09T19:37:00"/>
    <d v="2025-02-10T10:28:00"/>
    <n v="886.87500000208581"/>
    <n v="40.810185182635905"/>
    <x v="0"/>
    <d v="2025-02-10T09:50:00"/>
    <d v="2025-02-10T18:58:00"/>
    <n v="536.58333333834889"/>
    <s v="found another truck at the RD"/>
    <d v="2025-02-11T15:58:00"/>
    <d v="2025-02-11T16:52:00"/>
    <n v="52.87499999794818"/>
    <x v="0"/>
    <n v="1.2291666666642413"/>
    <n v="2"/>
    <n v="0.77083333333575865"/>
    <n v="29.499999999941792"/>
    <n v="12"/>
    <n v="17.499999999941792"/>
    <n v="0.28800000000095793"/>
    <m/>
    <m/>
    <m/>
    <m/>
    <m/>
  </r>
  <r>
    <d v="2025-02-10T00:00:00"/>
    <x v="1"/>
    <m/>
    <s v="A20645"/>
    <s v="Manual"/>
    <s v="Nakalya John"/>
    <s v="UBM 648D"/>
    <s v="Kato Investment Ltd -Mubende"/>
    <n v="156"/>
    <s v="A20645"/>
    <s v="OM"/>
    <n v="680"/>
    <n v="679"/>
    <n v="-1"/>
    <m/>
    <d v="2025-02-10T12:20:00"/>
    <d v="2025-02-10T02:22:00"/>
    <d v="2025-02-10T13:03:00"/>
    <n v="638.03240740138187"/>
    <n v="42.80092592986572"/>
    <x v="0"/>
    <d v="2025-02-09T15:00:00"/>
    <d v="2025-02-09T19:18:00"/>
    <n v="252.62500000273576"/>
    <s v="Waited for empties from trade"/>
    <d v="2025-02-10T14:54:00"/>
    <d v="2025-02-10T15:50:00"/>
    <n v="54.833333337664953"/>
    <x v="0"/>
    <n v="7.7083333337213844E-2"/>
    <n v="3"/>
    <n v="2.9229166666627862"/>
    <n v="1.8500000000931323"/>
    <n v="0"/>
    <n v="1.8500000000931323"/>
    <n v="84.324324320079285"/>
    <m/>
    <m/>
    <m/>
    <m/>
    <m/>
  </r>
  <r>
    <d v="2025-02-10T00:00:00"/>
    <x v="1"/>
    <m/>
    <s v="Z82577"/>
    <s v="Manual"/>
    <m/>
    <s v="UBR 537W"/>
    <s v="Kobusinge Steven-Kamwenge"/>
    <n v="156"/>
    <s v="Z82577"/>
    <s v="OM"/>
    <n v="288"/>
    <n v="290"/>
    <n v="2"/>
    <m/>
    <d v="2025-02-10T20:29:00"/>
    <d v="2025-02-10T20:30:00"/>
    <d v="2025-02-10T21:13:00"/>
    <n v="42.80092592986572"/>
    <n v="43.796296293051761"/>
    <x v="0"/>
    <d v="2025-02-10T17:14:00"/>
    <d v="2025-02-10T20:51:00"/>
    <n v="212.47916667191021"/>
    <s v="Waited for empties from trade"/>
    <d v="2025-02-13T17:07:00"/>
    <d v="2025-02-13T17:56:00"/>
    <n v="47.979166669174447"/>
    <x v="0"/>
    <n v="2.8291666666627862"/>
    <n v="2"/>
    <n v="-0.82916666666278616"/>
    <n v="67.899999999906868"/>
    <n v="24"/>
    <n v="43.899999999906868"/>
    <n v="3.5535307517159671"/>
    <m/>
    <m/>
    <m/>
    <m/>
    <m/>
  </r>
  <r>
    <d v="2025-02-10T00:00:00"/>
    <x v="1"/>
    <m/>
    <s v="Z82575"/>
    <s v="Manual"/>
    <s v="SENTONG DAVID"/>
    <s v="UBP 298H"/>
    <s v="Kobusinge Acaali- Kyenjojo"/>
    <n v="156"/>
    <s v="Z82575"/>
    <s v="OM"/>
    <n v="580"/>
    <n v="579"/>
    <n v="-1"/>
    <m/>
    <d v="2025-02-10T09:14:00"/>
    <d v="2025-02-10T09:51:00"/>
    <d v="2025-02-10T09:55:00"/>
    <n v="3.9814814840307613"/>
    <n v="40.810185182635905"/>
    <x v="0"/>
    <d v="2025-02-10T10:03:00"/>
    <d v="2025-02-10T13:29:00"/>
    <n v="201.70833333424525"/>
    <s v="Reached late and offloaded the next day"/>
    <d v="2025-02-12T10:00:00"/>
    <d v="2025-02-12T10:54:00"/>
    <n v="52.87499999794818"/>
    <x v="0"/>
    <n v="2.0034722222189885"/>
    <n v="2"/>
    <n v="-3.4722222189884633E-3"/>
    <n v="48.083333333255723"/>
    <n v="24"/>
    <n v="24.083333333255723"/>
    <n v="6.4775086505399058"/>
    <m/>
    <m/>
    <m/>
    <m/>
    <m/>
  </r>
  <r>
    <d v="2025-02-10T00:00:00"/>
    <x v="1"/>
    <m/>
    <s v="Z82583"/>
    <s v="Manual"/>
    <s v="kakembo Masudi"/>
    <s v="UBM 644D"/>
    <s v="Kobusinge Steven-FPortal"/>
    <n v="148.80000000000001"/>
    <s v="Z82583"/>
    <s v="OM"/>
    <n v="304"/>
    <n v="306"/>
    <n v="2"/>
    <m/>
    <d v="2025-02-10T19:36:00"/>
    <d v="2025-02-10T19:37:00"/>
    <d v="2025-02-10T20:20:00"/>
    <n v="42.80092592986572"/>
    <n v="43.796296293051761"/>
    <x v="0"/>
    <d v="2025-02-10T11:01:00"/>
    <d v="2025-02-10T13:14:00"/>
    <n v="130.22916667054233"/>
    <m/>
    <d v="2025-02-11T21:30:00"/>
    <d v="2025-02-11T22:24:00"/>
    <n v="52.87499999794818"/>
    <x v="0"/>
    <n v="1.0486111111167702"/>
    <n v="2"/>
    <n v="0.95138888888322981"/>
    <n v="25.166666666802485"/>
    <n v="12"/>
    <n v="13.166666666802485"/>
    <n v="11.301265822668235"/>
    <m/>
    <m/>
    <m/>
    <m/>
    <m/>
  </r>
  <r>
    <d v="2025-02-10T00:00:00"/>
    <x v="1"/>
    <m/>
    <s v="A20647"/>
    <s v="Manual"/>
    <s v="Ngobi Fred"/>
    <s v="UBK 866R"/>
    <s v="Kato Investments Ltd- Kyegegwa"/>
    <n v="156"/>
    <s v="A20647"/>
    <s v="OM"/>
    <n v="600"/>
    <n v="602"/>
    <n v="2"/>
    <m/>
    <d v="2025-02-09T19:10:00"/>
    <d v="2025-02-09T19:09:00"/>
    <d v="2025-02-09T19:52:00"/>
    <n v="42.80092592986572"/>
    <n v="41.805555556250816"/>
    <x v="0"/>
    <d v="2025-02-11T11:35:00"/>
    <d v="2025-02-11T13:47:00"/>
    <n v="129.25000000068394"/>
    <m/>
    <d v="2025-02-12T12:41:00"/>
    <d v="2025-02-12T13:41:00"/>
    <n v="58.7499999965803"/>
    <x v="0"/>
    <n v="2.7006944444437977"/>
    <n v="2"/>
    <n v="-0.70069444444379769"/>
    <n v="64.816666666651145"/>
    <n v="24"/>
    <n v="40.816666666651145"/>
    <n v="3.8219681502668679"/>
    <m/>
    <m/>
    <m/>
    <m/>
    <m/>
  </r>
  <r>
    <d v="2025-02-10T00:00:00"/>
    <x v="1"/>
    <m/>
    <s v="Z82574"/>
    <s v="Manual"/>
    <m/>
    <s v="UBR 533W"/>
    <s v="Kobusinge Acaali- Kyenjojo"/>
    <n v="156"/>
    <s v="Z82574"/>
    <s v="OM"/>
    <n v="580"/>
    <n v="581"/>
    <n v="1"/>
    <m/>
    <d v="2025-02-10T08:52:00"/>
    <d v="2025-02-10T08:50:00"/>
    <d v="2025-02-10T09:33:00"/>
    <n v="42.80092592986572"/>
    <n v="40.810185182635905"/>
    <x v="0"/>
    <d v="2025-02-13T12:57:00"/>
    <d v="2025-02-13T15:00:00"/>
    <n v="120.43750000273576"/>
    <m/>
    <d v="2025-02-12T08:42:00"/>
    <d v="2025-02-12T09:29:00"/>
    <n v="46.020833329457673"/>
    <x v="0"/>
    <n v="1.9645833333343035"/>
    <n v="2"/>
    <n v="3.5416666665696539E-2"/>
    <n v="47.150000000023283"/>
    <n v="12"/>
    <n v="35.150000000023283"/>
    <n v="4.4381223328562349"/>
    <m/>
    <m/>
    <m/>
    <m/>
    <m/>
  </r>
  <r>
    <d v="2025-02-11T00:00:00"/>
    <x v="1"/>
    <m/>
    <s v="A20657"/>
    <s v="Manual"/>
    <m/>
    <s v="UBR 534W"/>
    <s v="Kato Investments Ltd- Kakumiro"/>
    <n v="36"/>
    <s v="A20657"/>
    <s v="OM"/>
    <n v="790"/>
    <n v="792"/>
    <n v="2"/>
    <m/>
    <d v="2025-02-10T19:38:00"/>
    <d v="2025-02-10T19:37:00"/>
    <d v="2025-02-10T20:20:00"/>
    <n v="42.80092592986572"/>
    <n v="41.805555556250816"/>
    <x v="0"/>
    <d v="2025-02-12T09:43:00"/>
    <d v="2025-02-12T12:37:00"/>
    <n v="170.37500000136788"/>
    <m/>
    <d v="2025-02-13T17:07:00"/>
    <d v="2025-02-13T17:52:00"/>
    <n v="44.0625"/>
    <x v="0"/>
    <n v="2.8659722222218988"/>
    <n v="2"/>
    <n v="-0.86597222222189885"/>
    <n v="68.783333333325572"/>
    <n v="24"/>
    <n v="44.783333333325572"/>
    <n v="0.80387048753270351"/>
    <m/>
    <m/>
    <m/>
    <m/>
    <m/>
  </r>
  <r>
    <d v="2025-02-11T00:00:00"/>
    <x v="1"/>
    <m/>
    <s v="A20659"/>
    <s v="Manual"/>
    <s v="Faruk Abel"/>
    <s v="UBR 539W"/>
    <s v="Kato Investment Ltd -Mubende"/>
    <n v="156"/>
    <s v="A20659"/>
    <s v="OM"/>
    <n v="680"/>
    <n v="678"/>
    <n v="-2"/>
    <m/>
    <d v="2025-02-10T20:30:00"/>
    <d v="2025-02-10T19:48:00"/>
    <d v="2025-02-10T21:13:00"/>
    <n v="84.606481486116536"/>
    <n v="42.80092592986572"/>
    <x v="0"/>
    <d v="2025-02-11T09:57:00"/>
    <d v="2025-02-11T13:11:00"/>
    <n v="189.95833333698101"/>
    <s v="less casuals and offloaded the next day"/>
    <d v="2025-02-12T10:00:00"/>
    <d v="2025-02-12T11:00:00"/>
    <n v="58.7499999965803"/>
    <x v="0"/>
    <n v="1.5326388888861402"/>
    <n v="2"/>
    <n v="0.46736111111385981"/>
    <n v="36.783333333267365"/>
    <n v="12"/>
    <n v="24.783333333267365"/>
    <n v="6.2945527908708234"/>
    <m/>
    <m/>
    <m/>
    <m/>
    <m/>
  </r>
  <r>
    <d v="2025-02-11T00:00:00"/>
    <x v="1"/>
    <m/>
    <s v="Z82591"/>
    <s v="Manual"/>
    <s v="Lule Fred"/>
    <s v="UBP 310H"/>
    <s v="Kabaco U Ltd "/>
    <n v="156"/>
    <s v="Z82591"/>
    <s v="OM"/>
    <n v="320"/>
    <n v="319"/>
    <n v="-1"/>
    <m/>
    <d v="2025-02-10T09:13:00"/>
    <d v="2025-02-10T09:44:00"/>
    <d v="2025-02-10T09:55:00"/>
    <n v="10.949074078477375"/>
    <n v="41.805555556250816"/>
    <x v="0"/>
    <d v="2025-02-10T18:37:00"/>
    <d v="2025-02-11T09:23:00"/>
    <n v="867.54166667327809"/>
    <m/>
    <d v="2025-02-11T21:30:00"/>
    <d v="2025-02-11T22:15:00"/>
    <n v="44.0625"/>
    <x v="0"/>
    <n v="1.4826388888905058"/>
    <n v="2"/>
    <n v="0.51736111110949423"/>
    <n v="35.583333333372138"/>
    <n v="12"/>
    <n v="23.583333333372138"/>
    <n v="6.6148409893884086"/>
    <m/>
    <m/>
    <m/>
    <m/>
    <m/>
  </r>
  <r>
    <d v="2025-02-11T00:00:00"/>
    <x v="1"/>
    <m/>
    <s v="Z82590"/>
    <s v="Manual"/>
    <m/>
    <s v="UBG 084B"/>
    <s v="Kobusinge Steven-FPortal"/>
    <n v="134.4"/>
    <s v="Z82590"/>
    <s v="OM"/>
    <n v="304"/>
    <n v="302"/>
    <n v="-2"/>
    <m/>
    <d v="2025-02-10T08:52:00"/>
    <d v="2025-02-10T08:20:00"/>
    <d v="2025-02-10T09:33:00"/>
    <n v="72.662037034024252"/>
    <n v="40.810185182635905"/>
    <x v="0"/>
    <d v="2025-02-12T09:43:00"/>
    <d v="2025-02-12T12:21:00"/>
    <n v="154.70833333492919"/>
    <m/>
    <d v="2025-02-12T12:41:00"/>
    <d v="2025-02-12T13:37:00"/>
    <n v="54.833333337664953"/>
    <x v="0"/>
    <n v="2.1305555555518367"/>
    <n v="2"/>
    <n v="-0.13055555555183673"/>
    <n v="51.133333333244082"/>
    <n v="24"/>
    <n v="27.133333333244082"/>
    <n v="4.9533169533332471"/>
    <m/>
    <m/>
    <m/>
    <m/>
    <m/>
  </r>
  <r>
    <d v="2025-02-11T00:00:00"/>
    <x v="1"/>
    <m/>
    <s v="F15881"/>
    <s v="Manual"/>
    <m/>
    <s v="UBR 535W"/>
    <s v="Boniface Harera"/>
    <n v="148.80000000000001"/>
    <s v="F15881"/>
    <s v="OM"/>
    <n v="448"/>
    <n v="449"/>
    <n v="1"/>
    <m/>
    <d v="2025-02-10T20:31:00"/>
    <d v="2025-02-10T20:32:00"/>
    <d v="2025-02-10T21:13:00"/>
    <n v="40.810185182635905"/>
    <n v="41.805555556250816"/>
    <x v="0"/>
    <d v="2025-02-11T09:43:00"/>
    <d v="2025-02-11T11:45:00"/>
    <n v="119.45833333287737"/>
    <m/>
    <d v="2025-02-12T12:41:00"/>
    <d v="2025-02-12T13:30:00"/>
    <n v="47.979166669174447"/>
    <x v="0"/>
    <n v="1.6444444444423425"/>
    <n v="2"/>
    <n v="0.3555555555576575"/>
    <n v="39.46666666661622"/>
    <n v="12"/>
    <n v="27.46666666661622"/>
    <n v="5.4174757281652903"/>
    <m/>
    <m/>
    <m/>
    <m/>
    <m/>
  </r>
  <r>
    <d v="2025-02-11T00:00:00"/>
    <x v="1"/>
    <m/>
    <s v="OM2FJTZRR"/>
    <s v="DJ"/>
    <s v="Isaac Tumuhimbise"/>
    <s v="UBE 287X"/>
    <s v="KATO INVESTMENTS LIMITED-MASAK "/>
    <n v="153.6"/>
    <s v="OM2FJTZRR"/>
    <s v="OM"/>
    <n v="298"/>
    <n v="295"/>
    <n v="-3"/>
    <m/>
    <d v="2025-02-13T19:36:00"/>
    <d v="2025-02-13T20:05:00"/>
    <d v="2025-02-13T20:17:00"/>
    <n v="11.944444441663412"/>
    <n v="40.810185182635905"/>
    <x v="0"/>
    <d v="2025-02-11T10:12:00"/>
    <d v="2025-02-11T12:04:00"/>
    <n v="109.66666666507081"/>
    <m/>
    <d v="2025-02-14T19:21:00"/>
    <d v="2025-02-14T20:16:00"/>
    <n v="53.854166667806567"/>
    <x v="0"/>
    <n v="0.961111111115315"/>
    <n v="2"/>
    <n v="1.038888888884685"/>
    <n v="23.06666666676756"/>
    <n v="0"/>
    <n v="23.06666666676756"/>
    <n v="6.6589595375431276"/>
    <m/>
    <m/>
    <m/>
    <m/>
    <m/>
  </r>
  <r>
    <d v="2025-02-11T00:00:00"/>
    <x v="1"/>
    <m/>
    <s v="OM5KX1ZRR"/>
    <s v="DJ"/>
    <s v="ZIWA ABASI"/>
    <s v="UBJ 420C"/>
    <s v="Kabaco U Ltd "/>
    <n v="156"/>
    <s v="OM5KX1ZRR"/>
    <s v="OM"/>
    <n v="320"/>
    <n v="58"/>
    <n v="-262"/>
    <m/>
    <d v="2025-02-13T16:44:00"/>
    <d v="2025-02-13T16:13:00"/>
    <d v="2025-02-13T17:26:00"/>
    <n v="72.662037034024252"/>
    <n v="41.805555556250816"/>
    <x v="0"/>
    <d v="2025-02-12T15:42:00"/>
    <d v="2025-02-12T17:50:00"/>
    <n v="125.33333333150949"/>
    <m/>
    <d v="2025-02-14T12:52:00"/>
    <d v="2025-02-14T13:40:00"/>
    <n v="46.99999999931606"/>
    <x v="0"/>
    <n v="0.80972222222044365"/>
    <n v="2"/>
    <n v="1.1902777777795563"/>
    <n v="19.433333333290648"/>
    <n v="0"/>
    <n v="19.433333333290648"/>
    <n v="8.0274442538769808"/>
    <m/>
    <m/>
    <m/>
    <m/>
    <m/>
  </r>
  <r>
    <d v="2025-02-11T00:00:00"/>
    <x v="1"/>
    <m/>
    <s v="OMATXRURR"/>
    <s v="DJ"/>
    <s v="Bisaso  Ronald"/>
    <s v="UBK 875R"/>
    <s v="Ntale and Sons"/>
    <n v="153.6"/>
    <s v="OMATXRURR"/>
    <s v="OM"/>
    <n v="810"/>
    <n v="807"/>
    <n v="-3"/>
    <m/>
    <d v="2025-02-13T14:25:00"/>
    <d v="2025-02-13T13:54:00"/>
    <d v="2025-02-13T15:07:00"/>
    <n v="72.662037034024252"/>
    <n v="41.805555556250816"/>
    <x v="0"/>
    <d v="2025-02-11T14:14:00"/>
    <d v="2025-02-11T16:52:00"/>
    <n v="154.70833333492919"/>
    <m/>
    <d v="2025-02-14T13:47:00"/>
    <d v="2025-02-14T14:38:00"/>
    <n v="49.93749999863212"/>
    <x v="0"/>
    <n v="0.94444444444525288"/>
    <n v="3"/>
    <n v="2.0555555555547471"/>
    <n v="22.666666666686069"/>
    <n v="0"/>
    <n v="22.666666666686069"/>
    <n v="6.7764705882294933"/>
    <m/>
    <m/>
    <m/>
    <m/>
    <m/>
  </r>
  <r>
    <d v="2025-02-11T00:00:00"/>
    <x v="1"/>
    <m/>
    <s v="OMJBBX8RR"/>
    <s v="DJ"/>
    <s v="Abel Mark naffa"/>
    <s v="UBJ 415C"/>
    <s v="KATO INVESTMENTS LIMITED-MASAK "/>
    <n v="153.6"/>
    <s v="OMJBBX8RR"/>
    <s v="OM"/>
    <n v="298"/>
    <n v="296"/>
    <n v="-2"/>
    <m/>
    <d v="2025-02-13T13:29:00"/>
    <d v="2025-02-13T13:29:00"/>
    <d v="2025-02-13T14:10:00"/>
    <n v="40.810185182635905"/>
    <n v="40.810185182635905"/>
    <x v="0"/>
    <d v="2025-02-12T07:12:00"/>
    <d v="2025-02-12T16:14:00"/>
    <n v="530.70833332945767"/>
    <s v="space consquents"/>
    <d v="2025-02-13T18:31:00"/>
    <d v="2025-02-13T19:26:00"/>
    <n v="53.854166667806567"/>
    <x v="0"/>
    <n v="0.18124999999417923"/>
    <n v="2"/>
    <n v="1.8187500000058208"/>
    <n v="4.3499999998603016"/>
    <n v="0"/>
    <n v="4.3499999998603016"/>
    <n v="35.310344828720183"/>
    <m/>
    <m/>
    <m/>
    <m/>
    <m/>
  </r>
  <r>
    <d v="2025-02-11T00:00:00"/>
    <x v="1"/>
    <m/>
    <s v="OMN4OBMRR"/>
    <s v="DJ"/>
    <s v="Luyaga Isaac"/>
    <s v="UAY 265V"/>
    <s v="Ntale and Sons"/>
    <n v="153.6"/>
    <s v="OMN4OBMRR"/>
    <s v="OM"/>
    <n v="810"/>
    <n v="812"/>
    <n v="2"/>
    <m/>
    <d v="2025-02-11T09:18:00"/>
    <d v="2025-02-11T09:21:00"/>
    <d v="2025-02-11T10:02:00"/>
    <n v="40.810185182635905"/>
    <n v="43.796296293051761"/>
    <x v="0"/>
    <d v="2025-02-14T10:22:00"/>
    <d v="2025-02-14T13:16:00"/>
    <n v="170.37500000136788"/>
    <m/>
    <d v="2025-02-16T11:44:00"/>
    <d v="2025-02-16T12:34:00"/>
    <n v="48.958333328773733"/>
    <x v="0"/>
    <n v="5.0708333333313931"/>
    <n v="2"/>
    <n v="-3.0708333333313931"/>
    <n v="121.69999999995343"/>
    <n v="60"/>
    <n v="61.699999999953434"/>
    <n v="2.4894651539727053"/>
    <m/>
    <m/>
    <m/>
    <m/>
    <m/>
  </r>
  <r>
    <d v="2025-02-11T00:00:00"/>
    <x v="1"/>
    <m/>
    <s v="OMOF3KLRR"/>
    <s v="DJ"/>
    <s v="Stephen Musoke "/>
    <s v="UBJ 375N"/>
    <s v="KATO INVESTMENTS LIMITED-MASAK "/>
    <n v="153.6"/>
    <s v="OMOF3KLRR"/>
    <s v="OM"/>
    <n v="298"/>
    <n v="148"/>
    <n v="-150"/>
    <s v="Delievered to Lyantonde"/>
    <d v="2025-02-11T14:52:00"/>
    <d v="2025-02-11T15:17:00"/>
    <d v="2025-02-11T15:36:00"/>
    <n v="18.912037036110025"/>
    <n v="43.796296293051761"/>
    <x v="0"/>
    <d v="2025-02-15T18:17:00"/>
    <d v="2025-02-15T20:34:00"/>
    <n v="134.14583332945767"/>
    <m/>
    <d v="2025-02-17T09:41:00"/>
    <d v="2025-02-17T10:35:00"/>
    <n v="52.87499999794818"/>
    <x v="0"/>
    <n v="5.7534722222189885"/>
    <n v="2"/>
    <n v="-3.7534722222189885"/>
    <n v="138.08333333325572"/>
    <n v="60"/>
    <n v="78.083333333255723"/>
    <n v="1.9671291355409093"/>
    <m/>
    <m/>
    <m/>
    <m/>
    <m/>
  </r>
  <r>
    <d v="2025-02-11T00:00:00"/>
    <x v="1"/>
    <m/>
    <s v="OMWCMJWRR"/>
    <s v="DJ"/>
    <s v="Benon Ssempijja"/>
    <s v="UAY 526V"/>
    <s v="RUGOMA TRADERS CO. LTD NTUNGAM "/>
    <n v="153.6"/>
    <s v="OMWCMJWRR"/>
    <s v="OM"/>
    <n v="150"/>
    <n v="149"/>
    <n v="-1"/>
    <m/>
    <d v="2025-02-11T12:17:00"/>
    <d v="2025-02-11T12:16:00"/>
    <d v="2025-02-11T12:59:00"/>
    <n v="42.80092592986572"/>
    <n v="41.805555556250816"/>
    <x v="0"/>
    <d v="2025-02-15T08:03:00"/>
    <d v="2025-02-15T14:44:00"/>
    <n v="392.64583333082555"/>
    <s v="Waited for empties from trade"/>
    <d v="2025-02-16T20:14:00"/>
    <d v="2025-02-16T21:10:00"/>
    <n v="54.833333337664953"/>
    <x v="0"/>
    <n v="5.3020833333284827"/>
    <n v="1"/>
    <n v="-4.3020833333284827"/>
    <n v="127.24999999988358"/>
    <n v="60"/>
    <n v="67.249999999883585"/>
    <n v="2.2840148698924296"/>
    <m/>
    <m/>
    <m/>
    <m/>
    <m/>
  </r>
  <r>
    <d v="2025-02-12T00:00:00"/>
    <x v="1"/>
    <m/>
    <s v="Z82603"/>
    <s v="Manual"/>
    <m/>
    <s v="UBR 537W"/>
    <s v="Kabaco U Ltd "/>
    <n v="156"/>
    <s v="Z82603"/>
    <s v="OM"/>
    <n v="320"/>
    <n v="317"/>
    <n v="-3"/>
    <m/>
    <d v="2025-02-13T19:36:00"/>
    <d v="2025-02-10T21:55:00"/>
    <d v="2025-02-13T20:17:00"/>
    <n v="4202.4537036986048"/>
    <n v="40.810185182635905"/>
    <x v="0"/>
    <d v="2025-02-15T08:03:00"/>
    <d v="2025-02-15T14:44:00"/>
    <n v="392.64583333082555"/>
    <s v="Dj failure at customer"/>
    <d v="2025-02-16T20:14:00"/>
    <d v="2025-02-16T21:12:00"/>
    <n v="56.791666667122627"/>
    <x v="0"/>
    <n v="2.9979166666671517"/>
    <n v="2"/>
    <n v="-0.99791666666715173"/>
    <n v="71.950000000011642"/>
    <n v="24"/>
    <n v="47.950000000011642"/>
    <n v="3.2533889468188137"/>
    <m/>
    <m/>
    <m/>
    <m/>
    <m/>
  </r>
  <r>
    <d v="2025-02-12T00:00:00"/>
    <x v="1"/>
    <m/>
    <s v="A20677"/>
    <s v="Manual"/>
    <s v="Sentongo paul"/>
    <s v="UBR 541W"/>
    <s v="Kato Investments Ltd- Kakumiro"/>
    <n v="156"/>
    <s v="A20677"/>
    <s v="OM"/>
    <n v="790"/>
    <n v="792"/>
    <n v="2"/>
    <m/>
    <d v="2025-02-13T16:45:00"/>
    <d v="2025-02-11T11:00:00"/>
    <d v="2025-02-13T17:26:00"/>
    <n v="3250.8796296305568"/>
    <n v="40.810185182635905"/>
    <x v="0"/>
    <d v="2025-02-14T09:56:00"/>
    <d v="2025-02-14T19:53:00"/>
    <n v="584.56249999726424"/>
    <s v="Waited for empties from trade"/>
    <d v="2025-02-14T22:23:00"/>
    <d v="2025-02-14T23:23:00"/>
    <n v="58.7499999965803"/>
    <x v="0"/>
    <n v="1.2062499999956344"/>
    <n v="3"/>
    <n v="1.7937500000043656"/>
    <n v="28.949999999895226"/>
    <n v="12"/>
    <n v="16.949999999895226"/>
    <n v="9.2035398230657393"/>
    <m/>
    <m/>
    <m/>
    <m/>
    <m/>
  </r>
  <r>
    <d v="2025-02-12T00:00:00"/>
    <x v="1"/>
    <m/>
    <s v="Z82600"/>
    <s v="Manual"/>
    <s v="Kyakulaga James"/>
    <s v="UBJ 419C"/>
    <s v="Kobusinge Steven-Kamwenge"/>
    <n v="156"/>
    <s v="Z82600"/>
    <s v="OM"/>
    <n v="288"/>
    <n v="290"/>
    <n v="2"/>
    <m/>
    <d v="2025-02-13T14:25:00"/>
    <d v="2025-02-11T16:40:00"/>
    <d v="2025-02-13T15:07:00"/>
    <n v="2774.0972222229175"/>
    <n v="41.805555556250816"/>
    <x v="0"/>
    <d v="2025-02-14T10:22:00"/>
    <d v="2025-02-14T13:14:00"/>
    <n v="168.41666666165111"/>
    <m/>
    <d v="2025-02-16T11:44:00"/>
    <d v="2025-02-16T12:42:00"/>
    <n v="56.791666667122627"/>
    <x v="0"/>
    <n v="2.859027777776646"/>
    <n v="2"/>
    <n v="-0.85902777777664596"/>
    <n v="68.616666666639503"/>
    <n v="24"/>
    <n v="44.616666666639503"/>
    <n v="3.4964512514029504"/>
    <m/>
    <m/>
    <m/>
    <m/>
    <m/>
  </r>
  <r>
    <d v="2025-02-12T00:00:00"/>
    <x v="1"/>
    <m/>
    <s v="Z82599"/>
    <s v="Manual"/>
    <m/>
    <s v="UBR 868Y"/>
    <s v="Kobusinge Acaali- Kyenjojo"/>
    <n v="156"/>
    <s v="Z82599"/>
    <s v="OM"/>
    <n v="580"/>
    <n v="582"/>
    <n v="2"/>
    <m/>
    <d v="2025-02-11T14:53:00"/>
    <d v="2025-02-11T04:14:00"/>
    <d v="2025-02-11T15:36:00"/>
    <n v="678.84259259444661"/>
    <n v="42.80092592986572"/>
    <x v="0"/>
    <d v="2025-02-12T15:42:00"/>
    <d v="2025-02-12T17:50:00"/>
    <n v="125.33333333150949"/>
    <m/>
    <d v="2025-02-13T13:47:00"/>
    <d v="2025-02-13T14:47:00"/>
    <n v="58.7499999965803"/>
    <x v="0"/>
    <n v="1.9243055555562023"/>
    <n v="2"/>
    <n v="7.5694444443797693E-2"/>
    <n v="46.183333333348855"/>
    <n v="12"/>
    <n v="34.183333333348855"/>
    <n v="4.5636274987790104"/>
    <m/>
    <m/>
    <m/>
    <m/>
    <m/>
  </r>
  <r>
    <d v="2025-02-12T00:00:00"/>
    <x v="1"/>
    <m/>
    <s v="F15884"/>
    <s v="Manual"/>
    <m/>
    <s v="UBF 369L"/>
    <s v="Boniface Harera"/>
    <n v="156"/>
    <s v="F15884"/>
    <s v="OM"/>
    <n v="448"/>
    <n v="450"/>
    <n v="2"/>
    <m/>
    <d v="2025-02-11T12:17:00"/>
    <d v="2025-02-11T02:22:00"/>
    <d v="2025-02-11T12:59:00"/>
    <n v="634.05092592777999"/>
    <n v="41.805555556250816"/>
    <x v="0"/>
    <d v="2025-02-12T07:12:00"/>
    <d v="2025-02-12T16:14:00"/>
    <n v="530.70833332945767"/>
    <s v="slept at the RD and offloaded the next day"/>
    <d v="2025-02-12T18:31:00"/>
    <d v="2025-02-12T19:25:00"/>
    <n v="52.87499999794818"/>
    <x v="0"/>
    <n v="1.2305555555503815"/>
    <n v="2"/>
    <n v="0.76944444444961846"/>
    <n v="29.533333333209157"/>
    <n v="12"/>
    <n v="17.533333333209157"/>
    <n v="8.8973384031048379"/>
    <m/>
    <m/>
    <m/>
    <m/>
    <m/>
  </r>
  <r>
    <d v="2025-02-12T00:00:00"/>
    <x v="1"/>
    <m/>
    <s v="Z82602"/>
    <s v="Manual"/>
    <s v="Ntumwa Solomon"/>
    <s v="UBR 540W"/>
    <s v="Bates Enterprises Ltd-Ntoroko"/>
    <n v="100"/>
    <s v="Z82602"/>
    <s v="OM"/>
    <n v="464"/>
    <n v="466"/>
    <n v="2"/>
    <m/>
    <d v="2025-02-11T09:34:00"/>
    <d v="2025-02-11T04:14:00"/>
    <d v="2025-02-11T10:18:00"/>
    <n v="362.31481481736409"/>
    <n v="43.796296293051761"/>
    <x v="0"/>
    <d v="2025-02-15T18:17:00"/>
    <d v="2025-02-15T20:34:00"/>
    <n v="134.14583332945767"/>
    <m/>
    <d v="2025-02-17T09:41:00"/>
    <d v="2025-02-17T10:37:00"/>
    <n v="54.833333337664953"/>
    <x v="0"/>
    <n v="5.9743055555518367"/>
    <n v="3"/>
    <n v="-2.9743055555518367"/>
    <n v="143.38333333324408"/>
    <n v="60"/>
    <n v="83.383333333244082"/>
    <n v="1.1992804317422392"/>
    <m/>
    <m/>
    <m/>
    <m/>
    <m/>
  </r>
  <r>
    <d v="2025-02-12T00:00:00"/>
    <x v="1"/>
    <m/>
    <s v="Z82604"/>
    <s v="Manual"/>
    <s v="Taimwa Alex"/>
    <s v="UBJ 705D"/>
    <s v="Kobusinge Steven-FPortal"/>
    <n v="148.80000000000001"/>
    <s v="Z82604"/>
    <s v="OM"/>
    <n v="304"/>
    <n v="302"/>
    <n v="-2"/>
    <m/>
    <d v="2025-02-11T13:51:00"/>
    <d v="2025-02-11T09:00:00"/>
    <d v="2025-02-11T14:32:00"/>
    <n v="330.46296296597575"/>
    <n v="40.810185182635905"/>
    <x v="0"/>
    <d v="2025-02-11T17:02:00"/>
    <d v="2025-02-11T21:29:00"/>
    <n v="261.43750000068394"/>
    <s v="found another truck at the RD and offloaded the next day"/>
    <d v="2025-02-12T11:04:00"/>
    <d v="2025-02-12T12:02:00"/>
    <n v="56.791666667122627"/>
    <x v="0"/>
    <n v="0.85555555555038154"/>
    <n v="2"/>
    <n v="1.1444444444496185"/>
    <n v="20.533333333209157"/>
    <n v="0"/>
    <n v="20.533333333209157"/>
    <n v="7.2467532467970726"/>
    <m/>
    <m/>
    <m/>
    <m/>
    <m/>
  </r>
  <r>
    <d v="2025-02-12T00:00:00"/>
    <x v="1"/>
    <m/>
    <s v="Z82606"/>
    <s v="Manual"/>
    <s v="Bwanga Gilbert"/>
    <s v="UBK 862R"/>
    <s v="Kobusinge Steven-Kamwenge"/>
    <n v="148.80000000000001"/>
    <s v="Z82606"/>
    <s v="OM"/>
    <n v="288"/>
    <n v="285"/>
    <n v="-3"/>
    <m/>
    <d v="2025-02-11T21:28:00"/>
    <d v="2025-02-11T03:17:00"/>
    <d v="2025-02-11T22:10:00"/>
    <n v="1127.7546296242992"/>
    <n v="41.805555556250816"/>
    <x v="0"/>
    <d v="2025-02-11T14:14:00"/>
    <d v="2025-02-11T17:08:00"/>
    <n v="170.37500000136788"/>
    <m/>
    <d v="2025-02-12T19:21:00"/>
    <d v="2025-02-12T20:15:00"/>
    <n v="52.87499999794818"/>
    <x v="0"/>
    <n v="0.88263888889196096"/>
    <n v="2"/>
    <n v="1.117361111108039"/>
    <n v="21.183333333407063"/>
    <n v="0"/>
    <n v="21.183333333407063"/>
    <n v="7.024390243877991"/>
    <m/>
    <m/>
    <m/>
    <m/>
    <m/>
  </r>
  <r>
    <d v="2025-02-12T00:00:00"/>
    <x v="1"/>
    <m/>
    <s v="A20678"/>
    <s v="Manual"/>
    <s v="Byanshala Stoney"/>
    <s v="UBP 312H"/>
    <s v="Sawan Distributors Ltd-Kayabwe"/>
    <n v="156"/>
    <s v="A20678"/>
    <s v="OM"/>
    <n v="382"/>
    <n v="384"/>
    <n v="2"/>
    <m/>
    <d v="2025-02-11T08:20:00"/>
    <d v="2025-02-11T08:22:00"/>
    <d v="2025-02-11T09:03:00"/>
    <n v="40.810185182635905"/>
    <n v="42.80092592986572"/>
    <x v="0"/>
    <d v="2025-02-13T10:48:00"/>
    <d v="2025-02-13T12:49:00"/>
    <n v="118.47916667327809"/>
    <m/>
    <d v="2025-02-14T15:30:00"/>
    <d v="2025-02-14T16:40:00"/>
    <n v="68.541666664386867"/>
    <x v="8"/>
    <n v="3.2687500000029104"/>
    <n v="2"/>
    <n v="-1.2687500000029104"/>
    <n v="78.450000000069849"/>
    <n v="36"/>
    <n v="42.450000000069849"/>
    <n v="3.6749116607713384"/>
    <m/>
    <m/>
    <m/>
    <m/>
    <m/>
  </r>
  <r>
    <d v="2025-02-12T00:00:00"/>
    <x v="1"/>
    <m/>
    <s v="OMBYEG6RR"/>
    <s v="DJ"/>
    <s v="Jacob Oneka"/>
    <s v="UBE 422T"/>
    <s v="Rugoma Traders-Kanungu/Kihih"/>
    <n v="153.6"/>
    <s v="OMBYEG6RR"/>
    <s v="OM"/>
    <n v="414"/>
    <n v="413"/>
    <n v="-1"/>
    <m/>
    <d v="2025-02-11T17:39:00"/>
    <d v="2025-02-11T17:06:00"/>
    <d v="2025-02-11T18:23:00"/>
    <n v="76.643518518055018"/>
    <n v="43.796296293051761"/>
    <x v="0"/>
    <d v="2025-02-13T15:45:00"/>
    <d v="2025-02-13T18:04:00"/>
    <n v="136.10416666917445"/>
    <m/>
    <d v="2025-02-13T09:21:00"/>
    <d v="2025-02-13T10:17:00"/>
    <n v="54.833333337664953"/>
    <x v="0"/>
    <n v="1.6236111111065838"/>
    <n v="2"/>
    <n v="0.37638888889341615"/>
    <n v="38.966666666558012"/>
    <n v="12"/>
    <n v="26.966666666558012"/>
    <n v="5.6959208900105889"/>
    <m/>
    <m/>
    <m/>
    <m/>
    <m/>
  </r>
  <r>
    <d v="2025-02-12T00:00:00"/>
    <x v="1"/>
    <m/>
    <s v="OMMT37ZRR"/>
    <s v="DJ"/>
    <s v="James  Kironde"/>
    <s v="UBK 881R"/>
    <s v="KATO INVESTMENTS LTD- KALISIZO"/>
    <n v="153.6"/>
    <s v="OMMT37ZRR"/>
    <s v="OM"/>
    <n v="350"/>
    <n v="348"/>
    <n v="-2"/>
    <m/>
    <d v="2025-02-10T21:28:00"/>
    <d v="2025-02-10T21:47:00"/>
    <d v="2025-02-10T22:10:00"/>
    <n v="22.893518520140788"/>
    <n v="41.805555556250816"/>
    <x v="0"/>
    <d v="2025-02-12T17:30:00"/>
    <d v="2025-02-12T20:24:00"/>
    <n v="170.37500000136788"/>
    <m/>
    <d v="2025-02-14T08:51:00"/>
    <d v="2025-02-14T09:49:00"/>
    <n v="56.791666667122627"/>
    <x v="0"/>
    <n v="3.445138888891961"/>
    <n v="2"/>
    <n v="-1.445138888891961"/>
    <n v="82.683333333407063"/>
    <n v="36"/>
    <n v="46.683333333407063"/>
    <n v="3.2902534808944819"/>
    <m/>
    <m/>
    <m/>
    <m/>
    <m/>
  </r>
  <r>
    <d v="2025-02-13T00:00:00"/>
    <x v="1"/>
    <m/>
    <s v="A20691"/>
    <s v="Manual"/>
    <s v="Mulumba Kasim"/>
    <s v="UBE 680K"/>
    <s v="Kato Investment Ltd -Mityana"/>
    <n v="63.6"/>
    <s v="A20691"/>
    <s v="OM"/>
    <n v="690"/>
    <n v="689"/>
    <n v="-1"/>
    <m/>
    <d v="2025-02-11T22:12:00"/>
    <d v="2025-02-11T22:41:00"/>
    <d v="2025-02-11T22:53:00"/>
    <n v="11.944444441663412"/>
    <n v="40.810185182635905"/>
    <x v="0"/>
    <d v="2025-02-12T08:47:00"/>
    <d v="2025-02-12T13:33:00"/>
    <n v="280.04166666643869"/>
    <s v="Reached late and offloaded the next day"/>
    <d v="2025-02-13T11:08:00"/>
    <d v="2025-02-13T12:04:00"/>
    <n v="54.833333337664953"/>
    <x v="0"/>
    <n v="1.5104166666642413"/>
    <n v="2"/>
    <n v="0.48958333333575865"/>
    <n v="36.249999999941792"/>
    <n v="12"/>
    <n v="24.249999999941792"/>
    <n v="2.6226804123774294"/>
    <m/>
    <m/>
    <m/>
    <m/>
    <m/>
  </r>
  <r>
    <d v="2025-02-13T00:00:00"/>
    <x v="1"/>
    <m/>
    <s v="Z82617"/>
    <s v="Manual"/>
    <m/>
    <s v="UBR 533W"/>
    <s v="Kabaco U Ltd "/>
    <n v="156"/>
    <s v="Z82617"/>
    <s v="OM"/>
    <n v="320"/>
    <n v="57"/>
    <n v="-263"/>
    <m/>
    <d v="2025-02-11T21:39:00"/>
    <d v="2025-02-11T22:12:00"/>
    <d v="2025-02-11T22:23:00"/>
    <n v="10.949074078477375"/>
    <n v="43.796296293051761"/>
    <x v="0"/>
    <d v="2025-02-12T19:20:00"/>
    <d v="2025-02-13T09:58:00"/>
    <n v="859.70833333492919"/>
    <s v="truck faulty"/>
    <d v="2025-02-12T09:52:00"/>
    <d v="2025-02-12T11:08:00"/>
    <n v="74.416666663018987"/>
    <x v="9"/>
    <n v="0.47847222222480923"/>
    <n v="2"/>
    <n v="1.5215277777751908"/>
    <n v="11.483333333395422"/>
    <n v="0"/>
    <n v="11.483333333395422"/>
    <n v="13.584905660303907"/>
    <m/>
    <m/>
    <m/>
    <m/>
    <m/>
  </r>
  <r>
    <d v="2025-02-13T00:00:00"/>
    <x v="1"/>
    <m/>
    <s v="Z82618"/>
    <s v="Manual"/>
    <s v="Tsaale Hassan"/>
    <s v="UBJ 703D"/>
    <s v="Kabaco U Ltd "/>
    <n v="156"/>
    <s v="Z82618"/>
    <s v="OM"/>
    <n v="320"/>
    <n v="319"/>
    <n v="-1"/>
    <m/>
    <d v="2025-02-11T21:09:00"/>
    <d v="2025-02-11T20:57:00"/>
    <d v="2025-02-11T21:51:00"/>
    <n v="53.749999997914223"/>
    <n v="41.805555556250816"/>
    <x v="0"/>
    <d v="2025-02-12T16:28:00"/>
    <d v="2025-02-12T20:46:00"/>
    <n v="252.62499999247666"/>
    <s v="Waited for empties from trade"/>
    <d v="2025-02-17T20:49:00"/>
    <d v="2025-02-17T21:49:00"/>
    <n v="58.7499999965803"/>
    <x v="0"/>
    <n v="5.9569444444423425"/>
    <n v="2"/>
    <n v="-3.9569444444423425"/>
    <n v="142.96666666661622"/>
    <n v="60"/>
    <n v="82.96666666661622"/>
    <n v="1.8802732020903357"/>
    <m/>
    <m/>
    <m/>
    <m/>
    <m/>
  </r>
  <r>
    <d v="2025-02-13T00:00:00"/>
    <x v="1"/>
    <m/>
    <s v="Z82616"/>
    <s v="Manual"/>
    <s v="Matovu Musa"/>
    <s v="UBR 538W"/>
    <s v="Rugoma Traders-Rukungiri"/>
    <n v="5.5439999999999996"/>
    <s v="Z82616"/>
    <s v="OM"/>
    <n v="256"/>
    <n v="253"/>
    <n v="-3"/>
    <m/>
    <d v="2025-02-10T21:51:00"/>
    <d v="2025-02-10T22:12:00"/>
    <d v="2025-02-10T22:33:00"/>
    <n v="20.902777772910969"/>
    <n v="41.805555556250816"/>
    <x v="0"/>
    <d v="2025-02-11T15:51:00"/>
    <d v="2025-02-11T17:56:00"/>
    <n v="122.39583333219343"/>
    <m/>
    <d v="2025-02-14T17:28:00"/>
    <d v="2025-02-14T18:19:00"/>
    <n v="49.93749999863212"/>
    <x v="0"/>
    <n v="3.7881944444452529"/>
    <n v="2"/>
    <n v="-1.7881944444452529"/>
    <n v="90.916666666686069"/>
    <n v="36"/>
    <n v="54.916666666686069"/>
    <n v="0.10095295902879589"/>
    <m/>
    <m/>
    <m/>
    <m/>
    <m/>
  </r>
  <r>
    <d v="2025-02-13T00:00:00"/>
    <x v="1"/>
    <m/>
    <s v="F15889"/>
    <s v="Manual"/>
    <s v="Mudunga Musa"/>
    <s v="UBE 678K"/>
    <s v="Boniface Harera"/>
    <n v="156"/>
    <s v="F15889"/>
    <s v="OM"/>
    <n v="448"/>
    <n v="447"/>
    <n v="-1"/>
    <m/>
    <d v="2025-02-13T13:26:00"/>
    <d v="2025-02-12T01:59:00"/>
    <d v="2025-02-13T14:10:00"/>
    <n v="2160.9490740784772"/>
    <n v="43.796296293051761"/>
    <x v="0"/>
    <d v="2025-02-13T19:19:00"/>
    <d v="2025-02-13T22:12:00"/>
    <n v="169.39583333150949"/>
    <m/>
    <d v="2025-02-14T17:28:00"/>
    <d v="2025-02-14T18:22:00"/>
    <n v="52.87499999794818"/>
    <x v="0"/>
    <n v="1.1374999999970896"/>
    <n v="2"/>
    <n v="0.86250000000291038"/>
    <n v="27.299999999930151"/>
    <n v="12"/>
    <n v="15.299999999930151"/>
    <n v="10.196078431419098"/>
    <m/>
    <m/>
    <m/>
    <m/>
    <m/>
  </r>
  <r>
    <d v="2025-02-13T00:00:00"/>
    <x v="1"/>
    <m/>
    <s v="A20693"/>
    <s v="Manual"/>
    <m/>
    <s v="UBR 903Y"/>
    <s v="Ntale and Sons Ltd-Kakiri"/>
    <n v="156"/>
    <s v="A20693"/>
    <s v="OM"/>
    <n v="620"/>
    <n v="617"/>
    <n v="-3"/>
    <m/>
    <d v="2025-02-12T16:09:00"/>
    <d v="2025-02-12T03:43:00"/>
    <d v="2025-02-12T16:51:00"/>
    <n v="784.35185184304521"/>
    <n v="41.805555556250816"/>
    <x v="0"/>
    <d v="2025-02-11T21:47:00"/>
    <d v="2025-02-12T13:38:00"/>
    <n v="931.18750000889122"/>
    <s v="found another truck at the RD and offloaded the next day"/>
    <d v="2025-02-12T18:32:00"/>
    <d v="2025-02-12T19:32:00"/>
    <n v="58.7499999965803"/>
    <x v="0"/>
    <n v="7.013888889196096E-2"/>
    <n v="3"/>
    <n v="2.929861111108039"/>
    <n v="1.683333333407063"/>
    <n v="0"/>
    <n v="1.683333333407063"/>
    <n v="92.673267322673595"/>
    <m/>
    <m/>
    <m/>
    <m/>
    <m/>
  </r>
  <r>
    <d v="2025-02-13T00:00:00"/>
    <x v="1"/>
    <m/>
    <s v="A20689"/>
    <s v="Manual"/>
    <s v="Nminya Siraje"/>
    <s v="UBP 301H"/>
    <s v="Kato Investment Ltd -Kagadi"/>
    <n v="5.04"/>
    <s v="A20689"/>
    <s v="OM"/>
    <n v="670"/>
    <n v="668"/>
    <n v="-2"/>
    <m/>
    <d v="2025-02-16T07:47:00"/>
    <d v="2025-02-16T08:07:00"/>
    <d v="2025-02-16T08:28:00"/>
    <n v="20.902777772910969"/>
    <n v="40.810185182635905"/>
    <x v="0"/>
    <d v="2025-02-16T15:14:00"/>
    <d v="2025-02-17T16:58:00"/>
    <n v="1511.8333333267219"/>
    <m/>
    <d v="2025-02-17T18:02:00"/>
    <d v="2025-02-17T19:00:00"/>
    <n v="56.791666667122627"/>
    <x v="0"/>
    <n v="1.398611111108039"/>
    <n v="2"/>
    <n v="0.60138888889196096"/>
    <n v="33.566666666592937"/>
    <n v="12"/>
    <n v="21.566666666592937"/>
    <n v="0.23369397218008794"/>
    <m/>
    <m/>
    <m/>
    <m/>
    <m/>
  </r>
  <r>
    <d v="2025-02-13T00:00:00"/>
    <x v="1"/>
    <m/>
    <s v="Z82619"/>
    <s v="Manual"/>
    <s v="SENTONG DAVID"/>
    <s v="UBP 298H"/>
    <s v="Kobusinge Steven-FPortal"/>
    <n v="156"/>
    <s v="Z82619"/>
    <s v="OM"/>
    <n v="304"/>
    <n v="306"/>
    <n v="2"/>
    <m/>
    <d v="2025-02-14T07:37:00"/>
    <d v="2025-02-14T08:01:00"/>
    <d v="2025-02-14T08:20:00"/>
    <n v="18.912037036110025"/>
    <n v="42.80092592986572"/>
    <x v="0"/>
    <d v="2025-02-14T17:23:00"/>
    <d v="2025-02-14T19:32:00"/>
    <n v="126.31249999110878"/>
    <m/>
    <d v="2025-02-14T13:26:00"/>
    <d v="2025-02-14T14:39:00"/>
    <n v="71.479166663702927"/>
    <x v="9"/>
    <n v="0.21250000000145519"/>
    <n v="2"/>
    <n v="1.7874999999985448"/>
    <n v="5.1000000000349246"/>
    <n v="0"/>
    <n v="5.1000000000349246"/>
    <n v="30.588235293908181"/>
    <m/>
    <m/>
    <m/>
    <m/>
    <m/>
  </r>
  <r>
    <d v="2025-02-13T00:00:00"/>
    <x v="1"/>
    <m/>
    <s v="Z82620"/>
    <s v="Manual"/>
    <s v="Kabanda Ronald"/>
    <s v="UBE 684K"/>
    <s v="Kobusinge Steven-Kamwenge"/>
    <n v="156"/>
    <s v="Z82620"/>
    <s v="OM"/>
    <n v="288"/>
    <n v="285"/>
    <n v="-3"/>
    <m/>
    <d v="2025-02-15T09:20:00"/>
    <d v="2025-02-15T09:23:00"/>
    <d v="2025-02-15T10:04:00"/>
    <n v="40.810185182635905"/>
    <n v="43.796296293051761"/>
    <x v="0"/>
    <d v="2025-02-14T17:04:00"/>
    <d v="2025-02-14T19:56:00"/>
    <n v="168.41666666165111"/>
    <m/>
    <d v="2025-02-15T15:40:00"/>
    <d v="2025-02-15T16:26:00"/>
    <n v="45.041666669858387"/>
    <x v="0"/>
    <n v="0.23333333333721384"/>
    <n v="2"/>
    <n v="1.7666666666627862"/>
    <n v="5.6000000000931323"/>
    <n v="0"/>
    <n v="5.6000000000931323"/>
    <n v="27.857142856679573"/>
    <m/>
    <m/>
    <m/>
    <m/>
    <m/>
  </r>
  <r>
    <d v="2025-02-13T00:00:00"/>
    <x v="1"/>
    <m/>
    <s v="A20688"/>
    <s v="Manual"/>
    <s v="Ikwalikwa Yusuf"/>
    <s v="UBP 311H"/>
    <s v="Sawan Distributors Ltd-Kayabwe"/>
    <n v="156"/>
    <s v="A20688"/>
    <s v="OM"/>
    <n v="382"/>
    <n v="379"/>
    <n v="-3"/>
    <m/>
    <d v="2025-02-14T08:08:00"/>
    <d v="2025-02-14T08:08:00"/>
    <d v="2025-02-14T08:49:00"/>
    <n v="40.810185182635905"/>
    <n v="40.810185182635905"/>
    <x v="0"/>
    <d v="2025-02-14T14:29:00"/>
    <d v="2025-02-14T19:01:00"/>
    <n v="266.33333332945767"/>
    <s v="Waited for empties from trade"/>
    <d v="2025-02-16T06:54:00"/>
    <d v="2025-02-16T07:50:00"/>
    <n v="54.833333337664953"/>
    <x v="0"/>
    <n v="1.9201388888905058"/>
    <n v="2"/>
    <n v="7.9861111109494232E-2"/>
    <n v="46.083333333372138"/>
    <n v="12"/>
    <n v="34.083333333372138"/>
    <n v="4.5770171149092143"/>
    <m/>
    <m/>
    <m/>
    <m/>
    <m/>
  </r>
  <r>
    <d v="2025-02-13T00:00:00"/>
    <x v="1"/>
    <m/>
    <s v="F15890"/>
    <s v="Manual"/>
    <s v="Ngobi Fred"/>
    <s v="UBK 866R"/>
    <s v="Boniface Harera"/>
    <n v="156"/>
    <s v="F15890"/>
    <s v="OM"/>
    <n v="448"/>
    <n v="450"/>
    <n v="2"/>
    <m/>
    <d v="2025-02-13T19:05:00"/>
    <d v="2025-02-13T19:31:00"/>
    <d v="2025-02-13T19:47:00"/>
    <n v="15.925925925694173"/>
    <n v="41.805555556250816"/>
    <x v="0"/>
    <d v="2025-02-13T13:14:00"/>
    <d v="2025-02-13T16:08:00"/>
    <n v="170.37500000136788"/>
    <m/>
    <d v="2025-02-17T11:11:00"/>
    <d v="2025-02-17T12:08:00"/>
    <n v="55.81249999726424"/>
    <x v="0"/>
    <n v="3.6416666666627862"/>
    <n v="2"/>
    <n v="-1.6416666666627862"/>
    <n v="87.399999999906868"/>
    <n v="36"/>
    <n v="51.399999999906868"/>
    <n v="3.0350194552584173"/>
    <m/>
    <m/>
    <m/>
    <m/>
    <m/>
  </r>
  <r>
    <d v="2025-02-13T00:00:00"/>
    <x v="1"/>
    <m/>
    <s v="OM7QN6ORR"/>
    <s v="DJ"/>
    <s v="James  Kironde"/>
    <s v="UBK 881R"/>
    <s v="Kabaco U Ltd-Mbarara "/>
    <n v="153.6"/>
    <s v="OM7QN6ORR"/>
    <s v="OM"/>
    <n v="20"/>
    <n v="22"/>
    <n v="2"/>
    <m/>
    <d v="2025-02-14T08:06:00"/>
    <d v="2025-02-14T08:27:00"/>
    <d v="2025-02-14T08:48:00"/>
    <n v="20.902777772910969"/>
    <n v="41.805555556250816"/>
    <x v="0"/>
    <d v="2025-02-14T17:10:00"/>
    <d v="2025-02-14T19:12:00"/>
    <n v="119.45833333287737"/>
    <m/>
    <d v="2025-02-17T11:11:00"/>
    <d v="2025-02-17T12:07:00"/>
    <n v="54.833333337664953"/>
    <x v="0"/>
    <n v="3.0993055555518367"/>
    <n v="3"/>
    <n v="-9.9305555551836733E-2"/>
    <n v="74.383333333244082"/>
    <n v="36"/>
    <n v="38.383333333244082"/>
    <n v="4.0017368649680547"/>
    <m/>
    <m/>
    <m/>
    <m/>
    <m/>
  </r>
  <r>
    <d v="2025-02-13T00:00:00"/>
    <x v="1"/>
    <m/>
    <s v="OMM0QETRR"/>
    <s v="DJ"/>
    <s v="Isaac Tumuhimbise"/>
    <s v="UBE 287X"/>
    <s v="Rugoma Traders-Kanungu/Kihihi"/>
    <n v="153.6"/>
    <s v="OMM0QETRR"/>
    <s v="OM"/>
    <n v="414"/>
    <n v="413"/>
    <n v="-1"/>
    <m/>
    <d v="2025-02-14T10:21:00"/>
    <d v="2025-02-14T10:11:00"/>
    <d v="2025-02-14T11:05:00"/>
    <n v="53.749999997914223"/>
    <n v="43.796296293051761"/>
    <x v="0"/>
    <d v="2025-02-14T17:17:00"/>
    <d v="2025-02-14T20:11:00"/>
    <n v="170.37500000136788"/>
    <m/>
    <d v="2025-02-16T09:30:00"/>
    <d v="2025-02-16T10:24:00"/>
    <n v="52.87499999794818"/>
    <x v="0"/>
    <n v="1.9340277777810115"/>
    <n v="2"/>
    <n v="6.5972222218988463E-2"/>
    <n v="46.416666666744277"/>
    <n v="12"/>
    <n v="34.416666666744277"/>
    <n v="4.4629539951473207"/>
    <m/>
    <m/>
    <m/>
    <m/>
    <m/>
  </r>
  <r>
    <d v="2025-02-14T00:00:00"/>
    <x v="1"/>
    <m/>
    <s v="A20708"/>
    <s v="Manual"/>
    <s v="Faruk Abel"/>
    <s v="UBR 539W"/>
    <s v="Kato Investment Ltd -Mubende"/>
    <n v="70.8"/>
    <s v="A20708"/>
    <s v="OM"/>
    <n v="680"/>
    <n v="679"/>
    <n v="-1"/>
    <m/>
    <d v="2025-02-14T08:33:00"/>
    <d v="2025-02-14T08:56:00"/>
    <d v="2025-02-14T09:17:00"/>
    <n v="20.902777772910969"/>
    <n v="43.796296293051761"/>
    <x v="0"/>
    <d v="2025-02-12T17:32:00"/>
    <d v="2025-02-12T20:26:00"/>
    <n v="170.37500000136788"/>
    <m/>
    <d v="2025-02-15T13:45:00"/>
    <d v="2025-02-15T14:39:00"/>
    <n v="52.87499999794818"/>
    <x v="0"/>
    <n v="1.1861111111065838"/>
    <n v="2"/>
    <n v="0.81388888889341615"/>
    <n v="28.466666666558012"/>
    <n v="12"/>
    <n v="16.466666666558012"/>
    <n v="4.2995951417287754"/>
    <m/>
    <m/>
    <m/>
    <m/>
    <m/>
  </r>
  <r>
    <d v="2025-02-14T00:00:00"/>
    <x v="1"/>
    <m/>
    <s v="Z82629"/>
    <s v="Manual"/>
    <m/>
    <s v="UBR 534W"/>
    <s v="Kobusinge Steven-Kamwenge"/>
    <n v="156"/>
    <s v="Z82629"/>
    <s v="OM"/>
    <n v="288"/>
    <n v="290"/>
    <n v="2"/>
    <m/>
    <d v="2025-02-12T13:44:00"/>
    <d v="2025-02-12T13:44:00"/>
    <d v="2025-02-12T14:25:00"/>
    <n v="40.810185182635905"/>
    <n v="40.810185182635905"/>
    <x v="0"/>
    <d v="2025-02-12T19:03:00"/>
    <d v="2025-02-13T10:45:00"/>
    <n v="922.37500000068394"/>
    <s v="found another truck to be offloaded"/>
    <d v="2025-02-15T13:45:00"/>
    <d v="2025-02-15T14:42:00"/>
    <n v="55.81249999726424"/>
    <x v="0"/>
    <n v="2.9722222222189885"/>
    <n v="2"/>
    <n v="-0.97222222221898846"/>
    <n v="71.333333333255723"/>
    <n v="24"/>
    <n v="47.333333333255723"/>
    <n v="3.2957746478927277"/>
    <m/>
    <m/>
    <m/>
    <m/>
    <m/>
  </r>
  <r>
    <d v="2025-02-14T00:00:00"/>
    <x v="1"/>
    <m/>
    <s v="Z82628"/>
    <s v="Manual"/>
    <s v="Byanshala Stoney"/>
    <s v="UBP 312H"/>
    <s v="Kabaco U Ltd "/>
    <n v="141.6"/>
    <s v="Z82628"/>
    <s v="OM"/>
    <n v="320"/>
    <n v="321"/>
    <n v="1"/>
    <m/>
    <d v="2025-02-12T11:37:00"/>
    <d v="2025-02-12T12:08:00"/>
    <d v="2025-02-12T12:19:00"/>
    <n v="10.949074078477375"/>
    <n v="41.805555556250816"/>
    <x v="0"/>
    <d v="2025-02-13T07:02:00"/>
    <d v="2025-02-13T11:35:00"/>
    <n v="267.31249999931606"/>
    <s v="Dj failure at customer"/>
    <d v="2025-02-14T12:25:00"/>
    <d v="2025-02-14T13:18:00"/>
    <n v="51.895833338348893"/>
    <x v="0"/>
    <n v="2.0041666666656965"/>
    <n v="2"/>
    <n v="-4.166666665696539E-3"/>
    <n v="48.099999999976717"/>
    <n v="24"/>
    <n v="24.099999999976717"/>
    <n v="5.875518672204846"/>
    <m/>
    <m/>
    <m/>
    <m/>
    <m/>
  </r>
  <r>
    <d v="2025-02-14T00:00:00"/>
    <x v="1"/>
    <m/>
    <s v="A20710"/>
    <s v="Manual"/>
    <s v="Bwanga Gilbert"/>
    <s v="UBK 862R"/>
    <s v="Kato Investment Ltd -Mityana"/>
    <n v="70.8"/>
    <s v="A20710"/>
    <s v="OM"/>
    <n v="690"/>
    <n v="689"/>
    <n v="-1"/>
    <m/>
    <d v="2025-02-13T20:06:00"/>
    <d v="2025-02-13T19:52:00"/>
    <d v="2025-02-13T20:47:00"/>
    <n v="54.745370371529134"/>
    <n v="40.810185182635905"/>
    <x v="0"/>
    <d v="2025-02-13T12:46:00"/>
    <d v="2025-02-13T14:47:00"/>
    <n v="118.47916666301899"/>
    <m/>
    <d v="2025-02-14T16:48:00"/>
    <d v="2025-02-14T17:46:00"/>
    <n v="56.791666667122627"/>
    <x v="0"/>
    <n v="0.83402777777519077"/>
    <n v="3"/>
    <n v="2.1659722222248092"/>
    <n v="20.016666666604578"/>
    <n v="0"/>
    <n v="20.016666666604578"/>
    <n v="3.5370524562973991"/>
    <m/>
    <m/>
    <m/>
    <m/>
    <m/>
  </r>
  <r>
    <d v="2025-02-14T00:00:00"/>
    <x v="1"/>
    <m/>
    <s v="A20712"/>
    <s v="Manual"/>
    <s v="Lule Fred"/>
    <s v="UBP 310H"/>
    <s v="KATO INVESTMENTS LTD-KATIKARA"/>
    <n v="134.4"/>
    <s v="A20712"/>
    <s v="OM"/>
    <n v="790"/>
    <n v="792"/>
    <n v="2"/>
    <m/>
    <d v="2025-02-13T10:50:00"/>
    <d v="2025-02-13T11:11:00"/>
    <d v="2025-02-13T11:34:00"/>
    <n v="22.893518520140788"/>
    <n v="43.796296293051761"/>
    <x v="0"/>
    <d v="2025-02-13T18:42:00"/>
    <d v="2025-02-13T21:26:00"/>
    <n v="160.58333333356131"/>
    <m/>
    <d v="2025-02-15T11:46:00"/>
    <d v="2025-02-15T12:42:00"/>
    <n v="54.833333337664953"/>
    <x v="0"/>
    <n v="2.0083333333313931"/>
    <n v="2"/>
    <n v="-8.333333331393078E-3"/>
    <n v="48.199999999953434"/>
    <n v="24"/>
    <n v="24.199999999953434"/>
    <n v="5.5537190082751495"/>
    <m/>
    <m/>
    <m/>
    <m/>
    <m/>
  </r>
  <r>
    <d v="2025-02-14T00:00:00"/>
    <x v="1"/>
    <m/>
    <s v="A20715"/>
    <s v="Manual"/>
    <s v="Tsaale Hassan"/>
    <s v="UBJ 703D"/>
    <s v="Kato Investments Ltd-Bulenga"/>
    <n v="148.80000000000001"/>
    <s v="A20715"/>
    <s v="OM"/>
    <n v="560"/>
    <n v="558"/>
    <n v="-2"/>
    <m/>
    <d v="2025-02-13T14:31:00"/>
    <d v="2025-02-13T14:31:00"/>
    <d v="2025-02-13T15:12:00"/>
    <n v="40.810185182635905"/>
    <n v="40.810185182635905"/>
    <x v="0"/>
    <d v="2025-02-15T12:28:00"/>
    <d v="2025-02-15T14:48:00"/>
    <n v="137.08333333903283"/>
    <m/>
    <d v="2025-02-16T06:54:00"/>
    <d v="2025-02-16T07:45:00"/>
    <n v="49.93749999863212"/>
    <x v="0"/>
    <n v="2.6541666666671517"/>
    <n v="2"/>
    <n v="-0.65416666666715173"/>
    <n v="63.700000000011642"/>
    <n v="24"/>
    <n v="39.700000000011642"/>
    <n v="3.7481108312331579"/>
    <m/>
    <m/>
    <m/>
    <m/>
    <m/>
  </r>
  <r>
    <d v="2025-02-14T00:00:00"/>
    <x v="1"/>
    <m/>
    <s v="A20713"/>
    <s v="Manual"/>
    <m/>
    <s v="UBR 535W"/>
    <s v="KATO INVESTMENTS LTD-KATIKARA"/>
    <n v="5.04"/>
    <s v="A20713"/>
    <s v="OM"/>
    <n v="790"/>
    <n v="792"/>
    <n v="2"/>
    <m/>
    <d v="2025-02-13T13:30:00"/>
    <d v="2025-02-13T13:32:00"/>
    <d v="2025-02-13T14:13:00"/>
    <n v="40.810185182635905"/>
    <n v="42.80092592986572"/>
    <x v="0"/>
    <d v="2025-02-14T12:08:00"/>
    <d v="2025-02-14T16:20:00"/>
    <n v="246.74999999384454"/>
    <s v="Waited for empties from trade"/>
    <d v="2025-02-16T09:30:00"/>
    <d v="2025-02-16T10:26:00"/>
    <n v="54.833333337664953"/>
    <x v="0"/>
    <n v="2.8034722222218988"/>
    <n v="2"/>
    <n v="-0.80347222222189885"/>
    <n v="67.283333333325572"/>
    <n v="24"/>
    <n v="43.283333333325572"/>
    <n v="0.1164420485175411"/>
    <m/>
    <m/>
    <m/>
    <m/>
    <m/>
  </r>
  <r>
    <d v="2025-02-14T00:00:00"/>
    <x v="1"/>
    <m/>
    <s v="Z82625"/>
    <s v="Manual"/>
    <s v="kayanja Sam"/>
    <s v="UBF 379L"/>
    <s v="Kobusinge Steven-FPortal"/>
    <n v="156"/>
    <s v="Z82625"/>
    <s v="OM"/>
    <n v="304"/>
    <n v="302"/>
    <n v="-2"/>
    <m/>
    <d v="2025-02-13T09:59:00"/>
    <d v="2025-02-13T08:00:00"/>
    <d v="2025-02-13T10:41:00"/>
    <n v="160.25462963055665"/>
    <n v="41.805555556250816"/>
    <x v="0"/>
    <d v="2025-02-13T11:18:00"/>
    <d v="2025-02-13T15:24:00"/>
    <n v="240.87500000547152"/>
    <s v="found another truck at RD"/>
    <d v="2025-02-13T16:48:00"/>
    <d v="2025-02-13T17:44:00"/>
    <n v="54.833333337664953"/>
    <x v="0"/>
    <n v="0.25486111110512866"/>
    <n v="2"/>
    <n v="1.7451388888948713"/>
    <n v="6.1166666665230878"/>
    <n v="0"/>
    <n v="6.1166666665230878"/>
    <n v="25.504087194059156"/>
    <m/>
    <m/>
    <m/>
    <m/>
    <m/>
  </r>
  <r>
    <d v="2025-02-14T00:00:00"/>
    <x v="1"/>
    <m/>
    <s v="A20705"/>
    <s v="Manual"/>
    <s v="Nakalya John"/>
    <s v="UBM 648D"/>
    <s v="Ntale and Sons Ltd-Kakiri"/>
    <n v="70.8"/>
    <s v="A20705"/>
    <s v="OM"/>
    <n v="620"/>
    <n v="619"/>
    <n v="-1"/>
    <m/>
    <d v="2025-02-13T22:16:00"/>
    <d v="2025-02-13T22:03:00"/>
    <d v="2025-02-13T22:58:00"/>
    <n v="54.745370371529134"/>
    <n v="41.805555556250816"/>
    <x v="0"/>
    <d v="2025-02-15T16:31:00"/>
    <d v="2025-02-15T18:39:00"/>
    <n v="125.33333333150949"/>
    <m/>
    <d v="2025-02-20T19:16:00"/>
    <d v="2025-02-20T20:11:00"/>
    <n v="53.854166667806567"/>
    <x v="0"/>
    <n v="6.8458333333328483"/>
    <n v="3"/>
    <n v="-3.8458333333328483"/>
    <n v="164.29999999998836"/>
    <n v="72"/>
    <n v="92.299999999988358"/>
    <n v="0.76706392199359619"/>
    <m/>
    <m/>
    <m/>
    <m/>
    <m/>
  </r>
  <r>
    <d v="2025-02-14T00:00:00"/>
    <x v="1"/>
    <m/>
    <s v="Z82627"/>
    <s v="Manual"/>
    <s v="kakembo Masudi"/>
    <s v="UBM 644D"/>
    <s v="Bates Enterprises U Ltd"/>
    <n v="56"/>
    <s v="Z82627"/>
    <s v="OM"/>
    <n v="414"/>
    <n v="416"/>
    <n v="2"/>
    <m/>
    <d v="2025-02-13T11:30:00"/>
    <d v="2025-02-13T11:50:00"/>
    <d v="2025-02-13T12:11:00"/>
    <n v="20.902777772910969"/>
    <n v="40.810185182635905"/>
    <x v="0"/>
    <d v="2025-02-14T19:18:00"/>
    <d v="2025-02-15T10:22:00"/>
    <n v="885.16666665891535"/>
    <s v="Reached late and offloaded the next day"/>
    <d v="2025-02-14T16:49:00"/>
    <d v="2025-02-14T17:47:00"/>
    <n v="56.791666667122627"/>
    <x v="0"/>
    <n v="1.1930555555518367"/>
    <n v="3"/>
    <n v="1.8069444444481633"/>
    <n v="28.633333333244082"/>
    <n v="12"/>
    <n v="16.633333333244082"/>
    <n v="3.3667334669519331"/>
    <m/>
    <m/>
    <m/>
    <m/>
    <m/>
  </r>
  <r>
    <d v="2025-02-14T00:00:00"/>
    <x v="1"/>
    <m/>
    <s v="Z82630"/>
    <s v="Manual"/>
    <s v="Taimwa Alex"/>
    <s v="UBJ 705D"/>
    <s v="Kobusinge Acaali- Kyenjojo"/>
    <n v="31.2"/>
    <s v="Z82630"/>
    <s v="OM"/>
    <n v="580"/>
    <n v="582"/>
    <n v="2"/>
    <m/>
    <d v="2025-02-15T14:05:00"/>
    <d v="2025-02-15T14:26:00"/>
    <d v="2025-02-15T14:47:00"/>
    <n v="20.902777772910969"/>
    <n v="41.805555556250816"/>
    <x v="0"/>
    <d v="2025-02-14T08:36:00"/>
    <d v="2025-02-14T14:44:00"/>
    <n v="360.33333333834889"/>
    <s v="found another truck at the RD"/>
    <d v="2025-02-16T08:18:00"/>
    <d v="2025-02-16T09:14:00"/>
    <n v="54.833333337664953"/>
    <x v="0"/>
    <n v="0.72986111111094942"/>
    <n v="2"/>
    <n v="1.2701388888890506"/>
    <n v="17.516666666662786"/>
    <n v="0"/>
    <n v="17.516666666662786"/>
    <n v="1.7811607992392147"/>
    <m/>
    <m/>
    <m/>
    <m/>
    <m/>
  </r>
  <r>
    <d v="2025-02-14T00:00:00"/>
    <x v="1"/>
    <m/>
    <s v="A20714"/>
    <s v="Manual"/>
    <m/>
    <s v="UBR 868Y"/>
    <s v="Sawan Distributors Ltd-Nabingo"/>
    <n v="156"/>
    <s v="A20714"/>
    <s v="OM"/>
    <n v="560"/>
    <n v="562"/>
    <n v="2"/>
    <m/>
    <d v="2025-02-14T12:13:00"/>
    <d v="2025-02-14T12:38:00"/>
    <d v="2025-02-14T12:57:00"/>
    <n v="18.912037036110025"/>
    <n v="43.796296293051761"/>
    <x v="0"/>
    <d v="2025-02-14T14:26:00"/>
    <d v="2025-02-14T17:50:00"/>
    <n v="199.74999999452848"/>
    <s v="space consquents"/>
    <d v="2025-02-16T08:18:00"/>
    <d v="2025-02-16T09:15:00"/>
    <n v="55.81249999726424"/>
    <x v="0"/>
    <n v="1.8062500000014552"/>
    <n v="2"/>
    <n v="0.19374999999854481"/>
    <n v="43.350000000034925"/>
    <n v="12"/>
    <n v="31.350000000034925"/>
    <n v="4.9760765550183796"/>
    <m/>
    <m/>
    <m/>
    <m/>
    <m/>
  </r>
  <r>
    <d v="2025-02-14T00:00:00"/>
    <x v="1"/>
    <m/>
    <s v="A20706"/>
    <s v="Manual"/>
    <m/>
    <s v="UBR 537W"/>
    <s v="Kato Investment Ltd -Mityana"/>
    <n v="78.75"/>
    <s v="A20706"/>
    <s v="OM"/>
    <n v="690"/>
    <n v="692"/>
    <n v="2"/>
    <m/>
    <d v="2025-02-13T17:17:00"/>
    <d v="2025-02-13T17:51:00"/>
    <d v="2025-02-13T17:59:00"/>
    <n v="7.9629629680615226"/>
    <n v="41.805555556250816"/>
    <x v="0"/>
    <d v="2025-02-16T14:10:00"/>
    <d v="2025-02-16T16:46:00"/>
    <n v="152.74999999521242"/>
    <m/>
    <d v="2025-02-15T07:38:00"/>
    <d v="2025-02-15T08:25:00"/>
    <n v="46.020833329457673"/>
    <x v="0"/>
    <n v="1.5687500000058208"/>
    <n v="3"/>
    <n v="1.4312499999941792"/>
    <n v="37.650000000139698"/>
    <n v="12"/>
    <n v="25.650000000139698"/>
    <n v="3.0701754385797702"/>
    <m/>
    <m/>
    <m/>
    <m/>
    <m/>
  </r>
  <r>
    <d v="2025-02-14T00:00:00"/>
    <x v="1"/>
    <m/>
    <s v="F15895"/>
    <s v="Manual"/>
    <m/>
    <s v="UBR 533W"/>
    <s v="Boniface Harera"/>
    <n v="156"/>
    <s v="F15895"/>
    <s v="OM"/>
    <n v="448"/>
    <n v="445"/>
    <n v="-3"/>
    <m/>
    <d v="2025-02-16T07:44:00"/>
    <d v="2025-02-16T08:20:00"/>
    <d v="2025-02-16T08:28:00"/>
    <n v="7.9629629680615226"/>
    <n v="43.796296293051761"/>
    <x v="0"/>
    <d v="2025-02-15T13:04:00"/>
    <d v="2025-02-15T18:25:00"/>
    <n v="314.31249999863212"/>
    <s v="less casuals and offloaded the next day"/>
    <d v="2025-02-17T13:31:00"/>
    <d v="2025-02-17T14:28:00"/>
    <n v="55.81249999726424"/>
    <x v="0"/>
    <n v="1.2104166666686069"/>
    <n v="2"/>
    <n v="0.78958333333139308"/>
    <n v="29.050000000046566"/>
    <n v="12"/>
    <n v="17.050000000046566"/>
    <n v="9.1495601172770638"/>
    <m/>
    <m/>
    <m/>
    <m/>
    <m/>
  </r>
  <r>
    <d v="2025-02-14T00:00:00"/>
    <x v="1"/>
    <m/>
    <s v="Z82631"/>
    <s v="Manual"/>
    <s v="Kyakulaga James"/>
    <s v="UBJ 419C"/>
    <s v="Bates Enterprises Ltd-Ntoroko"/>
    <n v="100"/>
    <s v="Z82631"/>
    <s v="OM"/>
    <n v="464"/>
    <n v="462"/>
    <n v="-2"/>
    <m/>
    <d v="2025-02-14T08:05:00"/>
    <d v="2025-02-14T08:18:00"/>
    <d v="2025-02-14T08:49:00"/>
    <n v="30.856481477773439"/>
    <n v="43.796296293051761"/>
    <x v="0"/>
    <d v="2025-02-15T16:02:00"/>
    <d v="2025-02-15T18:21:00"/>
    <n v="136.10416665891535"/>
    <m/>
    <d v="2025-02-17T13:03:00"/>
    <d v="2025-02-17T14:03:00"/>
    <n v="58.7499999965803"/>
    <x v="0"/>
    <n v="3.1763888888890506"/>
    <n v="2"/>
    <n v="-1.1763888888890506"/>
    <n v="76.233333333337214"/>
    <n v="36"/>
    <n v="40.233333333337214"/>
    <n v="2.4855012427503818"/>
    <m/>
    <m/>
    <m/>
    <m/>
    <m/>
  </r>
  <r>
    <d v="2025-02-14T00:00:00"/>
    <x v="1"/>
    <m/>
    <s v="OMD8HUDRR"/>
    <s v="DJ"/>
    <s v="James  Kironde"/>
    <s v="UBK 881R"/>
    <s v="Boniface Harera"/>
    <n v="153.6"/>
    <s v="OMD8HUDRR"/>
    <s v="OM"/>
    <n v="448"/>
    <n v="450"/>
    <n v="2"/>
    <m/>
    <d v="2025-02-14T08:36:00"/>
    <d v="2025-02-14T08:54:00"/>
    <d v="2025-02-14T09:17:00"/>
    <n v="22.893518520140788"/>
    <n v="40.810185182635905"/>
    <x v="0"/>
    <d v="2025-02-15T09:43:00"/>
    <d v="2025-02-15T11:55:00"/>
    <n v="129.25000000068394"/>
    <m/>
    <d v="2025-02-16T14:55:00"/>
    <d v="2025-02-16T15:55:00"/>
    <n v="58.7499999965803"/>
    <x v="0"/>
    <n v="2.234722222223354"/>
    <n v="2"/>
    <n v="-0.23472222222335404"/>
    <n v="53.633333333360497"/>
    <n v="24"/>
    <n v="29.633333333360497"/>
    <n v="5.1833520809851246"/>
    <m/>
    <m/>
    <m/>
    <m/>
    <m/>
  </r>
  <r>
    <d v="2025-02-14T00:00:00"/>
    <x v="1"/>
    <m/>
    <s v="OM881JIRR"/>
    <s v="DJ"/>
    <s v="MUKOSE MUZAMIRU"/>
    <s v="UBJ 417C"/>
    <s v="Ntale and Sons"/>
    <n v="153.6"/>
    <s v="OM881JIRR"/>
    <s v="OM"/>
    <n v="810"/>
    <n v="809"/>
    <n v="-1"/>
    <s v="Deviated due to road mantanance"/>
    <d v="2025-02-12T13:44:00"/>
    <d v="2025-02-12T14:13:00"/>
    <d v="2025-02-12T14:25:00"/>
    <n v="11.944444441663412"/>
    <n v="40.810185182635905"/>
    <x v="0"/>
    <d v="2025-02-15T16:13:00"/>
    <d v="2025-02-15T19:02:00"/>
    <n v="165.47916667259415"/>
    <m/>
    <d v="2025-02-15T07:52:00"/>
    <d v="2025-02-15T08:50:00"/>
    <n v="56.791666667122627"/>
    <x v="0"/>
    <n v="2.7270833333313931"/>
    <n v="2"/>
    <n v="-0.72708333333139308"/>
    <n v="65.449999999953434"/>
    <n v="24"/>
    <n v="41.449999999953434"/>
    <n v="3.7056694813069373"/>
    <m/>
    <m/>
    <m/>
    <m/>
    <m/>
  </r>
  <r>
    <d v="2025-02-14T00:00:00"/>
    <x v="1"/>
    <m/>
    <s v="OMTDJ66RR"/>
    <s v="DJ"/>
    <s v="SENTONG DAVID"/>
    <s v="UBP 298H"/>
    <s v="KATO INVESTMENTS LTD- KALISIZO "/>
    <n v="153.6"/>
    <s v="OMTDJ66RR"/>
    <s v="OM"/>
    <n v="350"/>
    <n v="352"/>
    <n v="2"/>
    <m/>
    <d v="2025-02-12T11:37:00"/>
    <d v="2025-02-12T10:50:00"/>
    <d v="2025-02-12T12:19:00"/>
    <n v="88.587962959718425"/>
    <n v="41.805555556250816"/>
    <x v="0"/>
    <d v="2025-02-15T16:31:00"/>
    <d v="2025-02-15T19:39:00"/>
    <n v="184.08333332808979"/>
    <s v="Waited for empties from trade"/>
    <d v="2025-02-19T18:12:00"/>
    <d v="2025-02-19T19:10:00"/>
    <n v="56.791666667122627"/>
    <x v="0"/>
    <n v="7.2451388888875954"/>
    <n v="2"/>
    <n v="-5.2451388888875954"/>
    <n v="173.88333333330229"/>
    <n v="84"/>
    <n v="89.883333333302289"/>
    <n v="1.7088818839241948"/>
    <m/>
    <m/>
    <m/>
    <m/>
    <m/>
  </r>
  <r>
    <d v="2025-02-15T00:00:00"/>
    <x v="1"/>
    <m/>
    <s v="A20728"/>
    <s v="Manual"/>
    <s v="Kabanda Ronald"/>
    <s v="UBE 684K"/>
    <s v="KATO INVESTMENTS LTD-KATIKARA"/>
    <n v="156"/>
    <s v="A20728"/>
    <s v="OM"/>
    <n v="790"/>
    <n v="792"/>
    <n v="2"/>
    <m/>
    <d v="2025-02-13T20:04:00"/>
    <d v="2025-02-13T20:04:00"/>
    <d v="2025-02-13T20:47:00"/>
    <n v="42.80092592986572"/>
    <n v="42.80092592986572"/>
    <x v="0"/>
    <d v="2025-02-14T19:18:00"/>
    <d v="2025-02-15T10:22:00"/>
    <n v="885.16666665891535"/>
    <s v="Reached late and offloaded the next day"/>
    <d v="2025-02-16T08:18:00"/>
    <d v="2025-02-16T09:13:00"/>
    <n v="53.854166667806567"/>
    <x v="0"/>
    <n v="2.4798611111109494"/>
    <n v="2"/>
    <n v="-0.47986111111094942"/>
    <n v="59.516666666662786"/>
    <n v="24"/>
    <n v="35.516666666662786"/>
    <n v="4.3923040825908135"/>
    <m/>
    <m/>
    <m/>
    <m/>
    <m/>
  </r>
  <r>
    <d v="2025-02-15T00:00:00"/>
    <x v="1"/>
    <m/>
    <s v="A20734"/>
    <s v="Manual"/>
    <s v="Ntumwa Solomon"/>
    <s v="UBR 540W"/>
    <s v="Kato Investment Ltd -Mityana"/>
    <n v="156"/>
    <s v="A20734"/>
    <s v="OM"/>
    <n v="690"/>
    <n v="692"/>
    <n v="2"/>
    <m/>
    <d v="2025-02-13T10:50:00"/>
    <d v="2025-02-13T10:37:00"/>
    <d v="2025-02-13T11:34:00"/>
    <n v="56.736111108330078"/>
    <n v="43.796296293051761"/>
    <x v="0"/>
    <d v="2025-02-14T08:36:00"/>
    <d v="2025-02-14T14:44:00"/>
    <n v="360.33333333834889"/>
    <s v="Waited for empties from trade"/>
    <d v="2025-02-16T08:18:00"/>
    <d v="2025-02-16T09:14:00"/>
    <n v="54.833333337664953"/>
    <x v="0"/>
    <n v="2.8638888888890506"/>
    <n v="3"/>
    <n v="0.13611111111094942"/>
    <n v="68.733333333337214"/>
    <n v="24"/>
    <n v="44.733333333337214"/>
    <n v="3.4873323397910538"/>
    <m/>
    <m/>
    <m/>
    <m/>
    <m/>
  </r>
  <r>
    <d v="2025-02-15T00:00:00"/>
    <x v="1"/>
    <m/>
    <s v="A20735"/>
    <s v="Manual"/>
    <s v="Mulumba Kasim"/>
    <s v="UBE 680K"/>
    <s v="Kato Investments Ltd- Kakumiro"/>
    <n v="156"/>
    <s v="A20735"/>
    <s v="OM"/>
    <n v="790"/>
    <n v="788"/>
    <n v="-2"/>
    <m/>
    <d v="2025-02-13T14:29:00"/>
    <d v="2025-02-13T14:55:00"/>
    <d v="2025-02-13T15:12:00"/>
    <n v="16.921296299309081"/>
    <n v="42.80092592986572"/>
    <x v="0"/>
    <d v="2025-02-14T14:26:00"/>
    <d v="2025-02-14T17:50:00"/>
    <n v="199.74999999452848"/>
    <s v="space consquents"/>
    <d v="2025-02-15T07:38:00"/>
    <d v="2025-02-15T08:38:00"/>
    <n v="58.7499999965803"/>
    <x v="0"/>
    <n v="1.6847222222277196"/>
    <n v="2"/>
    <n v="0.31527777777228039"/>
    <n v="40.433333333465271"/>
    <n v="12"/>
    <n v="28.433333333465271"/>
    <n v="5.4865181711351507"/>
    <m/>
    <m/>
    <m/>
    <m/>
    <m/>
  </r>
  <r>
    <d v="2025-02-15T00:00:00"/>
    <x v="1"/>
    <m/>
    <s v="A20731"/>
    <s v="Manual"/>
    <s v="Matovu Musa"/>
    <s v="UBR 538W"/>
    <s v="Kato Investments Ltd- Kyegegwa"/>
    <n v="156"/>
    <s v="A20731"/>
    <s v="OM"/>
    <n v="600"/>
    <n v="602"/>
    <n v="2"/>
    <m/>
    <d v="2025-02-12T18:26:00"/>
    <d v="2025-02-12T19:03:00"/>
    <d v="2025-02-12T19:07:00"/>
    <n v="3.9814814840307613"/>
    <n v="40.810185182635905"/>
    <x v="0"/>
    <d v="2025-02-16T14:10:00"/>
    <d v="2025-02-16T16:46:00"/>
    <n v="152.74999999521242"/>
    <m/>
    <d v="2025-02-15T09:15:00"/>
    <d v="2025-02-15T10:06:00"/>
    <n v="49.93749999863212"/>
    <x v="0"/>
    <n v="2.5888888888875954"/>
    <n v="3"/>
    <n v="0.41111111111240461"/>
    <n v="62.133333333302289"/>
    <n v="24"/>
    <n v="38.133333333302289"/>
    <n v="4.0909090909124215"/>
    <m/>
    <m/>
    <m/>
    <m/>
    <m/>
  </r>
  <r>
    <d v="2025-02-15T00:00:00"/>
    <x v="1"/>
    <m/>
    <s v="Z82636"/>
    <s v="Manual"/>
    <m/>
    <s v="UBG 084B"/>
    <s v="Kabaco U Ltd "/>
    <n v="156"/>
    <s v="Z82636"/>
    <s v="OM"/>
    <n v="320"/>
    <n v="319"/>
    <n v="-1"/>
    <m/>
    <d v="2025-02-12T17:00:00"/>
    <d v="2025-02-12T16:22:00"/>
    <d v="2025-02-12T17:44:00"/>
    <n v="81.62037036527181"/>
    <n v="43.796296293051761"/>
    <x v="0"/>
    <d v="2025-02-14T11:08:00"/>
    <d v="2025-02-14T17:13:00"/>
    <n v="357.39583333903283"/>
    <s v="truck faulty"/>
    <d v="2025-02-17T13:31:00"/>
    <d v="2025-02-17T14:27:00"/>
    <n v="54.833333337664953"/>
    <x v="0"/>
    <n v="4.8243055555576575"/>
    <n v="2"/>
    <n v="-2.8243055555576575"/>
    <n v="115.78333333338378"/>
    <n v="48"/>
    <n v="67.78333333338378"/>
    <n v="2.3014507007605198"/>
    <m/>
    <m/>
    <m/>
    <m/>
    <m/>
  </r>
  <r>
    <d v="2025-02-15T00:00:00"/>
    <x v="1"/>
    <m/>
    <s v="Z82637"/>
    <s v="Manual"/>
    <s v="Byanshala Stoney"/>
    <s v="UBP 312H"/>
    <s v="Rugoma Traders-Rukungiri"/>
    <n v="156"/>
    <s v="Z82637"/>
    <s v="OM"/>
    <n v="256"/>
    <n v="255"/>
    <n v="-1"/>
    <m/>
    <d v="2025-02-13T13:30:00"/>
    <d v="2025-02-13T14:01:00"/>
    <d v="2025-02-13T14:13:00"/>
    <n v="11.944444441663412"/>
    <n v="42.80092592986572"/>
    <x v="0"/>
    <d v="2025-02-14T08:43:00"/>
    <d v="2025-02-14T10:46:00"/>
    <n v="120.43750000273576"/>
    <m/>
    <d v="2025-02-16T08:18:00"/>
    <d v="2025-02-16T09:15:00"/>
    <n v="55.81249999726424"/>
    <x v="0"/>
    <n v="2.7534722222189885"/>
    <n v="2"/>
    <n v="-0.75347222221898846"/>
    <n v="66.083333333255723"/>
    <n v="24"/>
    <n v="42.083333333255723"/>
    <n v="3.7069306930761434"/>
    <m/>
    <m/>
    <m/>
    <m/>
    <m/>
  </r>
  <r>
    <d v="2025-02-15T00:00:00"/>
    <x v="1"/>
    <m/>
    <s v="A20730"/>
    <s v="Manual"/>
    <m/>
    <s v="UBR 534W"/>
    <s v="Kato Investment Ltd -Mityana"/>
    <n v="156"/>
    <s v="A20730"/>
    <s v="OM"/>
    <n v="690"/>
    <n v="692"/>
    <n v="2"/>
    <m/>
    <d v="2025-02-14T12:56:00"/>
    <d v="2025-02-14T13:32:00"/>
    <d v="2025-02-14T13:40:00"/>
    <n v="7.9629629680615226"/>
    <n v="43.796296293051761"/>
    <x v="0"/>
    <d v="2025-02-15T13:04:00"/>
    <d v="2025-02-15T18:25:00"/>
    <n v="314.31249999863212"/>
    <s v="found another truck to be offloaded"/>
    <d v="2025-02-16T08:18:00"/>
    <d v="2025-02-16T09:28:00"/>
    <n v="68.541666664386867"/>
    <x v="9"/>
    <n v="1.7763888888875954"/>
    <n v="3"/>
    <n v="1.2236111111124046"/>
    <n v="42.633333333302289"/>
    <n v="12"/>
    <n v="30.633333333302289"/>
    <n v="5.0924918389605471"/>
    <m/>
    <m/>
    <m/>
    <m/>
    <m/>
  </r>
  <r>
    <d v="2025-02-15T00:00:00"/>
    <x v="1"/>
    <m/>
    <s v="A20736"/>
    <s v="Manual"/>
    <s v="SENTONG DAVID"/>
    <s v="UBP 298H"/>
    <s v="KATO INVESTMENTS LTD-KATIKARA"/>
    <n v="156"/>
    <s v="A20736"/>
    <s v="OM"/>
    <n v="790"/>
    <n v="792"/>
    <n v="2"/>
    <m/>
    <d v="2025-02-12T21:44:00"/>
    <d v="2025-02-12T21:17:00"/>
    <d v="2025-02-12T22:27:00"/>
    <n v="69.675925923608403"/>
    <n v="42.80092592986572"/>
    <x v="0"/>
    <d v="2025-02-14T13:52:00"/>
    <d v="2025-02-14T16:39:00"/>
    <n v="163.52083333287737"/>
    <m/>
    <d v="2025-02-15T07:38:00"/>
    <d v="2025-02-15T08:36:00"/>
    <n v="56.791666667122627"/>
    <x v="0"/>
    <n v="2.382638888891961"/>
    <n v="3"/>
    <n v="0.61736111110803904"/>
    <n v="57.183333333407063"/>
    <n v="24"/>
    <n v="33.183333333407063"/>
    <n v="4.7011551983823221"/>
    <m/>
    <m/>
    <m/>
    <m/>
    <m/>
  </r>
  <r>
    <d v="2025-02-15T00:00:00"/>
    <x v="1"/>
    <m/>
    <s v="Z82639"/>
    <s v="Manual"/>
    <s v="Nminya Siraje"/>
    <s v="UBP 301H"/>
    <s v="Kobusinge Steven-FPortal"/>
    <n v="156"/>
    <s v="Z82639"/>
    <s v="OM"/>
    <n v="304"/>
    <n v="306"/>
    <n v="2"/>
    <m/>
    <d v="2025-02-12T17:30:00"/>
    <d v="2025-02-12T17:01:00"/>
    <d v="2025-02-12T18:11:00"/>
    <n v="69.675925923608403"/>
    <n v="40.810185182635905"/>
    <x v="0"/>
    <d v="2025-02-15T11:12:00"/>
    <d v="2025-02-15T14:08:00"/>
    <n v="172.33333333082555"/>
    <m/>
    <d v="2025-02-15T07:38:00"/>
    <d v="2025-02-15T08:32:00"/>
    <n v="52.87499999794818"/>
    <x v="0"/>
    <n v="2.5604166666671517"/>
    <n v="2"/>
    <n v="-0.56041666666715173"/>
    <n v="61.450000000011642"/>
    <n v="24"/>
    <n v="37.450000000011642"/>
    <n v="4.1655540720948334"/>
    <m/>
    <m/>
    <m/>
    <m/>
    <m/>
  </r>
  <r>
    <d v="2025-02-15T00:00:00"/>
    <x v="1"/>
    <m/>
    <s v="A20726"/>
    <s v="Manual"/>
    <m/>
    <s v="UBF 369L"/>
    <s v="Sawan Distributors Ltd-Nabingo"/>
    <n v="156"/>
    <s v="A20726"/>
    <s v="OM"/>
    <n v="560"/>
    <n v="561"/>
    <n v="1"/>
    <m/>
    <d v="2025-02-15T12:59:00"/>
    <d v="2025-02-14T16:40:00"/>
    <d v="2025-02-15T13:40:00"/>
    <n v="1254.1666666666667"/>
    <n v="40.810185182635905"/>
    <x v="0"/>
    <d v="2025-02-15T11:17:00"/>
    <d v="2025-02-15T19:00:00"/>
    <n v="453.35416666712263"/>
    <s v="First offloaded their route sale trucks"/>
    <d v="2025-02-19T18:12:00"/>
    <d v="2025-02-19T19:10:00"/>
    <n v="56.791666667122627"/>
    <x v="0"/>
    <n v="4.1888888888861402"/>
    <n v="2"/>
    <n v="-2.1888888888861402"/>
    <n v="100.53333333326736"/>
    <n v="48"/>
    <n v="52.533333333267365"/>
    <n v="2.969543147211851"/>
    <m/>
    <m/>
    <m/>
    <m/>
    <m/>
  </r>
  <r>
    <d v="2025-02-15T00:00:00"/>
    <x v="1"/>
    <m/>
    <s v="A20729"/>
    <s v="Manual"/>
    <s v="Sentongo paul"/>
    <s v="UBR 541W"/>
    <s v="Kato Investment Ltd -Kagadi"/>
    <n v="156"/>
    <s v="A20729"/>
    <s v="OM"/>
    <n v="670"/>
    <n v="671"/>
    <n v="1"/>
    <m/>
    <d v="2025-02-14T22:15:00"/>
    <d v="2025-02-14T09:00:00"/>
    <d v="2025-02-14T22:58:00"/>
    <n v="834.12037036735762"/>
    <n v="42.80092592986572"/>
    <x v="0"/>
    <d v="2025-02-14T15:56:00"/>
    <d v="2025-02-14T19:14:00"/>
    <n v="193.87499999589636"/>
    <s v="First offloaded their route sale trucks"/>
    <d v="2025-02-15T07:52:00"/>
    <d v="2025-02-15T08:48:00"/>
    <n v="54.833333337664953"/>
    <x v="0"/>
    <n v="0.37083333333430346"/>
    <n v="2"/>
    <n v="1.6291666666656965"/>
    <n v="8.9000000000232831"/>
    <n v="0"/>
    <n v="8.9000000000232831"/>
    <n v="17.528089887594593"/>
    <m/>
    <m/>
    <m/>
    <m/>
    <m/>
  </r>
  <r>
    <d v="2025-02-15T00:00:00"/>
    <x v="1"/>
    <m/>
    <s v="OM1QUZPRR"/>
    <s v="DJ"/>
    <s v="Isaac Tumuhimbise"/>
    <s v="UBE 287X"/>
    <s v="KATO INVESTMENTS LIMITED-MASAK "/>
    <n v="153.6"/>
    <s v="OM1QUZPRR"/>
    <s v="OM"/>
    <n v="298"/>
    <n v="300"/>
    <n v="2"/>
    <m/>
    <d v="2025-02-15T10:10:00"/>
    <d v="2025-02-15T08:52:00"/>
    <d v="2025-02-15T10:53:00"/>
    <n v="120.43981482153565"/>
    <n v="42.80092592986572"/>
    <x v="0"/>
    <d v="2025-02-17T16:57:00"/>
    <d v="2025-02-17T19:12:00"/>
    <n v="132.1875"/>
    <m/>
    <d v="2025-02-20T19:16:00"/>
    <d v="2025-02-20T20:14:00"/>
    <n v="56.791666667122627"/>
    <x v="0"/>
    <n v="5.3493055555518367"/>
    <n v="2"/>
    <n v="-3.3493055555518367"/>
    <n v="128.38333333324408"/>
    <n v="60"/>
    <n v="68.383333333244082"/>
    <n v="2.2461613453599871"/>
    <m/>
    <m/>
    <m/>
    <m/>
    <m/>
  </r>
  <r>
    <d v="2025-02-15T00:00:00"/>
    <x v="1"/>
    <m/>
    <s v="OMD3RE6RR"/>
    <s v="DJ"/>
    <s v="Benon Ssempijja"/>
    <s v="UAY 526V"/>
    <s v="Rugoma Traders-Kanungu/Kihihi"/>
    <n v="153.6"/>
    <s v="OMD3RE6RR"/>
    <s v="OM"/>
    <n v="414"/>
    <n v="413"/>
    <n v="-1"/>
    <m/>
    <d v="2025-02-15T09:01:00"/>
    <d v="2025-02-15T09:23:00"/>
    <d v="2025-02-15T10:04:00"/>
    <n v="40.810185182635905"/>
    <n v="62.708333329161782"/>
    <x v="1"/>
    <d v="2025-02-15T12:40:00"/>
    <d v="2025-02-15T16:15:00"/>
    <n v="210.52083333219343"/>
    <s v="found another truck at RD"/>
    <d v="2025-02-16T09:41:00"/>
    <d v="2025-02-16T10:38:00"/>
    <n v="55.81249999726424"/>
    <x v="0"/>
    <n v="0.98402777777664596"/>
    <n v="2"/>
    <n v="1.015972222223354"/>
    <n v="23.616666666639503"/>
    <n v="0"/>
    <n v="23.616666666639503"/>
    <n v="6.5038814396687368"/>
    <m/>
    <m/>
    <m/>
    <m/>
    <m/>
  </r>
  <r>
    <d v="2025-02-15T00:00:00"/>
    <x v="1"/>
    <m/>
    <s v="OM117K8RR"/>
    <s v="DJ"/>
    <s v="Stephen Musoke "/>
    <s v="UBJ 375N"/>
    <s v="Rugoma Traders-Kanungu/Kihihi"/>
    <n v="153.6"/>
    <s v="OM117K8RR"/>
    <s v="OM"/>
    <n v="414"/>
    <n v="412"/>
    <n v="-2"/>
    <m/>
    <d v="2025-02-15T14:13:00"/>
    <d v="2025-02-15T13:37:00"/>
    <d v="2025-02-15T14:57:00"/>
    <n v="79.629629628470866"/>
    <n v="43.796296293051761"/>
    <x v="0"/>
    <d v="2025-02-16T09:23:00"/>
    <d v="2025-02-16T11:25:00"/>
    <n v="119.45833333287737"/>
    <m/>
    <d v="2025-02-16T06:58:00"/>
    <d v="2025-02-16T07:54:00"/>
    <n v="54.833333337664953"/>
    <x v="0"/>
    <n v="0.66736111111094942"/>
    <n v="2"/>
    <n v="1.3326388888890506"/>
    <n v="16.016666666662786"/>
    <n v="0"/>
    <n v="16.016666666662786"/>
    <n v="9.5900104058295863"/>
    <m/>
    <m/>
    <m/>
    <m/>
    <m/>
  </r>
  <r>
    <d v="2025-02-15T00:00:00"/>
    <x v="1"/>
    <m/>
    <s v="OMK83DARR"/>
    <s v="DJ"/>
    <s v="Jacob Oneka"/>
    <s v="UBE 422T"/>
    <s v="KATO INVESTMENTS LIMITED-MASAK "/>
    <n v="153.6"/>
    <s v="OMK83DARR"/>
    <s v="OM"/>
    <n v="298"/>
    <n v="300"/>
    <n v="2"/>
    <m/>
    <d v="2025-02-15T16:10:00"/>
    <d v="2025-02-15T16:11:00"/>
    <d v="2025-02-15T16:52:00"/>
    <n v="40.810185182635905"/>
    <n v="41.805555556250816"/>
    <x v="0"/>
    <d v="2025-02-16T09:39:00"/>
    <d v="2025-02-16T12:00:00"/>
    <n v="138.06249999863212"/>
    <m/>
    <d v="2025-02-16T13:29:00"/>
    <d v="2025-02-16T14:27:00"/>
    <n v="56.791666667122627"/>
    <x v="0"/>
    <n v="0.85902777777664596"/>
    <n v="2"/>
    <n v="1.140972222223354"/>
    <n v="20.616666666639503"/>
    <n v="0"/>
    <n v="20.616666666639503"/>
    <n v="7.4502829426128878"/>
    <m/>
    <m/>
    <m/>
    <m/>
    <m/>
  </r>
  <r>
    <d v="2025-02-15T00:00:00"/>
    <x v="1"/>
    <m/>
    <s v="OMG1H0FRR"/>
    <s v="DJ"/>
    <s v="Jacob Oneka"/>
    <s v="UBE 422T"/>
    <s v="Kabaco U Ltd "/>
    <n v="153.6"/>
    <s v="OMG1H0FRR"/>
    <s v="OM"/>
    <n v="320"/>
    <n v="60"/>
    <n v="-260"/>
    <m/>
    <d v="2025-02-15T15:50:00"/>
    <d v="2025-02-15T15:43:00"/>
    <d v="2025-02-15T16:34:00"/>
    <n v="50.763888887498375"/>
    <n v="43.796296293051761"/>
    <x v="0"/>
    <d v="2025-02-15T10:05:00"/>
    <d v="2025-02-15T12:06:00"/>
    <n v="118.47916666301899"/>
    <m/>
    <d v="2025-02-16T15:14:00"/>
    <d v="2025-02-16T16:14:00"/>
    <n v="58.7499999965803"/>
    <x v="0"/>
    <n v="0.94444444444525288"/>
    <n v="2"/>
    <n v="1.0555555555547471"/>
    <n v="22.666666666686069"/>
    <n v="0"/>
    <n v="22.666666666686069"/>
    <n v="6.7764705882294933"/>
    <m/>
    <m/>
    <m/>
    <m/>
    <m/>
  </r>
  <r>
    <d v="2025-02-15T00:00:00"/>
    <x v="1"/>
    <m/>
    <s v="OMRKN18RR"/>
    <s v="DJ"/>
    <s v="Kabene John"/>
    <s v="UBA 523T"/>
    <s v="KATO INVESTMENTS LIMITED-MASAK"/>
    <n v="153.6"/>
    <s v="OMRKN18RR"/>
    <s v="OM"/>
    <n v="298"/>
    <n v="299"/>
    <n v="1"/>
    <m/>
    <d v="2025-02-15T10:17:00"/>
    <d v="2025-02-15T09:44:00"/>
    <d v="2025-02-15T11:01:00"/>
    <n v="76.643518518055018"/>
    <n v="43.796296293051761"/>
    <x v="0"/>
    <d v="2025-02-17T11:39:00"/>
    <d v="2025-02-17T17:36:00"/>
    <n v="349.56249999042484"/>
    <s v="found another truck at the RD"/>
    <d v="2025-02-16T06:55:00"/>
    <d v="2025-02-16T07:55:00"/>
    <n v="58.7499999965803"/>
    <x v="0"/>
    <n v="0.82916666667006211"/>
    <n v="2"/>
    <n v="1.1708333333299379"/>
    <n v="19.900000000081491"/>
    <n v="0"/>
    <n v="19.900000000081491"/>
    <n v="7.7185929647925127"/>
    <m/>
    <m/>
    <m/>
    <m/>
    <m/>
  </r>
  <r>
    <d v="2025-02-16T00:00:00"/>
    <x v="1"/>
    <m/>
    <s v="Z82644"/>
    <s v="Manual"/>
    <s v="Mudunga Musa"/>
    <s v="UBE 678K"/>
    <s v="Kobusinge Steven-Kamwenge"/>
    <n v="156"/>
    <s v="Z82644"/>
    <s v="OM"/>
    <n v="288"/>
    <n v="290"/>
    <n v="2"/>
    <m/>
    <d v="2025-02-15T09:17:00"/>
    <d v="2025-02-15T08:50:00"/>
    <d v="2025-02-15T10:00:00"/>
    <n v="69.675925923608403"/>
    <n v="42.80092592986572"/>
    <x v="0"/>
    <d v="2025-02-15T07:23:00"/>
    <d v="2025-02-15T16:12:00"/>
    <n v="517.97916667259415"/>
    <s v="space consquents"/>
    <d v="2025-02-17T11:06:00"/>
    <d v="2025-02-17T12:00:00"/>
    <n v="52.87499999794818"/>
    <x v="0"/>
    <n v="2.0458333333372138"/>
    <n v="2"/>
    <n v="-4.5833333337213844E-2"/>
    <n v="49.100000000093132"/>
    <n v="24"/>
    <n v="25.100000000093132"/>
    <n v="6.2151394422080148"/>
    <m/>
    <m/>
    <m/>
    <m/>
    <m/>
  </r>
  <r>
    <d v="2025-02-16T00:00:00"/>
    <x v="1"/>
    <m/>
    <s v="A20741"/>
    <s v="Manual"/>
    <s v="Ngobi Fred"/>
    <s v="UBK 866R"/>
    <s v="KATO INVESTMENTS LTD-KATIKARA"/>
    <n v="156"/>
    <s v="A20741"/>
    <s v="OM"/>
    <n v="790"/>
    <n v="788"/>
    <n v="-2"/>
    <m/>
    <d v="2025-02-15T10:00:00"/>
    <d v="2025-02-15T10:32:00"/>
    <d v="2025-02-15T10:44:00"/>
    <n v="11.944444441663412"/>
    <n v="43.796296293051761"/>
    <x v="0"/>
    <d v="2025-02-15T16:44:00"/>
    <d v="2025-02-15T18:32:00"/>
    <n v="105.74999999589636"/>
    <m/>
    <d v="2025-02-17T11:06:00"/>
    <d v="2025-02-17T12:04:00"/>
    <n v="56.791666667122627"/>
    <x v="0"/>
    <n v="2.015277777776646"/>
    <n v="3"/>
    <n v="0.98472222222335404"/>
    <n v="48.366666666639503"/>
    <n v="24"/>
    <n v="24.366666666639503"/>
    <n v="6.4021887824968768"/>
    <m/>
    <m/>
    <m/>
    <m/>
    <m/>
  </r>
  <r>
    <d v="2025-02-16T00:00:00"/>
    <x v="1"/>
    <m/>
    <s v="Z82645"/>
    <s v="Manual"/>
    <s v="Tsaale Hassan"/>
    <s v="UBJ 703D"/>
    <s v="Kabaco U Ltd "/>
    <n v="156"/>
    <s v="Z82645"/>
    <s v="OM"/>
    <n v="320"/>
    <n v="322"/>
    <n v="2"/>
    <m/>
    <d v="2025-02-15T06:49:00"/>
    <d v="2025-02-15T05:59:00"/>
    <d v="2025-02-15T07:30:00"/>
    <n v="90.578703706948247"/>
    <n v="40.810185182635905"/>
    <x v="0"/>
    <d v="2025-02-16T11:14:00"/>
    <d v="2025-02-16T14:33:00"/>
    <n v="194.85416666575475"/>
    <s v="Not enough casuals to offload"/>
    <d v="2025-02-15T15:48:00"/>
    <d v="2025-02-15T16:44:00"/>
    <n v="54.833333337664953"/>
    <x v="0"/>
    <n v="0.34583333333284827"/>
    <n v="2"/>
    <n v="1.6541666666671517"/>
    <n v="8.2999999999883585"/>
    <n v="0"/>
    <n v="8.2999999999883585"/>
    <n v="18.795180722917927"/>
    <m/>
    <m/>
    <m/>
    <m/>
    <m/>
  </r>
  <r>
    <d v="2025-02-16T00:00:00"/>
    <x v="1"/>
    <m/>
    <s v="A20740"/>
    <s v="Manual"/>
    <s v="Taimwa Alex"/>
    <s v="UBJ 705D"/>
    <s v="Kato Investments Ltd-Bulenga"/>
    <n v="156"/>
    <s v="A20740"/>
    <s v="OM"/>
    <n v="560"/>
    <n v="562"/>
    <n v="2"/>
    <m/>
    <d v="2025-02-15T16:50:00"/>
    <d v="2025-02-15T16:42:00"/>
    <d v="2025-02-15T17:33:00"/>
    <n v="50.763888887498375"/>
    <n v="42.80092592986572"/>
    <x v="0"/>
    <d v="2025-02-16T12:17:00"/>
    <d v="2025-02-16T15:57:00"/>
    <n v="215.41666666096717"/>
    <s v="Waited for empties from trade"/>
    <d v="2025-02-16T19:27:00"/>
    <d v="2025-02-16T20:22:00"/>
    <n v="53.854166667806567"/>
    <x v="0"/>
    <n v="1.0791666666700621"/>
    <n v="2"/>
    <n v="0.92083333332993789"/>
    <n v="25.900000000081491"/>
    <n v="12"/>
    <n v="13.900000000081491"/>
    <n v="11.223021582668016"/>
    <m/>
    <m/>
    <m/>
    <m/>
    <m/>
  </r>
  <r>
    <d v="2025-02-16T00:00:00"/>
    <x v="1"/>
    <m/>
    <s v="F15906"/>
    <s v="Manual"/>
    <s v="Nakalya John"/>
    <s v="UBM 648D"/>
    <s v="Boniface Harera"/>
    <n v="156"/>
    <s v="F15906"/>
    <s v="OM"/>
    <n v="448"/>
    <n v="450"/>
    <n v="2"/>
    <m/>
    <d v="2025-02-14T11:39:00"/>
    <d v="2025-02-14T12:18:00"/>
    <d v="2025-02-14T12:22:00"/>
    <n v="3.9814814840307613"/>
    <n v="42.80092592986572"/>
    <x v="0"/>
    <d v="2025-02-15T20:06:00"/>
    <d v="2025-02-15T23:00:00"/>
    <n v="170.37500000136788"/>
    <m/>
    <d v="2025-02-16T18:18:00"/>
    <d v="2025-02-16T19:18:00"/>
    <n v="58.7499999965803"/>
    <x v="0"/>
    <n v="2.2472222222204437"/>
    <n v="2"/>
    <n v="-0.24722222222044365"/>
    <n v="53.933333333290648"/>
    <n v="24"/>
    <n v="29.933333333290648"/>
    <n v="5.2115812917668976"/>
    <m/>
    <m/>
    <m/>
    <m/>
    <m/>
  </r>
  <r>
    <d v="2025-02-16T00:00:00"/>
    <x v="1"/>
    <m/>
    <s v="Z82649"/>
    <s v="Manual"/>
    <s v="Lule Fred"/>
    <s v=" UBP 310H"/>
    <s v="Kobusinge Acaali- Kyenjojo"/>
    <n v="156"/>
    <s v="Z82649"/>
    <s v="OM"/>
    <n v="580"/>
    <n v="579"/>
    <n v="-1"/>
    <m/>
    <d v="2025-02-14T21:38:00"/>
    <d v="2025-02-14T22:09:00"/>
    <d v="2025-02-14T22:21:00"/>
    <n v="11.944444441663412"/>
    <n v="42.80092592986572"/>
    <x v="0"/>
    <d v="2025-02-16T17:28:00"/>
    <d v="2025-02-16T20:22:00"/>
    <n v="170.37500000136788"/>
    <m/>
    <d v="2025-02-16T19:22:00"/>
    <d v="2025-02-16T20:20:00"/>
    <n v="56.791666667122627"/>
    <x v="0"/>
    <n v="1.8756944444394321"/>
    <n v="2"/>
    <n v="0.12430555556056788"/>
    <n v="45.016666666546371"/>
    <n v="12"/>
    <n v="33.016666666546371"/>
    <n v="4.7248864210167101"/>
    <m/>
    <m/>
    <m/>
    <m/>
    <m/>
  </r>
  <r>
    <d v="2025-02-16T00:00:00"/>
    <x v="1"/>
    <m/>
    <s v="OMLX6IURR"/>
    <s v="DJ"/>
    <s v="Kabene John"/>
    <s v="UBA 523T"/>
    <s v="Kabaco U Ltd "/>
    <n v="153.6"/>
    <s v="OMLX6IURR"/>
    <s v="OM"/>
    <n v="320"/>
    <n v="322"/>
    <n v="2"/>
    <m/>
    <d v="2025-02-14T19:24:00"/>
    <d v="2025-02-14T18:38:00"/>
    <d v="2025-02-14T20:07:00"/>
    <n v="88.587962959718425"/>
    <n v="42.80092592986572"/>
    <x v="0"/>
    <d v="2025-02-15T11:26:00"/>
    <d v="2025-02-15T14:32:00"/>
    <n v="182.12499999863212"/>
    <s v="found another truck to be offloaded"/>
    <d v="2025-02-15T14:59:00"/>
    <d v="2025-02-15T15:59:00"/>
    <n v="58.7499999965803"/>
    <x v="0"/>
    <n v="0.78611111111240461"/>
    <n v="2"/>
    <n v="1.2138888888875954"/>
    <n v="18.866666666697711"/>
    <n v="0"/>
    <n v="18.866666666697711"/>
    <n v="8.1413427561703493"/>
    <m/>
    <m/>
    <m/>
    <m/>
    <m/>
  </r>
  <r>
    <d v="2025-02-16T00:00:00"/>
    <x v="1"/>
    <m/>
    <s v="OMSILIWRR"/>
    <s v="DJ"/>
    <s v="Kilabila Ismail"/>
    <s v="UBE 419T"/>
    <s v="KATO INVESTMENTS LIMITED-MASAK"/>
    <n v="153.6"/>
    <s v="OMSILIWRR"/>
    <s v="OM"/>
    <n v="298"/>
    <n v="300"/>
    <n v="2"/>
    <m/>
    <d v="2025-02-14T18:44:00"/>
    <d v="2025-02-14T18:08:00"/>
    <d v="2025-02-14T19:28:00"/>
    <n v="79.629629628470866"/>
    <n v="43.796296293051761"/>
    <x v="0"/>
    <d v="2025-02-15T09:41:00"/>
    <d v="2025-02-15T11:40:00"/>
    <n v="116.52083333356131"/>
    <m/>
    <d v="2025-02-15T16:39:00"/>
    <d v="2025-02-15T17:37:00"/>
    <n v="56.791666667122627"/>
    <x v="0"/>
    <n v="0.882638888884685"/>
    <n v="2"/>
    <n v="1.117361111115315"/>
    <n v="21.18333333323244"/>
    <n v="0"/>
    <n v="21.18333333323244"/>
    <n v="7.2509834776112463"/>
    <m/>
    <m/>
    <m/>
    <m/>
    <m/>
  </r>
  <r>
    <d v="2025-02-16T00:00:00"/>
    <x v="1"/>
    <m/>
    <s v="OMHUBMXRR"/>
    <s v="DJ"/>
    <s v="SENTONG DAVID"/>
    <s v="UBP 298H"/>
    <s v="KATO INVESTMENTS LIMITED-MASAK"/>
    <n v="153.6"/>
    <s v="OMHUBMXRR"/>
    <s v="OM"/>
    <n v="298"/>
    <n v="297"/>
    <n v="-1"/>
    <s v="Delievered to kalangala"/>
    <d v="2025-02-15T14:13:00"/>
    <d v="2025-02-15T01:59:00"/>
    <d v="2025-02-15T14:57:00"/>
    <n v="774.39814814861165"/>
    <n v="43.796296293051761"/>
    <x v="0"/>
    <d v="2025-02-15T20:06:00"/>
    <d v="2025-02-15T23:00:00"/>
    <n v="170.37500000136788"/>
    <m/>
    <d v="2025-02-16T19:22:00"/>
    <d v="2025-02-16T20:16:00"/>
    <n v="52.87499999794818"/>
    <x v="0"/>
    <n v="1.1840277777737356"/>
    <n v="2"/>
    <n v="0.81597222222626442"/>
    <n v="28.416666666569654"/>
    <n v="12"/>
    <n v="16.416666666569654"/>
    <n v="9.3563451777202644"/>
    <m/>
    <m/>
    <m/>
    <m/>
    <m/>
  </r>
  <r>
    <d v="2025-02-17T00:00:00"/>
    <x v="1"/>
    <m/>
    <s v="A20752"/>
    <s v="Manual"/>
    <m/>
    <s v="UBR 535W"/>
    <s v="KATO INVESTMENTS LTD-KATIKARA"/>
    <n v="156"/>
    <s v="A20752"/>
    <s v="OM"/>
    <n v="790"/>
    <n v="792"/>
    <n v="2"/>
    <m/>
    <d v="2025-02-15T16:11:00"/>
    <d v="2025-02-15T10:00:00"/>
    <d v="2025-02-15T16:52:00"/>
    <n v="410.09259259444661"/>
    <n v="40.810185182635905"/>
    <x v="0"/>
    <d v="2025-02-16T11:14:00"/>
    <d v="2025-02-16T14:33:00"/>
    <n v="194.85416666575475"/>
    <s v="found another truck at RD"/>
    <d v="2025-02-16T19:27:00"/>
    <d v="2025-02-16T20:21:00"/>
    <n v="52.87499999794818"/>
    <x v="0"/>
    <n v="1.1076388888905058"/>
    <n v="3"/>
    <n v="1.8923611111094942"/>
    <n v="26.583333333372138"/>
    <n v="12"/>
    <n v="14.583333333372138"/>
    <n v="10.697142857114393"/>
    <m/>
    <m/>
    <m/>
    <m/>
    <m/>
  </r>
  <r>
    <d v="2025-02-17T00:00:00"/>
    <x v="1"/>
    <m/>
    <s v="Z82655"/>
    <s v="Manual"/>
    <m/>
    <s v="UBR 537W"/>
    <s v="Rugoma Traders-Rukungiri"/>
    <n v="156"/>
    <s v="Z82655"/>
    <s v="OM"/>
    <n v="256"/>
    <n v="258"/>
    <n v="2"/>
    <m/>
    <d v="2025-02-15T15:51:00"/>
    <d v="2025-02-15T11:00:00"/>
    <d v="2025-02-15T16:34:00"/>
    <n v="332.45370370277669"/>
    <n v="42.80092592986572"/>
    <x v="0"/>
    <d v="2025-02-16T12:17:00"/>
    <d v="2025-02-16T15:57:00"/>
    <n v="215.41666666096717"/>
    <s v="Not enough casuals to offload"/>
    <d v="2025-02-16T18:18:00"/>
    <d v="2025-02-16T19:16:00"/>
    <n v="56.791666667122627"/>
    <x v="0"/>
    <n v="1.0722222222175333"/>
    <n v="2"/>
    <n v="0.92777777778246673"/>
    <n v="25.733333333220799"/>
    <n v="12"/>
    <n v="13.733333333220799"/>
    <n v="11.359223301063954"/>
    <m/>
    <m/>
    <m/>
    <m/>
    <m/>
  </r>
  <r>
    <d v="2025-02-17T00:00:00"/>
    <x v="1"/>
    <m/>
    <s v="A20758"/>
    <s v="Manual"/>
    <m/>
    <s v="UBR 868Y"/>
    <s v="Kato Investment Ltd -Mityana"/>
    <n v="156"/>
    <s v="A20758"/>
    <s v="OM"/>
    <n v="690"/>
    <n v="692"/>
    <n v="2"/>
    <m/>
    <d v="2025-02-15T10:02:00"/>
    <d v="2025-02-15T09:00:00"/>
    <d v="2025-02-15T10:44:00"/>
    <n v="103.51851852222656"/>
    <n v="41.805555556250816"/>
    <x v="0"/>
    <d v="2025-02-16T17:28:00"/>
    <d v="2025-02-16T20:06:00"/>
    <n v="154.70833333492919"/>
    <m/>
    <d v="2025-02-15T14:59:00"/>
    <d v="2025-02-15T15:57:00"/>
    <n v="56.791666667122627"/>
    <x v="0"/>
    <n v="0.17708333332848269"/>
    <n v="3"/>
    <n v="2.8229166666715173"/>
    <n v="4.2499999998835847"/>
    <n v="0"/>
    <n v="4.2499999998835847"/>
    <n v="36.70588235394662"/>
    <m/>
    <m/>
    <m/>
    <m/>
    <m/>
  </r>
  <r>
    <d v="2025-02-17T00:00:00"/>
    <x v="1"/>
    <m/>
    <s v="A20759"/>
    <s v="Manual"/>
    <m/>
    <s v="UBR 533W"/>
    <s v="Kato Investments Ltd- Kyegegwa"/>
    <n v="156"/>
    <s v="A20759"/>
    <s v="OM"/>
    <n v="600"/>
    <n v="602"/>
    <n v="2"/>
    <m/>
    <d v="2025-02-15T14:11:00"/>
    <d v="2025-02-15T04:14:00"/>
    <d v="2025-02-15T14:54:00"/>
    <n v="637.03703703819576"/>
    <n v="42.80092592986572"/>
    <x v="0"/>
    <d v="2025-02-15T09:41:00"/>
    <d v="2025-02-15T11:40:00"/>
    <n v="116.52083333356131"/>
    <m/>
    <d v="2025-02-15T16:39:00"/>
    <d v="2025-02-15T17:35:00"/>
    <n v="54.833333337664953"/>
    <x v="0"/>
    <n v="7.2916666664241347E-2"/>
    <n v="3"/>
    <n v="2.9270833333357587"/>
    <n v="1.7499999999417923"/>
    <n v="0"/>
    <n v="1.7499999999417923"/>
    <n v="89.142857145822177"/>
    <m/>
    <m/>
    <m/>
    <m/>
    <m/>
  </r>
  <r>
    <d v="2025-02-17T00:00:00"/>
    <x v="1"/>
    <m/>
    <s v="A20767"/>
    <s v="Manual"/>
    <s v="Matovu Musa"/>
    <s v="UBR 538W"/>
    <s v="Sawan Distributors Ltd-Nabingo"/>
    <n v="156"/>
    <s v="A20767"/>
    <s v="OM"/>
    <n v="560"/>
    <n v="558"/>
    <n v="-2"/>
    <m/>
    <d v="2025-02-14T14:13:00"/>
    <d v="2025-02-14T14:43:00"/>
    <d v="2025-02-14T14:54:00"/>
    <n v="10.949074078477375"/>
    <n v="40.810185182635905"/>
    <x v="0"/>
    <d v="2025-02-17T09:34:00"/>
    <d v="2025-02-17T12:26:00"/>
    <n v="168.41666666165111"/>
    <m/>
    <d v="2025-02-18T20:49:00"/>
    <d v="2025-02-18T21:47:00"/>
    <n v="56.791666667122627"/>
    <x v="0"/>
    <n v="4.2465277777737356"/>
    <n v="2"/>
    <n v="-2.2465277777737356"/>
    <n v="101.91666666656965"/>
    <n v="48"/>
    <n v="53.916666666569654"/>
    <n v="2.8933539412725939"/>
    <m/>
    <m/>
    <m/>
    <m/>
    <m/>
  </r>
  <r>
    <d v="2025-02-17T00:00:00"/>
    <x v="1"/>
    <m/>
    <s v="A20754"/>
    <s v="Manual"/>
    <s v="Kyakulaga James"/>
    <s v="UBJ 419C"/>
    <s v="Kato Investment Ltd -Mubende"/>
    <n v="156"/>
    <s v="A20754"/>
    <s v="OM"/>
    <n v="680"/>
    <n v="679"/>
    <n v="-1"/>
    <m/>
    <d v="2025-02-17T11:13:00"/>
    <d v="2025-02-17T11:38:00"/>
    <d v="2025-02-17T11:57:00"/>
    <n v="18.912037036110025"/>
    <n v="43.796296293051761"/>
    <x v="0"/>
    <d v="2025-02-17T17:04:00"/>
    <d v="2025-02-17T19:23:00"/>
    <n v="136.10416666917445"/>
    <m/>
    <d v="2025-02-19T12:25:00"/>
    <d v="2025-02-19T13:15:00"/>
    <n v="48.958333328773733"/>
    <x v="0"/>
    <n v="2.0194444444423425"/>
    <n v="3"/>
    <n v="0.9805555555576575"/>
    <n v="48.46666666661622"/>
    <n v="24"/>
    <n v="24.46666666661622"/>
    <n v="6.376021798378269"/>
    <m/>
    <m/>
    <m/>
    <m/>
    <m/>
  </r>
  <r>
    <d v="2025-02-17T00:00:00"/>
    <x v="1"/>
    <m/>
    <s v="A20753"/>
    <s v="Manual"/>
    <m/>
    <s v="UBR 903Y"/>
    <s v="KATO INVESTMENTS LTD-KATIKARA"/>
    <n v="156"/>
    <s v="A20753"/>
    <s v="OM"/>
    <n v="790"/>
    <n v="792"/>
    <n v="2"/>
    <m/>
    <d v="2025-02-16T09:54:00"/>
    <d v="2025-02-16T09:44:00"/>
    <d v="2025-02-16T10:38:00"/>
    <n v="53.749999997914223"/>
    <n v="43.796296293051761"/>
    <x v="0"/>
    <d v="2025-02-16T08:42:00"/>
    <d v="2025-02-16T14:22:00"/>
    <n v="332.91666666438687"/>
    <s v="slept at the RD and offloaded the next day"/>
    <d v="2025-02-17T09:40:00"/>
    <d v="2025-02-17T10:40:00"/>
    <n v="58.7499999965803"/>
    <x v="0"/>
    <n v="0.95972222222189885"/>
    <n v="2"/>
    <n v="1.0402777777781012"/>
    <n v="23.033333333325572"/>
    <n v="0"/>
    <n v="23.033333333325572"/>
    <n v="6.7727930535478684"/>
    <m/>
    <m/>
    <m/>
    <m/>
    <m/>
  </r>
  <r>
    <d v="2025-02-17T00:00:00"/>
    <x v="1"/>
    <m/>
    <s v="A20755"/>
    <s v="Manual"/>
    <s v="Faruk Abel"/>
    <s v="UBR 539W"/>
    <s v="Kato Investment Ltd -Mityana"/>
    <n v="156"/>
    <s v="A20755"/>
    <s v="OM"/>
    <n v="690"/>
    <n v="689"/>
    <n v="-1"/>
    <m/>
    <d v="2025-02-16T09:44:00"/>
    <d v="2025-02-16T10:13:00"/>
    <d v="2025-02-16T10:25:00"/>
    <n v="11.944444441663412"/>
    <n v="40.810185182635905"/>
    <x v="0"/>
    <d v="2025-02-16T15:30:00"/>
    <d v="2025-02-16T17:35:00"/>
    <n v="122.39583333219343"/>
    <m/>
    <d v="2025-02-17T21:47:00"/>
    <d v="2025-02-17T22:47:00"/>
    <n v="58.7499999965803"/>
    <x v="0"/>
    <n v="1.4736111111051287"/>
    <n v="3"/>
    <n v="1.5263888888948713"/>
    <n v="35.366666666523088"/>
    <n v="12"/>
    <n v="23.366666666523088"/>
    <n v="6.676176890197941"/>
    <m/>
    <m/>
    <m/>
    <m/>
    <m/>
  </r>
  <r>
    <d v="2025-02-17T00:00:00"/>
    <x v="1"/>
    <m/>
    <s v="A20770"/>
    <s v="Manual"/>
    <m/>
    <s v="UBG 084B"/>
    <s v="Kato Investment Ltd -Mityana"/>
    <n v="156"/>
    <s v="A20770"/>
    <s v="OM"/>
    <n v="690"/>
    <n v="688"/>
    <n v="-2"/>
    <m/>
    <d v="2025-02-16T08:31:00"/>
    <d v="2025-02-16T07:59:00"/>
    <d v="2025-02-16T09:34:00"/>
    <n v="94.560185180550135"/>
    <n v="62.708333329161782"/>
    <x v="5"/>
    <d v="2025-02-18T10:12:00"/>
    <d v="2025-02-18T12:44:00"/>
    <n v="148.83333332603797"/>
    <m/>
    <d v="2025-02-17T10:58:00"/>
    <d v="2025-02-17T11:54:00"/>
    <n v="54.833333337664953"/>
    <x v="0"/>
    <n v="1.0583333333343035"/>
    <n v="2"/>
    <n v="0.94166666666569654"/>
    <n v="25.400000000023283"/>
    <n v="12"/>
    <n v="13.400000000023283"/>
    <n v="11.641791044755891"/>
    <m/>
    <m/>
    <m/>
    <m/>
    <m/>
  </r>
  <r>
    <d v="2025-02-17T00:00:00"/>
    <x v="1"/>
    <m/>
    <s v="A20757"/>
    <s v="Manual"/>
    <s v="kayanja Sam"/>
    <s v="UBF 379L"/>
    <s v="Kato Investment Ltd -Mubende"/>
    <n v="156"/>
    <s v="A20757"/>
    <s v="OM"/>
    <n v="680"/>
    <n v="678"/>
    <n v="-2"/>
    <m/>
    <d v="2025-02-15T11:52:00"/>
    <d v="2025-02-15T12:13:00"/>
    <d v="2025-02-15T12:36:00"/>
    <n v="22.893518520140788"/>
    <n v="43.796296293051761"/>
    <x v="0"/>
    <d v="2025-02-17T13:02:00"/>
    <d v="2025-02-17T16:11:00"/>
    <n v="185.06249999794818"/>
    <s v="Waited for empties from trade"/>
    <d v="2025-02-19T12:32:00"/>
    <d v="2025-02-19T13:25:00"/>
    <n v="51.895833338348893"/>
    <x v="0"/>
    <n v="3.9972222222204437"/>
    <n v="2"/>
    <n v="-1.9972222222204437"/>
    <n v="95.933333333290648"/>
    <n v="36"/>
    <n v="59.933333333290648"/>
    <n v="2.6028921023377825"/>
    <m/>
    <m/>
    <m/>
    <m/>
    <m/>
  </r>
  <r>
    <d v="2025-02-17T00:00:00"/>
    <x v="1"/>
    <m/>
    <s v="A20773"/>
    <s v="Manual"/>
    <s v="Mulumba Kasim"/>
    <s v="UBE 680K"/>
    <s v="Ntale and Sons Ltd-Kakiri"/>
    <n v="156"/>
    <s v="A20773"/>
    <s v="OM"/>
    <n v="620"/>
    <n v="622"/>
    <n v="2"/>
    <m/>
    <d v="2025-02-17T11:13:00"/>
    <d v="2025-02-16T02:22:00"/>
    <d v="2025-02-17T11:57:00"/>
    <n v="2005.6712962951376"/>
    <n v="43.796296293051761"/>
    <x v="0"/>
    <d v="2025-02-17T12:01:00"/>
    <d v="2025-02-17T15:50:00"/>
    <n v="224.22916665891535"/>
    <s v="Reached late and offloaded the next day"/>
    <d v="2025-02-17T18:38:00"/>
    <d v="2025-02-17T19:38:00"/>
    <n v="58.7499999965803"/>
    <x v="0"/>
    <n v="0.27847222222044365"/>
    <n v="3"/>
    <n v="2.7215277777795563"/>
    <n v="6.6833333332906477"/>
    <n v="0"/>
    <n v="6.6833333332906477"/>
    <n v="23.341645885435863"/>
    <m/>
    <m/>
    <m/>
    <m/>
    <m/>
  </r>
  <r>
    <d v="2025-02-17T00:00:00"/>
    <x v="1"/>
    <m/>
    <s v="Z82657"/>
    <s v="Manual"/>
    <s v="Byanshala Stoney"/>
    <s v="UBP 312H"/>
    <s v="Kobusinge Acaali- Kyenjojo"/>
    <n v="156"/>
    <s v="Z82657"/>
    <s v="OM"/>
    <n v="580"/>
    <n v="581"/>
    <n v="1"/>
    <m/>
    <d v="2025-02-16T21:08:00"/>
    <d v="2025-02-16T16:14:00"/>
    <d v="2025-02-16T21:51:00"/>
    <n v="335.43981481319253"/>
    <n v="42.80092592986572"/>
    <x v="0"/>
    <d v="2025-02-16T12:13:00"/>
    <d v="2025-02-16T16:38:00"/>
    <n v="259.47916667122627"/>
    <s v="Waited for empties from trade"/>
    <d v="2025-02-17T11:53:00"/>
    <d v="2025-02-17T12:51:00"/>
    <n v="56.791666667122627"/>
    <x v="0"/>
    <n v="0.58472222222189885"/>
    <n v="2"/>
    <n v="1.4152777777781012"/>
    <n v="14.033333333325572"/>
    <n v="0"/>
    <n v="14.033333333325572"/>
    <n v="11.116389548699734"/>
    <m/>
    <m/>
    <m/>
    <m/>
    <m/>
  </r>
  <r>
    <d v="2025-02-17T00:00:00"/>
    <x v="1"/>
    <m/>
    <s v="OMBA7HPRR"/>
    <s v="DJ"/>
    <s v="Bisaso  Ronald"/>
    <s v="UBK 875R"/>
    <s v="Rugoma Traders-Kanungu/Kihihi "/>
    <n v="153.6"/>
    <s v="OMBA7HPRR"/>
    <s v="OM"/>
    <n v="414"/>
    <n v="413"/>
    <n v="-1"/>
    <m/>
    <d v="2025-02-19T10:48:00"/>
    <d v="2025-02-19T11:16:00"/>
    <d v="2025-02-19T11:32:00"/>
    <n v="15.925925925694173"/>
    <n v="43.796296293051761"/>
    <x v="0"/>
    <d v="2025-02-17T19:05:00"/>
    <d v="2025-02-18T10:21:00"/>
    <n v="896.91666666643869"/>
    <s v="Waited for empties from trade"/>
    <d v="2025-02-20T07:09:00"/>
    <d v="2025-02-20T08:06:00"/>
    <n v="55.81249999726424"/>
    <x v="0"/>
    <n v="0.81736111111240461"/>
    <n v="2"/>
    <n v="1.1826388888875954"/>
    <n v="19.616666666697711"/>
    <n v="0"/>
    <n v="19.616666666697711"/>
    <n v="7.8300764655780926"/>
    <m/>
    <m/>
    <m/>
    <m/>
    <m/>
  </r>
  <r>
    <d v="2025-02-17T00:00:00"/>
    <x v="1"/>
    <m/>
    <s v="OMUK22WRR"/>
    <s v="DJ"/>
    <s v="Luyaga Isaac"/>
    <s v="UAY 265V"/>
    <s v="Ntale and Sons"/>
    <n v="153.6"/>
    <s v="OMUK22WRR"/>
    <s v="OM"/>
    <n v="810"/>
    <n v="812"/>
    <n v="2"/>
    <m/>
    <d v="2025-02-16T13:10:00"/>
    <d v="2025-02-16T13:19:00"/>
    <d v="2025-02-16T13:53:00"/>
    <n v="33.842592588189291"/>
    <n v="42.80092592986572"/>
    <x v="0"/>
    <d v="2025-02-17T14:40:00"/>
    <d v="2025-02-17T17:53:00"/>
    <n v="188.97916666712263"/>
    <s v="Waited for empties from trade"/>
    <d v="2025-02-18T16:14:00"/>
    <d v="2025-02-18T17:02:00"/>
    <n v="46.99999999931606"/>
    <x v="0"/>
    <n v="2.0979166666656965"/>
    <n v="3"/>
    <n v="0.90208333333430346"/>
    <n v="50.349999999976717"/>
    <n v="24"/>
    <n v="26.349999999976717"/>
    <n v="5.8292220113903497"/>
    <m/>
    <m/>
    <m/>
    <m/>
    <m/>
  </r>
  <r>
    <d v="2025-02-17T00:00:00"/>
    <x v="1"/>
    <m/>
    <s v="OMCBKQ0RR"/>
    <s v="DJ"/>
    <s v="Benon Ssempijja"/>
    <s v="UAY 526V"/>
    <s v="KATO INVESTMENTS LIMITED-MASAK"/>
    <n v="153.6"/>
    <s v="OMCBKQ0RR"/>
    <s v="OM"/>
    <n v="298"/>
    <n v="300"/>
    <n v="2"/>
    <m/>
    <d v="2025-02-17T06:44:00"/>
    <d v="2025-02-17T06:34:00"/>
    <d v="2025-02-17T07:25:00"/>
    <n v="50.763888887498375"/>
    <n v="40.810185182635905"/>
    <x v="0"/>
    <d v="2025-02-18T11:05:00"/>
    <d v="2025-02-18T13:06:00"/>
    <n v="118.47916666301899"/>
    <m/>
    <d v="2025-02-18T14:03:00"/>
    <d v="2025-02-18T15:00:00"/>
    <n v="55.81249999726424"/>
    <x v="0"/>
    <n v="1.2763888888875954"/>
    <n v="2"/>
    <n v="0.72361111111240461"/>
    <n v="30.633333333302289"/>
    <n v="12"/>
    <n v="18.633333333302289"/>
    <n v="8.2432915921425352"/>
    <m/>
    <m/>
    <m/>
    <m/>
    <m/>
  </r>
  <r>
    <d v="2025-02-17T00:00:00"/>
    <x v="1"/>
    <m/>
    <s v="OMFVAXKRR"/>
    <s v="DJ"/>
    <s v="Stephen Musoke "/>
    <s v="UBJ 375N"/>
    <s v="Ntale and Sons"/>
    <n v="153.6"/>
    <s v="OMFVAXKRR"/>
    <s v="OM"/>
    <n v="810"/>
    <n v="807"/>
    <n v="-3"/>
    <m/>
    <d v="2025-02-16T21:30:00"/>
    <d v="2025-02-16T21:18:00"/>
    <d v="2025-02-16T22:13:00"/>
    <n v="54.745370371529134"/>
    <n v="42.80092592986572"/>
    <x v="0"/>
    <d v="2025-02-17T15:35:00"/>
    <d v="2025-02-17T19:50:00"/>
    <n v="249.6875000034197"/>
    <s v="slept at the RD and offloaded the next day"/>
    <d v="2025-02-17T15:37:00"/>
    <d v="2025-02-17T16:28:00"/>
    <n v="49.93749999863212"/>
    <x v="0"/>
    <n v="0.72499999999854481"/>
    <n v="2"/>
    <n v="1.2750000000014552"/>
    <n v="17.399999999965075"/>
    <n v="0"/>
    <n v="17.399999999965075"/>
    <n v="8.827586206914269"/>
    <m/>
    <m/>
    <m/>
    <m/>
    <m/>
  </r>
  <r>
    <d v="2025-02-17T00:00:00"/>
    <x v="1"/>
    <m/>
    <s v="OMLLIGXRR"/>
    <s v="DJ"/>
    <s v="Isaac Tumuhimbise"/>
    <s v="UBE 287X"/>
    <s v="Kato Investment Ltd -Mubende "/>
    <n v="153.6"/>
    <s v="OMLLIGXRR"/>
    <s v="OM"/>
    <n v="680"/>
    <n v="682"/>
    <n v="2"/>
    <m/>
    <d v="2025-02-16T21:13:00"/>
    <d v="2025-02-16T20:25:00"/>
    <d v="2025-02-16T21:56:00"/>
    <n v="90.578703706948247"/>
    <n v="42.80092592986572"/>
    <x v="0"/>
    <d v="2025-02-19T13:23:00"/>
    <d v="2025-02-19T15:27:00"/>
    <n v="121.41666667259415"/>
    <m/>
    <d v="2025-02-19T16:24:00"/>
    <d v="2025-02-19T17:34:00"/>
    <n v="68.541666664386867"/>
    <x v="9"/>
    <n v="2.7694444444423425"/>
    <n v="2"/>
    <n v="-0.7694444444423425"/>
    <n v="66.46666666661622"/>
    <n v="24"/>
    <n v="42.46666666661622"/>
    <n v="3.6169544741016275"/>
    <m/>
    <m/>
    <m/>
    <m/>
    <m/>
  </r>
  <r>
    <d v="2025-02-18T00:00:00"/>
    <x v="1"/>
    <m/>
    <s v="Z82674"/>
    <s v="Manual"/>
    <m/>
    <s v="UBR 534W"/>
    <s v="Kabaco U Ltd "/>
    <n v="148.80000000000001"/>
    <s v="Z82674"/>
    <s v="OM"/>
    <n v="320"/>
    <n v="319"/>
    <n v="-1"/>
    <m/>
    <d v="2025-02-16T17:42:00"/>
    <d v="2025-02-16T18:00:00"/>
    <d v="2025-02-16T18:23:00"/>
    <n v="22.893518520140788"/>
    <n v="40.810185182635905"/>
    <x v="0"/>
    <d v="2025-02-17T08:54:00"/>
    <d v="2025-02-17T12:57:00"/>
    <n v="237.93749999589636"/>
    <s v="found another truck to be offloaded"/>
    <d v="2025-02-19T16:24:00"/>
    <d v="2025-02-19T17:21:00"/>
    <n v="55.81249999726424"/>
    <x v="0"/>
    <n v="2.9173611111109494"/>
    <n v="2"/>
    <n v="-0.91736111111094942"/>
    <n v="70.016666666662786"/>
    <n v="24"/>
    <n v="46.016666666662786"/>
    <n v="3.2336110105037137"/>
    <m/>
    <m/>
    <m/>
    <m/>
    <m/>
  </r>
  <r>
    <d v="2025-02-18T00:00:00"/>
    <x v="1"/>
    <m/>
    <s v="A20806"/>
    <s v="Manual"/>
    <s v="Eriku Alipa"/>
    <s v="UBK 858R"/>
    <s v="Kato Investments Ltd- Kakumiro"/>
    <n v="43.2"/>
    <s v="A20806"/>
    <s v="OM"/>
    <n v="790"/>
    <n v="792"/>
    <n v="2"/>
    <m/>
    <d v="2025-02-16T20:05:00"/>
    <d v="2025-02-16T20:30:00"/>
    <d v="2025-02-16T20:49:00"/>
    <n v="18.912037036110025"/>
    <n v="43.796296293051761"/>
    <x v="0"/>
    <d v="2025-02-17T14:46:00"/>
    <d v="2025-02-17T16:53:00"/>
    <n v="124.35416667191021"/>
    <m/>
    <d v="2025-02-19T11:43:00"/>
    <d v="2025-02-19T12:39:00"/>
    <n v="54.833333337664953"/>
    <x v="0"/>
    <n v="2.6208333333343035"/>
    <n v="3"/>
    <n v="0.37916666666569654"/>
    <n v="62.900000000023283"/>
    <n v="24"/>
    <n v="38.900000000023283"/>
    <n v="1.11053984575769"/>
    <m/>
    <m/>
    <m/>
    <m/>
    <m/>
  </r>
  <r>
    <d v="2025-02-18T00:00:00"/>
    <x v="1"/>
    <m/>
    <s v="A20804"/>
    <s v="Manual"/>
    <m/>
    <s v="UBR 903Y"/>
    <s v="KATO INVESTMENTS LTD-KATIKARA"/>
    <n v="156"/>
    <s v="A20804"/>
    <s v="OM"/>
    <n v="790"/>
    <n v="792"/>
    <n v="2"/>
    <m/>
    <d v="2025-02-16T20:30:00"/>
    <d v="2025-02-16T21:02:00"/>
    <d v="2025-02-16T21:13:00"/>
    <n v="10.949074078477375"/>
    <n v="42.80092592986572"/>
    <x v="0"/>
    <d v="2025-02-18T12:28:00"/>
    <d v="2025-02-18T14:35:00"/>
    <n v="124.35416667191021"/>
    <m/>
    <d v="2025-02-17T16:17:00"/>
    <d v="2025-02-17T17:08:00"/>
    <n v="49.93749999863212"/>
    <x v="0"/>
    <n v="0.79444444444379769"/>
    <n v="3"/>
    <n v="2.2055555555562023"/>
    <n v="19.066666666651145"/>
    <n v="0"/>
    <n v="19.066666666651145"/>
    <n v="8.181818181824843"/>
    <m/>
    <m/>
    <m/>
    <m/>
    <m/>
  </r>
  <r>
    <d v="2025-02-18T00:00:00"/>
    <x v="1"/>
    <m/>
    <s v="A20807"/>
    <s v="Manual"/>
    <s v="Ngobi Fred"/>
    <s v="UBK 866R"/>
    <s v="Kato Investment Ltd -Mityana"/>
    <n v="156"/>
    <s v="A20807"/>
    <s v="OM"/>
    <n v="690"/>
    <n v="692"/>
    <n v="2"/>
    <m/>
    <d v="2025-02-17T10:22:00"/>
    <d v="2025-02-17T09:44:00"/>
    <d v="2025-02-17T11:06:00"/>
    <n v="81.62037036527181"/>
    <n v="43.796296293051761"/>
    <x v="0"/>
    <d v="2025-02-18T09:57:00"/>
    <d v="2025-02-18T14:44:00"/>
    <n v="281.02083333629707"/>
    <s v="Waited for empties from trade"/>
    <d v="2025-02-19T09:47:00"/>
    <d v="2025-02-19T10:44:00"/>
    <n v="55.81249999726424"/>
    <x v="0"/>
    <n v="1.945138888884685"/>
    <n v="3"/>
    <n v="1.054861111115315"/>
    <n v="46.68333333323244"/>
    <n v="12"/>
    <n v="34.68333333323244"/>
    <n v="4.4978375781005422"/>
    <m/>
    <m/>
    <m/>
    <m/>
    <m/>
  </r>
  <r>
    <d v="2025-02-18T00:00:00"/>
    <x v="1"/>
    <m/>
    <s v="Z82676"/>
    <s v="Manual"/>
    <s v="Tsaale Hassan"/>
    <s v="UBJ 703D"/>
    <s v="Kobusinge Steven-FPortal"/>
    <n v="148.80000000000001"/>
    <s v="Z82676"/>
    <s v="OM"/>
    <n v="304"/>
    <n v="302"/>
    <n v="-2"/>
    <m/>
    <d v="2025-02-17T08:00:00"/>
    <d v="2025-02-17T08:53:00"/>
    <d v="2025-02-17T09:01:00"/>
    <n v="7.9629629680615226"/>
    <n v="60.717592592360838"/>
    <x v="5"/>
    <d v="2025-02-17T08:38:00"/>
    <d v="2025-02-17T13:38:00"/>
    <n v="293.7500000034197"/>
    <s v="Waited for empties from trade"/>
    <d v="2025-02-20T07:09:00"/>
    <d v="2025-02-20T08:05:00"/>
    <n v="54.833333337664953"/>
    <x v="0"/>
    <n v="2.922222222223354"/>
    <n v="2"/>
    <n v="-0.92222222222335404"/>
    <n v="70.133333333360497"/>
    <n v="24"/>
    <n v="46.133333333360497"/>
    <n v="3.2254335260096618"/>
    <m/>
    <m/>
    <m/>
    <m/>
    <m/>
  </r>
  <r>
    <d v="2025-02-18T00:00:00"/>
    <x v="1"/>
    <m/>
    <s v="Z82677"/>
    <s v="Manual"/>
    <s v="ZIWA ABASI"/>
    <s v="UBJ 420C"/>
    <s v="Bates Enterprises Ltd-Ntoroko"/>
    <n v="56"/>
    <s v="Z82677"/>
    <s v="OM"/>
    <n v="464"/>
    <n v="463"/>
    <n v="-1"/>
    <m/>
    <d v="2025-02-16T22:08:00"/>
    <d v="2025-02-16T22:29:00"/>
    <d v="2025-02-16T22:52:00"/>
    <n v="22.893518520140788"/>
    <n v="43.796296293051761"/>
    <x v="0"/>
    <d v="2025-02-17T16:57:00"/>
    <d v="2025-02-17T19:51:00"/>
    <n v="170.37500000136788"/>
    <m/>
    <d v="2025-02-20T07:09:00"/>
    <d v="2025-02-20T08:25:00"/>
    <n v="74.416666663018987"/>
    <x v="8"/>
    <n v="3.3451388888934162"/>
    <n v="3"/>
    <n v="-0.34513888889341615"/>
    <n v="80.283333333441988"/>
    <n v="36"/>
    <n v="44.283333333441988"/>
    <n v="1.2645841174225652"/>
    <m/>
    <m/>
    <m/>
    <m/>
    <m/>
  </r>
  <r>
    <d v="2025-02-18T00:00:00"/>
    <x v="1"/>
    <m/>
    <s v="A20808"/>
    <s v="Manual"/>
    <s v="Ikwalikwa Yusuf"/>
    <s v="UBP 311H"/>
    <s v="Ntale and Sons Ltd-Kakiri"/>
    <n v="156"/>
    <s v="A20808"/>
    <s v="OM"/>
    <n v="620"/>
    <n v="619"/>
    <n v="-1"/>
    <m/>
    <d v="2025-02-18T09:46:00"/>
    <d v="2025-02-18T10:06:00"/>
    <d v="2025-02-18T10:29:00"/>
    <n v="22.893518520140788"/>
    <n v="42.80092592986572"/>
    <x v="0"/>
    <d v="2025-02-17T09:23:00"/>
    <d v="2025-02-17T12:12:00"/>
    <n v="165.47916666233505"/>
    <m/>
    <d v="2025-02-18T14:03:00"/>
    <d v="2025-02-18T14:54:00"/>
    <n v="49.93749999863212"/>
    <x v="0"/>
    <n v="0.148611111115315"/>
    <n v="2"/>
    <n v="1.851388888884685"/>
    <n v="3.5666666667675599"/>
    <n v="0"/>
    <n v="3.5666666667675599"/>
    <n v="43.73831775577208"/>
    <m/>
    <m/>
    <m/>
    <m/>
    <m/>
  </r>
  <r>
    <d v="2025-02-18T00:00:00"/>
    <x v="1"/>
    <m/>
    <s v="A20799"/>
    <s v="Manual"/>
    <s v="Ntumwa Solomon"/>
    <s v="UBR 540W"/>
    <s v="Ntale and Sons Ltd-Kakiri"/>
    <n v="156"/>
    <s v="A20799"/>
    <s v="OM"/>
    <n v="620"/>
    <n v="617"/>
    <n v="-3"/>
    <m/>
    <d v="2025-02-18T07:44:00"/>
    <d v="2025-02-18T08:05:00"/>
    <d v="2025-02-18T08:28:00"/>
    <n v="22.893518520140788"/>
    <n v="43.796296293051761"/>
    <x v="0"/>
    <d v="2025-02-17T19:05:00"/>
    <d v="2025-02-18T10:21:00"/>
    <n v="896.91666666643869"/>
    <s v="less casuals and offloaded the next day"/>
    <d v="2025-02-18T15:37:00"/>
    <d v="2025-02-18T16:28:00"/>
    <n v="49.93749999863212"/>
    <x v="0"/>
    <n v="0.29791666666278616"/>
    <n v="3"/>
    <n v="2.7020833333372138"/>
    <n v="7.1499999999068677"/>
    <n v="0"/>
    <n v="7.1499999999068677"/>
    <n v="21.818181818466012"/>
    <m/>
    <m/>
    <m/>
    <m/>
    <m/>
  </r>
  <r>
    <d v="2025-02-18T00:00:00"/>
    <x v="1"/>
    <m/>
    <s v="A20798"/>
    <s v="Manual"/>
    <s v="kakembo Masudi"/>
    <s v="UBM 644D"/>
    <s v="Sawan Distributors Ltd-Nabingo"/>
    <n v="148.80000000000001"/>
    <s v="A20798"/>
    <s v="OM"/>
    <n v="560"/>
    <n v="562"/>
    <n v="2"/>
    <m/>
    <d v="2025-02-18T08:27:00"/>
    <d v="2025-02-18T08:35:00"/>
    <d v="2025-02-18T09:10:00"/>
    <n v="34.837962961804202"/>
    <n v="42.80092592986572"/>
    <x v="0"/>
    <d v="2025-02-18T10:10:00"/>
    <d v="2025-02-18T12:57:00"/>
    <n v="163.52083333287737"/>
    <m/>
    <d v="2025-02-19T16:24:00"/>
    <d v="2025-02-19T17:12:00"/>
    <n v="46.99999999931606"/>
    <x v="0"/>
    <n v="1.3013888888890506"/>
    <n v="2"/>
    <n v="0.69861111111094942"/>
    <n v="31.233333333337214"/>
    <n v="12"/>
    <n v="19.233333333337214"/>
    <n v="7.7365684575374347"/>
    <m/>
    <m/>
    <m/>
    <m/>
    <m/>
  </r>
  <r>
    <d v="2025-02-18T00:00:00"/>
    <x v="1"/>
    <m/>
    <s v="A20778"/>
    <s v="Manual"/>
    <s v="Mudunga Musa"/>
    <s v="UBE 678K"/>
    <s v="Sawan Distributors Ltd-Kayabwe"/>
    <n v="148.80000000000001"/>
    <s v="A20778"/>
    <s v="OM"/>
    <n v="382"/>
    <n v="384"/>
    <n v="2"/>
    <m/>
    <d v="2025-02-18T10:06:00"/>
    <d v="2025-02-18T10:27:00"/>
    <d v="2025-02-18T10:48:00"/>
    <n v="20.902777772910969"/>
    <n v="41.805555556250816"/>
    <x v="0"/>
    <d v="2025-02-18T11:05:00"/>
    <d v="2025-02-18T13:06:00"/>
    <n v="118.47916666301899"/>
    <m/>
    <d v="2025-02-19T11:43:00"/>
    <d v="2025-02-19T12:40:00"/>
    <n v="55.81249999726424"/>
    <x v="0"/>
    <n v="1.0381944444452529"/>
    <n v="2"/>
    <n v="0.96180555555474712"/>
    <n v="24.916666666686069"/>
    <n v="12"/>
    <n v="12.916666666686069"/>
    <n v="11.519999999982696"/>
    <m/>
    <m/>
    <m/>
    <m/>
    <m/>
  </r>
  <r>
    <d v="2025-02-18T00:00:00"/>
    <x v="1"/>
    <m/>
    <s v="OM5OK06RR"/>
    <s v="DJ"/>
    <s v="Jacob Oneka"/>
    <s v="UBE 422T"/>
    <s v="Kabaco U Ltd-Mbarara "/>
    <n v="153.6"/>
    <s v="OM5OK06RR"/>
    <s v="OM"/>
    <n v="20"/>
    <n v="21"/>
    <n v="1"/>
    <m/>
    <d v="2025-02-17T14:04:00"/>
    <d v="2025-02-17T13:52:00"/>
    <d v="2025-02-17T14:47:00"/>
    <n v="54.745370371529134"/>
    <n v="42.80092592986572"/>
    <x v="0"/>
    <d v="2025-02-17T14:46:00"/>
    <d v="2025-02-17T16:53:00"/>
    <n v="124.35416667191021"/>
    <m/>
    <d v="2025-02-18T14:03:00"/>
    <d v="2025-02-18T14:59:00"/>
    <n v="54.833333337664953"/>
    <x v="0"/>
    <n v="0.96944444444670808"/>
    <n v="2"/>
    <n v="1.0305555555532919"/>
    <n v="23.266666666720994"/>
    <n v="0"/>
    <n v="23.266666666720994"/>
    <n v="6.6017191976923213"/>
    <m/>
    <m/>
    <m/>
    <m/>
    <m/>
  </r>
  <r>
    <d v="2025-02-18T00:00:00"/>
    <x v="1"/>
    <m/>
    <s v="OM9TWHKRR"/>
    <s v="DJ"/>
    <s v="Benon Ssempijja"/>
    <s v="UAY 526V"/>
    <s v="Ntale and Sons"/>
    <n v="153.6"/>
    <s v="OM9TWHKRR"/>
    <s v="OM"/>
    <n v="810"/>
    <n v="809"/>
    <n v="-1"/>
    <m/>
    <d v="2025-02-17T12:58:00"/>
    <d v="2025-02-17T13:20:00"/>
    <d v="2025-02-17T13:39:00"/>
    <n v="18.912037036110025"/>
    <n v="40.810185182635905"/>
    <x v="0"/>
    <d v="2025-02-18T12:28:00"/>
    <d v="2025-02-18T14:35:00"/>
    <n v="124.35416667191021"/>
    <m/>
    <d v="2025-02-17T15:37:00"/>
    <d v="2025-02-17T16:28:00"/>
    <n v="49.93749999863212"/>
    <x v="0"/>
    <n v="8.1944444442342501E-2"/>
    <n v="3"/>
    <n v="2.9180555555576575"/>
    <n v="1.96666666661622"/>
    <n v="0"/>
    <n v="1.96666666661622"/>
    <n v="78.101694917257603"/>
    <m/>
    <m/>
    <m/>
    <m/>
    <m/>
  </r>
  <r>
    <d v="2025-02-18T00:00:00"/>
    <x v="1"/>
    <m/>
    <s v="OMBHUVNRR"/>
    <s v="DJ"/>
    <s v="Kabene John"/>
    <s v="UBA 523T"/>
    <s v="Ntale and Sons"/>
    <n v="153.6"/>
    <s v="OMBHUVNRR"/>
    <s v="OM"/>
    <n v="810"/>
    <n v="809"/>
    <n v="-1"/>
    <m/>
    <d v="2025-02-17T13:19:00"/>
    <d v="2025-02-17T13:46:00"/>
    <d v="2025-02-17T14:00:00"/>
    <n v="13.935185188893229"/>
    <n v="40.810185182635905"/>
    <x v="0"/>
    <d v="2025-02-18T09:57:00"/>
    <d v="2025-02-18T14:44:00"/>
    <n v="281.02083333629707"/>
    <s v="space consquents"/>
    <d v="2025-02-19T16:24:00"/>
    <d v="2025-02-19T17:21:00"/>
    <n v="55.81249999726424"/>
    <x v="0"/>
    <n v="2.0999999999985448"/>
    <n v="2"/>
    <n v="-9.9999999998544808E-2"/>
    <n v="50.399999999965075"/>
    <n v="24"/>
    <n v="26.399999999965075"/>
    <n v="5.8181818181895144"/>
    <m/>
    <m/>
    <m/>
    <m/>
    <m/>
  </r>
  <r>
    <d v="2025-02-18T00:00:00"/>
    <x v="1"/>
    <m/>
    <s v="OMFNWCZRR"/>
    <s v="DJ"/>
    <s v="SENTONG DAVID"/>
    <s v="UBP 298H"/>
    <s v="Kato Investment Ltd -Mubende "/>
    <n v="156"/>
    <s v="OMFNWCZRR"/>
    <s v="OM"/>
    <n v="680"/>
    <n v="679"/>
    <n v="-1"/>
    <m/>
    <d v="2025-02-18T18:14:00"/>
    <d v="2025-02-18T18:27:00"/>
    <d v="2025-02-18T18:55:00"/>
    <n v="27.870370367357584"/>
    <n v="40.810185182635905"/>
    <x v="0"/>
    <d v="2025-02-19T11:40:00"/>
    <d v="2025-02-19T14:41:00"/>
    <n v="177.22916666985839"/>
    <m/>
    <d v="2025-02-19T16:24:00"/>
    <d v="2025-02-19T17:21:00"/>
    <n v="55.81249999726424"/>
    <x v="0"/>
    <n v="0.89513888888905058"/>
    <n v="3"/>
    <n v="2.1048611111109494"/>
    <n v="21.483333333337214"/>
    <n v="0"/>
    <n v="21.483333333337214"/>
    <n v="7.2614429790522186"/>
    <m/>
    <m/>
    <m/>
    <m/>
    <m/>
  </r>
  <r>
    <d v="2025-02-18T00:00:00"/>
    <x v="1"/>
    <m/>
    <s v="OMV95IBRR"/>
    <s v="DJ"/>
    <s v="Kilabila Ismail"/>
    <s v="UBE 419T"/>
    <s v="KATO INVESTMENTS LIMITED-MASAK "/>
    <n v="153.6"/>
    <s v="OMV95IBRR"/>
    <s v="OM"/>
    <n v="298"/>
    <n v="295"/>
    <n v="-3"/>
    <m/>
    <d v="2025-02-18T17:23:00"/>
    <d v="2025-02-18T17:45:00"/>
    <d v="2025-02-18T18:06:00"/>
    <n v="20.902777772910969"/>
    <n v="42.80092592986572"/>
    <x v="0"/>
    <d v="2025-02-17T08:38:00"/>
    <d v="2025-02-17T13:38:00"/>
    <n v="293.7500000034197"/>
    <s v="less casuals and offloaded the next day"/>
    <d v="2025-02-19T11:43:00"/>
    <d v="2025-02-19T12:37:00"/>
    <n v="52.87499999794818"/>
    <x v="0"/>
    <n v="0.73402777777664596"/>
    <n v="2"/>
    <n v="1.265972222223354"/>
    <n v="17.616666666639503"/>
    <n v="0"/>
    <n v="17.616666666639503"/>
    <n v="8.7190160832679382"/>
    <m/>
    <m/>
    <m/>
    <m/>
    <m/>
  </r>
  <r>
    <d v="2025-02-18T00:00:00"/>
    <x v="1"/>
    <m/>
    <s v="OMAIDXSRR"/>
    <s v="DJ"/>
    <s v="Luyaga Isaac"/>
    <s v="UAY 265V"/>
    <s v="KATO INVESTMENTS LTD- KALISIZO "/>
    <n v="153.6"/>
    <s v="OMAIDXSRR"/>
    <s v="OM"/>
    <n v="350"/>
    <n v="351"/>
    <n v="1"/>
    <m/>
    <d v="2025-02-17T20:32:00"/>
    <d v="2025-02-17T10:00:00"/>
    <d v="2025-02-17T21:13:00"/>
    <n v="669.88425926319906"/>
    <n v="40.810185182635905"/>
    <x v="0"/>
    <d v="2025-02-17T08:38:00"/>
    <d v="2025-02-17T13:38:00"/>
    <n v="293.7500000034197"/>
    <s v="found another truck at the RD and offloaded the next day"/>
    <d v="2025-02-18T16:17:00"/>
    <d v="2025-02-18T17:33:00"/>
    <n v="74.416666663018987"/>
    <x v="9"/>
    <n v="0.79444444444379769"/>
    <n v="2"/>
    <n v="1.2055555555562023"/>
    <n v="19.066666666651145"/>
    <n v="0"/>
    <n v="19.066666666651145"/>
    <n v="8.0559440559506132"/>
    <m/>
    <m/>
    <m/>
    <m/>
    <m/>
  </r>
  <r>
    <d v="2025-02-19T00:00:00"/>
    <x v="1"/>
    <m/>
    <s v="A20819"/>
    <s v="Manual"/>
    <s v="Lule Fred"/>
    <s v="UBP 310H"/>
    <s v="Kato Investment Ltd -Mubende"/>
    <n v="156"/>
    <s v="A20819"/>
    <s v="OM"/>
    <n v="680"/>
    <n v="682"/>
    <n v="2"/>
    <m/>
    <d v="2025-02-17T17:35:00"/>
    <d v="2025-02-17T18:07:00"/>
    <d v="2025-02-17T18:19:00"/>
    <n v="11.944444441663412"/>
    <n v="43.796296293051761"/>
    <x v="0"/>
    <d v="2025-02-18T09:26:00"/>
    <d v="2025-02-18T13:02:00"/>
    <n v="211.50000000205182"/>
    <s v="Reached late and offloaded the next day"/>
    <d v="2025-02-19T07:26:00"/>
    <d v="2025-02-19T08:17:00"/>
    <n v="49.93749999863212"/>
    <x v="0"/>
    <n v="1.546527777776646"/>
    <n v="2"/>
    <n v="0.45347222222335404"/>
    <n v="37.116666666639503"/>
    <n v="12"/>
    <n v="25.116666666639503"/>
    <n v="6.2110152621168702"/>
    <m/>
    <m/>
    <m/>
    <m/>
    <m/>
  </r>
  <r>
    <d v="2025-02-19T00:00:00"/>
    <x v="1"/>
    <m/>
    <s v="Z82686"/>
    <s v="Manual"/>
    <m/>
    <s v="UBR 533W"/>
    <s v="Kobusinge Steven-FPortal"/>
    <n v="156"/>
    <s v="Z82686"/>
    <s v="OM"/>
    <n v="304"/>
    <n v="302"/>
    <n v="-2"/>
    <m/>
    <d v="2025-02-17T20:28:00"/>
    <d v="2025-02-17T20:50:00"/>
    <d v="2025-02-17T21:11:00"/>
    <n v="20.902777772910969"/>
    <n v="42.80092592986572"/>
    <x v="0"/>
    <d v="2025-02-18T11:43:00"/>
    <d v="2025-02-18T14:53:00"/>
    <n v="186.04166666780657"/>
    <s v="truck faulty"/>
    <d v="2025-02-21T13:00:00"/>
    <d v="2025-02-21T13:48:00"/>
    <n v="46.99999999931606"/>
    <x v="0"/>
    <n v="3.6590277777722804"/>
    <n v="2"/>
    <n v="-1.6590277777722804"/>
    <n v="87.816666666534729"/>
    <n v="36"/>
    <n v="51.816666666534729"/>
    <n v="3.010614345456363"/>
    <m/>
    <m/>
    <m/>
    <m/>
    <m/>
  </r>
  <r>
    <d v="2025-02-19T00:00:00"/>
    <x v="1"/>
    <m/>
    <s v="A20816"/>
    <s v="Manual"/>
    <s v="Nakalya John"/>
    <s v="UBM 648D"/>
    <s v="Sawan Distributors Ltd-Kayabwe"/>
    <n v="156"/>
    <s v="A20816"/>
    <s v="OM"/>
    <n v="382"/>
    <n v="379"/>
    <n v="-3"/>
    <m/>
    <d v="2025-02-17T16:16:00"/>
    <d v="2025-02-17T16:29:00"/>
    <d v="2025-02-17T16:57:00"/>
    <n v="27.870370367357584"/>
    <n v="40.810185182635905"/>
    <x v="0"/>
    <d v="2025-02-18T16:15:00"/>
    <d v="2025-02-18T18:20:00"/>
    <n v="122.39583333219343"/>
    <m/>
    <d v="2025-02-18T13:40:00"/>
    <d v="2025-02-18T14:36:00"/>
    <n v="54.833333337664953"/>
    <x v="0"/>
    <n v="0.8631944444423425"/>
    <n v="2"/>
    <n v="1.1368055555576575"/>
    <n v="20.71666666661622"/>
    <n v="0"/>
    <n v="20.71666666661622"/>
    <n v="7.5301689461164862"/>
    <m/>
    <m/>
    <m/>
    <m/>
    <m/>
  </r>
  <r>
    <d v="2025-02-19T00:00:00"/>
    <x v="1"/>
    <m/>
    <s v="F15920"/>
    <s v="Manual"/>
    <s v="Faruk Abel"/>
    <s v="UBR 539W"/>
    <s v="Boniface Harera"/>
    <n v="156"/>
    <s v="F15920"/>
    <s v="OM"/>
    <n v="448"/>
    <n v="449"/>
    <n v="1"/>
    <m/>
    <d v="2025-02-17T17:11:00"/>
    <d v="2025-02-17T17:48:00"/>
    <d v="2025-02-17T17:52:00"/>
    <n v="3.9814814840307613"/>
    <n v="40.810185182635905"/>
    <x v="0"/>
    <d v="2025-02-19T18:06:00"/>
    <d v="2025-02-19T20:17:00"/>
    <n v="128.27083333082555"/>
    <m/>
    <d v="2025-02-22T14:19:00"/>
    <d v="2025-02-22T15:16:00"/>
    <n v="55.81249999726424"/>
    <x v="0"/>
    <n v="4.852083333338669"/>
    <n v="2"/>
    <n v="-2.852083333338669"/>
    <n v="116.45000000012806"/>
    <n v="48"/>
    <n v="68.450000000128057"/>
    <n v="2.2790357925450424"/>
    <m/>
    <m/>
    <m/>
    <m/>
    <m/>
  </r>
  <r>
    <d v="2025-02-19T00:00:00"/>
    <x v="1"/>
    <m/>
    <s v="A20822"/>
    <s v="Manual"/>
    <s v="Bwanga Gilbert"/>
    <s v="UBK 862R"/>
    <s v="Kato Investment Ltd -Kagadi"/>
    <n v="156"/>
    <s v="A20822"/>
    <s v="OM"/>
    <n v="670"/>
    <n v="671"/>
    <n v="1"/>
    <m/>
    <d v="2025-02-18T21:44:00"/>
    <d v="2025-02-18T22:06:00"/>
    <d v="2025-02-18T22:27:00"/>
    <n v="20.902777772910969"/>
    <n v="42.80092592986572"/>
    <x v="0"/>
    <d v="2025-02-17T14:20:00"/>
    <d v="2025-02-17T16:48:00"/>
    <n v="144.91666666712263"/>
    <m/>
    <d v="2025-02-20T17:22:00"/>
    <d v="2025-02-20T18:18:00"/>
    <n v="54.833333337664953"/>
    <x v="0"/>
    <n v="1.7881944444452529"/>
    <n v="2"/>
    <n v="0.21180555555474712"/>
    <n v="42.916666666686069"/>
    <n v="12"/>
    <n v="30.916666666686069"/>
    <n v="5.0458221024227097"/>
    <m/>
    <m/>
    <m/>
    <m/>
    <m/>
  </r>
  <r>
    <d v="2025-02-19T00:00:00"/>
    <x v="1"/>
    <m/>
    <s v="Z82685"/>
    <s v="Manual"/>
    <m/>
    <s v="UBR 537W"/>
    <s v="Bates Enterprises U Ltd"/>
    <n v="156"/>
    <s v="Z82685"/>
    <s v="OM"/>
    <n v="414"/>
    <n v="416"/>
    <n v="2"/>
    <m/>
    <d v="2025-02-18T15:01:00"/>
    <d v="2025-02-18T14:54:00"/>
    <d v="2025-02-18T15:44:00"/>
    <n v="49.768518513883464"/>
    <n v="42.80092592986572"/>
    <x v="0"/>
    <d v="2025-02-18T21:42:00"/>
    <d v="2025-02-19T00:42:00"/>
    <n v="176.25"/>
    <m/>
    <d v="2025-02-22T19:20:00"/>
    <d v="2025-02-22T20:16:00"/>
    <n v="54.833333337664953"/>
    <x v="0"/>
    <n v="4.1500000000014552"/>
    <n v="3"/>
    <n v="-1.1500000000014552"/>
    <n v="99.600000000034925"/>
    <n v="48"/>
    <n v="51.600000000034925"/>
    <n v="3.0232558139514421"/>
    <m/>
    <m/>
    <m/>
    <m/>
    <m/>
  </r>
  <r>
    <d v="2025-02-19T00:00:00"/>
    <x v="1"/>
    <m/>
    <s v="Z82687"/>
    <s v="Manual"/>
    <s v="Matovu Musa"/>
    <s v="UBR 538W"/>
    <s v="Kobusinge Acaali- Kyenjojo"/>
    <n v="156"/>
    <s v="Z82687"/>
    <s v="OM"/>
    <n v="580"/>
    <n v="582"/>
    <n v="2"/>
    <m/>
    <d v="2025-02-18T19:10:00"/>
    <d v="2025-02-18T19:26:00"/>
    <d v="2025-02-18T19:54:00"/>
    <n v="27.870370367357584"/>
    <n v="43.796296293051761"/>
    <x v="0"/>
    <d v="2025-02-18T13:35:00"/>
    <d v="2025-02-18T16:07:00"/>
    <n v="148.83333333629707"/>
    <m/>
    <d v="2025-02-19T16:37:00"/>
    <d v="2025-02-19T17:34:00"/>
    <n v="55.81249999726424"/>
    <x v="0"/>
    <n v="0.8631944444423425"/>
    <n v="2"/>
    <n v="1.1368055555576575"/>
    <n v="20.71666666661622"/>
    <n v="0"/>
    <n v="20.71666666661622"/>
    <n v="7.5301689461164862"/>
    <m/>
    <m/>
    <m/>
    <m/>
    <m/>
  </r>
  <r>
    <d v="2025-02-19T00:00:00"/>
    <x v="1"/>
    <m/>
    <s v="A20820"/>
    <s v="Manual"/>
    <s v="Sentongo paul"/>
    <s v="UBR 541W"/>
    <s v="Kato Investments Ltd- Kyegegwa"/>
    <n v="156"/>
    <s v="A20820"/>
    <s v="OM"/>
    <n v="600"/>
    <n v="602"/>
    <n v="2"/>
    <m/>
    <d v="2025-02-18T17:23:00"/>
    <d v="2025-02-18T17:45:00"/>
    <d v="2025-02-18T18:06:00"/>
    <n v="20.902777772910969"/>
    <n v="42.80092592986572"/>
    <x v="0"/>
    <d v="2025-02-18T10:46:00"/>
    <d v="2025-02-18T13:18:00"/>
    <n v="148.83333333629707"/>
    <m/>
    <d v="2025-02-19T17:24:00"/>
    <d v="2025-02-19T18:19:00"/>
    <n v="53.854166667806567"/>
    <x v="0"/>
    <n v="0.97083333333284827"/>
    <n v="3"/>
    <n v="2.0291666666671517"/>
    <n v="23.299999999988358"/>
    <n v="0"/>
    <n v="23.299999999988358"/>
    <n v="6.6952789699604267"/>
    <m/>
    <m/>
    <m/>
    <m/>
    <m/>
  </r>
  <r>
    <d v="2025-02-19T00:00:00"/>
    <x v="1"/>
    <m/>
    <s v="A20821"/>
    <s v="Manual"/>
    <s v="Mulumba Kasim"/>
    <s v="UBE 680K"/>
    <s v="KATO INVESTMENTS LTD-KATIKARA"/>
    <n v="148.80000000000001"/>
    <s v="A20821"/>
    <s v="OM"/>
    <n v="790"/>
    <n v="788"/>
    <n v="-2"/>
    <m/>
    <d v="2025-02-18T12:59:00"/>
    <d v="2025-02-18T13:21:00"/>
    <d v="2025-02-18T13:42:00"/>
    <n v="20.902777772910969"/>
    <n v="42.80092592986572"/>
    <x v="0"/>
    <d v="2025-02-18T15:26:00"/>
    <d v="2025-02-18T19:59:00"/>
    <n v="267.31249999931606"/>
    <s v="Waited for empties from trade"/>
    <d v="2025-02-19T10:20:00"/>
    <d v="2025-02-19T11:13:00"/>
    <n v="51.895833338348893"/>
    <x v="0"/>
    <n v="0.85972222222335404"/>
    <n v="3"/>
    <n v="2.140277777776646"/>
    <n v="20.633333333360497"/>
    <n v="0"/>
    <n v="20.633333333360497"/>
    <n v="7.211631663964658"/>
    <m/>
    <m/>
    <m/>
    <m/>
    <m/>
  </r>
  <r>
    <d v="2025-02-19T00:00:00"/>
    <x v="1"/>
    <m/>
    <s v="A20828"/>
    <s v="Manual"/>
    <s v="Byanshala Stoney"/>
    <s v="UBP 312H"/>
    <s v="Ntale and Sons Ltd-Kakiri"/>
    <n v="156"/>
    <s v="A20828"/>
    <s v="OM"/>
    <n v="620"/>
    <n v="622"/>
    <n v="2"/>
    <m/>
    <d v="2025-02-18T19:45:00"/>
    <d v="2025-02-18T20:23:00"/>
    <d v="2025-02-18T20:27:00"/>
    <n v="3.9814814840307613"/>
    <n v="41.805555556250816"/>
    <x v="0"/>
    <d v="2025-02-19T09:55:00"/>
    <d v="2025-02-19T12:26:00"/>
    <n v="147.85416666643869"/>
    <m/>
    <d v="2025-02-19T14:55:00"/>
    <d v="2025-02-19T16:05:00"/>
    <n v="68.541666664386867"/>
    <x v="9"/>
    <n v="0.76944444444961846"/>
    <n v="2"/>
    <n v="1.2305555555503815"/>
    <n v="18.466666666790843"/>
    <n v="0"/>
    <n v="18.466666666790843"/>
    <n v="8.447653429546083"/>
    <m/>
    <m/>
    <m/>
    <m/>
    <m/>
  </r>
  <r>
    <d v="2025-02-19T00:00:00"/>
    <x v="1"/>
    <m/>
    <s v="OMPBEA7RR"/>
    <s v="DJ"/>
    <s v="Isaac Tumuhimbise"/>
    <s v="UBE 287X"/>
    <s v="RUGOMA TRADERS CO. LTD NTUNGAM "/>
    <n v="153.6"/>
    <s v="OMPBEA7RR"/>
    <s v="OM"/>
    <n v="150"/>
    <n v="149"/>
    <n v="-1"/>
    <m/>
    <d v="2025-02-18T21:05:00"/>
    <d v="2025-02-18T21:15:00"/>
    <d v="2025-02-18T21:49:00"/>
    <n v="33.842592588189291"/>
    <n v="43.796296293051761"/>
    <x v="0"/>
    <d v="2025-02-19T10:57:00"/>
    <d v="2025-02-19T16:34:00"/>
    <n v="329.97916666507081"/>
    <s v="found another truck at RD"/>
    <d v="2025-02-19T13:02:00"/>
    <d v="2025-02-19T13:59:00"/>
    <n v="55.81249999726424"/>
    <x v="0"/>
    <n v="0.63402777777810115"/>
    <n v="1"/>
    <n v="0.36597222222189885"/>
    <n v="15.216666666674428"/>
    <n v="0"/>
    <n v="15.216666666674428"/>
    <n v="10.094194961659692"/>
    <m/>
    <m/>
    <m/>
    <m/>
    <m/>
  </r>
  <r>
    <d v="2025-02-20T00:00:00"/>
    <x v="1"/>
    <m/>
    <s v="A20840"/>
    <s v="Manual"/>
    <s v="Kabanda Ronald"/>
    <s v="UBE 684K"/>
    <s v="KATO INVESTMENTS LTD-KATIKARA"/>
    <n v="148.80000000000001"/>
    <s v="A20840"/>
    <s v="OM"/>
    <n v="790"/>
    <n v="792"/>
    <n v="2"/>
    <m/>
    <d v="2025-02-18T15:01:00"/>
    <d v="2025-02-18T14:23:00"/>
    <d v="2025-02-18T15:45:00"/>
    <n v="81.62037036527181"/>
    <n v="43.796296293051761"/>
    <x v="0"/>
    <d v="2025-02-19T10:40:00"/>
    <d v="2025-02-19T16:08:00"/>
    <n v="321.16666666712263"/>
    <s v="Waited for empties from trade"/>
    <d v="2025-02-19T12:11:00"/>
    <d v="2025-02-19T13:04:00"/>
    <n v="51.895833338348893"/>
    <x v="0"/>
    <n v="0.85138888889196096"/>
    <n v="2"/>
    <n v="1.148611111108039"/>
    <n v="20.433333333407063"/>
    <n v="0"/>
    <n v="20.433333333407063"/>
    <n v="7.2822185970373452"/>
    <m/>
    <m/>
    <m/>
    <m/>
    <m/>
  </r>
  <r>
    <d v="2025-02-20T00:00:00"/>
    <x v="1"/>
    <m/>
    <s v="Z82694"/>
    <s v="Manual"/>
    <m/>
    <s v="UBJ 421C"/>
    <s v="Kabaco U Ltd "/>
    <n v="156"/>
    <s v="Z82694"/>
    <s v="OM"/>
    <n v="320"/>
    <n v="317"/>
    <n v="-3"/>
    <m/>
    <d v="2025-02-19T15:39:00"/>
    <d v="2025-02-19T15:09:00"/>
    <d v="2025-02-19T16:22:00"/>
    <n v="72.662037034024252"/>
    <n v="42.80092592986572"/>
    <x v="0"/>
    <d v="2025-02-19T17:23:00"/>
    <d v="2025-02-19T20:16:00"/>
    <n v="169.39583333150949"/>
    <m/>
    <d v="2025-02-20T17:09:00"/>
    <d v="2025-02-20T18:02:00"/>
    <n v="51.895833338348893"/>
    <x v="0"/>
    <n v="1.0326388888934162"/>
    <n v="2"/>
    <n v="0.96736111110658385"/>
    <n v="24.783333333441988"/>
    <n v="12"/>
    <n v="12.783333333441988"/>
    <n v="12.203389830404749"/>
    <m/>
    <m/>
    <m/>
    <m/>
    <m/>
  </r>
  <r>
    <d v="2025-02-20T00:00:00"/>
    <x v="1"/>
    <m/>
    <s v="A20847"/>
    <s v="Manual"/>
    <m/>
    <s v="UBR 868Y"/>
    <s v="Kato Investments Ltd- Kakumiro"/>
    <n v="156"/>
    <s v="A20847"/>
    <s v="OM"/>
    <n v="790"/>
    <n v="788"/>
    <n v="-2"/>
    <m/>
    <d v="2025-02-18T14:27:00"/>
    <d v="2025-02-18T13:41:00"/>
    <d v="2025-02-18T15:10:00"/>
    <n v="88.587962959718425"/>
    <n v="42.80092592986572"/>
    <x v="0"/>
    <d v="2025-02-17T21:03:00"/>
    <d v="2025-02-18T12:38:00"/>
    <n v="915.52083333219343"/>
    <s v="Reached late and offloaded the next day"/>
    <d v="2025-02-19T15:17:00"/>
    <d v="2025-02-19T16:05:00"/>
    <n v="46.99999999931606"/>
    <x v="0"/>
    <n v="1.0048611111124046"/>
    <n v="2"/>
    <n v="0.99513888888759539"/>
    <n v="24.116666666697711"/>
    <n v="12"/>
    <n v="12.116666666697711"/>
    <n v="12.87482806048971"/>
    <m/>
    <m/>
    <m/>
    <m/>
    <m/>
  </r>
  <r>
    <d v="2025-02-20T00:00:00"/>
    <x v="1"/>
    <m/>
    <s v="Z82692"/>
    <s v="Manual"/>
    <s v="Taimwa Alex"/>
    <s v="UBJ 705D"/>
    <s v="Kabaco U Ltd "/>
    <n v="156"/>
    <s v="Z82692"/>
    <s v="OM"/>
    <n v="320"/>
    <n v="55"/>
    <n v="-265"/>
    <m/>
    <d v="2025-02-20T08:33:00"/>
    <d v="2025-02-19T15:09:00"/>
    <d v="2025-02-20T09:14:00"/>
    <n v="1079.9768518576457"/>
    <n v="40.810185182635905"/>
    <x v="0"/>
    <d v="2025-02-18T09:26:00"/>
    <d v="2025-02-18T13:02:00"/>
    <n v="211.50000000205182"/>
    <s v="First offloaded their route sale trucks"/>
    <d v="2025-02-20T11:43:00"/>
    <d v="2025-02-20T12:36:00"/>
    <n v="51.895833338348893"/>
    <x v="0"/>
    <n v="0.10347222221753327"/>
    <n v="2"/>
    <n v="1.8965277777824667"/>
    <n v="2.4833333332207985"/>
    <n v="0"/>
    <n v="2.4833333332207985"/>
    <n v="62.818791949155425"/>
    <m/>
    <m/>
    <m/>
    <m/>
    <m/>
  </r>
  <r>
    <d v="2025-02-20T00:00:00"/>
    <x v="1"/>
    <m/>
    <s v="F15922"/>
    <s v="Manual"/>
    <s v="Ntumwa Solomon"/>
    <s v="UBR 540W"/>
    <s v="Boniface Harera"/>
    <n v="134.4"/>
    <s v="F15922"/>
    <s v="OM"/>
    <n v="448"/>
    <n v="445"/>
    <n v="-3"/>
    <m/>
    <d v="2025-02-18T09:33:00"/>
    <d v="2025-02-17T21:00:00"/>
    <d v="2025-02-18T10:29:00"/>
    <n v="805.25462962638505"/>
    <n v="55.740740745144045"/>
    <x v="0"/>
    <d v="2025-02-18T16:15:00"/>
    <d v="2025-02-18T18:20:00"/>
    <n v="122.39583333219343"/>
    <m/>
    <d v="2025-02-19T09:47:00"/>
    <d v="2025-02-19T10:46:00"/>
    <n v="57.770833336981013"/>
    <x v="0"/>
    <n v="0.97083333333284827"/>
    <n v="2"/>
    <n v="1.0291666666671517"/>
    <n v="23.299999999988358"/>
    <n v="0"/>
    <n v="23.299999999988358"/>
    <n v="5.7682403433505218"/>
    <m/>
    <m/>
    <m/>
    <m/>
    <m/>
  </r>
  <r>
    <d v="2025-02-20T00:00:00"/>
    <x v="1"/>
    <m/>
    <s v="Z82709"/>
    <s v="Manual"/>
    <s v="Ikwalikwa Yusuf"/>
    <s v="UBP 311H"/>
    <s v="Kobusinge Steven-FPortal"/>
    <n v="156"/>
    <s v="Z82709"/>
    <s v="OM"/>
    <n v="304"/>
    <n v="306"/>
    <n v="2"/>
    <m/>
    <d v="2025-02-19T08:31:00"/>
    <d v="2025-02-18T07:42:00"/>
    <d v="2025-02-19T09:14:00"/>
    <n v="1524.9074074138964"/>
    <n v="42.80092592986572"/>
    <x v="0"/>
    <d v="2025-02-17T14:20:00"/>
    <d v="2025-02-17T16:48:00"/>
    <n v="144.91666666712263"/>
    <m/>
    <d v="2025-02-19T13:02:00"/>
    <d v="2025-02-19T13:58:00"/>
    <n v="54.833333337664953"/>
    <x v="0"/>
    <n v="0.15833333333284827"/>
    <n v="2"/>
    <n v="1.8416666666671517"/>
    <n v="3.7999999999883585"/>
    <n v="0"/>
    <n v="3.7999999999883585"/>
    <n v="41.052631579073136"/>
    <m/>
    <m/>
    <m/>
    <m/>
    <m/>
  </r>
  <r>
    <d v="2025-02-20T00:00:00"/>
    <x v="1"/>
    <m/>
    <s v="A20842"/>
    <s v="Manual"/>
    <s v="kayanja Sam"/>
    <s v="UBF 379L"/>
    <s v="Kato Investments Ltd- Kyegegwa"/>
    <n v="148.80000000000001"/>
    <s v="A20842"/>
    <s v="OM"/>
    <n v="600"/>
    <n v="597"/>
    <n v="-3"/>
    <m/>
    <d v="2025-02-18T09:47:00"/>
    <d v="2025-02-17T21:00:00"/>
    <d v="2025-02-18T10:29:00"/>
    <n v="805.25462962638505"/>
    <n v="41.805555556250816"/>
    <x v="0"/>
    <d v="2025-02-19T10:40:00"/>
    <d v="2025-02-19T13:32:00"/>
    <n v="168.41666666165111"/>
    <m/>
    <d v="2025-02-20T17:09:00"/>
    <d v="2025-02-20T18:06:00"/>
    <n v="55.81249999726424"/>
    <x v="0"/>
    <n v="2.2777777777810115"/>
    <n v="3"/>
    <n v="0.72222222221898846"/>
    <n v="54.666666666744277"/>
    <n v="24"/>
    <n v="30.666666666744277"/>
    <n v="4.8521739130311987"/>
    <m/>
    <m/>
    <m/>
    <m/>
    <m/>
  </r>
  <r>
    <d v="2025-02-20T00:00:00"/>
    <x v="1"/>
    <m/>
    <s v="A20845"/>
    <s v="Manual"/>
    <s v="Nakalya John"/>
    <s v="UBM 648D"/>
    <s v="Sawan Distributors Ltd-Nabingo"/>
    <n v="156"/>
    <s v="A20845"/>
    <s v="OM"/>
    <n v="560"/>
    <n v="558"/>
    <n v="-2"/>
    <m/>
    <d v="2025-02-18T07:47:00"/>
    <d v="2025-02-17T19:30:00"/>
    <d v="2025-02-18T08:28:00"/>
    <n v="774.39814814861165"/>
    <n v="40.810185182635905"/>
    <x v="0"/>
    <d v="2025-02-19T10:57:00"/>
    <d v="2025-02-19T16:34:00"/>
    <n v="329.97916666507081"/>
    <s v="slept at the RD and offloaded the next day"/>
    <d v="2025-02-20T17:58:00"/>
    <d v="2025-02-20T18:54:00"/>
    <n v="54.833333337664953"/>
    <x v="0"/>
    <n v="2.3958333333357587"/>
    <n v="2"/>
    <n v="-0.39583333333575865"/>
    <n v="57.500000000058208"/>
    <n v="24"/>
    <n v="33.500000000058208"/>
    <n v="4.6567164179023566"/>
    <m/>
    <m/>
    <m/>
    <m/>
    <m/>
  </r>
  <r>
    <d v="2025-02-20T00:00:00"/>
    <x v="1"/>
    <m/>
    <s v="A20854"/>
    <s v="Manual"/>
    <m/>
    <s v="UBR 534W"/>
    <s v="KATO INVESTMENTS LTD-KATIKARA"/>
    <n v="156"/>
    <s v="A20854"/>
    <s v="OM"/>
    <n v="790"/>
    <n v="792"/>
    <n v="2"/>
    <m/>
    <d v="2025-02-19T18:14:00"/>
    <d v="2025-02-18T19:37:00"/>
    <d v="2025-02-19T18:55:00"/>
    <n v="1391.5277777770825"/>
    <n v="40.810185182635905"/>
    <x v="0"/>
    <d v="2025-02-19T17:23:00"/>
    <d v="2025-02-19T20:13:00"/>
    <n v="166.45833333219343"/>
    <m/>
    <d v="2025-02-21T13:00:00"/>
    <d v="2025-02-21T13:56:00"/>
    <n v="54.833333337664953"/>
    <x v="0"/>
    <n v="1.7534722222189885"/>
    <n v="3"/>
    <n v="1.2465277777810115"/>
    <n v="42.083333333255723"/>
    <n v="12"/>
    <n v="30.083333333255723"/>
    <n v="5.185595567880414"/>
    <m/>
    <m/>
    <m/>
    <m/>
    <m/>
  </r>
  <r>
    <d v="2025-02-20T00:00:00"/>
    <x v="1"/>
    <m/>
    <s v="A20843"/>
    <s v="Manual"/>
    <m/>
    <s v="UBR 535W"/>
    <s v="Kato Investment Ltd -Kagadi"/>
    <n v="148.80000000000001"/>
    <s v="A20843"/>
    <s v="OM"/>
    <n v="670"/>
    <n v="672"/>
    <n v="2"/>
    <m/>
    <d v="2025-02-18T17:35:00"/>
    <d v="2025-02-18T04:14:00"/>
    <d v="2025-02-18T18:19:00"/>
    <n v="841.08796296180424"/>
    <n v="43.796296293051761"/>
    <x v="0"/>
    <d v="2025-02-18T11:50:00"/>
    <d v="2025-02-18T17:17:00"/>
    <n v="320.18749999726424"/>
    <s v="found another truck at the RD and offloaded the next day"/>
    <d v="2025-02-19T12:11:00"/>
    <d v="2025-02-19T13:27:00"/>
    <n v="74.416666663018987"/>
    <x v="8"/>
    <n v="0.74444444444816327"/>
    <n v="2"/>
    <n v="1.2555555555518367"/>
    <n v="17.866666666755918"/>
    <n v="0"/>
    <n v="17.866666666755918"/>
    <n v="8.3283582089136203"/>
    <m/>
    <m/>
    <m/>
    <m/>
    <m/>
  </r>
  <r>
    <d v="2025-02-20T00:00:00"/>
    <x v="1"/>
    <m/>
    <s v="A20846"/>
    <s v="Manual"/>
    <s v="Kyakulaga James"/>
    <s v="UBJ 419C"/>
    <s v="Sawan Distributors Ltd-Kayabwe"/>
    <n v="156"/>
    <s v="A20846"/>
    <s v="OM"/>
    <n v="382"/>
    <n v="379"/>
    <n v="-3"/>
    <m/>
    <d v="2025-02-18T16:14:00"/>
    <d v="2025-02-18T04:14:00"/>
    <d v="2025-02-18T16:57:00"/>
    <n v="759.46759259653243"/>
    <n v="42.80092592986572"/>
    <x v="0"/>
    <d v="2025-02-17T21:03:00"/>
    <d v="2025-02-18T12:38:00"/>
    <n v="915.52083333219343"/>
    <s v="Waited for empties from trade"/>
    <d v="2025-02-19T15:17:00"/>
    <d v="2025-02-19T16:05:00"/>
    <n v="46.99999999931606"/>
    <x v="0"/>
    <n v="0.93055555555474712"/>
    <n v="2"/>
    <n v="1.0694444444452529"/>
    <n v="22.333333333313931"/>
    <n v="0"/>
    <n v="22.333333333313931"/>
    <n v="6.9850746268717403"/>
    <m/>
    <m/>
    <m/>
    <m/>
    <m/>
  </r>
  <r>
    <d v="2025-02-20T00:00:00"/>
    <x v="1"/>
    <m/>
    <s v="Z82705"/>
    <s v="Manual"/>
    <m/>
    <s v="UBB 116P"/>
    <s v="Kobusinge Acaali- Kyenjojo"/>
    <n v="156"/>
    <s v="Z82705"/>
    <s v="OM"/>
    <n v="580"/>
    <n v="579"/>
    <n v="-1"/>
    <m/>
    <d v="2025-02-18T15:07:00"/>
    <d v="2025-02-18T14:26:00"/>
    <d v="2025-02-18T15:51:00"/>
    <n v="84.606481486116536"/>
    <n v="43.796296293051761"/>
    <x v="0"/>
    <d v="2025-02-20T13:59:00"/>
    <d v="2025-02-20T16:06:00"/>
    <n v="124.35416666165111"/>
    <m/>
    <d v="2025-02-22T08:22:00"/>
    <d v="2025-02-22T09:19:00"/>
    <n v="55.81249999726424"/>
    <x v="0"/>
    <n v="3.6881944444467081"/>
    <n v="2"/>
    <n v="-1.6881944444467081"/>
    <n v="88.516666666720994"/>
    <n v="36"/>
    <n v="52.516666666720994"/>
    <n v="2.9704855601365652"/>
    <m/>
    <m/>
    <m/>
    <m/>
    <m/>
  </r>
  <r>
    <d v="2025-02-20T00:00:00"/>
    <x v="1"/>
    <m/>
    <s v="OM6HORERR"/>
    <s v="DJ"/>
    <s v="GODWIN  NIWENSIIMA"/>
    <s v="UAR 731Q"/>
    <s v="Kabaco U Ltd-Mbarara "/>
    <n v="153.6"/>
    <s v="OM6HORERR"/>
    <s v="OM"/>
    <n v="20"/>
    <n v="22"/>
    <n v="2"/>
    <m/>
    <d v="2025-02-20T11:26:00"/>
    <d v="2025-02-20T11:58:00"/>
    <d v="2025-02-20T12:10:00"/>
    <n v="11.944444441663412"/>
    <n v="43.796296293051761"/>
    <x v="0"/>
    <d v="2025-02-19T14:46:00"/>
    <d v="2025-02-19T16:55:00"/>
    <n v="126.31250000136788"/>
    <m/>
    <d v="2025-02-20T17:22:00"/>
    <d v="2025-02-20T18:22:00"/>
    <n v="58.7499999965803"/>
    <x v="0"/>
    <n v="0.21666666666715173"/>
    <n v="2"/>
    <n v="1.7833333333328483"/>
    <n v="5.2000000000116415"/>
    <n v="0"/>
    <n v="5.2000000000116415"/>
    <n v="29.538461538395406"/>
    <m/>
    <m/>
    <m/>
    <m/>
    <m/>
  </r>
  <r>
    <d v="2025-02-20T00:00:00"/>
    <x v="1"/>
    <m/>
    <s v="OMNQSVFRR"/>
    <s v="DJ"/>
    <s v="Isaac Tumuhimbise"/>
    <s v="UBE 287X"/>
    <s v="KATO INVESTMENTS LTD- KALISIZO "/>
    <n v="153.6"/>
    <s v="OMNQSVFRR"/>
    <s v="OM"/>
    <n v="350"/>
    <n v="352"/>
    <n v="2"/>
    <m/>
    <d v="2025-02-20T09:00:00"/>
    <d v="2025-02-20T09:15:00"/>
    <d v="2025-02-20T09:43:00"/>
    <n v="27.870370367357584"/>
    <n v="42.80092592986572"/>
    <x v="0"/>
    <d v="2025-02-19T16:14:00"/>
    <d v="2025-02-19T20:07:00"/>
    <n v="228.14583332808979"/>
    <s v="Reached late and offloaded the next day"/>
    <d v="2025-02-20T17:22:00"/>
    <d v="2025-02-20T18:16:00"/>
    <n v="52.87499999794818"/>
    <x v="0"/>
    <n v="0.31874999999854481"/>
    <n v="2"/>
    <n v="1.6812500000014552"/>
    <n v="7.6499999999650754"/>
    <n v="0"/>
    <n v="7.6499999999650754"/>
    <n v="20.078431372640683"/>
    <m/>
    <m/>
    <m/>
    <m/>
    <m/>
  </r>
  <r>
    <d v="2025-02-20T00:00:00"/>
    <x v="1"/>
    <m/>
    <s v="OMSQWKVRR"/>
    <s v="DJ"/>
    <s v="James  Kironde"/>
    <s v="UBK 881R"/>
    <s v="Ntale and Sons"/>
    <n v="153.6"/>
    <s v="OMSQWKVRR"/>
    <s v="OM"/>
    <n v="810"/>
    <n v="809"/>
    <n v="-1"/>
    <m/>
    <d v="2025-02-20T10:12:00"/>
    <d v="2025-02-20T09:31:00"/>
    <d v="2025-02-20T10:52:00"/>
    <n v="80.62500000208577"/>
    <n v="39.814814819449872"/>
    <x v="0"/>
    <d v="2025-02-21T11:43:00"/>
    <d v="2025-02-21T13:47:00"/>
    <n v="121.41666667259415"/>
    <m/>
    <d v="2025-02-22T19:20:00"/>
    <d v="2025-02-22T20:17:00"/>
    <n v="55.81249999726424"/>
    <x v="0"/>
    <n v="2.3527777777781012"/>
    <n v="2"/>
    <n v="-0.35277777777810115"/>
    <n v="56.466666666674428"/>
    <n v="24"/>
    <n v="32.466666666674428"/>
    <n v="4.7310061601631404"/>
    <m/>
    <m/>
    <m/>
    <m/>
    <m/>
  </r>
  <r>
    <d v="2025-02-20T00:00:00"/>
    <x v="1"/>
    <m/>
    <s v="OMHTPFRRR"/>
    <s v="DJ"/>
    <s v="MUKOSE MUZAMIRU"/>
    <s v="UBJ 417C"/>
    <s v="Ntale and Sons"/>
    <n v="153.6"/>
    <s v="OMHTPFRRR"/>
    <s v="OM"/>
    <n v="810"/>
    <n v="812"/>
    <n v="2"/>
    <m/>
    <d v="2025-02-19T21:00:00"/>
    <d v="2025-02-19T21:15:00"/>
    <d v="2025-02-19T21:43:00"/>
    <n v="27.870370367357584"/>
    <n v="42.80092592986572"/>
    <x v="0"/>
    <d v="2025-02-19T08:14:00"/>
    <d v="2025-02-19T16:10:00"/>
    <n v="466.08333333424525"/>
    <s v="Waited for empties from trade"/>
    <d v="2025-02-21T07:43:00"/>
    <d v="2025-02-21T08:37:00"/>
    <n v="52.87499999794818"/>
    <x v="0"/>
    <n v="1.4166666666642413"/>
    <n v="2"/>
    <n v="0.58333333333575865"/>
    <n v="33.999999999941792"/>
    <n v="12"/>
    <n v="21.999999999941792"/>
    <n v="6.9818181818366538"/>
    <m/>
    <m/>
    <m/>
    <m/>
    <m/>
  </r>
  <r>
    <d v="2025-02-21T00:00:00"/>
    <x v="1"/>
    <m/>
    <s v="A20874"/>
    <s v="Manual"/>
    <s v="kakembo Masudi"/>
    <s v="UBM 644D"/>
    <s v="Sawan Distributors Ltd-Nabingo"/>
    <n v="156"/>
    <s v="A20874"/>
    <s v="OM"/>
    <n v="560"/>
    <n v="562"/>
    <n v="2"/>
    <m/>
    <d v="2025-02-19T23:34:00"/>
    <d v="2025-02-19T23:59:00"/>
    <d v="2025-02-20T00:18:00"/>
    <n v="18.912037036110025"/>
    <n v="43.796296293051761"/>
    <x v="0"/>
    <d v="2025-02-19T12:48:00"/>
    <d v="2025-02-19T16:48:00"/>
    <n v="234.9999999965803"/>
    <s v="less casuals and offloaded the next day"/>
    <d v="2025-02-20T08:01:00"/>
    <d v="2025-02-20T09:17:00"/>
    <n v="74.416666663018987"/>
    <x v="8"/>
    <n v="0.32152777777810115"/>
    <n v="2"/>
    <n v="1.6784722222218988"/>
    <n v="7.7166666666744277"/>
    <n v="0"/>
    <n v="7.7166666666744277"/>
    <n v="20.215982721361957"/>
    <m/>
    <m/>
    <m/>
    <m/>
    <m/>
  </r>
  <r>
    <d v="2025-02-21T00:00:00"/>
    <x v="1"/>
    <m/>
    <s v="F15929"/>
    <s v="Manual"/>
    <s v="Ngobi Fred"/>
    <s v="UBK 866R"/>
    <s v="Boniface Harera"/>
    <n v="33.6"/>
    <s v="F15929"/>
    <s v="OM"/>
    <n v="448"/>
    <n v="450"/>
    <n v="2"/>
    <m/>
    <d v="2025-02-19T19:18:00"/>
    <d v="2025-02-19T19:37:00"/>
    <d v="2025-02-19T20:00:00"/>
    <n v="22.893518520140788"/>
    <n v="41.805555556250816"/>
    <x v="0"/>
    <d v="2025-02-19T10:57:00"/>
    <d v="2025-02-19T13:06:00"/>
    <n v="126.31249999110878"/>
    <m/>
    <d v="2025-02-20T06:57:00"/>
    <d v="2025-02-20T07:53:00"/>
    <n v="54.833333337664953"/>
    <x v="0"/>
    <n v="0.45624999999563443"/>
    <n v="2"/>
    <n v="1.5437500000043656"/>
    <n v="10.949999999895226"/>
    <n v="0"/>
    <n v="10.949999999895226"/>
    <n v="3.0684931507142923"/>
    <m/>
    <m/>
    <m/>
    <m/>
    <m/>
  </r>
  <r>
    <d v="2025-02-21T00:00:00"/>
    <x v="1"/>
    <m/>
    <s v="F15928"/>
    <s v="Manual"/>
    <m/>
    <s v="UBP 294H"/>
    <s v="Boniface Harera"/>
    <n v="156"/>
    <s v="F15928"/>
    <s v="OM"/>
    <n v="448"/>
    <n v="449"/>
    <n v="1"/>
    <m/>
    <d v="2025-02-19T20:32:00"/>
    <d v="2025-02-19T20:52:00"/>
    <d v="2025-02-19T21:15:00"/>
    <n v="22.893518520140788"/>
    <n v="42.80092592986572"/>
    <x v="0"/>
    <d v="2025-02-19T18:24:00"/>
    <d v="2025-02-19T21:17:00"/>
    <n v="169.39583333150949"/>
    <m/>
    <d v="2025-02-21T08:46:00"/>
    <d v="2025-02-21T09:42:00"/>
    <n v="54.833333337664953"/>
    <x v="0"/>
    <n v="1.4798611111109494"/>
    <n v="2"/>
    <n v="0.52013888888905058"/>
    <n v="35.516666666662786"/>
    <n v="12"/>
    <n v="23.516666666662786"/>
    <n v="6.6335931963157648"/>
    <m/>
    <m/>
    <m/>
    <m/>
    <m/>
  </r>
  <r>
    <d v="2025-02-21T00:00:00"/>
    <x v="1"/>
    <m/>
    <s v="Z82720"/>
    <s v="Manual"/>
    <m/>
    <s v="UBF 369L"/>
    <s v="Kabaco U Ltd "/>
    <n v="156"/>
    <s v="Z82720"/>
    <s v="OM"/>
    <n v="320"/>
    <n v="319"/>
    <n v="-1"/>
    <m/>
    <d v="2025-02-19T10:45:00"/>
    <d v="2025-02-19T11:02:00"/>
    <d v="2025-02-19T11:28:00"/>
    <n v="25.879629630556639"/>
    <n v="42.80092592986572"/>
    <x v="0"/>
    <d v="2025-02-20T14:56:00"/>
    <d v="2025-02-20T17:53:00"/>
    <n v="173.31250000068394"/>
    <m/>
    <d v="2025-02-21T08:46:00"/>
    <d v="2025-02-21T09:42:00"/>
    <n v="54.833333337664953"/>
    <x v="0"/>
    <n v="1.8874999999970896"/>
    <n v="2"/>
    <n v="0.11250000000291038"/>
    <n v="45.299999999930151"/>
    <n v="12"/>
    <n v="33.299999999930151"/>
    <n v="4.6846846846945107"/>
    <m/>
    <m/>
    <m/>
    <m/>
    <m/>
  </r>
  <r>
    <d v="2025-02-21T00:00:00"/>
    <x v="1"/>
    <m/>
    <s v="A20875"/>
    <s v="Manual"/>
    <m/>
    <s v="UBJ 423C"/>
    <s v="Kato Investment Ltd -Mityana"/>
    <n v="156"/>
    <s v="A20875"/>
    <s v="OM"/>
    <n v="690"/>
    <n v="688"/>
    <n v="-2"/>
    <m/>
    <d v="2025-02-19T19:33:00"/>
    <d v="2025-02-19T19:48:00"/>
    <d v="2025-02-19T20:16:00"/>
    <n v="27.870370367357584"/>
    <n v="42.80092592986572"/>
    <x v="0"/>
    <d v="2025-02-19T12:27:00"/>
    <d v="2025-02-19T14:05:00"/>
    <n v="95.958333328089793"/>
    <m/>
    <d v="2025-02-20T16:18:00"/>
    <d v="2025-02-20T17:09:00"/>
    <n v="49.93749999863212"/>
    <x v="0"/>
    <n v="0.83472222222189885"/>
    <n v="3"/>
    <n v="2.1652777777781012"/>
    <n v="20.033333333325572"/>
    <n v="0"/>
    <n v="20.033333333325572"/>
    <n v="7.787021630618657"/>
    <m/>
    <m/>
    <m/>
    <m/>
    <m/>
  </r>
  <r>
    <d v="2025-02-21T00:00:00"/>
    <x v="1"/>
    <m/>
    <s v="A20879"/>
    <s v="Manual"/>
    <s v="Bwanga Gilbert"/>
    <s v="UBK 862R"/>
    <s v="KATO INVESTMENTS LTD-KATIKARA"/>
    <n v="156"/>
    <s v="A20879"/>
    <s v="OM"/>
    <n v="150"/>
    <n v="152"/>
    <n v="2"/>
    <m/>
    <d v="2025-02-18T21:46:00"/>
    <d v="2025-02-18T17:07:00"/>
    <d v="2025-02-18T22:27:00"/>
    <n v="318.51851852431236"/>
    <n v="40.810185182635905"/>
    <x v="0"/>
    <m/>
    <d v="1899-12-30T03:00:00"/>
    <n v="176.25"/>
    <m/>
    <d v="2025-02-20T17:09:00"/>
    <d v="2025-02-20T18:02:00"/>
    <n v="51.895833338348893"/>
    <x v="0"/>
    <n v="1.7791666666671517"/>
    <n v="3"/>
    <n v="1.2208333333328483"/>
    <n v="42.700000000011642"/>
    <n v="12"/>
    <n v="30.700000000011642"/>
    <n v="5.0814332247537735"/>
    <m/>
    <m/>
    <m/>
    <m/>
    <m/>
  </r>
  <r>
    <d v="2025-02-21T00:00:00"/>
    <x v="1"/>
    <m/>
    <s v="Z82724"/>
    <s v="Manual"/>
    <s v="Nminya Siraje"/>
    <s v="UBP 301H"/>
    <s v="Kobusinge Steven-Kamwenge"/>
    <n v="156"/>
    <s v="Z82724"/>
    <s v="OM"/>
    <n v="288"/>
    <n v="285"/>
    <n v="-3"/>
    <m/>
    <d v="2025-02-19T13:07:00"/>
    <d v="2025-02-19T13:35:00"/>
    <d v="2025-02-19T13:47:00"/>
    <n v="11.944444441663412"/>
    <n v="39.814814819449872"/>
    <x v="0"/>
    <d v="2025-02-21T17:06:00"/>
    <d v="2025-02-21T19:11:00"/>
    <n v="122.39583333219343"/>
    <m/>
    <d v="2025-02-20T13:26:00"/>
    <d v="2025-02-20T14:22:00"/>
    <n v="54.833333337664953"/>
    <x v="0"/>
    <n v="0.98541666666278616"/>
    <n v="2"/>
    <n v="1.0145833333372138"/>
    <n v="23.649999999906868"/>
    <n v="0"/>
    <n v="23.649999999906868"/>
    <n v="6.5961945031972231"/>
    <m/>
    <m/>
    <m/>
    <m/>
    <m/>
  </r>
  <r>
    <d v="2025-02-21T00:00:00"/>
    <x v="1"/>
    <m/>
    <s v="A20876"/>
    <s v="Manual"/>
    <s v="Sentongo paul"/>
    <s v="UBR 541W"/>
    <s v="Ntale and Sons Ltd-Kakiri"/>
    <n v="156"/>
    <s v="A20876"/>
    <s v="OM"/>
    <n v="620"/>
    <n v="622"/>
    <n v="2"/>
    <m/>
    <d v="2025-02-21T20:13:00"/>
    <d v="2025-02-21T19:44:00"/>
    <d v="2025-02-21T20:57:00"/>
    <n v="72.662037034024252"/>
    <n v="43.796296293051761"/>
    <x v="0"/>
    <d v="2025-02-20T10:53:00"/>
    <d v="2025-02-20T12:25:00"/>
    <n v="90.083333329457673"/>
    <m/>
    <d v="2025-02-22T06:56:00"/>
    <d v="2025-02-22T07:56:00"/>
    <n v="58.7499999965803"/>
    <x v="0"/>
    <n v="0.41597222222480923"/>
    <n v="2"/>
    <n v="1.5840277777751908"/>
    <n v="9.9833333333954215"/>
    <n v="0"/>
    <n v="9.9833333333954215"/>
    <n v="15.626043405578946"/>
    <m/>
    <m/>
    <m/>
    <m/>
    <m/>
  </r>
  <r>
    <d v="2025-02-21T00:00:00"/>
    <x v="1"/>
    <m/>
    <s v="F15934"/>
    <s v="Manual"/>
    <s v="Tsaale Hassan"/>
    <s v="UBJ 703D"/>
    <s v="Boniface Harera"/>
    <n v="148.80000000000001"/>
    <s v="F15934"/>
    <s v="OM"/>
    <n v="448"/>
    <n v="450"/>
    <n v="2"/>
    <m/>
    <d v="2025-02-21T12:58:00"/>
    <d v="2025-02-21T12:44:00"/>
    <d v="2025-02-21T13:41:00"/>
    <n v="56.736111108330078"/>
    <n v="42.80092592986572"/>
    <x v="0"/>
    <d v="2025-02-20T16:31:00"/>
    <d v="2025-02-20T18:51:00"/>
    <n v="137.08333332877373"/>
    <m/>
    <d v="2025-02-22T08:17:00"/>
    <d v="2025-02-22T09:13:00"/>
    <n v="54.833333337664953"/>
    <x v="0"/>
    <n v="0.77499999999417923"/>
    <n v="2"/>
    <n v="1.2250000000058208"/>
    <n v="18.599999999860302"/>
    <n v="0"/>
    <n v="18.599999999860302"/>
    <n v="8.0000000000600853"/>
    <m/>
    <m/>
    <m/>
    <m/>
    <m/>
  </r>
  <r>
    <d v="2025-02-21T00:00:00"/>
    <x v="1"/>
    <m/>
    <s v="F15935"/>
    <s v="Manual"/>
    <s v="Mudunga Musa"/>
    <s v="UBE 678K"/>
    <s v="Boniface Harera"/>
    <n v="156"/>
    <s v="F15935"/>
    <s v="OM"/>
    <n v="448"/>
    <n v="447"/>
    <n v="-1"/>
    <m/>
    <d v="2025-02-21T11:13:00"/>
    <d v="2025-02-21T10:26:00"/>
    <d v="2025-02-21T11:55:00"/>
    <n v="88.587962959718425"/>
    <n v="41.805555556250816"/>
    <x v="0"/>
    <d v="2025-02-20T19:58:00"/>
    <d v="2025-02-20T22:52:00"/>
    <n v="170.37500000136788"/>
    <m/>
    <d v="2025-02-23T06:16:00"/>
    <d v="2025-02-23T07:07:00"/>
    <n v="49.93749999863212"/>
    <x v="0"/>
    <n v="1.7645833333299379"/>
    <n v="2"/>
    <n v="0.23541666667006211"/>
    <n v="42.349999999918509"/>
    <n v="12"/>
    <n v="30.349999999918509"/>
    <n v="5.1400329489429613"/>
    <m/>
    <m/>
    <m/>
    <m/>
    <m/>
  </r>
  <r>
    <d v="2025-02-21T00:00:00"/>
    <x v="1"/>
    <m/>
    <s v="Z82723"/>
    <s v="Manual"/>
    <s v="Eriku Alipa"/>
    <s v="UBK 858R"/>
    <s v="Kobusinge Steven-FPortal"/>
    <n v="156"/>
    <s v="Z82723"/>
    <s v="OM"/>
    <n v="304"/>
    <n v="306"/>
    <n v="2"/>
    <m/>
    <d v="2025-02-21T13:11:00"/>
    <d v="2025-02-21T13:30:00"/>
    <d v="2025-02-21T13:54:00"/>
    <n v="23.888888893755695"/>
    <n v="42.80092592986572"/>
    <x v="0"/>
    <d v="2025-02-20T16:52:00"/>
    <d v="2025-02-20T19:02:00"/>
    <n v="127.29166667122627"/>
    <m/>
    <d v="2025-02-23T06:16:00"/>
    <d v="2025-02-23T07:12:00"/>
    <n v="54.833333337664953"/>
    <x v="0"/>
    <n v="1.6819444444408873"/>
    <n v="2"/>
    <n v="0.31805555555911269"/>
    <n v="40.366666666581295"/>
    <n v="12"/>
    <n v="28.366666666581295"/>
    <n v="5.499412455950746"/>
    <m/>
    <m/>
    <m/>
    <m/>
    <m/>
  </r>
  <r>
    <d v="2025-02-21T00:00:00"/>
    <x v="1"/>
    <m/>
    <s v="OM55YD2RR"/>
    <s v="DJ"/>
    <s v="Kabene John"/>
    <s v="UBA 523T"/>
    <s v="Kabaco U Ltd-Mbarara "/>
    <n v="153.6"/>
    <s v="OM55YD2RR"/>
    <s v="OM"/>
    <n v="20"/>
    <n v="19"/>
    <n v="-1"/>
    <m/>
    <d v="2025-02-21T07:53:00"/>
    <d v="2025-02-21T08:32:00"/>
    <d v="2025-02-21T08:36:00"/>
    <n v="3.9814814840307613"/>
    <n v="42.80092592986572"/>
    <x v="0"/>
    <d v="2025-02-19T15:53:00"/>
    <d v="2025-02-19T18:07:00"/>
    <n v="131.20833333014161"/>
    <m/>
    <d v="2025-02-22T09:24:00"/>
    <d v="2025-02-22T10:21:00"/>
    <n v="55.81249999726424"/>
    <x v="0"/>
    <n v="1.0333333333401242"/>
    <n v="3"/>
    <n v="1.9666666666598758"/>
    <n v="24.800000000162981"/>
    <n v="12"/>
    <n v="12.800000000162981"/>
    <n v="11.999999999847205"/>
    <m/>
    <m/>
    <m/>
    <m/>
    <m/>
  </r>
  <r>
    <d v="2025-02-21T00:00:00"/>
    <x v="1"/>
    <m/>
    <s v="OM6ZFN7RR"/>
    <s v="DJ"/>
    <s v="Bisaso  Ronald"/>
    <s v="UBK 875R"/>
    <s v="Ntale and Sons"/>
    <n v="153.6"/>
    <s v="OM6ZFN7RR"/>
    <s v="OM"/>
    <n v="810"/>
    <n v="807"/>
    <n v="-3"/>
    <m/>
    <d v="2025-02-21T09:22:00"/>
    <d v="2025-02-21T09:39:00"/>
    <d v="2025-02-21T10:03:00"/>
    <n v="23.888888893755695"/>
    <n v="40.810185182635905"/>
    <x v="0"/>
    <d v="2025-02-20T15:04:00"/>
    <d v="2025-02-20T17:18:00"/>
    <n v="131.20833333014161"/>
    <m/>
    <d v="2025-02-22T07:36:00"/>
    <d v="2025-02-22T08:26:00"/>
    <n v="48.958333328773733"/>
    <x v="0"/>
    <n v="0.89791666666860692"/>
    <n v="2"/>
    <n v="1.1020833333313931"/>
    <n v="21.550000000046566"/>
    <n v="0"/>
    <n v="21.550000000046566"/>
    <n v="7.1276102088013031"/>
    <m/>
    <m/>
    <m/>
    <m/>
    <m/>
  </r>
  <r>
    <d v="2025-02-21T00:00:00"/>
    <x v="1"/>
    <m/>
    <s v="OME9UVIRR"/>
    <s v="DJ"/>
    <s v="Abel Mark naffa"/>
    <s v="UBJ 415C"/>
    <s v="Sawan Distributors Ltd-Kayabwe "/>
    <n v="153.6"/>
    <s v="OME9UVIRR"/>
    <s v="OM"/>
    <n v="382"/>
    <n v="384"/>
    <n v="2"/>
    <m/>
    <d v="2025-02-20T13:45:00"/>
    <d v="2025-02-20T13:58:00"/>
    <d v="2025-02-20T14:26:00"/>
    <n v="27.870370367357584"/>
    <n v="40.810185182635905"/>
    <x v="0"/>
    <d v="2025-02-20T14:32:00"/>
    <d v="2025-02-20T16:00:00"/>
    <n v="86.166666660283227"/>
    <m/>
    <d v="2025-02-21T08:44:00"/>
    <d v="2025-02-21T09:38:00"/>
    <n v="52.87499999794818"/>
    <x v="0"/>
    <n v="0.76249999999708962"/>
    <n v="2"/>
    <n v="1.2375000000029104"/>
    <n v="18.299999999930151"/>
    <n v="0"/>
    <n v="18.299999999930151"/>
    <n v="8.3934426229828567"/>
    <m/>
    <m/>
    <m/>
    <m/>
    <m/>
  </r>
  <r>
    <d v="2025-02-21T00:00:00"/>
    <x v="1"/>
    <m/>
    <s v="OMEOYKVRR"/>
    <s v="DJ"/>
    <s v="GODWIN  NIWENSIIMA"/>
    <s v="UAR 731Q"/>
    <s v="KATO INVESTMENTS LTD- KALISIZO "/>
    <n v="153.6"/>
    <s v="OMEOYKVRR"/>
    <s v="OM"/>
    <n v="350"/>
    <n v="352"/>
    <n v="2"/>
    <m/>
    <d v="2025-02-20T11:41:00"/>
    <d v="2025-02-20T11:34:00"/>
    <d v="2025-02-20T12:25:00"/>
    <n v="50.763888887498375"/>
    <n v="43.796296293051761"/>
    <x v="0"/>
    <d v="2025-02-20T19:05:00"/>
    <d v="2025-02-20T21:58:00"/>
    <n v="169.39583333150949"/>
    <m/>
    <d v="2025-02-21T08:45:00"/>
    <d v="2025-02-21T09:41:00"/>
    <n v="54.833333337664953"/>
    <x v="0"/>
    <n v="0.84722222222626442"/>
    <n v="2"/>
    <n v="1.1527777777737356"/>
    <n v="20.333333333430346"/>
    <n v="0"/>
    <n v="20.333333333430346"/>
    <n v="7.5540983606196956"/>
    <m/>
    <m/>
    <m/>
    <m/>
    <m/>
  </r>
  <r>
    <d v="2025-02-21T00:00:00"/>
    <x v="1"/>
    <m/>
    <s v="OMHDVM2RR"/>
    <s v="DJ"/>
    <s v="Isaac Tumuhimbise"/>
    <s v="UBE 287X"/>
    <s v="Rugoma Traders-Kanungu/Kihihi "/>
    <n v="153.6"/>
    <s v="OMHDVM2RR"/>
    <s v="OM"/>
    <n v="414"/>
    <n v="416"/>
    <n v="2"/>
    <m/>
    <d v="2025-02-20T12:47:00"/>
    <d v="2025-02-20T13:09:00"/>
    <d v="2025-02-20T13:28:00"/>
    <n v="18.912037036110025"/>
    <n v="40.810185182635905"/>
    <x v="0"/>
    <d v="2025-02-20T13:46:00"/>
    <d v="2025-02-20T20:27:00"/>
    <n v="392.64583333082555"/>
    <s v="less casuals and offloaded the next day"/>
    <d v="2025-02-21T12:54:00"/>
    <d v="2025-02-21T13:50:00"/>
    <n v="54.833333337664953"/>
    <x v="0"/>
    <n v="0.976388888884685"/>
    <n v="2"/>
    <n v="1.023611111115315"/>
    <n v="23.43333333323244"/>
    <n v="0"/>
    <n v="23.43333333323244"/>
    <n v="6.5547652916356185"/>
    <m/>
    <m/>
    <m/>
    <m/>
    <m/>
  </r>
  <r>
    <d v="2025-02-21T00:00:00"/>
    <x v="1"/>
    <m/>
    <s v="OMIWDB2RR"/>
    <s v="DJ"/>
    <s v="Jacob Oneka"/>
    <s v="UBE 422T"/>
    <s v="Kabaco U Ltd "/>
    <n v="153.6"/>
    <s v="OMIWDB2RR"/>
    <s v="OM"/>
    <n v="320"/>
    <n v="319"/>
    <n v="-1"/>
    <m/>
    <d v="2025-02-20T12:11:00"/>
    <d v="2025-02-20T11:47:00"/>
    <d v="2025-02-20T12:54:00"/>
    <n v="66.689814813192541"/>
    <n v="42.80092592986572"/>
    <x v="0"/>
    <d v="2025-02-21T16:52:00"/>
    <d v="2025-02-21T19:46:00"/>
    <n v="170.37500000136788"/>
    <m/>
    <d v="2025-02-21T16:35:00"/>
    <d v="2025-02-21T17:26:00"/>
    <n v="49.93749999863212"/>
    <x v="0"/>
    <n v="1.1534722222204437"/>
    <n v="2"/>
    <n v="0.84652777777955635"/>
    <n v="27.683333333290648"/>
    <n v="12"/>
    <n v="15.683333333290648"/>
    <n v="9.793836344341214"/>
    <m/>
    <m/>
    <m/>
    <m/>
    <m/>
  </r>
  <r>
    <d v="2025-02-21T00:00:00"/>
    <x v="1"/>
    <m/>
    <s v="OMRIVTMRR"/>
    <s v="DJ"/>
    <s v="SENTONG DAVID"/>
    <s v="UBP 298H"/>
    <s v="Kobusinge Steven-Kamwenge "/>
    <n v="156"/>
    <s v="OMRIVTMRR"/>
    <s v="OM"/>
    <n v="288"/>
    <n v="290"/>
    <n v="2"/>
    <m/>
    <d v="2025-02-20T21:41:00"/>
    <d v="2025-02-20T22:14:00"/>
    <d v="2025-02-20T22:22:00"/>
    <n v="7.9629629680615226"/>
    <n v="40.810185182635905"/>
    <x v="0"/>
    <d v="2025-02-20T10:57:00"/>
    <d v="2025-02-20T13:30:00"/>
    <n v="149.81249999589636"/>
    <m/>
    <d v="2025-02-23T06:12:00"/>
    <d v="2025-02-23T07:02:00"/>
    <n v="48.958333328773733"/>
    <x v="0"/>
    <n v="2.3263888888905058"/>
    <n v="2"/>
    <n v="-0.32638888889050577"/>
    <n v="55.833333333372138"/>
    <n v="24"/>
    <n v="31.833333333372138"/>
    <n v="4.9005235602034505"/>
    <m/>
    <m/>
    <m/>
    <m/>
    <m/>
  </r>
  <r>
    <d v="2025-02-21T00:00:00"/>
    <x v="1"/>
    <m/>
    <s v="OMC7YK7RR"/>
    <s v="DJ"/>
    <s v="Luyaga Isaac"/>
    <s v="UAY 265V"/>
    <s v="Kabaco U Ltd "/>
    <n v="153.6"/>
    <s v="OMC7YK7RR"/>
    <s v="OM"/>
    <n v="320"/>
    <n v="322"/>
    <n v="2"/>
    <m/>
    <d v="2025-02-20T10:09:00"/>
    <d v="2025-02-20T07:42:00"/>
    <d v="2025-02-20T10:52:00"/>
    <n v="189.12037037152913"/>
    <n v="42.80092592986572"/>
    <x v="0"/>
    <d v="2025-02-20T14:32:00"/>
    <d v="2025-02-20T16:00:00"/>
    <n v="86.166666660283227"/>
    <m/>
    <d v="2025-02-20T17:58:00"/>
    <d v="2025-02-20T18:51:00"/>
    <n v="51.895833338348893"/>
    <x v="0"/>
    <n v="0.29583333333721384"/>
    <n v="2"/>
    <n v="1.7041666666627862"/>
    <n v="7.1000000000931323"/>
    <n v="0"/>
    <n v="7.1000000000931323"/>
    <n v="21.633802816617631"/>
    <m/>
    <m/>
    <m/>
    <m/>
    <m/>
  </r>
  <r>
    <d v="2025-02-21T00:00:00"/>
    <x v="1"/>
    <m/>
    <s v="OM8QX4HRR"/>
    <s v="DJ"/>
    <s v="Kilabila Ismail"/>
    <s v="UBE 419T"/>
    <s v="Jusime Enterprises "/>
    <n v="153.6"/>
    <s v="OM8QX4HRR"/>
    <s v="OM"/>
    <n v="560"/>
    <n v="561"/>
    <n v="1"/>
    <m/>
    <d v="2025-02-20T09:02:00"/>
    <d v="2025-02-20T03:43:00"/>
    <d v="2025-02-20T09:43:00"/>
    <n v="358.33333333333331"/>
    <n v="40.810185182635905"/>
    <x v="0"/>
    <d v="2025-02-20T19:05:00"/>
    <d v="2025-02-20T21:59:00"/>
    <n v="170.37500000136788"/>
    <m/>
    <d v="2025-02-21T12:11:00"/>
    <d v="2025-02-21T13:02:00"/>
    <n v="49.93749999863212"/>
    <x v="0"/>
    <n v="1.1027777777781012"/>
    <n v="3"/>
    <n v="1.8972222222218988"/>
    <n v="26.466666666674428"/>
    <n v="12"/>
    <n v="14.466666666674428"/>
    <n v="10.617511520731631"/>
    <m/>
    <m/>
    <m/>
    <m/>
    <m/>
  </r>
  <r>
    <d v="2025-02-21T00:00:00"/>
    <x v="1"/>
    <m/>
    <s v="OM02W5MRR"/>
    <s v="DJ"/>
    <s v="Benon Ssempijja"/>
    <s v="UAY 526V"/>
    <s v="KATO INVESTMENTS LTD- KALISIZO "/>
    <n v="153.6"/>
    <s v="OM02W5MRR"/>
    <s v="OM"/>
    <n v="350"/>
    <n v="348"/>
    <n v="-2"/>
    <m/>
    <d v="2025-02-20T09:00:00"/>
    <d v="2025-02-19T20:30:00"/>
    <d v="2025-02-20T09:43:00"/>
    <n v="789.32870371111983"/>
    <n v="42.80092592986572"/>
    <x v="0"/>
    <d v="2025-02-20T20:33:00"/>
    <d v="2025-02-20T23:26:00"/>
    <n v="169.39583333150949"/>
    <m/>
    <d v="2025-02-23T15:33:00"/>
    <d v="2025-02-23T16:29:00"/>
    <n v="54.833333337664953"/>
    <x v="0"/>
    <n v="3.2430555555547471"/>
    <n v="2"/>
    <n v="-1.2430555555547471"/>
    <n v="77.833333333313931"/>
    <n v="36"/>
    <n v="41.833333333313931"/>
    <n v="3.6717131474120612"/>
    <m/>
    <m/>
    <m/>
    <m/>
    <m/>
  </r>
  <r>
    <d v="2025-02-22T00:00:00"/>
    <x v="1"/>
    <m/>
    <s v="A20905"/>
    <s v="Manual"/>
    <m/>
    <s v="UBR 903Y"/>
    <s v="Kato Investment Ltd -Mubende"/>
    <n v="156"/>
    <s v="A20905"/>
    <s v="OM"/>
    <n v="680"/>
    <n v="679"/>
    <n v="-1"/>
    <m/>
    <d v="2025-02-20T09:02:00"/>
    <d v="2025-02-20T03:43:00"/>
    <d v="2025-02-20T09:43:00"/>
    <n v="358.33333333333331"/>
    <n v="40.810185182635905"/>
    <x v="0"/>
    <d v="2025-02-20T17:28:00"/>
    <d v="2025-02-20T19:56:00"/>
    <n v="144.91666666712263"/>
    <m/>
    <d v="2025-02-21T07:43:00"/>
    <d v="2025-02-21T08:39:00"/>
    <n v="54.833333337664953"/>
    <x v="0"/>
    <n v="0.91666666666424135"/>
    <n v="3"/>
    <n v="2.0833333333357587"/>
    <n v="21.999999999941792"/>
    <n v="0"/>
    <n v="21.999999999941792"/>
    <n v="7.0909090909278518"/>
    <m/>
    <m/>
    <m/>
    <m/>
    <m/>
  </r>
  <r>
    <d v="2025-02-22T00:00:00"/>
    <x v="1"/>
    <m/>
    <s v="A20900"/>
    <s v="Manual"/>
    <s v="Faruk Abel"/>
    <s v="UBR 539W"/>
    <s v="Kato Investment Ltd -Mityana"/>
    <n v="156"/>
    <s v="A20900"/>
    <s v="OM"/>
    <n v="690"/>
    <n v="689"/>
    <n v="-1"/>
    <m/>
    <d v="2025-02-20T10:09:00"/>
    <d v="2025-02-20T07:42:00"/>
    <d v="2025-02-20T10:52:00"/>
    <n v="189.12037037152913"/>
    <n v="42.80092592986572"/>
    <x v="0"/>
    <d v="2025-02-20T11:11:00"/>
    <d v="2025-02-20T19:04:00"/>
    <n v="463.14583333492919"/>
    <s v="found another truck to be offloaded"/>
    <d v="2025-02-20T20:59:00"/>
    <d v="2025-02-20T21:56:00"/>
    <n v="55.81249999726424"/>
    <x v="0"/>
    <n v="0.42152777777664596"/>
    <n v="3"/>
    <n v="2.578472222223354"/>
    <n v="10.116666666639503"/>
    <n v="0"/>
    <n v="10.116666666639503"/>
    <n v="15.420098846828882"/>
    <m/>
    <m/>
    <m/>
    <m/>
    <m/>
  </r>
  <r>
    <d v="2025-02-22T00:00:00"/>
    <x v="1"/>
    <m/>
    <s v="Z82738"/>
    <s v="Manual"/>
    <m/>
    <s v="UBR 537W"/>
    <s v="Rugoma Traders-Rukungiri"/>
    <n v="43.2"/>
    <s v="Z82738"/>
    <s v="OM"/>
    <n v="256"/>
    <n v="258"/>
    <n v="2"/>
    <m/>
    <d v="2025-02-20T21:48:00"/>
    <d v="2025-02-20T02:30:00"/>
    <d v="2025-02-20T22:31:00"/>
    <n v="1195.4398148215357"/>
    <n v="42.80092592986572"/>
    <x v="0"/>
    <d v="2025-02-20T16:25:00"/>
    <d v="2025-02-20T19:25:00"/>
    <n v="176.25"/>
    <m/>
    <d v="2025-02-21T20:42:00"/>
    <d v="2025-02-21T21:42:00"/>
    <n v="58.7499999965803"/>
    <x v="0"/>
    <n v="0.92430555555620231"/>
    <n v="2"/>
    <n v="1.0756944444437977"/>
    <n v="22.183333333348855"/>
    <n v="0"/>
    <n v="22.183333333348855"/>
    <n v="1.9474079639355271"/>
    <m/>
    <m/>
    <m/>
    <m/>
    <m/>
  </r>
  <r>
    <d v="2025-02-22T00:00:00"/>
    <x v="1"/>
    <m/>
    <s v="A20904"/>
    <s v="Manual"/>
    <s v="Mulumba Kasim"/>
    <s v="UBE 680K"/>
    <s v="Kato Investment Ltd -Mityana"/>
    <n v="156"/>
    <s v="A20904"/>
    <s v="OM"/>
    <n v="690"/>
    <n v="688"/>
    <n v="-2"/>
    <m/>
    <d v="2025-02-21T12:05:00"/>
    <d v="2025-02-21T12:26:00"/>
    <d v="2025-02-21T12:45:00"/>
    <n v="18.912037036110025"/>
    <n v="39.814814819449872"/>
    <x v="0"/>
    <d v="2025-02-22T12:12:00"/>
    <d v="2025-02-22T20:06:00"/>
    <n v="464.12500000478758"/>
    <s v="Waited for empties from trade"/>
    <d v="2025-02-22T18:07:00"/>
    <d v="2025-02-22T19:00:00"/>
    <n v="51.895833338348893"/>
    <x v="0"/>
    <n v="1.2236111111124046"/>
    <n v="2"/>
    <n v="0.77638888888759539"/>
    <n v="29.366666666697711"/>
    <n v="12"/>
    <n v="17.366666666697711"/>
    <n v="8.9827255278150364"/>
    <m/>
    <m/>
    <m/>
    <m/>
    <m/>
  </r>
  <r>
    <d v="2025-02-22T00:00:00"/>
    <x v="1"/>
    <m/>
    <s v="A20907"/>
    <s v="Manual"/>
    <m/>
    <s v="UBR 533W"/>
    <s v="KATO INVESTMENTS LTD-KATIKARA"/>
    <n v="156"/>
    <s v="A20907"/>
    <s v="OM"/>
    <n v="790"/>
    <n v="789"/>
    <n v="-1"/>
    <m/>
    <d v="2025-02-22T07:29:00"/>
    <d v="2025-02-22T08:06:00"/>
    <d v="2025-02-22T08:34:00"/>
    <n v="27.870370367357584"/>
    <n v="64.699074076391597"/>
    <x v="0"/>
    <d v="2025-02-21T17:31:00"/>
    <d v="2025-02-21T19:37:00"/>
    <n v="123.37500000205182"/>
    <m/>
    <d v="2025-02-22T11:51:00"/>
    <d v="2025-02-22T12:42:00"/>
    <n v="49.93749999863212"/>
    <x v="0"/>
    <n v="0.1368055555576575"/>
    <n v="2"/>
    <n v="1.8631944444423425"/>
    <n v="3.28333333338378"/>
    <n v="0"/>
    <n v="3.28333333338378"/>
    <n v="47.51269035459994"/>
    <m/>
    <m/>
    <m/>
    <m/>
    <m/>
  </r>
  <r>
    <d v="2025-02-22T00:00:00"/>
    <x v="1"/>
    <m/>
    <s v="Z82739"/>
    <s v="Manual"/>
    <s v="Matovu Musa"/>
    <s v="UBR 538W"/>
    <s v="Kabaco U Ltd "/>
    <n v="156"/>
    <s v="Z82739"/>
    <s v="OM"/>
    <n v="320"/>
    <n v="321"/>
    <n v="1"/>
    <m/>
    <d v="2025-02-21T23:02:00"/>
    <d v="2025-02-21T23:34:00"/>
    <d v="2025-02-21T23:46:00"/>
    <n v="11.944444441663412"/>
    <n v="43.796296293051761"/>
    <x v="0"/>
    <d v="2025-02-21T13:24:00"/>
    <d v="2025-02-21T16:46:00"/>
    <n v="197.79166666507081"/>
    <s v="Waited for empties from trade"/>
    <d v="2025-02-22T07:38:00"/>
    <d v="2025-02-22T08:35:00"/>
    <n v="55.81249999726424"/>
    <x v="0"/>
    <n v="0.32777777778392192"/>
    <n v="2"/>
    <n v="1.6722222222160781"/>
    <n v="7.8666666668141261"/>
    <n v="0"/>
    <n v="7.8666666668141261"/>
    <n v="19.830508474204553"/>
    <m/>
    <m/>
    <m/>
    <m/>
    <m/>
  </r>
  <r>
    <d v="2025-02-22T00:00:00"/>
    <x v="1"/>
    <m/>
    <s v="Z82740"/>
    <s v="Manual"/>
    <s v="Taimwa Alex"/>
    <s v="UBJ 705D"/>
    <s v="Kabaco U Ltd "/>
    <n v="156"/>
    <s v="Z82740"/>
    <s v="OM"/>
    <n v="320"/>
    <n v="319"/>
    <n v="-1"/>
    <m/>
    <d v="2025-02-21T18:55:00"/>
    <d v="2025-02-21T19:15:00"/>
    <d v="2025-02-21T19:36:00"/>
    <n v="20.902777772910969"/>
    <n v="40.810185182635905"/>
    <x v="0"/>
    <d v="2025-02-20T21:36:00"/>
    <d v="2025-02-21T10:54:00"/>
    <n v="781.37500000273576"/>
    <s v="slept at the RD and offloaded the next day"/>
    <d v="2025-02-22T15:22:00"/>
    <d v="2025-02-22T16:19:00"/>
    <n v="55.81249999726424"/>
    <x v="0"/>
    <n v="0.82361111111094942"/>
    <n v="2"/>
    <n v="1.1763888888890506"/>
    <n v="19.766666666662786"/>
    <n v="0"/>
    <n v="19.766666666662786"/>
    <n v="7.8920741989897447"/>
    <m/>
    <m/>
    <m/>
    <m/>
    <m/>
  </r>
  <r>
    <d v="2025-02-22T00:00:00"/>
    <x v="1"/>
    <m/>
    <s v="Z82744"/>
    <s v="Manual"/>
    <s v="Lule Fred"/>
    <s v="UBP 310H"/>
    <s v="Kobusinge Acaali- Kyenjojo"/>
    <n v="117"/>
    <s v="Z82744"/>
    <s v="OM"/>
    <n v="580"/>
    <n v="581"/>
    <n v="1"/>
    <m/>
    <d v="2025-02-21T21:30:00"/>
    <d v="2025-02-21T20:48:00"/>
    <d v="2025-02-21T22:13:00"/>
    <n v="84.606481486116536"/>
    <n v="42.80092592986572"/>
    <x v="0"/>
    <d v="2025-02-21T10:33:00"/>
    <d v="2025-02-21T13:02:00"/>
    <n v="145.89583333698101"/>
    <m/>
    <d v="2025-02-22T11:26:00"/>
    <d v="2025-02-22T12:19:00"/>
    <n v="51.895833338348893"/>
    <x v="0"/>
    <n v="0.55069444444961846"/>
    <n v="2"/>
    <n v="1.4493055555503815"/>
    <n v="13.216666666790843"/>
    <n v="0"/>
    <n v="13.216666666790843"/>
    <n v="8.8524590163102701"/>
    <m/>
    <m/>
    <m/>
    <m/>
    <m/>
  </r>
  <r>
    <d v="2025-02-22T00:00:00"/>
    <x v="1"/>
    <m/>
    <s v="F15941"/>
    <s v="Manual"/>
    <s v="Kyakulaga James"/>
    <s v="UBJ 419C"/>
    <s v="KATO INVESTMENTS LIMITED-MASAK"/>
    <n v="156"/>
    <s v="F15941"/>
    <s v="OM"/>
    <n v="298"/>
    <n v="296"/>
    <n v="-2"/>
    <m/>
    <d v="2025-02-21T21:21:00"/>
    <d v="2025-02-21T21:36:00"/>
    <d v="2025-02-21T22:04:00"/>
    <n v="27.870370367357584"/>
    <n v="42.80092592986572"/>
    <x v="0"/>
    <d v="2025-02-22T10:47:00"/>
    <d v="2025-02-22T16:52:00"/>
    <n v="357.39583332877373"/>
    <s v="Waited for empties from trade"/>
    <d v="2025-02-22T14:05:00"/>
    <d v="2025-02-22T15:00:00"/>
    <n v="53.854166667806567"/>
    <x v="0"/>
    <n v="0.66736111111094942"/>
    <n v="2"/>
    <n v="1.3326388888890506"/>
    <n v="16.016666666662786"/>
    <n v="0"/>
    <n v="16.016666666662786"/>
    <n v="9.7398543184206741"/>
    <m/>
    <m/>
    <m/>
    <m/>
    <m/>
  </r>
  <r>
    <d v="2025-02-22T00:00:00"/>
    <x v="1"/>
    <m/>
    <s v="F15942"/>
    <s v="Manual"/>
    <s v="ZIWA ABASI"/>
    <s v="UBJ 420C"/>
    <s v="Boniface Harera"/>
    <n v="156"/>
    <s v="F15942"/>
    <s v="OM"/>
    <n v="448"/>
    <n v="445"/>
    <n v="-3"/>
    <m/>
    <d v="2025-02-21T20:47:00"/>
    <d v="2025-02-21T21:22:00"/>
    <d v="2025-02-21T21:30:00"/>
    <n v="7.9629629680615226"/>
    <n v="42.80092592986572"/>
    <x v="0"/>
    <d v="2025-02-21T10:52:00"/>
    <d v="2025-02-21T19:06:00"/>
    <n v="483.70833333014161"/>
    <s v="found another truck at RD"/>
    <d v="2025-02-24T17:13:00"/>
    <d v="2025-02-24T18:05:00"/>
    <n v="50.916666668490507"/>
    <x v="0"/>
    <n v="2.8215277777781012"/>
    <n v="2"/>
    <n v="-0.82152777777810115"/>
    <n v="67.716666666674428"/>
    <n v="24"/>
    <n v="43.716666666674428"/>
    <n v="3.5684330918788936"/>
    <m/>
    <m/>
    <m/>
    <m/>
    <m/>
  </r>
  <r>
    <d v="2025-02-22T00:00:00"/>
    <x v="1"/>
    <m/>
    <s v="A20902"/>
    <s v="Manual"/>
    <m/>
    <s v="UBR 868Y"/>
    <s v="Kato Investments Ltd- Kyegegwa"/>
    <n v="156"/>
    <s v="A20902"/>
    <s v="OM"/>
    <n v="600"/>
    <n v="602"/>
    <n v="2"/>
    <m/>
    <d v="2025-02-21T20:44:00"/>
    <d v="2025-02-21T21:16:00"/>
    <d v="2025-02-21T21:28:00"/>
    <n v="11.944444441663412"/>
    <n v="43.796296293051761"/>
    <x v="0"/>
    <d v="2025-02-21T15:53:00"/>
    <d v="2025-02-21T18:47:00"/>
    <n v="170.37500000136788"/>
    <m/>
    <d v="2025-02-22T11:42:00"/>
    <d v="2025-02-22T12:33:00"/>
    <n v="49.93749999863212"/>
    <x v="0"/>
    <n v="0.59305555556056788"/>
    <n v="3"/>
    <n v="2.4069444444394321"/>
    <n v="14.233333333453629"/>
    <n v="0"/>
    <n v="14.233333333453629"/>
    <n v="10.960187353537345"/>
    <m/>
    <m/>
    <m/>
    <m/>
    <m/>
  </r>
  <r>
    <d v="2025-02-22T00:00:00"/>
    <x v="1"/>
    <m/>
    <s v="F15938"/>
    <s v="Manual"/>
    <m/>
    <s v="UBR 535W"/>
    <s v="Boniface Harera"/>
    <n v="156"/>
    <s v="F15938"/>
    <s v="OM"/>
    <n v="448"/>
    <n v="445"/>
    <n v="-3"/>
    <m/>
    <d v="2025-02-21T19:07:00"/>
    <d v="2025-02-21T19:30:00"/>
    <d v="2025-02-21T19:51:00"/>
    <n v="20.902777772910969"/>
    <n v="43.796296293051761"/>
    <x v="0"/>
    <d v="2025-02-22T15:19:00"/>
    <d v="2025-02-22T17:25:00"/>
    <n v="123.37500000205182"/>
    <m/>
    <d v="2025-02-23T15:52:00"/>
    <d v="2025-02-23T16:46:00"/>
    <n v="52.87499999794818"/>
    <x v="0"/>
    <n v="1.8340277777824667"/>
    <n v="2"/>
    <n v="0.16597222221753327"/>
    <n v="44.016666666779201"/>
    <n v="12"/>
    <n v="32.016666666779201"/>
    <n v="4.8724622592228535"/>
    <m/>
    <m/>
    <m/>
    <m/>
    <m/>
  </r>
  <r>
    <d v="2025-02-22T00:00:00"/>
    <x v="1"/>
    <m/>
    <s v="OMUPC2WRR"/>
    <s v="DJ"/>
    <s v="Benon Ssempijja"/>
    <s v="UAY 526V"/>
    <s v="Sawan Distributors "/>
    <n v="153.6"/>
    <s v="OMUPC2WRR"/>
    <s v="OM"/>
    <n v="560"/>
    <n v="562"/>
    <n v="2"/>
    <m/>
    <d v="2025-02-21T13:59:00"/>
    <d v="2025-02-21T14:12:00"/>
    <d v="2025-02-21T14:40:00"/>
    <n v="27.870370367357584"/>
    <n v="40.810185182635905"/>
    <x v="0"/>
    <d v="2025-02-22T08:49:00"/>
    <d v="2025-02-22T12:34:00"/>
    <n v="220.3125"/>
    <s v="found another truck at the RD"/>
    <d v="2025-02-22T19:27:00"/>
    <d v="2025-02-22T20:18:00"/>
    <n v="49.93749999863212"/>
    <x v="0"/>
    <n v="1.1993055555576575"/>
    <n v="2"/>
    <n v="0.8006944444423425"/>
    <n v="28.78333333338378"/>
    <n v="12"/>
    <n v="16.78333333338378"/>
    <n v="9.1519364448582898"/>
    <m/>
    <m/>
    <m/>
    <m/>
    <m/>
  </r>
  <r>
    <d v="2025-02-22T00:00:00"/>
    <x v="1"/>
    <m/>
    <s v="OMEBZ2HRR"/>
    <s v="DJ"/>
    <s v="Kabene John"/>
    <s v="UBA 523T"/>
    <s v="SAGAR TRADING CO. LTD- MUKONO "/>
    <n v="153.6"/>
    <s v="OMEBZ2HRR"/>
    <s v="OM"/>
    <n v="302"/>
    <n v="304"/>
    <n v="2"/>
    <m/>
    <d v="2025-02-21T21:12:00"/>
    <d v="2025-02-21T21:41:00"/>
    <d v="2025-02-21T21:52:00"/>
    <n v="10.949074078477375"/>
    <n v="39.814814819449872"/>
    <x v="0"/>
    <d v="2025-02-21T11:49:00"/>
    <d v="2025-02-21T17:10:00"/>
    <n v="314.31250000889122"/>
    <s v="found another truck at the RD and offloaded the next day"/>
    <d v="2025-02-22T17:58:00"/>
    <d v="2025-02-22T18:58:00"/>
    <n v="58.7499999965803"/>
    <x v="0"/>
    <n v="0.83750000000145519"/>
    <n v="2"/>
    <n v="1.1624999999985448"/>
    <n v="20.100000000034925"/>
    <n v="0"/>
    <n v="20.100000000034925"/>
    <n v="7.641791044762841"/>
    <m/>
    <m/>
    <m/>
    <m/>
    <m/>
  </r>
  <r>
    <d v="2025-02-23T00:00:00"/>
    <x v="1"/>
    <m/>
    <s v="A20937"/>
    <s v="Manual"/>
    <s v="kayanja Sam"/>
    <s v="UBF 379L"/>
    <s v="Kato Investment Ltd -Mubende"/>
    <n v="156"/>
    <s v="A20937"/>
    <s v="OM"/>
    <n v="680"/>
    <n v="678"/>
    <n v="-2"/>
    <m/>
    <d v="2025-02-21T18:09:00"/>
    <d v="2025-02-21T18:24:00"/>
    <d v="2025-02-21T18:52:00"/>
    <n v="27.870370367357584"/>
    <n v="42.80092592986572"/>
    <x v="0"/>
    <d v="2025-02-22T09:12:00"/>
    <d v="2025-02-22T13:29:00"/>
    <n v="251.64583333287737"/>
    <s v="Waited for empties from trade"/>
    <d v="2025-02-22T10:22:00"/>
    <d v="2025-02-22T11:18:00"/>
    <n v="54.833333337664953"/>
    <x v="0"/>
    <n v="0.64583333332848269"/>
    <n v="2"/>
    <n v="1.3541666666715173"/>
    <n v="15.499999999883585"/>
    <n v="0"/>
    <n v="15.499999999883585"/>
    <n v="10.064516129107849"/>
    <m/>
    <m/>
    <m/>
    <m/>
    <m/>
  </r>
  <r>
    <d v="2025-02-23T00:00:00"/>
    <x v="1"/>
    <m/>
    <s v="A20941"/>
    <s v="Manual"/>
    <s v="Nminya Siraje"/>
    <s v="UBP 301H"/>
    <s v="Kato Investments Ltd-Bulenga"/>
    <n v="156"/>
    <s v="A20941"/>
    <s v="OM"/>
    <n v="810"/>
    <n v="812"/>
    <n v="2"/>
    <m/>
    <d v="2025-02-21T13:01:00"/>
    <d v="2025-02-20T21:40:00"/>
    <d v="2025-02-21T13:41:00"/>
    <n v="956.55092592569417"/>
    <n v="39.814814819449872"/>
    <x v="0"/>
    <d v="2025-02-21T17:31:00"/>
    <d v="2025-02-21T19:37:00"/>
    <n v="123.37500000205182"/>
    <m/>
    <d v="2025-02-22T07:43:00"/>
    <d v="2025-02-22T08:43:00"/>
    <n v="58.7499999965803"/>
    <x v="0"/>
    <n v="0.75138888888614019"/>
    <n v="3"/>
    <n v="2.2486111111138598"/>
    <n v="18.033333333267365"/>
    <n v="0"/>
    <n v="18.033333333267365"/>
    <n v="8.6506469501240666"/>
    <m/>
    <m/>
    <m/>
    <m/>
    <m/>
  </r>
  <r>
    <d v="2025-02-23T00:00:00"/>
    <x v="1"/>
    <m/>
    <s v="Z82767"/>
    <s v="Manual"/>
    <s v="Ntumwa Solomon"/>
    <s v="UBR 540W"/>
    <s v="Rugoma Traders-Rukungiri"/>
    <n v="156"/>
    <s v="Z82767"/>
    <s v="OM"/>
    <n v="256"/>
    <n v="258"/>
    <n v="2"/>
    <m/>
    <d v="2025-02-21T10:54:00"/>
    <d v="2025-02-21T03:43:00"/>
    <d v="2025-02-21T11:37:00"/>
    <n v="471.80555554999347"/>
    <n v="42.80092592986572"/>
    <x v="0"/>
    <d v="2025-02-21T13:24:00"/>
    <d v="2025-02-21T16:46:00"/>
    <n v="197.79166666507081"/>
    <s v="Reached late and offloaded the next day"/>
    <d v="2025-02-24T17:13:00"/>
    <d v="2025-02-24T18:13:00"/>
    <n v="58.7499999965803"/>
    <x v="0"/>
    <n v="3.2333333333372138"/>
    <n v="2"/>
    <n v="-1.2333333333372138"/>
    <n v="77.600000000093132"/>
    <n v="36"/>
    <n v="41.600000000093132"/>
    <n v="3.7499999999916045"/>
    <m/>
    <m/>
    <m/>
    <m/>
    <m/>
  </r>
  <r>
    <d v="2025-02-23T00:00:00"/>
    <x v="1"/>
    <m/>
    <s v="A20938"/>
    <s v="Manual"/>
    <s v="Ngobi Fred"/>
    <s v="UBK 866R"/>
    <s v="KATO INVESTMENTS LTD-KATIKARA"/>
    <n v="156"/>
    <s v="A20938"/>
    <s v="OM"/>
    <n v="400"/>
    <n v="402"/>
    <n v="2"/>
    <m/>
    <d v="2025-02-21T11:11:00"/>
    <d v="2025-02-21T01:59:00"/>
    <d v="2025-02-21T11:55:00"/>
    <n v="593.24074074514408"/>
    <n v="43.796296293051761"/>
    <x v="0"/>
    <d v="2025-02-20T21:36:00"/>
    <d v="2025-02-21T10:54:00"/>
    <n v="781.37500000273576"/>
    <s v="Waited for empties from trade"/>
    <d v="2025-02-22T17:58:00"/>
    <d v="2025-02-22T18:52:00"/>
    <n v="52.87499999794818"/>
    <x v="0"/>
    <n v="1.2520833333328483"/>
    <n v="3"/>
    <n v="1.7479166666671517"/>
    <n v="30.049999999988358"/>
    <n v="12"/>
    <n v="18.049999999988358"/>
    <n v="8.6426592797839668"/>
    <m/>
    <m/>
    <m/>
    <m/>
    <m/>
  </r>
  <r>
    <d v="2025-02-23T00:00:00"/>
    <x v="1"/>
    <m/>
    <s v="F15956"/>
    <s v="Manual"/>
    <s v="SENTONG DAVID"/>
    <s v="UBP 298H"/>
    <s v="Boniface Harera"/>
    <n v="156"/>
    <s v="F15956"/>
    <s v="OM"/>
    <n v="448"/>
    <n v="449"/>
    <n v="1"/>
    <m/>
    <d v="2025-02-21T20:14:00"/>
    <d v="2025-02-21T03:17:00"/>
    <d v="2025-02-21T20:57:00"/>
    <n v="1055.092592590275"/>
    <n v="42.80092592986572"/>
    <x v="0"/>
    <d v="2025-02-22T17:49:00"/>
    <d v="2025-02-23T10:09:00"/>
    <n v="959.58333334245253"/>
    <s v="Reached late and offloaded the next day"/>
    <d v="2025-02-22T19:27:00"/>
    <d v="2025-02-22T20:18:00"/>
    <n v="49.93749999863212"/>
    <x v="0"/>
    <n v="0.9375"/>
    <n v="2"/>
    <n v="1.0625"/>
    <n v="22.5"/>
    <n v="0"/>
    <n v="22.5"/>
    <n v="6.9333333333333336"/>
    <m/>
    <m/>
    <m/>
    <m/>
    <m/>
  </r>
  <r>
    <d v="2025-02-23T00:00:00"/>
    <x v="1"/>
    <m/>
    <s v="Z82769"/>
    <s v="Manual"/>
    <s v="Byanshala Stoney"/>
    <s v="UBP 312H"/>
    <s v="Kobusinge Steven-FPortal"/>
    <n v="156"/>
    <s v="Z82769"/>
    <s v="OM"/>
    <n v="304"/>
    <n v="306"/>
    <n v="2"/>
    <m/>
    <d v="2025-02-21T20:15:00"/>
    <d v="2025-02-21T03:17:00"/>
    <d v="2025-02-21T20:57:00"/>
    <n v="1055.092592590275"/>
    <n v="41.805555556250816"/>
    <x v="0"/>
    <d v="2025-02-22T09:12:00"/>
    <d v="2025-02-22T13:29:00"/>
    <n v="251.64583333287737"/>
    <s v="truck faulty"/>
    <d v="2025-02-22T18:07:00"/>
    <d v="2025-02-22T19:04:00"/>
    <n v="55.81249999726424"/>
    <x v="0"/>
    <n v="0.88194444444525288"/>
    <n v="2"/>
    <n v="1.1180555555547471"/>
    <n v="21.166666666686069"/>
    <n v="0"/>
    <n v="21.166666666686069"/>
    <n v="7.3700787401507242"/>
    <m/>
    <m/>
    <m/>
    <m/>
    <m/>
  </r>
  <r>
    <d v="2025-02-23T00:00:00"/>
    <x v="1"/>
    <m/>
    <s v="A20942"/>
    <s v="Manual"/>
    <s v="Sentongo paul"/>
    <s v="UBR 541W"/>
    <s v="Kato Investments Ltd- Kyegegwa"/>
    <n v="156"/>
    <s v="A20942"/>
    <s v="OM"/>
    <n v="600"/>
    <n v="602"/>
    <n v="2"/>
    <m/>
    <d v="2025-02-21T12:57:00"/>
    <d v="2025-02-20T21:40:00"/>
    <d v="2025-02-21T13:41:00"/>
    <n v="956.55092592569417"/>
    <n v="43.796296293051761"/>
    <x v="0"/>
    <d v="2025-02-22T10:47:00"/>
    <d v="2025-02-22T16:52:00"/>
    <n v="357.39583332877373"/>
    <s v="Waited for empties from trade"/>
    <d v="2025-02-24T17:13:00"/>
    <d v="2025-02-24T18:29:00"/>
    <n v="74.416666663018987"/>
    <x v="9"/>
    <n v="3.1472222222218988"/>
    <n v="3"/>
    <n v="-0.14722222222189885"/>
    <n v="75.533333333325572"/>
    <n v="36"/>
    <n v="39.533333333325572"/>
    <n v="3.9460370994948724"/>
    <m/>
    <m/>
    <m/>
    <m/>
    <m/>
  </r>
  <r>
    <d v="2025-02-23T00:00:00"/>
    <x v="1"/>
    <m/>
    <s v="Z82750"/>
    <s v="Manual"/>
    <m/>
    <s v="UBJ 421C"/>
    <s v="Kobusinge Steven-FPortal"/>
    <n v="156"/>
    <s v="Z82750"/>
    <s v="OM"/>
    <n v="304"/>
    <n v="306"/>
    <n v="2"/>
    <m/>
    <d v="2025-02-21T11:13:00"/>
    <d v="2025-02-21T01:59:00"/>
    <d v="2025-02-21T11:55:00"/>
    <n v="593.24074074514408"/>
    <n v="41.805555556250816"/>
    <x v="0"/>
    <d v="2025-02-22T08:49:00"/>
    <d v="2025-02-22T12:34:00"/>
    <n v="220.3125"/>
    <s v="found another truck to be offloaded"/>
    <d v="2025-02-22T17:58:00"/>
    <d v="2025-02-22T18:58:00"/>
    <n v="58.7499999965803"/>
    <x v="0"/>
    <n v="1.2520833333328483"/>
    <n v="2"/>
    <n v="0.74791666666715173"/>
    <n v="30.049999999988358"/>
    <n v="12"/>
    <n v="18.049999999988358"/>
    <n v="8.6426592797839668"/>
    <m/>
    <m/>
    <m/>
    <m/>
    <m/>
  </r>
  <r>
    <d v="2025-02-23T00:00:00"/>
    <x v="1"/>
    <m/>
    <s v="Z82752"/>
    <s v="Manual"/>
    <s v="Kabanda Ronald"/>
    <s v="UBE 684K"/>
    <s v="Kobusinge Steven-FPortal"/>
    <n v="156"/>
    <s v="Z82752"/>
    <s v="OM"/>
    <n v="304"/>
    <n v="306"/>
    <n v="2"/>
    <m/>
    <d v="2025-02-21T13:10:00"/>
    <d v="2025-02-21T04:19:00"/>
    <d v="2025-02-21T13:54:00"/>
    <n v="572.33796297223307"/>
    <n v="43.796296293051761"/>
    <x v="0"/>
    <d v="2025-02-22T15:19:00"/>
    <d v="2025-02-22T17:25:00"/>
    <n v="123.37500000205182"/>
    <m/>
    <d v="2025-02-23T12:38:00"/>
    <d v="2025-02-23T13:36:00"/>
    <n v="56.791666667122627"/>
    <x v="0"/>
    <n v="1.9472222222175333"/>
    <n v="2"/>
    <n v="5.2777777782466728E-2"/>
    <n v="46.733333333220799"/>
    <n v="12"/>
    <n v="34.733333333220799"/>
    <n v="4.4913627639300993"/>
    <m/>
    <m/>
    <m/>
    <m/>
    <m/>
  </r>
  <r>
    <d v="2025-02-23T00:00:00"/>
    <x v="1"/>
    <m/>
    <s v="F15952"/>
    <s v="Manual"/>
    <s v="Nakalya John"/>
    <s v="UBM 648D"/>
    <s v="Boniface Harera"/>
    <n v="156"/>
    <s v="F15952"/>
    <s v="OM"/>
    <n v="448"/>
    <n v="450"/>
    <n v="2"/>
    <m/>
    <d v="2025-02-21T10:56:00"/>
    <d v="2025-02-21T03:43:00"/>
    <d v="2025-02-21T11:37:00"/>
    <n v="471.80555554999347"/>
    <n v="40.810185182635905"/>
    <x v="0"/>
    <d v="2025-02-21T19:02:00"/>
    <d v="2025-02-21T21:54:00"/>
    <n v="168.41666666165111"/>
    <m/>
    <d v="2025-02-22T19:27:00"/>
    <d v="2025-02-22T20:23:00"/>
    <n v="54.833333337664953"/>
    <x v="0"/>
    <n v="1.3263888888905058"/>
    <n v="2"/>
    <n v="0.67361111110949423"/>
    <n v="31.833333333372138"/>
    <n v="12"/>
    <n v="19.833333333372138"/>
    <n v="7.865546218472006"/>
    <m/>
    <m/>
    <m/>
    <m/>
    <m/>
  </r>
  <r>
    <d v="2025-02-23T00:00:00"/>
    <x v="1"/>
    <m/>
    <s v="OM0BXO6RR"/>
    <s v="DJ"/>
    <s v="Luyaga Isaac"/>
    <s v="UAY 265V"/>
    <s v="Jusime Enterprises "/>
    <n v="153.6"/>
    <s v="OM0BXO6RR"/>
    <s v="OM"/>
    <n v="560"/>
    <n v="558"/>
    <n v="-2"/>
    <m/>
    <d v="2025-02-21T09:23:00"/>
    <d v="2025-02-21T07:42:00"/>
    <d v="2025-02-21T10:03:00"/>
    <n v="140.3472222208317"/>
    <n v="39.814814819449872"/>
    <x v="0"/>
    <d v="2025-02-21T10:33:00"/>
    <d v="2025-02-21T13:02:00"/>
    <n v="145.89583333698101"/>
    <m/>
    <d v="2025-02-21T14:05:00"/>
    <d v="2025-02-21T15:05:00"/>
    <n v="58.7499999965803"/>
    <x v="0"/>
    <n v="0.1680555555576575"/>
    <n v="3"/>
    <n v="2.8319444444423425"/>
    <n v="4.03333333338378"/>
    <n v="0"/>
    <n v="4.03333333338378"/>
    <n v="38.082644627622855"/>
    <m/>
    <m/>
    <m/>
    <m/>
    <m/>
  </r>
  <r>
    <d v="2025-02-23T00:00:00"/>
    <x v="1"/>
    <m/>
    <s v="OM0QHSLRR"/>
    <s v="DJ"/>
    <s v="Benon Ssempijja"/>
    <s v="UAY 526V"/>
    <s v="Ssempa Investments Limited"/>
    <n v="153.6"/>
    <s v="OM0QHSLRR"/>
    <s v="OM"/>
    <n v="560"/>
    <n v="558"/>
    <n v="-2"/>
    <m/>
    <d v="2025-02-21T12:12:00"/>
    <d v="2025-02-20T16:40:00"/>
    <d v="2025-02-21T12:54:00"/>
    <n v="1208.3796296263852"/>
    <n v="41.805555556250816"/>
    <x v="0"/>
    <d v="2025-02-21T15:53:00"/>
    <d v="2025-02-21T18:41:00"/>
    <n v="164.50000000273576"/>
    <m/>
    <d v="2025-02-23T15:52:00"/>
    <d v="2025-02-23T16:49:00"/>
    <n v="55.81249999726424"/>
    <x v="0"/>
    <n v="2.1236111111138598"/>
    <n v="3"/>
    <n v="0.87638888888614019"/>
    <n v="50.966666666732635"/>
    <n v="24"/>
    <n v="26.966666666732635"/>
    <n v="5.6959208899737046"/>
    <m/>
    <m/>
    <m/>
    <m/>
    <m/>
  </r>
  <r>
    <d v="2025-02-23T00:00:00"/>
    <x v="1"/>
    <m/>
    <s v="OM2FUCTRR"/>
    <s v="DJ"/>
    <s v="Isaac Tumuhimbise"/>
    <s v="UBE 287X"/>
    <s v="KATO INVESTMENTS LTD- KALISIZO "/>
    <n v="153.6"/>
    <s v="OM2FUCTRR"/>
    <s v="OM"/>
    <n v="350"/>
    <n v="351"/>
    <n v="1"/>
    <m/>
    <d v="2025-02-21T21:39:00"/>
    <d v="2025-02-21T02:22:00"/>
    <d v="2025-02-21T22:22:00"/>
    <n v="1194.4444444374919"/>
    <n v="42.80092592986572"/>
    <x v="0"/>
    <d v="2025-02-21T10:52:00"/>
    <d v="2025-02-21T19:06:00"/>
    <n v="483.70833333014161"/>
    <s v="found another truck at the RD"/>
    <d v="2025-02-22T11:42:00"/>
    <d v="2025-02-22T12:39:00"/>
    <n v="55.81249999726424"/>
    <x v="0"/>
    <n v="0.55555555556202307"/>
    <n v="2"/>
    <n v="1.4444444444379769"/>
    <n v="13.333333333488554"/>
    <n v="0"/>
    <n v="13.333333333488554"/>
    <n v="11.51999999986589"/>
    <m/>
    <m/>
    <m/>
    <m/>
    <m/>
  </r>
  <r>
    <d v="2025-02-23T00:00:00"/>
    <x v="1"/>
    <m/>
    <s v="OMF0NLXRR"/>
    <s v="DJ"/>
    <s v="Kilabila Ismail"/>
    <s v="UBE 419T"/>
    <s v="Kabaco U Ltd-Mbarara "/>
    <n v="153.6"/>
    <s v="OMF0NLXRR"/>
    <s v="OM"/>
    <n v="20"/>
    <n v="21"/>
    <n v="1"/>
    <m/>
    <d v="2025-02-25T11:29:00"/>
    <d v="2025-02-25T11:49:00"/>
    <d v="2025-02-25T12:12:00"/>
    <n v="22.893518520140788"/>
    <n v="42.80092592986572"/>
    <x v="0"/>
    <d v="2025-02-23T14:31:00"/>
    <d v="2025-02-23T17:04:00"/>
    <n v="149.81249999589636"/>
    <m/>
    <d v="2025-02-26T10:36:00"/>
    <d v="2025-02-26T11:31:00"/>
    <n v="53.854166667806567"/>
    <x v="0"/>
    <n v="0.93333333333430346"/>
    <n v="3"/>
    <n v="2.0666666666656965"/>
    <n v="22.400000000023283"/>
    <n v="0"/>
    <n v="22.400000000023283"/>
    <n v="6.8571428571357291"/>
    <m/>
    <m/>
    <m/>
    <m/>
    <m/>
  </r>
  <r>
    <d v="2025-02-23T00:00:00"/>
    <x v="1"/>
    <m/>
    <s v="OME6941RR"/>
    <s v="DJ"/>
    <s v="Jacob Oneka"/>
    <s v="UBE 422T"/>
    <s v="KATO INVESTMENTS LIMITED-MASAK"/>
    <n v="153.6"/>
    <s v="OME6941RR"/>
    <s v="OM"/>
    <n v="298"/>
    <n v="296"/>
    <n v="-2"/>
    <m/>
    <d v="2025-02-24T13:28:00"/>
    <d v="2025-02-24T13:55:00"/>
    <d v="2025-02-24T14:12:00"/>
    <n v="16.921296299309081"/>
    <n v="43.796296293051761"/>
    <x v="0"/>
    <d v="2025-02-22T07:10:00"/>
    <d v="2025-02-22T16:18:00"/>
    <n v="536.58333333834889"/>
    <s v="Waited for empties from trade"/>
    <d v="2025-02-25T15:25:00"/>
    <d v="2025-02-25T16:25:00"/>
    <n v="58.7499999965803"/>
    <x v="0"/>
    <n v="1.0506944444423425"/>
    <n v="2"/>
    <n v="0.9493055555576575"/>
    <n v="25.21666666661622"/>
    <n v="12"/>
    <n v="13.21666666661622"/>
    <n v="11.62168978566857"/>
    <m/>
    <m/>
    <m/>
    <m/>
    <m/>
  </r>
  <r>
    <d v="2025-02-23T00:00:00"/>
    <x v="1"/>
    <m/>
    <s v="OMR1XSFRR"/>
    <s v="DJ"/>
    <s v="MUKOSE MUZAMIRU"/>
    <s v="UBJ 417C"/>
    <s v="Kachain Logistics Ltd "/>
    <n v="153.6"/>
    <s v="OMR1XSFRR"/>
    <s v="OM"/>
    <n v="560"/>
    <n v="562"/>
    <n v="2"/>
    <m/>
    <d v="2025-02-23T07:09:00"/>
    <d v="2025-02-23T07:23:00"/>
    <d v="2025-02-23T07:51:00"/>
    <n v="27.870370367357584"/>
    <n v="41.805555556250816"/>
    <x v="0"/>
    <d v="2025-02-23T19:10:00"/>
    <d v="2025-02-24T11:33:00"/>
    <n v="962.52083333150949"/>
    <s v="Reached late and offloaded the next day"/>
    <d v="2025-02-23T12:39:00"/>
    <d v="2025-02-23T13:55:00"/>
    <n v="74.416666663018987"/>
    <x v="5"/>
    <n v="0.20000000000436557"/>
    <n v="3"/>
    <n v="2.7999999999956344"/>
    <n v="4.8000000001047738"/>
    <n v="0"/>
    <n v="4.8000000001047738"/>
    <n v="31.999999999301508"/>
    <m/>
    <m/>
    <m/>
    <m/>
    <m/>
  </r>
  <r>
    <d v="2025-02-24T00:00:00"/>
    <x v="1"/>
    <m/>
    <s v="A20952"/>
    <s v="Manual"/>
    <m/>
    <s v="UBE 692K"/>
    <s v="KATO INVESTMENTS LTD-KATIKARA"/>
    <n v="156"/>
    <s v="A20952"/>
    <s v="OM"/>
    <n v="790"/>
    <n v="792"/>
    <n v="2"/>
    <m/>
    <d v="2025-02-22T15:01:00"/>
    <d v="2025-02-22T15:22:00"/>
    <d v="2025-02-22T15:43:00"/>
    <n v="20.902777772910969"/>
    <n v="41.805555556250816"/>
    <x v="0"/>
    <d v="2025-02-22T10:43:00"/>
    <d v="2025-02-22T16:03:00"/>
    <n v="313.33333332877373"/>
    <s v="Waited for empties from trade"/>
    <d v="2025-02-23T12:39:00"/>
    <d v="2025-02-23T13:30:00"/>
    <n v="49.93749999863212"/>
    <x v="0"/>
    <n v="0.87222222222044365"/>
    <n v="3"/>
    <n v="2.1277777777795563"/>
    <n v="20.933333333290648"/>
    <n v="0"/>
    <n v="20.933333333290648"/>
    <n v="7.4522292993782537"/>
    <m/>
    <m/>
    <m/>
    <m/>
    <m/>
  </r>
  <r>
    <d v="2025-02-24T00:00:00"/>
    <x v="1"/>
    <m/>
    <s v="Z82777"/>
    <s v="Manual"/>
    <m/>
    <s v="UBG 084B"/>
    <s v="Kobusinge Steven-FPortal"/>
    <n v="156"/>
    <s v="Z82777"/>
    <s v="OM"/>
    <n v="304"/>
    <n v="302"/>
    <n v="-2"/>
    <m/>
    <d v="2025-02-22T10:48:00"/>
    <d v="2025-02-22T11:20:00"/>
    <d v="2025-02-22T11:32:00"/>
    <n v="11.944444441663412"/>
    <n v="43.796296293051761"/>
    <x v="0"/>
    <d v="2025-02-22T12:45:00"/>
    <d v="2025-02-22T19:32:00"/>
    <n v="398.52083332945767"/>
    <s v="space consquents"/>
    <d v="2025-02-23T20:33:00"/>
    <d v="2025-02-23T21:27:00"/>
    <n v="52.87499999794818"/>
    <x v="0"/>
    <n v="1.3756944444394321"/>
    <n v="2"/>
    <n v="0.62430555556056788"/>
    <n v="33.016666666546371"/>
    <n v="12"/>
    <n v="21.016666666546371"/>
    <n v="7.4226804124136203"/>
    <m/>
    <m/>
    <m/>
    <m/>
    <m/>
  </r>
  <r>
    <d v="2025-02-24T00:00:00"/>
    <x v="1"/>
    <m/>
    <s v="A20961"/>
    <s v="Manual"/>
    <s v="Bwanga Gilbert"/>
    <s v="UBK 862R"/>
    <s v="Kato Investment Ltd -Mityana"/>
    <n v="156"/>
    <s v="A20961"/>
    <s v="OM"/>
    <n v="690"/>
    <n v="689"/>
    <n v="-1"/>
    <m/>
    <d v="2025-02-22T11:02:00"/>
    <d v="2025-02-22T11:42:00"/>
    <d v="2025-02-22T11:46:00"/>
    <n v="3.9814814840307613"/>
    <n v="43.796296293051761"/>
    <x v="0"/>
    <d v="2025-02-22T16:22:00"/>
    <d v="2025-02-22T21:16:00"/>
    <n v="287.87500000478758"/>
    <s v="Reached late and offloaded the next day"/>
    <d v="2025-02-25T14:33:00"/>
    <d v="2025-02-25T15:24:00"/>
    <n v="49.93749999863212"/>
    <x v="0"/>
    <n v="3.1159722222218988"/>
    <n v="2"/>
    <n v="-1.1159722222218988"/>
    <n v="74.783333333325572"/>
    <n v="36"/>
    <n v="38.783333333325572"/>
    <n v="4.0223463687158887"/>
    <m/>
    <m/>
    <m/>
    <m/>
    <m/>
  </r>
  <r>
    <d v="2025-02-24T00:00:00"/>
    <x v="1"/>
    <m/>
    <s v="A20960"/>
    <s v="Manual"/>
    <s v="Mulumba Kasim"/>
    <s v="UBE 680K"/>
    <s v="Kato Investment Ltd -Mubende"/>
    <n v="156"/>
    <s v="A20960"/>
    <s v="OM"/>
    <n v="680"/>
    <n v="682"/>
    <n v="2"/>
    <m/>
    <d v="2025-02-22T12:39:00"/>
    <d v="2025-02-22T12:27:00"/>
    <d v="2025-02-22T13:22:00"/>
    <n v="54.745370371529134"/>
    <n v="42.80092592986572"/>
    <x v="0"/>
    <d v="2025-02-22T17:49:00"/>
    <d v="2025-02-23T10:09:00"/>
    <n v="959.58333334245253"/>
    <s v="truck faulty"/>
    <d v="2025-02-25T14:33:00"/>
    <d v="2025-02-25T15:30:00"/>
    <n v="55.81249999726424"/>
    <x v="0"/>
    <n v="3.0493055555562023"/>
    <n v="2"/>
    <n v="-1.0493055555562023"/>
    <n v="73.183333333348855"/>
    <n v="36"/>
    <n v="37.183333333348855"/>
    <n v="4.1954280591645414"/>
    <m/>
    <m/>
    <m/>
    <m/>
    <m/>
  </r>
  <r>
    <d v="2025-02-24T00:00:00"/>
    <x v="1"/>
    <m/>
    <s v="A20962"/>
    <s v="Manual"/>
    <s v="Malinzi Awali"/>
    <s v="UBR 536W"/>
    <s v="Kato Investments Ltd- Kakumiro"/>
    <n v="156"/>
    <s v="A20962"/>
    <s v="OM"/>
    <n v="790"/>
    <n v="792"/>
    <n v="2"/>
    <m/>
    <d v="2025-02-23T10:12:00"/>
    <d v="2025-02-23T10:35:00"/>
    <d v="2025-02-23T10:56:00"/>
    <n v="20.902777772910969"/>
    <n v="43.796296293051761"/>
    <x v="0"/>
    <d v="2025-02-21T16:41:00"/>
    <d v="2025-02-21T19:35:00"/>
    <n v="170.37500000136788"/>
    <m/>
    <d v="2025-02-23T13:13:00"/>
    <d v="2025-02-23T14:05:00"/>
    <n v="50.916666668490507"/>
    <x v="0"/>
    <n v="9.5138888886140194E-2"/>
    <n v="2"/>
    <n v="1.9048611111138598"/>
    <n v="2.2833333332673647"/>
    <n v="0"/>
    <n v="2.2833333332673647"/>
    <n v="68.321167885185574"/>
    <m/>
    <m/>
    <m/>
    <m/>
    <m/>
  </r>
  <r>
    <d v="2025-02-24T00:00:00"/>
    <x v="1"/>
    <m/>
    <s v="Z82783"/>
    <s v="Manual"/>
    <s v="Matovu Musa"/>
    <s v="UBR 538W"/>
    <s v="Kobusinge Steven-FPortal"/>
    <n v="156"/>
    <s v="Z82783"/>
    <s v="OM"/>
    <n v="304"/>
    <n v="306"/>
    <n v="2"/>
    <m/>
    <d v="2025-02-22T11:16:00"/>
    <d v="2025-02-22T11:38:00"/>
    <d v="2025-02-22T11:59:00"/>
    <n v="20.902777772910969"/>
    <n v="42.80092592986572"/>
    <x v="0"/>
    <d v="2025-02-24T11:48:00"/>
    <d v="2025-02-24T18:26:00"/>
    <n v="389.70833333150949"/>
    <s v="found another truck to be offloaded"/>
    <d v="2025-02-24T10:16:00"/>
    <d v="2025-02-24T11:13:00"/>
    <n v="55.81249999726424"/>
    <x v="0"/>
    <n v="1.9284722222218988"/>
    <n v="2"/>
    <n v="7.1527777778101154E-2"/>
    <n v="46.283333333325572"/>
    <n v="12"/>
    <n v="34.283333333325572"/>
    <n v="4.5503159941672919"/>
    <m/>
    <m/>
    <m/>
    <m/>
    <m/>
  </r>
  <r>
    <d v="2025-02-24T00:00:00"/>
    <x v="1"/>
    <m/>
    <s v="A20954"/>
    <s v="Manual"/>
    <m/>
    <s v="UBR 537W"/>
    <s v="Ntale and Sons Ltd-Kakiri"/>
    <n v="156"/>
    <s v="A20954"/>
    <s v="OM"/>
    <n v="620"/>
    <n v="619"/>
    <n v="-1"/>
    <m/>
    <d v="2025-02-22T14:45:00"/>
    <d v="2025-02-22T15:12:00"/>
    <d v="2025-02-22T15:29:00"/>
    <n v="16.921296299309081"/>
    <n v="43.796296293051761"/>
    <x v="0"/>
    <d v="2025-02-23T10:08:00"/>
    <d v="2025-02-23T11:56:00"/>
    <n v="105.74999999589636"/>
    <m/>
    <d v="2025-02-24T12:36:00"/>
    <d v="2025-02-24T13:32:00"/>
    <n v="54.833333337664953"/>
    <x v="0"/>
    <n v="1.8798611111124046"/>
    <n v="2"/>
    <n v="0.12013888888759539"/>
    <n v="45.116666666697711"/>
    <n v="12"/>
    <n v="33.116666666697711"/>
    <n v="4.7106190236493335"/>
    <m/>
    <m/>
    <m/>
    <m/>
    <m/>
  </r>
  <r>
    <d v="2025-02-24T00:00:00"/>
    <x v="1"/>
    <m/>
    <s v="A20955"/>
    <s v="Manual"/>
    <s v="Eriku Alipa"/>
    <s v="UBK 858R"/>
    <s v="Kato Investment Ltd -Kagadi"/>
    <n v="156"/>
    <s v="A20955"/>
    <s v="OM"/>
    <n v="670"/>
    <n v="671"/>
    <n v="1"/>
    <m/>
    <d v="2025-02-22T18:18:00"/>
    <d v="2025-02-22T18:58:00"/>
    <d v="2025-02-22T19:02:00"/>
    <n v="3.9814814840307613"/>
    <n v="43.796296293051761"/>
    <x v="0"/>
    <d v="2025-02-22T16:44:00"/>
    <d v="2025-02-22T18:53:00"/>
    <n v="126.31250000136788"/>
    <m/>
    <d v="2025-02-24T12:36:00"/>
    <d v="2025-02-24T13:36:00"/>
    <n v="58.7499999965803"/>
    <x v="0"/>
    <n v="1.7319444444437977"/>
    <n v="2"/>
    <n v="0.26805555555620231"/>
    <n v="41.566666666651145"/>
    <n v="12"/>
    <n v="29.566666666651145"/>
    <n v="5.2762119503973581"/>
    <m/>
    <m/>
    <m/>
    <m/>
    <m/>
  </r>
  <r>
    <d v="2025-02-24T00:00:00"/>
    <x v="1"/>
    <m/>
    <s v="F15959"/>
    <s v="Manual"/>
    <s v="Nminya Siraje"/>
    <s v="UBP 301H"/>
    <s v="Boniface Harera"/>
    <n v="156"/>
    <s v="F15959"/>
    <s v="OM"/>
    <n v="448"/>
    <n v="450"/>
    <n v="2"/>
    <m/>
    <d v="2025-02-23T08:16:00"/>
    <d v="2025-02-23T08:37:00"/>
    <d v="2025-02-23T09:00:00"/>
    <n v="22.893518520140788"/>
    <n v="43.796296293051761"/>
    <x v="0"/>
    <d v="2025-02-22T12:55:00"/>
    <d v="2025-02-22T14:45:00"/>
    <n v="107.70833333561313"/>
    <m/>
    <d v="2025-02-24T09:47:00"/>
    <d v="2025-02-24T10:38:00"/>
    <n v="49.93749999863212"/>
    <x v="0"/>
    <n v="1.0326388888861402"/>
    <n v="2"/>
    <n v="0.96736111111385981"/>
    <n v="24.783333333267365"/>
    <n v="12"/>
    <n v="12.783333333267365"/>
    <n v="12.203389830571451"/>
    <m/>
    <m/>
    <m/>
    <m/>
    <m/>
  </r>
  <r>
    <d v="2025-02-24T00:00:00"/>
    <x v="1"/>
    <m/>
    <s v="OM75QECRR"/>
    <s v="DJ"/>
    <s v="GODWIN  NIWENSIIMA"/>
    <s v="UAR 731Q"/>
    <s v="KATO INVESTMENTS LIMITED-MASAK"/>
    <n v="153.6"/>
    <s v="OM75QECRR"/>
    <s v="OM"/>
    <n v="298"/>
    <n v="295"/>
    <n v="-3"/>
    <m/>
    <d v="2025-02-22T17:24:00"/>
    <d v="2025-02-22T17:55:00"/>
    <d v="2025-02-22T18:07:00"/>
    <n v="11.944444441663412"/>
    <n v="42.80092592986572"/>
    <x v="0"/>
    <d v="2025-02-21T22:13:00"/>
    <d v="2025-02-22T10:49:00"/>
    <n v="740.25000000205182"/>
    <s v="slept at the RD and offloaded the next day"/>
    <d v="2025-02-23T09:47:00"/>
    <d v="2025-02-23T10:45:00"/>
    <n v="56.791666667122627"/>
    <x v="0"/>
    <n v="0.65277777777373558"/>
    <n v="2"/>
    <n v="1.3472222222262644"/>
    <n v="15.666666666569654"/>
    <n v="0"/>
    <n v="15.666666666569654"/>
    <n v="9.8042553192096467"/>
    <m/>
    <m/>
    <m/>
    <m/>
    <m/>
  </r>
  <r>
    <d v="2025-02-24T00:00:00"/>
    <x v="1"/>
    <m/>
    <s v="OM8QHT4RR"/>
    <s v="DJ"/>
    <s v="Kabene John"/>
    <s v="UBA 523T"/>
    <s v="Kabaco U Ltd-Mbarara "/>
    <n v="153.6"/>
    <s v="OM8QHT4RR"/>
    <s v="OM"/>
    <n v="20"/>
    <n v="22"/>
    <n v="2"/>
    <m/>
    <d v="2025-02-22T16:58:00"/>
    <d v="2025-02-22T17:05:00"/>
    <d v="2025-02-22T17:39:00"/>
    <n v="33.842592588189291"/>
    <n v="40.810185182635905"/>
    <x v="0"/>
    <d v="2025-02-22T07:19:00"/>
    <d v="2025-02-22T13:10:00"/>
    <n v="343.68750000205182"/>
    <s v="found another truck at the RD"/>
    <d v="2025-02-23T16:25:00"/>
    <d v="2025-02-23T17:16:00"/>
    <n v="49.93749999863212"/>
    <x v="0"/>
    <n v="0.94861111111094942"/>
    <n v="2"/>
    <n v="1.0513888888890506"/>
    <n v="22.766666666662786"/>
    <n v="0"/>
    <n v="22.766666666662786"/>
    <n v="6.7467057101036385"/>
    <m/>
    <m/>
    <m/>
    <m/>
    <m/>
  </r>
  <r>
    <d v="2025-02-24T00:00:00"/>
    <x v="1"/>
    <m/>
    <s v="OMBYM1LRR"/>
    <s v="DJ"/>
    <s v="Abel Mark naffa"/>
    <s v="UBJ 415C"/>
    <s v="Kachain Logistics Ltd "/>
    <n v="153.6"/>
    <s v="OMBYM1LRR"/>
    <s v="OM"/>
    <n v="560"/>
    <n v="561"/>
    <n v="1"/>
    <m/>
    <d v="2025-02-22T22:56:00"/>
    <d v="2025-02-22T23:16:00"/>
    <d v="2025-02-22T23:40:00"/>
    <n v="23.888888893755695"/>
    <n v="43.796296293051761"/>
    <x v="0"/>
    <d v="2025-02-21T22:27:00"/>
    <d v="2025-02-22T12:48:00"/>
    <n v="843.06249999863212"/>
    <s v="found another truck at the RD and offloaded the next day"/>
    <d v="2025-02-23T14:57:00"/>
    <d v="2025-02-23T15:52:00"/>
    <n v="53.854166667806567"/>
    <x v="0"/>
    <n v="0.6368055555576575"/>
    <n v="3"/>
    <n v="2.3631944444423425"/>
    <n v="15.28333333338378"/>
    <n v="0"/>
    <n v="15.28333333338378"/>
    <n v="10.050163576847961"/>
    <m/>
    <m/>
    <m/>
    <m/>
    <m/>
  </r>
  <r>
    <d v="2025-02-24T00:00:00"/>
    <x v="1"/>
    <m/>
    <s v="OMOB9FFRR"/>
    <s v="DJ"/>
    <s v="MUKOSE MUZAMIRU"/>
    <s v="UBJ 417C"/>
    <s v="Kobusinge Acaali- Kyenjojo"/>
    <n v="156"/>
    <s v="OMOB9FFRR"/>
    <s v="OM"/>
    <n v="580"/>
    <n v="582"/>
    <n v="2"/>
    <m/>
    <d v="2025-02-22T18:52:00"/>
    <d v="2025-02-22T02:22:00"/>
    <d v="2025-02-22T19:36:00"/>
    <n v="1029.2129629597184"/>
    <n v="43.796296293051761"/>
    <x v="0"/>
    <d v="2025-02-21T22:27:00"/>
    <d v="2025-02-22T12:48:00"/>
    <n v="843.06249999863212"/>
    <s v="Waited for empties from trade"/>
    <d v="2025-02-23T14:57:00"/>
    <d v="2025-02-23T15:53:00"/>
    <n v="54.833333337664953"/>
    <x v="0"/>
    <n v="0.80625000000145519"/>
    <n v="2"/>
    <n v="1.1937499999985448"/>
    <n v="19.350000000034925"/>
    <n v="0"/>
    <n v="19.350000000034925"/>
    <n v="8.0620155038614172"/>
    <m/>
    <m/>
    <m/>
    <m/>
    <m/>
  </r>
  <r>
    <d v="2025-02-24T00:00:00"/>
    <x v="1"/>
    <m/>
    <s v="OMSXD6GRR"/>
    <s v="DJ"/>
    <s v="SENTONG DAVID"/>
    <s v="UBP 298H"/>
    <s v="Boniface Harera"/>
    <n v="156"/>
    <s v="OMSXD6GRR"/>
    <s v="OM"/>
    <n v="448"/>
    <n v="450"/>
    <n v="2"/>
    <m/>
    <d v="2025-02-22T09:31:00"/>
    <d v="2025-02-21T19:36:00"/>
    <d v="2025-02-22T10:14:00"/>
    <n v="873.93518518680742"/>
    <n v="42.80092592986572"/>
    <x v="0"/>
    <d v="2025-02-22T07:19:00"/>
    <d v="2025-02-22T13:10:00"/>
    <n v="343.68750000205182"/>
    <s v="found another truck at the RD"/>
    <d v="2025-02-22T16:25:00"/>
    <d v="2025-02-22T17:25:00"/>
    <n v="58.7499999965803"/>
    <x v="0"/>
    <n v="0.25763888889196096"/>
    <n v="2"/>
    <n v="1.742361111108039"/>
    <n v="6.183333333407063"/>
    <n v="0"/>
    <n v="6.183333333407063"/>
    <n v="25.229110511828548"/>
    <m/>
    <m/>
    <m/>
    <m/>
    <m/>
  </r>
  <r>
    <d v="2025-02-24T00:00:00"/>
    <x v="1"/>
    <m/>
    <s v="OM9KEAKRR"/>
    <s v="DJ"/>
    <s v="James  Kironde"/>
    <s v="UBK 881R"/>
    <s v="Ntale and Sons"/>
    <n v="153.6"/>
    <s v="OM9KEAKRR"/>
    <s v="OM"/>
    <n v="810"/>
    <n v="809"/>
    <n v="-1"/>
    <m/>
    <d v="2025-02-23T08:11:00"/>
    <d v="2025-02-23T07:23:00"/>
    <d v="2025-02-23T08:52:00"/>
    <n v="88.587962959718425"/>
    <n v="40.810185182635905"/>
    <x v="0"/>
    <d v="2025-02-22T12:01:00"/>
    <d v="2025-02-22T13:31:00"/>
    <n v="88.125"/>
    <m/>
    <d v="2025-02-25T09:35:00"/>
    <d v="2025-02-25T10:35:00"/>
    <n v="58.7499999965803"/>
    <x v="0"/>
    <n v="2.0298611111138598"/>
    <n v="2"/>
    <n v="-2.9861111113859806E-2"/>
    <n v="48.716666666732635"/>
    <n v="24"/>
    <n v="24.716666666732635"/>
    <n v="6.2144302090191514"/>
    <m/>
    <m/>
    <m/>
    <m/>
    <m/>
  </r>
  <r>
    <d v="2025-02-24T00:00:00"/>
    <x v="1"/>
    <m/>
    <s v="OM8PJX9RR"/>
    <s v="DJ"/>
    <s v="GODWIN  NIWENSIIMA"/>
    <s v="UAR 731Q"/>
    <s v="KATO INVESTMENTS LIMITED-MASAK"/>
    <n v="153.6"/>
    <s v="OM8PJX9RR"/>
    <s v="OM"/>
    <n v="298"/>
    <n v="148"/>
    <n v="-150"/>
    <s v="Delievered to Lyantonde"/>
    <d v="2025-02-23T07:39:00"/>
    <d v="2025-02-23T08:06:00"/>
    <d v="2025-02-23T08:23:00"/>
    <n v="16.921296299309081"/>
    <n v="43.796296293051761"/>
    <x v="0"/>
    <d v="2025-02-25T08:21:00"/>
    <d v="2025-02-25T12:56:00"/>
    <n v="269.27083333903283"/>
    <s v="truck faulty"/>
    <d v="2025-02-25T15:14:00"/>
    <d v="2025-02-25T16:43:00"/>
    <n v="87.145833330141613"/>
    <x v="8"/>
    <n v="2.2854166666656965"/>
    <n v="2"/>
    <n v="-0.28541666666569654"/>
    <n v="54.849999999976717"/>
    <n v="24"/>
    <n v="30.849999999976717"/>
    <n v="4.9789303079454106"/>
    <m/>
    <m/>
    <m/>
    <m/>
    <m/>
  </r>
  <r>
    <d v="2025-02-25T00:00:00"/>
    <x v="1"/>
    <m/>
    <s v="A20983"/>
    <s v="Manual"/>
    <s v="Lule Fred"/>
    <s v="UBP 310H"/>
    <s v="Sawan Distributors Ltd-Nabingo"/>
    <n v="156"/>
    <s v="A20983"/>
    <s v="OM"/>
    <n v="560"/>
    <n v="562"/>
    <n v="2"/>
    <m/>
    <d v="2025-02-26T07:20:00"/>
    <d v="2025-02-26T07:45:00"/>
    <d v="2025-02-26T08:04:00"/>
    <n v="18.912037036110025"/>
    <n v="43.796296293051761"/>
    <x v="0"/>
    <d v="2025-02-24T08:36:00"/>
    <d v="2025-02-24T10:57:00"/>
    <n v="138.06250000889122"/>
    <m/>
    <d v="2025-02-27T15:14:00"/>
    <d v="2025-02-27T16:11:00"/>
    <n v="55.81249999726424"/>
    <x v="0"/>
    <n v="1.2986111111167702"/>
    <n v="2"/>
    <n v="0.70138888888322981"/>
    <n v="31.166666666802485"/>
    <n v="12"/>
    <n v="19.166666666802485"/>
    <n v="8.1391304347249331"/>
    <m/>
    <m/>
    <m/>
    <m/>
    <m/>
  </r>
  <r>
    <d v="2025-02-25T00:00:00"/>
    <x v="1"/>
    <m/>
    <s v="A20985"/>
    <s v="Manual"/>
    <s v="Taimwa Alex"/>
    <s v="UBJ 705D"/>
    <s v="Kato Investments Ltd-Bulenga"/>
    <n v="156"/>
    <s v="A20985"/>
    <s v="OM"/>
    <n v="560"/>
    <n v="558"/>
    <n v="-2"/>
    <m/>
    <d v="2025-02-24T07:02:00"/>
    <d v="2025-02-24T06:24:00"/>
    <d v="2025-02-24T07:44:00"/>
    <n v="79.629629628470866"/>
    <n v="41.805555556250816"/>
    <x v="0"/>
    <d v="2025-02-24T10:31:00"/>
    <d v="2025-02-24T13:10:00"/>
    <n v="155.68749999452848"/>
    <m/>
    <d v="2025-02-25T16:42:00"/>
    <d v="2025-02-25T17:36:00"/>
    <n v="52.87499999794818"/>
    <x v="0"/>
    <n v="1.3736111111065838"/>
    <n v="3"/>
    <n v="1.6263888888934162"/>
    <n v="32.966666666558012"/>
    <n v="12"/>
    <n v="20.966666666558012"/>
    <n v="7.440381558067175"/>
    <m/>
    <m/>
    <m/>
    <m/>
    <m/>
  </r>
  <r>
    <d v="2025-02-25T00:00:00"/>
    <x v="1"/>
    <m/>
    <s v="Z82786"/>
    <s v="Manual"/>
    <m/>
    <s v="UBP 294H"/>
    <s v="Rugoma Traders-Rukungiri"/>
    <n v="156"/>
    <s v="Z82786"/>
    <s v="OM"/>
    <n v="256"/>
    <n v="255"/>
    <n v="-1"/>
    <m/>
    <d v="2025-02-23T20:49:00"/>
    <d v="2025-02-23T21:02:00"/>
    <d v="2025-02-23T21:30:00"/>
    <n v="27.870370367357584"/>
    <n v="40.810185182635905"/>
    <x v="0"/>
    <d v="2025-02-25T10:34:00"/>
    <d v="2025-02-25T12:18:00"/>
    <n v="101.83333332672191"/>
    <m/>
    <d v="2025-02-25T16:42:00"/>
    <d v="2025-02-25T17:58:00"/>
    <n v="74.416666663018987"/>
    <x v="8"/>
    <n v="1.7999999999956344"/>
    <n v="2"/>
    <n v="0.20000000000436557"/>
    <n v="43.199999999895226"/>
    <n v="12"/>
    <n v="31.199999999895226"/>
    <n v="5.000000000016791"/>
    <m/>
    <m/>
    <m/>
    <m/>
    <m/>
  </r>
  <r>
    <d v="2025-02-25T00:00:00"/>
    <x v="1"/>
    <m/>
    <s v="A20972"/>
    <s v="Manual"/>
    <m/>
    <s v="UBJ 423C"/>
    <s v="Kato Investments Ltd-Bulenga"/>
    <n v="156"/>
    <s v="A20972"/>
    <s v="OM"/>
    <n v="560"/>
    <n v="558"/>
    <n v="-2"/>
    <m/>
    <d v="2025-02-23T14:22:00"/>
    <d v="2025-02-23T14:42:00"/>
    <d v="2025-02-23T15:05:00"/>
    <n v="22.893518520140788"/>
    <n v="42.80092592986572"/>
    <x v="0"/>
    <d v="2025-02-25T11:59:00"/>
    <d v="2025-02-25T18:24:00"/>
    <n v="376.97916667464597"/>
    <s v="Waited for empties from trade"/>
    <d v="2025-02-27T09:03:00"/>
    <d v="2025-02-27T09:57:00"/>
    <n v="52.87499999794818"/>
    <x v="0"/>
    <n v="3.7486111111138598"/>
    <n v="3"/>
    <n v="-0.74861111111385981"/>
    <n v="89.966666666732635"/>
    <n v="36"/>
    <n v="53.966666666732635"/>
    <n v="2.8906732550922047"/>
    <m/>
    <m/>
    <m/>
    <m/>
    <m/>
  </r>
  <r>
    <d v="2025-02-25T00:00:00"/>
    <x v="1"/>
    <m/>
    <s v="Z82789"/>
    <s v="Manual"/>
    <m/>
    <s v="UBR 533W"/>
    <s v="Kobusinge Steven-Kamwenge"/>
    <n v="156"/>
    <s v="Z82789"/>
    <s v="OM"/>
    <n v="288"/>
    <n v="290"/>
    <n v="2"/>
    <m/>
    <d v="2025-02-23T13:48:00"/>
    <d v="2025-02-23T14:13:00"/>
    <d v="2025-02-23T14:30:00"/>
    <n v="16.921296299309081"/>
    <n v="41.805555556250816"/>
    <x v="0"/>
    <d v="2025-02-24T11:33:00"/>
    <d v="2025-02-24T13:37:00"/>
    <n v="121.41666667259415"/>
    <m/>
    <d v="2025-02-27T09:03:00"/>
    <d v="2025-02-27T10:03:00"/>
    <n v="58.7499999965803"/>
    <x v="0"/>
    <n v="3.7729166666686069"/>
    <n v="2"/>
    <n v="-1.7729166666686069"/>
    <n v="90.550000000046566"/>
    <n v="36"/>
    <n v="54.550000000046566"/>
    <n v="2.8597616865236817"/>
    <m/>
    <m/>
    <m/>
    <m/>
    <m/>
  </r>
  <r>
    <d v="2025-02-25T00:00:00"/>
    <x v="1"/>
    <m/>
    <s v="Z82787"/>
    <s v="Manual"/>
    <m/>
    <s v="UBR 868Y"/>
    <s v="Bates Enterprises Ltd-Ntoroko"/>
    <n v="156"/>
    <s v="Z82787"/>
    <s v="OM"/>
    <n v="464"/>
    <n v="465"/>
    <n v="1"/>
    <m/>
    <d v="2025-02-23T18:49:00"/>
    <d v="2025-02-23T18:16:00"/>
    <d v="2025-02-23T19:33:00"/>
    <n v="76.643518518055018"/>
    <n v="43.796296293051761"/>
    <x v="0"/>
    <d v="2025-02-26T13:19:00"/>
    <d v="2025-02-26T15:24:00"/>
    <n v="122.39583334245253"/>
    <m/>
    <d v="2025-02-27T14:32:00"/>
    <d v="2025-02-27T15:26:00"/>
    <n v="52.87499999794818"/>
    <x v="0"/>
    <n v="3.7909722222248092"/>
    <n v="2"/>
    <n v="-1.7909722222248092"/>
    <n v="90.983333333395422"/>
    <n v="36"/>
    <n v="54.983333333395422"/>
    <n v="2.8372234010274116"/>
    <m/>
    <m/>
    <m/>
    <m/>
    <m/>
  </r>
  <r>
    <d v="2025-02-25T00:00:00"/>
    <x v="1"/>
    <m/>
    <s v="Z82791"/>
    <s v="Manual"/>
    <m/>
    <s v="UBR 535W"/>
    <s v="Rugoma Traders-Rukungiri"/>
    <n v="156"/>
    <s v="Z82791"/>
    <s v="OM"/>
    <n v="256"/>
    <n v="258"/>
    <n v="2"/>
    <m/>
    <d v="2025-02-23T13:21:00"/>
    <d v="2025-02-23T13:22:00"/>
    <d v="2025-02-23T14:05:00"/>
    <n v="42.80092592986572"/>
    <n v="43.796296293051761"/>
    <x v="0"/>
    <d v="2025-02-23T11:21:00"/>
    <d v="2025-02-23T16:11:00"/>
    <n v="283.95833333561313"/>
    <s v="slept at the RD and offloaded the next day"/>
    <d v="2025-02-25T18:13:00"/>
    <d v="2025-02-25T19:04:00"/>
    <n v="49.93749999863212"/>
    <x v="0"/>
    <n v="2.172222222223354"/>
    <n v="2"/>
    <n v="-0.17222222222335404"/>
    <n v="52.133333333360497"/>
    <n v="24"/>
    <n v="28.133333333360497"/>
    <n v="5.5450236966771103"/>
    <m/>
    <m/>
    <m/>
    <m/>
    <m/>
  </r>
  <r>
    <d v="2025-02-25T00:00:00"/>
    <x v="1"/>
    <m/>
    <s v="Z82793"/>
    <s v="Manual"/>
    <s v="ZIWA ABASI"/>
    <s v="UBJ 420C"/>
    <s v="Kobusinge Steven-FPortal"/>
    <n v="156"/>
    <s v="Z82793"/>
    <s v="OM"/>
    <n v="304"/>
    <n v="302"/>
    <n v="-2"/>
    <m/>
    <d v="2025-02-23T16:17:00"/>
    <d v="2025-02-23T15:25:00"/>
    <d v="2025-02-23T17:00:00"/>
    <n v="94.560185180550135"/>
    <n v="42.80092592986572"/>
    <x v="0"/>
    <d v="2025-02-23T17:41:00"/>
    <d v="2025-02-23T19:49:00"/>
    <n v="125.33333333150949"/>
    <m/>
    <d v="2025-02-24T15:23:00"/>
    <d v="2025-02-24T16:36:00"/>
    <n v="71.479166663702927"/>
    <x v="4"/>
    <n v="0.93263888888759539"/>
    <n v="2"/>
    <n v="1.0673611111124046"/>
    <n v="22.383333333302289"/>
    <n v="0"/>
    <n v="22.383333333302289"/>
    <n v="6.9694713328465987"/>
    <m/>
    <m/>
    <m/>
    <m/>
    <m/>
  </r>
  <r>
    <d v="2025-02-25T00:00:00"/>
    <x v="1"/>
    <m/>
    <s v="A20974"/>
    <s v="Manual"/>
    <s v="Faruk Abel"/>
    <s v="UBR 539W"/>
    <s v="Kato Investment Ltd -Mubende"/>
    <n v="156"/>
    <s v="A20974"/>
    <s v="OM"/>
    <n v="680"/>
    <n v="679"/>
    <n v="-1"/>
    <m/>
    <d v="2025-02-23T20:06:00"/>
    <d v="2025-02-23T20:18:00"/>
    <d v="2025-02-23T20:46:00"/>
    <n v="27.870370367357584"/>
    <n v="39.814814819449872"/>
    <x v="0"/>
    <d v="2025-02-24T07:12:00"/>
    <d v="2025-02-24T12:37:00"/>
    <n v="318.22916665754747"/>
    <s v="found another truck at the RD and offloaded the next day"/>
    <d v="2025-02-26T10:13:00"/>
    <d v="2025-02-26T11:07:00"/>
    <n v="52.87499999794818"/>
    <x v="0"/>
    <n v="2.5604166666671517"/>
    <n v="2"/>
    <n v="-0.56041666666715173"/>
    <n v="61.450000000011642"/>
    <n v="24"/>
    <n v="37.450000000011642"/>
    <n v="4.1655540720948334"/>
    <m/>
    <m/>
    <m/>
    <m/>
    <m/>
  </r>
  <r>
    <d v="2025-02-25T00:00:00"/>
    <x v="1"/>
    <m/>
    <s v="A20975"/>
    <s v="Manual"/>
    <s v="Ntumwa Solomon"/>
    <s v="UBR 540W"/>
    <s v="Kato Investment Ltd -Mityana"/>
    <n v="156"/>
    <s v="A20975"/>
    <s v="OM"/>
    <n v="690"/>
    <n v="692"/>
    <n v="2"/>
    <m/>
    <d v="2025-02-23T17:35:00"/>
    <d v="2025-02-23T17:35:00"/>
    <d v="2025-02-23T18:18:00"/>
    <n v="42.80092592986572"/>
    <n v="42.80092592986572"/>
    <x v="0"/>
    <d v="2025-02-23T16:24:00"/>
    <d v="2025-02-23T19:16:00"/>
    <n v="168.41666666165111"/>
    <m/>
    <d v="2025-02-26T16:10:00"/>
    <d v="2025-02-26T17:07:00"/>
    <n v="55.81249999726424"/>
    <x v="0"/>
    <n v="2.9111111111124046"/>
    <n v="2"/>
    <n v="-0.91111111111240461"/>
    <n v="69.866666666697711"/>
    <n v="24"/>
    <n v="45.866666666697711"/>
    <n v="3.4011627906953725"/>
    <m/>
    <m/>
    <m/>
    <m/>
    <m/>
  </r>
  <r>
    <d v="2025-02-25T00:00:00"/>
    <x v="1"/>
    <m/>
    <s v="F15963"/>
    <s v="Manual"/>
    <s v="Mudunga Musa"/>
    <s v="UBE 678K"/>
    <s v="Boniface Harera"/>
    <n v="156"/>
    <s v="F15963"/>
    <s v="OM"/>
    <n v="448"/>
    <n v="449"/>
    <n v="1"/>
    <m/>
    <d v="2025-02-23T17:31:00"/>
    <d v="2025-02-23T16:49:00"/>
    <d v="2025-02-23T18:11:00"/>
    <n v="81.62037036527181"/>
    <n v="39.814814819449872"/>
    <x v="0"/>
    <d v="2025-02-23T11:03:00"/>
    <d v="2025-02-23T15:47:00"/>
    <n v="278.08333332672191"/>
    <s v="found another truck at the RD"/>
    <d v="2025-02-23T20:13:00"/>
    <d v="2025-02-23T21:09:00"/>
    <n v="54.833333337664953"/>
    <x v="0"/>
    <n v="8.4722222221898846E-2"/>
    <n v="2"/>
    <n v="1.9152777777781012"/>
    <n v="2.0333333333255723"/>
    <n v="0"/>
    <n v="2.0333333333255723"/>
    <n v="76.721311475702677"/>
    <m/>
    <m/>
    <m/>
    <m/>
    <m/>
  </r>
  <r>
    <d v="2025-02-25T00:00:00"/>
    <x v="1"/>
    <m/>
    <s v="OMLV1DQRR"/>
    <s v="DJ"/>
    <s v="Stephen Musoke "/>
    <s v="UBJ 375N"/>
    <s v="Kato Investments Ltd-Bulenga"/>
    <n v="153.6"/>
    <s v="OMLV1DQRR"/>
    <s v="OM"/>
    <n v="560"/>
    <n v="562"/>
    <n v="2"/>
    <m/>
    <d v="2025-02-25T11:28:00"/>
    <d v="2025-02-22T22:00:00"/>
    <d v="2025-02-25T12:12:00"/>
    <n v="3714.7222222229175"/>
    <n v="43.796296293051761"/>
    <x v="0"/>
    <d v="2025-02-26T08:07:00"/>
    <d v="2025-02-26T09:54:00"/>
    <n v="104.77083333629707"/>
    <m/>
    <d v="2025-02-26T11:42:00"/>
    <d v="2025-02-26T12:41:00"/>
    <n v="57.770833336981013"/>
    <x v="0"/>
    <n v="0.97916666667151731"/>
    <n v="3"/>
    <n v="2.0208333333284827"/>
    <n v="23.500000000116415"/>
    <n v="0"/>
    <n v="23.500000000116415"/>
    <n v="6.5361702127335777"/>
    <m/>
    <m/>
    <m/>
    <m/>
    <m/>
  </r>
  <r>
    <d v="2025-02-25T00:00:00"/>
    <x v="1"/>
    <m/>
    <s v="OMKIGUORR"/>
    <s v="DJ"/>
    <s v="Isaac Tumuhimbise"/>
    <s v="UBE 287X"/>
    <s v="KATO INVESTMENTS LTD- KALISIZO"/>
    <n v="153.6"/>
    <s v="OMKIGUORR"/>
    <s v="OM"/>
    <n v="350"/>
    <n v="352"/>
    <n v="2"/>
    <m/>
    <d v="2025-02-25T11:29:00"/>
    <d v="2025-02-22T22:00:00"/>
    <d v="2025-02-25T12:12:00"/>
    <n v="3714.7222222229175"/>
    <n v="42.80092592986572"/>
    <x v="0"/>
    <d v="2025-02-26T13:19:00"/>
    <d v="2025-02-26T15:24:00"/>
    <n v="122.39583334245253"/>
    <m/>
    <d v="2025-02-27T14:32:00"/>
    <d v="2025-02-27T15:20:00"/>
    <n v="46.99999999931606"/>
    <x v="0"/>
    <n v="2.0972222222262644"/>
    <n v="2"/>
    <n v="-9.7222222226264421E-2"/>
    <n v="50.333333333430346"/>
    <n v="24"/>
    <n v="26.333333333430346"/>
    <n v="5.8329113923835747"/>
    <m/>
    <m/>
    <m/>
    <m/>
    <m/>
  </r>
  <r>
    <d v="2025-02-26T00:00:00"/>
    <x v="1"/>
    <m/>
    <s v="A20999"/>
    <s v="Manual"/>
    <m/>
    <s v="UBK 886R"/>
    <s v="Jusime Enterprises"/>
    <n v="156"/>
    <s v="A20999"/>
    <s v="OM"/>
    <n v="560"/>
    <n v="558"/>
    <n v="-2"/>
    <m/>
    <d v="2025-02-23T18:05:00"/>
    <d v="2025-02-22T19:53:00"/>
    <d v="2025-02-23T19:02:00"/>
    <n v="1382.569444445835"/>
    <n v="56.736111108330078"/>
    <x v="0"/>
    <d v="2025-02-23T11:21:00"/>
    <d v="2025-02-23T16:11:00"/>
    <n v="283.95833333561313"/>
    <s v="space consquents"/>
    <d v="2025-02-25T18:13:00"/>
    <d v="2025-02-25T19:09:00"/>
    <n v="54.833333337664953"/>
    <x v="0"/>
    <n v="1.9659722222204437"/>
    <n v="3"/>
    <n v="1.0340277777795563"/>
    <n v="47.183333333290648"/>
    <n v="12"/>
    <n v="35.183333333290648"/>
    <n v="4.4339175746145694"/>
    <m/>
    <m/>
    <m/>
    <m/>
    <m/>
  </r>
  <r>
    <d v="2025-02-26T00:00:00"/>
    <x v="1"/>
    <m/>
    <s v="A20998"/>
    <s v="Manual"/>
    <s v="Sentongo paul"/>
    <s v="UBR 541W"/>
    <s v="Nakuya Enterprises Ltd"/>
    <n v="156"/>
    <s v="A20998"/>
    <s v="OM"/>
    <n v="560"/>
    <n v="559"/>
    <n v="-1"/>
    <m/>
    <d v="2025-02-24T08:16:00"/>
    <d v="2025-02-23T10:00:00"/>
    <d v="2025-02-24T09:00:00"/>
    <n v="1373.6111111145874"/>
    <n v="43.796296293051761"/>
    <x v="0"/>
    <d v="2025-02-23T17:41:00"/>
    <d v="2025-02-23T19:49:00"/>
    <n v="125.33333333150949"/>
    <m/>
    <d v="2025-02-24T15:23:00"/>
    <d v="2025-02-24T16:20:00"/>
    <n v="55.81249999726424"/>
    <x v="0"/>
    <n v="0.26597222222335404"/>
    <n v="3"/>
    <n v="2.734027777776646"/>
    <n v="6.3833333333604969"/>
    <n v="0"/>
    <n v="6.3833333333604969"/>
    <n v="24.438642297546135"/>
    <m/>
    <m/>
    <m/>
    <m/>
    <m/>
  </r>
  <r>
    <d v="2025-02-26T00:00:00"/>
    <x v="1"/>
    <m/>
    <s v="Z82812"/>
    <s v="Manual"/>
    <m/>
    <s v="UBR 534W"/>
    <s v="Kabaco U Ltd "/>
    <n v="156"/>
    <s v="Z82812"/>
    <s v="OM"/>
    <n v="320"/>
    <n v="317"/>
    <n v="-3"/>
    <m/>
    <d v="2025-02-23T17:27:00"/>
    <d v="2025-02-22T19:22:00"/>
    <d v="2025-02-23T18:07:00"/>
    <n v="1358.6805555625081"/>
    <n v="39.814814819449872"/>
    <x v="0"/>
    <d v="2025-02-23T16:24:00"/>
    <d v="2025-02-23T19:18:00"/>
    <n v="170.37500000136788"/>
    <m/>
    <d v="2025-02-26T16:10:00"/>
    <d v="2025-02-26T17:09:00"/>
    <n v="57.770833336981013"/>
    <x v="0"/>
    <n v="2.9187499999970896"/>
    <n v="2"/>
    <n v="-0.91874999999708962"/>
    <n v="70.049999999930151"/>
    <n v="24"/>
    <n v="46.049999999930151"/>
    <n v="3.3876221498422718"/>
    <m/>
    <m/>
    <m/>
    <m/>
    <m/>
  </r>
  <r>
    <d v="2025-02-26T00:00:00"/>
    <x v="1"/>
    <m/>
    <s v="A21010"/>
    <s v="Manual"/>
    <s v="SENTONG DAVID"/>
    <s v="UBP 298H"/>
    <s v="Sawan Distributors Ltd-Nabingo"/>
    <n v="72.8"/>
    <s v="A21010"/>
    <s v="OM"/>
    <n v="560"/>
    <n v="561"/>
    <n v="1"/>
    <m/>
    <d v="2025-02-23T16:55:00"/>
    <d v="2025-02-22T19:49:00"/>
    <d v="2025-02-23T17:39:00"/>
    <n v="1303.9351851909789"/>
    <n v="43.796296293051761"/>
    <x v="0"/>
    <d v="2025-02-24T07:12:00"/>
    <d v="2025-02-24T12:37:00"/>
    <n v="318.22916665754747"/>
    <s v="Waited for empties from trade"/>
    <d v="2025-02-26T10:13:00"/>
    <d v="2025-02-26T11:09:00"/>
    <n v="54.833333337664953"/>
    <x v="0"/>
    <n v="2.6902777777722804"/>
    <n v="2"/>
    <n v="-0.69027777777228039"/>
    <n v="64.566666666534729"/>
    <n v="24"/>
    <n v="40.566666666534729"/>
    <n v="1.7945768282720649"/>
    <m/>
    <m/>
    <m/>
    <m/>
    <m/>
  </r>
  <r>
    <d v="2025-02-26T00:00:00"/>
    <x v="1"/>
    <m/>
    <s v="A21014"/>
    <s v="Manual"/>
    <m/>
    <s v="UBR 903Y"/>
    <s v="KATO INVESTMENTS LTD-KATIKARA"/>
    <n v="156"/>
    <s v="A21014"/>
    <s v="OM"/>
    <n v="790"/>
    <n v="788"/>
    <n v="-2"/>
    <m/>
    <d v="2025-02-23T19:01:00"/>
    <d v="2025-02-23T03:17:00"/>
    <d v="2025-02-23T19:45:00"/>
    <n v="983.42592591943685"/>
    <n v="43.796296293051761"/>
    <x v="0"/>
    <d v="2025-02-23T11:03:00"/>
    <d v="2025-02-23T15:47:00"/>
    <n v="278.08333332672191"/>
    <s v="found another truck to be offloaded"/>
    <d v="2025-02-24T20:13:00"/>
    <d v="2025-02-24T21:03:00"/>
    <n v="48.958333328773733"/>
    <x v="0"/>
    <n v="1.0194444444496185"/>
    <n v="3"/>
    <n v="1.9805555555503815"/>
    <n v="24.466666666790843"/>
    <n v="12"/>
    <n v="12.466666666790843"/>
    <n v="12.513368983832578"/>
    <m/>
    <m/>
    <m/>
    <m/>
    <m/>
  </r>
  <r>
    <d v="2025-02-26T00:00:00"/>
    <x v="1"/>
    <m/>
    <s v="A21013"/>
    <s v="Manual"/>
    <s v="Kabanda Ronald"/>
    <s v="UBE 684K"/>
    <s v="Kato Investment Ltd -Mityana"/>
    <n v="156"/>
    <s v="A21013"/>
    <s v="OM"/>
    <n v="690"/>
    <n v="688"/>
    <n v="-2"/>
    <m/>
    <d v="2025-02-24T17:29:00"/>
    <d v="2025-02-24T17:41:00"/>
    <d v="2025-02-24T18:09:00"/>
    <n v="27.870370367357584"/>
    <n v="39.814814819449872"/>
    <x v="0"/>
    <d v="2025-02-24T13:22:00"/>
    <d v="2025-02-24T15:51:00"/>
    <n v="145.89583333698101"/>
    <m/>
    <d v="2025-02-27T12:42:00"/>
    <d v="2025-02-27T13:33:00"/>
    <n v="49.93749999863212"/>
    <x v="0"/>
    <n v="2.7729166666686069"/>
    <n v="3"/>
    <n v="0.22708333333139308"/>
    <n v="66.550000000046566"/>
    <n v="24"/>
    <n v="42.550000000046566"/>
    <n v="3.6662749706187845"/>
    <m/>
    <m/>
    <m/>
    <m/>
    <m/>
  </r>
  <r>
    <d v="2025-02-26T00:00:00"/>
    <x v="1"/>
    <m/>
    <s v="Z82815"/>
    <s v="Manual"/>
    <s v="Kyakulaga James"/>
    <s v="UBJ 419C"/>
    <s v="Kabaco U Ltd "/>
    <n v="156"/>
    <s v="Z82815"/>
    <s v="OM"/>
    <n v="320"/>
    <n v="322"/>
    <n v="2"/>
    <m/>
    <d v="2025-02-24T16:09:00"/>
    <d v="2025-02-24T15:38:00"/>
    <d v="2025-02-24T16:49:00"/>
    <n v="70.671296297223307"/>
    <n v="39.814814819449872"/>
    <x v="0"/>
    <d v="2025-02-24T07:48:00"/>
    <d v="2025-02-24T09:31:00"/>
    <n v="100.85416666712263"/>
    <m/>
    <d v="2025-02-27T12:42:00"/>
    <d v="2025-02-27T13:39:00"/>
    <n v="55.81249999726424"/>
    <x v="0"/>
    <n v="2.828472222223354"/>
    <n v="2"/>
    <n v="-0.82847222222335404"/>
    <n v="67.883333333360497"/>
    <n v="24"/>
    <n v="43.883333333360497"/>
    <n v="3.5548803646009137"/>
    <m/>
    <m/>
    <m/>
    <m/>
    <m/>
  </r>
  <r>
    <d v="2025-02-26T00:00:00"/>
    <x v="1"/>
    <m/>
    <s v="A20995"/>
    <s v="Manual"/>
    <m/>
    <s v="UBR 864Y"/>
    <s v="Jusime Enterprises"/>
    <n v="156"/>
    <s v="A20995"/>
    <s v="OM"/>
    <n v="560"/>
    <n v="558"/>
    <n v="-2"/>
    <m/>
    <d v="2025-02-23T17:15:00"/>
    <d v="2025-02-23T17:31:00"/>
    <d v="2025-02-23T17:59:00"/>
    <n v="27.870370367357584"/>
    <n v="43.796296293051761"/>
    <x v="0"/>
    <d v="2025-02-24T09:18:00"/>
    <d v="2025-02-24T16:30:00"/>
    <n v="423.00000000410364"/>
    <s v="less casuals and offloaded the next day"/>
    <d v="2025-02-25T14:53:00"/>
    <d v="2025-02-25T15:47:00"/>
    <n v="52.87499999794818"/>
    <x v="0"/>
    <n v="1.8708333333343035"/>
    <n v="3"/>
    <n v="1.1291666666656965"/>
    <n v="44.900000000023283"/>
    <n v="12"/>
    <n v="32.900000000023283"/>
    <n v="4.7416413373826627"/>
    <m/>
    <m/>
    <m/>
    <m/>
    <m/>
  </r>
  <r>
    <d v="2025-02-26T00:00:00"/>
    <x v="1"/>
    <m/>
    <s v="Z82805"/>
    <s v="Manual"/>
    <s v="Tsaale Hassan"/>
    <s v="UBJ 703D"/>
    <s v="Bates Enterprises U Ltd"/>
    <n v="156"/>
    <s v="Z82805"/>
    <s v="OM"/>
    <n v="414"/>
    <n v="413"/>
    <n v="-1"/>
    <m/>
    <d v="2025-02-23T12:43:00"/>
    <d v="2025-02-23T13:09:00"/>
    <d v="2025-02-23T13:26:00"/>
    <n v="16.921296299309081"/>
    <n v="42.80092592986572"/>
    <x v="0"/>
    <d v="2025-02-25T14:09:00"/>
    <d v="2025-02-25T18:34:00"/>
    <n v="259.47916666096717"/>
    <s v="slept at the RD and offloaded the next day"/>
    <d v="2025-02-25T14:53:00"/>
    <d v="2025-02-25T15:47:00"/>
    <n v="52.87499999794818"/>
    <x v="0"/>
    <n v="2.0604166666671517"/>
    <n v="3"/>
    <n v="0.93958333333284827"/>
    <n v="49.450000000011642"/>
    <n v="24"/>
    <n v="25.450000000011642"/>
    <n v="6.129666011785015"/>
    <m/>
    <m/>
    <m/>
    <m/>
    <m/>
  </r>
  <r>
    <d v="2025-02-26T00:00:00"/>
    <x v="1"/>
    <m/>
    <s v="A21006"/>
    <s v="Manual"/>
    <s v="kayanja Sam"/>
    <s v="UBF 379L"/>
    <s v="Sawan Distributors Ltd-Kayabwe"/>
    <n v="156"/>
    <s v="A21006"/>
    <s v="OM"/>
    <n v="382"/>
    <n v="379"/>
    <n v="-3"/>
    <m/>
    <d v="2025-02-23T14:39:00"/>
    <d v="2025-02-23T14:07:00"/>
    <d v="2025-02-23T15:23:00"/>
    <n v="75.6481481444401"/>
    <n v="43.796296293051761"/>
    <x v="0"/>
    <d v="2025-02-23T16:14:00"/>
    <d v="2025-02-23T19:33:00"/>
    <n v="194.85416666575475"/>
    <s v="found another truck at the RD"/>
    <d v="2025-02-26T10:59:00"/>
    <d v="2025-02-26T12:15:00"/>
    <n v="74.416666663018987"/>
    <x v="8"/>
    <n v="2.8166666666656965"/>
    <n v="2"/>
    <n v="-0.81666666666569654"/>
    <n v="67.599999999976717"/>
    <n v="24"/>
    <n v="43.599999999976717"/>
    <n v="3.5779816513780576"/>
    <m/>
    <m/>
    <m/>
    <m/>
    <m/>
  </r>
  <r>
    <d v="2025-02-26T00:00:00"/>
    <x v="1"/>
    <m/>
    <s v="A21008"/>
    <s v="Manual"/>
    <s v="Nakalya John"/>
    <s v="UBM 648D"/>
    <s v="Ntale and Sons Ltd-Kakiri"/>
    <n v="156"/>
    <s v="A21008"/>
    <s v="OM"/>
    <n v="620"/>
    <n v="617"/>
    <n v="-3"/>
    <m/>
    <d v="2025-02-27T13:03:00"/>
    <d v="2025-02-27T13:30:00"/>
    <d v="2025-02-27T13:46:00"/>
    <n v="15.925925925694173"/>
    <n v="42.80092592986572"/>
    <x v="0"/>
    <d v="2025-02-23T15:04:00"/>
    <d v="2025-02-23T17:57:00"/>
    <n v="169.39583333150949"/>
    <m/>
    <d v="2025-02-28T22:05:00"/>
    <d v="2025-02-28T23:04:00"/>
    <n v="57.770833336981013"/>
    <x v="0"/>
    <n v="1.3465277777795563"/>
    <n v="2"/>
    <n v="0.65347222222044365"/>
    <n v="32.316666666709352"/>
    <n v="12"/>
    <n v="20.316666666709352"/>
    <n v="7.6784249384580265"/>
    <m/>
    <m/>
    <m/>
    <m/>
    <m/>
  </r>
  <r>
    <d v="2025-02-26T00:00:00"/>
    <x v="1"/>
    <m/>
    <s v="Z82807"/>
    <s v="Manual"/>
    <s v="Kyakulaga James"/>
    <s v="UBJ 419C"/>
    <s v="Kabaco U Ltd-Mbarara"/>
    <n v="156"/>
    <s v="Z82807"/>
    <s v="OM"/>
    <n v="20"/>
    <n v="21"/>
    <n v="1"/>
    <m/>
    <d v="2025-02-25T12:44:00"/>
    <d v="2025-02-25T13:24:00"/>
    <d v="2025-02-25T13:28:00"/>
    <n v="3.9814814840307613"/>
    <n v="43.796296293051761"/>
    <x v="0"/>
    <d v="2025-02-24T10:53:00"/>
    <d v="2025-02-24T14:17:00"/>
    <n v="199.74999999452848"/>
    <s v="Waited for empties from trade"/>
    <d v="2025-02-26T10:39:00"/>
    <d v="2025-02-26T11:32:00"/>
    <n v="51.895833338348893"/>
    <x v="0"/>
    <n v="0.882638888884685"/>
    <n v="3"/>
    <n v="2.117361111115315"/>
    <n v="21.18333333323244"/>
    <n v="0"/>
    <n v="21.18333333323244"/>
    <n v="7.3642800944489224"/>
    <m/>
    <m/>
    <m/>
    <m/>
    <m/>
  </r>
  <r>
    <d v="2025-02-26T00:00:00"/>
    <x v="1"/>
    <m/>
    <s v="Z12954"/>
    <s v="Manual"/>
    <s v="Kyakulaga James"/>
    <s v="UBJ 419C"/>
    <s v="Kabaco U Ltd-Mbarara"/>
    <n v="-156"/>
    <s v="Z12954"/>
    <s v="OM"/>
    <n v="20"/>
    <n v="19"/>
    <n v="-1"/>
    <m/>
    <d v="2025-02-24T15:20:00"/>
    <d v="2025-02-24T14:34:00"/>
    <d v="2025-02-24T16:03:00"/>
    <n v="88.587962959718425"/>
    <n v="42.80092592986572"/>
    <x v="0"/>
    <d v="2025-02-24T15:27:00"/>
    <d v="2025-02-24T17:39:00"/>
    <n v="129.25000000068394"/>
    <m/>
    <d v="2025-02-25T09:54:00"/>
    <d v="2025-02-25T10:48:00"/>
    <n v="52.87499999794818"/>
    <x v="0"/>
    <n v="0.74375000000145519"/>
    <n v="2"/>
    <n v="1.2562499999985448"/>
    <n v="17.850000000034925"/>
    <n v="0"/>
    <n v="17.850000000034925"/>
    <n v="-8.7394957983022277"/>
    <m/>
    <m/>
    <m/>
    <m/>
    <m/>
  </r>
  <r>
    <d v="2025-02-26T00:00:00"/>
    <x v="1"/>
    <m/>
    <s v="F15972"/>
    <s v="Manual"/>
    <m/>
    <s v="UBP 998T"/>
    <s v="Boniface Harera"/>
    <n v="156"/>
    <s v="F15972"/>
    <s v="OM"/>
    <n v="448"/>
    <n v="450"/>
    <n v="2"/>
    <m/>
    <d v="2025-02-24T19:40:00"/>
    <d v="2025-02-24T19:12:00"/>
    <d v="2025-02-24T20:23:00"/>
    <n v="70.671296297223307"/>
    <n v="42.80092592986572"/>
    <x v="0"/>
    <d v="2025-02-26T08:07:00"/>
    <d v="2025-02-26T09:54:00"/>
    <n v="104.77083333629707"/>
    <m/>
    <d v="2025-02-25T15:46:00"/>
    <d v="2025-02-25T16:36:00"/>
    <n v="48.958333328773733"/>
    <x v="0"/>
    <n v="0.80763888888759539"/>
    <n v="2"/>
    <n v="1.1923611111124046"/>
    <n v="19.383333333302289"/>
    <n v="0"/>
    <n v="19.383333333302289"/>
    <n v="8.0481513327729921"/>
    <m/>
    <m/>
    <m/>
    <m/>
    <m/>
  </r>
  <r>
    <d v="2025-02-26T00:00:00"/>
    <x v="1"/>
    <m/>
    <s v="Z82816"/>
    <s v="Manual"/>
    <s v="Ikwalikwa Yusuf"/>
    <s v="UBP 311H"/>
    <s v="Kabaco U Ltd "/>
    <n v="156"/>
    <s v="Z82816"/>
    <s v="OM"/>
    <n v="320"/>
    <n v="319"/>
    <n v="-1"/>
    <m/>
    <d v="2025-02-24T14:41:00"/>
    <d v="2025-02-24T14:18:00"/>
    <d v="2025-02-24T15:25:00"/>
    <n v="66.689814813192541"/>
    <n v="43.796296293051761"/>
    <x v="0"/>
    <d v="2025-02-24T18:14:00"/>
    <d v="2025-02-24T21:08:00"/>
    <n v="170.37500000136788"/>
    <m/>
    <d v="2025-02-26T09:06:00"/>
    <d v="2025-02-26T09:56:00"/>
    <n v="48.958333328773733"/>
    <x v="0"/>
    <n v="1.7368055555562023"/>
    <n v="2"/>
    <n v="0.26319444444379769"/>
    <n v="41.683333333348855"/>
    <n v="12"/>
    <n v="29.683333333348855"/>
    <n v="5.2554744525519963"/>
    <m/>
    <m/>
    <m/>
    <m/>
    <m/>
  </r>
  <r>
    <d v="2025-02-26T00:00:00"/>
    <x v="1"/>
    <m/>
    <s v="F15971"/>
    <s v="Manual"/>
    <s v="kakembo Masudi"/>
    <s v="UBM 644D"/>
    <s v="Boniface Harera"/>
    <n v="156"/>
    <s v="F15971"/>
    <s v="OM"/>
    <n v="448"/>
    <n v="445"/>
    <n v="-3"/>
    <m/>
    <d v="2025-02-26T07:20:00"/>
    <d v="2025-02-24T03:17:00"/>
    <d v="2025-02-26T08:04:00"/>
    <n v="3152.337962955547"/>
    <n v="43.796296293051761"/>
    <x v="0"/>
    <d v="2025-02-24T15:27:00"/>
    <d v="2025-02-24T17:39:00"/>
    <n v="129.25000000068394"/>
    <m/>
    <d v="2025-02-26T09:06:00"/>
    <d v="2025-02-26T10:06:00"/>
    <n v="58.7499999965803"/>
    <x v="0"/>
    <n v="4.3055555557657499E-2"/>
    <n v="2"/>
    <n v="1.9569444444423425"/>
    <n v="1.03333333338378"/>
    <n v="0"/>
    <n v="1.03333333338378"/>
    <n v="150.96774192811372"/>
    <m/>
    <m/>
    <m/>
    <m/>
    <m/>
  </r>
  <r>
    <d v="2025-02-26T00:00:00"/>
    <x v="1"/>
    <m/>
    <s v="OM0ZQ3MRR"/>
    <s v="DJ"/>
    <s v="Mugisha  George"/>
    <s v="UAV 203T"/>
    <s v="Ntale and Sons"/>
    <n v="153.6"/>
    <s v="OM0ZQ3MRR"/>
    <s v="OM"/>
    <n v="810"/>
    <n v="812"/>
    <n v="2"/>
    <m/>
    <d v="2025-02-24T07:00:00"/>
    <d v="2025-02-24T01:30:00"/>
    <d v="2025-02-24T07:44:00"/>
    <n v="372.26851852222654"/>
    <n v="43.796296293051761"/>
    <x v="0"/>
    <d v="2025-02-26T08:07:00"/>
    <d v="2025-02-26T09:54:00"/>
    <n v="104.77083333629707"/>
    <m/>
    <d v="2025-02-26T11:00:00"/>
    <d v="2025-02-26T11:51:00"/>
    <n v="49.93749999863212"/>
    <x v="0"/>
    <n v="2.1361111111109494"/>
    <n v="3"/>
    <n v="0.86388888888905058"/>
    <n v="51.266666666662786"/>
    <n v="24"/>
    <n v="27.266666666662786"/>
    <n v="5.6332518337416326"/>
    <m/>
    <m/>
    <m/>
    <m/>
    <m/>
  </r>
  <r>
    <d v="2025-02-26T00:00:00"/>
    <x v="1"/>
    <m/>
    <s v="OM5H4T5RR"/>
    <s v="DJ"/>
    <s v="Benon Ssempijja"/>
    <s v="UAY 526V"/>
    <s v="Kabaco U Ltd "/>
    <n v="153.6"/>
    <s v="OM5H4T5RR"/>
    <s v="OM"/>
    <n v="320"/>
    <n v="56"/>
    <n v="-264"/>
    <m/>
    <d v="2025-02-26T07:08:00"/>
    <d v="2025-02-24T03:17:00"/>
    <d v="2025-02-26T08:04:00"/>
    <n v="3152.337962955547"/>
    <n v="55.740740745144045"/>
    <x v="0"/>
    <d v="2025-02-26T08:07:00"/>
    <d v="2025-02-26T09:54:00"/>
    <n v="104.77083333629707"/>
    <m/>
    <d v="2025-02-26T09:06:00"/>
    <d v="2025-02-26T10:02:00"/>
    <n v="54.833333337664953"/>
    <x v="0"/>
    <n v="4.3055555557657499E-2"/>
    <n v="2"/>
    <n v="1.9569444444423425"/>
    <n v="1.03333333338378"/>
    <n v="0"/>
    <n v="1.03333333338378"/>
    <n v="148.64516128306582"/>
    <m/>
    <m/>
    <m/>
    <m/>
    <m/>
  </r>
  <r>
    <d v="2025-02-26T00:00:00"/>
    <x v="1"/>
    <m/>
    <s v="OM7VIDTRR"/>
    <s v="DJ"/>
    <s v="Kabene John"/>
    <s v="UBA 523T"/>
    <s v="KATO INVESTMENTS LIMITED-MASAK "/>
    <n v="153.6"/>
    <s v="OM7VIDTRR"/>
    <s v="OM"/>
    <n v="298"/>
    <n v="299"/>
    <n v="1"/>
    <m/>
    <d v="2025-02-24T07:01:00"/>
    <d v="2025-02-24T01:30:00"/>
    <d v="2025-02-24T07:44:00"/>
    <n v="372.26851852222654"/>
    <n v="42.80092592986572"/>
    <x v="0"/>
    <d v="2025-02-24T18:14:00"/>
    <d v="2025-02-24T21:07:00"/>
    <n v="169.39583333150949"/>
    <m/>
    <d v="2025-02-26T11:00:00"/>
    <d v="2025-02-26T11:57:00"/>
    <n v="55.81249999726424"/>
    <x v="0"/>
    <n v="2.1361111111109494"/>
    <n v="2"/>
    <n v="-0.13611111111094942"/>
    <n v="51.266666666662786"/>
    <n v="24"/>
    <n v="27.266666666662786"/>
    <n v="5.6332518337416326"/>
    <m/>
    <m/>
    <m/>
    <m/>
    <m/>
  </r>
  <r>
    <d v="2025-02-26T00:00:00"/>
    <x v="1"/>
    <m/>
    <s v="OMB6EOSRR"/>
    <s v="DJ"/>
    <s v="Abel Mark naffa"/>
    <s v="UBJ 415C"/>
    <s v="KATO INVESTMENTS LIMITED-MASAK "/>
    <n v="153.6"/>
    <s v="OMB6EOSRR"/>
    <s v="OM"/>
    <n v="298"/>
    <n v="457"/>
    <n v="159"/>
    <s v="Delievered to kalangala"/>
    <d v="2025-02-23T13:46:00"/>
    <d v="2025-02-23T14:09:00"/>
    <d v="2025-02-23T14:30:00"/>
    <n v="20.902777772910969"/>
    <n v="43.796296293051761"/>
    <x v="0"/>
    <d v="2025-02-23T15:04:00"/>
    <d v="2025-02-23T17:56:00"/>
    <n v="168.41666666165111"/>
    <m/>
    <d v="2025-02-24T10:39:00"/>
    <d v="2025-02-24T11:31:00"/>
    <n v="50.916666668490507"/>
    <x v="0"/>
    <n v="0.83958333333430346"/>
    <n v="2"/>
    <n v="1.1604166666656965"/>
    <n v="20.150000000023283"/>
    <n v="0"/>
    <n v="20.150000000023283"/>
    <n v="7.6228287841102986"/>
    <m/>
    <m/>
    <m/>
    <m/>
    <m/>
  </r>
  <r>
    <d v="2025-02-26T00:00:00"/>
    <x v="1"/>
    <m/>
    <s v="OMWT7WERR"/>
    <s v="DJ"/>
    <s v="Kilabila Ismail"/>
    <s v="UBE 419T"/>
    <s v="KATO INVESTMENTS LTD- KALISIZO"/>
    <n v="153.6"/>
    <s v="OMWT7WERR"/>
    <s v="OM"/>
    <n v="350"/>
    <n v="352"/>
    <n v="2"/>
    <m/>
    <d v="2025-02-24T16:20:00"/>
    <d v="2025-02-23T19:37:00"/>
    <d v="2025-02-24T17:00:00"/>
    <n v="1277.0601851868075"/>
    <n v="39.814814819449872"/>
    <x v="0"/>
    <d v="2025-02-24T15:27:00"/>
    <d v="2025-02-24T17:39:00"/>
    <n v="129.25000000068394"/>
    <m/>
    <d v="2025-02-25T15:46:00"/>
    <d v="2025-02-25T16:37:00"/>
    <n v="49.93749999863212"/>
    <x v="0"/>
    <n v="0.94861111111094942"/>
    <n v="2"/>
    <n v="1.0513888888890506"/>
    <n v="22.766666666662786"/>
    <n v="0"/>
    <n v="22.766666666662786"/>
    <n v="6.7467057101036385"/>
    <m/>
    <m/>
    <m/>
    <m/>
    <m/>
  </r>
  <r>
    <d v="2025-02-26T00:00:00"/>
    <x v="1"/>
    <m/>
    <s v="OMZY0AVRR"/>
    <s v="DJ"/>
    <s v="GODWIN  NIWENSIIMA"/>
    <s v="UAR 731Q"/>
    <s v="Kabaco U Ltd-Mbarara "/>
    <n v="153.6"/>
    <s v="OMZY0AVRR"/>
    <s v="OM"/>
    <n v="20"/>
    <n v="22"/>
    <n v="2"/>
    <m/>
    <d v="2025-02-24T17:34:00"/>
    <d v="2025-02-24T04:14:00"/>
    <d v="2025-02-24T18:18:00"/>
    <n v="840.09259258818929"/>
    <n v="43.796296293051761"/>
    <x v="0"/>
    <d v="2025-02-24T10:53:00"/>
    <d v="2025-02-24T14:17:00"/>
    <n v="199.74999999452848"/>
    <s v="less casuals and offloaded the next day"/>
    <d v="2025-02-25T09:54:00"/>
    <d v="2025-02-25T10:54:00"/>
    <n v="58.7499999965803"/>
    <x v="0"/>
    <n v="0.65000000000145519"/>
    <n v="3"/>
    <n v="2.3499999999985448"/>
    <n v="15.600000000034925"/>
    <n v="0"/>
    <n v="15.600000000034925"/>
    <n v="9.8461538461318021"/>
    <m/>
    <m/>
    <m/>
    <m/>
    <m/>
  </r>
  <r>
    <d v="2025-02-26T00:00:00"/>
    <x v="1"/>
    <m/>
    <s v="OMK91NURR"/>
    <s v="DJ"/>
    <s v="James  Kironde"/>
    <s v="UBK 881R"/>
    <s v="Kabaco U Ltd-Mbarara "/>
    <n v="153.6"/>
    <s v="OMK91NURR"/>
    <s v="OM"/>
    <n v="20"/>
    <n v="22"/>
    <n v="2"/>
    <m/>
    <d v="2025-02-24T18:12:00"/>
    <d v="2025-02-24T18:44:00"/>
    <d v="2025-02-24T19:08:00"/>
    <n v="23.888888893755695"/>
    <n v="55.740740745144045"/>
    <x v="0"/>
    <d v="2025-02-25T10:36:00"/>
    <d v="2025-02-25T15:02:00"/>
    <n v="260.45833333082555"/>
    <s v="Waited for empties from trade"/>
    <d v="2025-02-25T12:34:00"/>
    <d v="2025-02-25T13:28:00"/>
    <n v="52.87499999794818"/>
    <x v="0"/>
    <n v="0.726388888884685"/>
    <n v="3"/>
    <n v="2.273611111115315"/>
    <n v="17.43333333323244"/>
    <n v="0"/>
    <n v="17.43333333323244"/>
    <n v="8.8107074570299577"/>
    <m/>
    <m/>
    <m/>
    <m/>
    <m/>
  </r>
  <r>
    <d v="2025-02-27T00:00:00"/>
    <x v="1"/>
    <m/>
    <s v="A21056"/>
    <s v="Manual"/>
    <m/>
    <s v="UBP 294H"/>
    <s v="Kato Investments Ltd-Bulenga"/>
    <n v="156"/>
    <s v="A21056"/>
    <s v="OM"/>
    <n v="560"/>
    <n v="562"/>
    <n v="2"/>
    <m/>
    <d v="2025-02-24T17:25:00"/>
    <d v="2025-02-24T16:53:00"/>
    <d v="2025-02-24T18:09:00"/>
    <n v="75.6481481444401"/>
    <n v="43.796296293051761"/>
    <x v="0"/>
    <d v="2025-02-25T19:30:00"/>
    <d v="2025-02-25T22:24:00"/>
    <n v="170.37500000136788"/>
    <m/>
    <d v="2025-02-27T12:34:00"/>
    <d v="2025-02-27T13:25:00"/>
    <n v="49.93749999863212"/>
    <x v="0"/>
    <n v="2.7673611111094942"/>
    <n v="2"/>
    <n v="-0.76736111110949423"/>
    <n v="66.416666666627862"/>
    <n v="24"/>
    <n v="42.416666666627862"/>
    <n v="3.6777996070760564"/>
    <m/>
    <m/>
    <m/>
    <m/>
    <m/>
  </r>
  <r>
    <d v="2025-02-27T00:00:00"/>
    <x v="1"/>
    <m/>
    <s v="A21057"/>
    <s v="Manual"/>
    <s v="Ntumwa Solomon"/>
    <s v="UBR 540W"/>
    <s v="Kato Investment Ltd -Mubende"/>
    <n v="156"/>
    <s v="A21057"/>
    <s v="OM"/>
    <n v="680"/>
    <n v="679"/>
    <n v="-1"/>
    <m/>
    <d v="2025-02-24T16:47:00"/>
    <d v="2025-02-24T16:36:00"/>
    <d v="2025-02-24T17:30:00"/>
    <n v="53.749999997914223"/>
    <n v="42.80092592986572"/>
    <x v="0"/>
    <d v="2025-02-26T13:06:00"/>
    <d v="2025-02-26T15:12:00"/>
    <n v="123.37500000205182"/>
    <m/>
    <d v="2025-02-27T12:34:00"/>
    <d v="2025-02-27T13:28:00"/>
    <n v="52.87499999794818"/>
    <x v="0"/>
    <n v="2.7944444444437977"/>
    <n v="3"/>
    <n v="0.20555555555620231"/>
    <n v="67.066666666651145"/>
    <n v="24"/>
    <n v="43.066666666651145"/>
    <n v="3.6222910216731323"/>
    <m/>
    <m/>
    <m/>
    <m/>
    <m/>
  </r>
  <r>
    <d v="2025-02-27T00:00:00"/>
    <x v="1"/>
    <m/>
    <s v="A21055"/>
    <s v="Manual"/>
    <m/>
    <s v="UBR 535W"/>
    <s v="Sawan Distributors Ltd-Nabingo"/>
    <n v="70.2"/>
    <s v="A21055"/>
    <s v="OM"/>
    <n v="560"/>
    <n v="561"/>
    <n v="1"/>
    <m/>
    <d v="2025-02-27T13:03:00"/>
    <d v="2025-02-27T12:17:00"/>
    <d v="2025-02-27T13:46:00"/>
    <n v="88.587962959718425"/>
    <n v="42.80092592986572"/>
    <x v="0"/>
    <d v="2025-02-25T06:28:00"/>
    <d v="2025-02-25T10:25:00"/>
    <n v="232.06250000752334"/>
    <s v="space consquents"/>
    <d v="2025-02-28T12:33:00"/>
    <d v="2025-02-28T13:32:00"/>
    <n v="57.770833336981013"/>
    <x v="0"/>
    <n v="0.9493055555576575"/>
    <n v="2"/>
    <n v="1.0506944444423425"/>
    <n v="22.78333333338378"/>
    <n v="0"/>
    <n v="22.78333333338378"/>
    <n v="3.0811997073816197"/>
    <m/>
    <m/>
    <m/>
    <m/>
    <m/>
  </r>
  <r>
    <d v="2025-02-27T00:00:00"/>
    <x v="1"/>
    <m/>
    <s v="A21059"/>
    <s v="Manual"/>
    <s v="Mulumba Kasim"/>
    <s v="UBE 680K"/>
    <s v="Kato Investments Ltd- Kakumiro"/>
    <n v="156"/>
    <s v="A21059"/>
    <s v="OM"/>
    <n v="790"/>
    <n v="788"/>
    <n v="-2"/>
    <m/>
    <d v="2025-02-26T18:25:00"/>
    <d v="2025-02-26T18:41:00"/>
    <d v="2025-02-26T19:09:00"/>
    <n v="27.870370367357584"/>
    <n v="43.796296293051761"/>
    <x v="0"/>
    <d v="2025-02-25T18:02:00"/>
    <d v="2025-02-26T11:06:00"/>
    <n v="1002.6666666725941"/>
    <s v="Reached late and offloaded the next day"/>
    <d v="2025-02-28T12:33:00"/>
    <d v="2025-02-28T13:24:00"/>
    <n v="49.93749999863212"/>
    <x v="0"/>
    <n v="1.7249999999985448"/>
    <n v="2"/>
    <n v="0.27500000000145519"/>
    <n v="41.399999999965075"/>
    <n v="12"/>
    <n v="29.399999999965075"/>
    <n v="5.3061224489858949"/>
    <m/>
    <m/>
    <m/>
    <m/>
    <m/>
  </r>
  <r>
    <d v="2025-02-27T00:00:00"/>
    <x v="1"/>
    <m/>
    <s v="F15981"/>
    <s v="Manual"/>
    <s v="Malinzi Awali"/>
    <s v="UBR 536W"/>
    <s v="Boniface Harera"/>
    <n v="156"/>
    <s v="F15981"/>
    <s v="OM"/>
    <n v="448"/>
    <n v="449"/>
    <n v="1"/>
    <m/>
    <d v="2025-02-26T08:52:00"/>
    <d v="2025-02-26T08:06:00"/>
    <d v="2025-02-26T09:35:00"/>
    <n v="88.587962959718425"/>
    <n v="42.80092592986572"/>
    <x v="0"/>
    <d v="2025-02-25T15:41:00"/>
    <d v="2025-02-25T17:48:00"/>
    <n v="124.35416667191021"/>
    <m/>
    <d v="2025-02-26T13:02:00"/>
    <d v="2025-02-26T14:02:00"/>
    <n v="58.7499999965803"/>
    <x v="0"/>
    <n v="0.14375000000291038"/>
    <n v="2"/>
    <n v="1.8562499999970896"/>
    <n v="3.4500000000698492"/>
    <n v="0"/>
    <n v="3.4500000000698492"/>
    <n v="45.21739130343235"/>
    <m/>
    <m/>
    <m/>
    <m/>
    <m/>
  </r>
  <r>
    <d v="2025-02-27T00:00:00"/>
    <x v="1"/>
    <m/>
    <s v="A21074"/>
    <s v="Manual"/>
    <s v="Eriku Alipa"/>
    <s v="UBK 858R"/>
    <s v="KATO INVESTMENTS LTD-KATIKARA"/>
    <n v="156"/>
    <s v="A21074"/>
    <s v="OM"/>
    <n v="790"/>
    <n v="789"/>
    <n v="-1"/>
    <m/>
    <d v="2025-02-26T08:23:00"/>
    <d v="2025-02-26T08:45:00"/>
    <d v="2025-02-26T09:06:00"/>
    <n v="20.902777772910969"/>
    <n v="42.80092592986572"/>
    <x v="0"/>
    <d v="2025-02-25T09:12:00"/>
    <d v="2025-02-25T11:38:00"/>
    <n v="142.95833333766495"/>
    <m/>
    <d v="2025-02-26T13:02:00"/>
    <d v="2025-02-26T14:02:00"/>
    <n v="58.7499999965803"/>
    <x v="0"/>
    <n v="0.16388888889196096"/>
    <n v="3"/>
    <n v="2.836111111108039"/>
    <n v="3.933333333407063"/>
    <n v="0"/>
    <n v="3.933333333407063"/>
    <n v="39.661016948409106"/>
    <m/>
    <m/>
    <m/>
    <m/>
    <m/>
  </r>
  <r>
    <d v="2025-02-27T00:00:00"/>
    <x v="1"/>
    <m/>
    <s v="A21076"/>
    <s v="Manual"/>
    <s v="Faruk Abel"/>
    <s v="UBR 539W"/>
    <s v="Kato Investment Ltd -Mityana"/>
    <n v="156"/>
    <s v="A21076"/>
    <s v="OM"/>
    <n v="690"/>
    <n v="692"/>
    <n v="2"/>
    <m/>
    <d v="2025-02-26T13:43:00"/>
    <d v="2025-02-26T14:01:00"/>
    <d v="2025-02-26T14:27:00"/>
    <n v="25.879629630556639"/>
    <n v="43.796296293051761"/>
    <x v="0"/>
    <d v="2025-02-25T11:21:00"/>
    <d v="2025-02-25T15:41:00"/>
    <n v="254.58333333219343"/>
    <s v="found another truck to be offloaded"/>
    <d v="2025-03-02T15:22:00"/>
    <d v="2025-03-02T16:13:00"/>
    <n v="49.93749999863212"/>
    <x v="0"/>
    <n v="4.0381944444452529"/>
    <n v="2"/>
    <n v="-2.0381944444452529"/>
    <n v="96.916666666686069"/>
    <n v="48"/>
    <n v="48.916666666686069"/>
    <n v="3.1890971039169633"/>
    <m/>
    <m/>
    <m/>
    <m/>
    <m/>
  </r>
  <r>
    <d v="2025-02-27T00:00:00"/>
    <x v="1"/>
    <m/>
    <s v="Z82846"/>
    <s v="Manual"/>
    <m/>
    <s v="UBF 367L"/>
    <s v="Kobusinge Steven-FPortal"/>
    <n v="6.3"/>
    <s v="Z82846"/>
    <s v="OM"/>
    <n v="304"/>
    <n v="302"/>
    <n v="-2"/>
    <m/>
    <d v="2025-02-25T21:27:00"/>
    <d v="2025-02-25T20:36:00"/>
    <d v="2025-02-25T22:11:00"/>
    <n v="94.560185180550135"/>
    <n v="43.796296293051761"/>
    <x v="0"/>
    <d v="2025-02-26T12:17:00"/>
    <d v="2025-02-26T20:40:00"/>
    <n v="492.52083332808979"/>
    <s v="Waited for empties from trade"/>
    <d v="2025-02-27T16:32:00"/>
    <d v="2025-02-27T17:32:00"/>
    <n v="58.7499999965803"/>
    <x v="0"/>
    <n v="1.7645833333299379"/>
    <n v="2"/>
    <n v="0.23541666667006211"/>
    <n v="42.349999999918509"/>
    <n v="12"/>
    <n v="30.349999999918509"/>
    <n v="0.20757825370731187"/>
    <m/>
    <m/>
    <m/>
    <m/>
    <m/>
  </r>
  <r>
    <d v="2025-02-27T00:00:00"/>
    <x v="1"/>
    <m/>
    <s v="Z82845"/>
    <s v="Manual"/>
    <m/>
    <s v="UBR 537W"/>
    <s v="Kobusinge Steven-Kamwenge"/>
    <n v="156"/>
    <s v="Z82845"/>
    <s v="OM"/>
    <n v="288"/>
    <n v="290"/>
    <n v="2"/>
    <m/>
    <d v="2025-02-27T12:41:00"/>
    <d v="2025-02-25T16:40:00"/>
    <d v="2025-02-27T13:46:00"/>
    <n v="2693.4722222208316"/>
    <n v="64.699074076391597"/>
    <x v="0"/>
    <d v="2025-02-26T13:06:00"/>
    <d v="2025-02-26T15:12:00"/>
    <n v="123.37500000205182"/>
    <m/>
    <d v="2025-03-02T15:22:00"/>
    <d v="2025-03-02T16:21:00"/>
    <n v="57.770833336981013"/>
    <x v="0"/>
    <n v="3.0666666666656965"/>
    <n v="2"/>
    <n v="-1.0666666666656965"/>
    <n v="73.599999999976717"/>
    <n v="36"/>
    <n v="37.599999999976717"/>
    <n v="4.1489361702153351"/>
    <m/>
    <m/>
    <m/>
    <m/>
    <m/>
  </r>
  <r>
    <d v="2025-02-27T00:00:00"/>
    <x v="1"/>
    <m/>
    <s v="A21061"/>
    <s v="Manual"/>
    <s v="Bwanga Gilbert"/>
    <s v="UBK 862R"/>
    <s v="KATO INVESTMENTS LTD-KATIKARA"/>
    <n v="148.80000000000001"/>
    <s v="A21061"/>
    <s v="OM"/>
    <n v="790"/>
    <n v="792"/>
    <n v="2"/>
    <m/>
    <d v="2025-02-26T13:38:00"/>
    <d v="2025-02-25T20:13:00"/>
    <d v="2025-02-26T14:20:00"/>
    <n v="1081.9675925840177"/>
    <n v="41.805555556250816"/>
    <x v="0"/>
    <d v="2025-02-26T12:17:00"/>
    <d v="2025-02-26T20:40:00"/>
    <n v="492.52083332808979"/>
    <s v="slept at the RD and offloaded the next day"/>
    <d v="2025-02-27T15:21:00"/>
    <d v="2025-02-27T16:21:00"/>
    <n v="58.7499999965803"/>
    <x v="0"/>
    <n v="1.0423611111109494"/>
    <n v="3"/>
    <n v="1.9576388888890506"/>
    <n v="25.016666666662786"/>
    <n v="12"/>
    <n v="13.016666666662786"/>
    <n v="11.431498079388811"/>
    <m/>
    <m/>
    <m/>
    <m/>
    <m/>
  </r>
  <r>
    <d v="2025-02-27T00:00:00"/>
    <x v="1"/>
    <m/>
    <s v="Z82850"/>
    <s v="Manual"/>
    <s v="Byanshala Stoney"/>
    <s v="UBP 312H"/>
    <s v="Kabaco U Ltd "/>
    <n v="156"/>
    <s v="Z82850"/>
    <s v="OM"/>
    <n v="320"/>
    <n v="321"/>
    <n v="1"/>
    <m/>
    <d v="2025-02-26T08:44:00"/>
    <d v="2025-02-26T08:59:00"/>
    <d v="2025-02-26T09:27:00"/>
    <n v="27.870370367357584"/>
    <n v="42.80092592986572"/>
    <x v="0"/>
    <d v="2025-02-27T11:43:00"/>
    <d v="2025-02-27T14:21:00"/>
    <n v="154.70833333492919"/>
    <m/>
    <d v="2025-02-27T06:10:00"/>
    <d v="2025-02-27T07:10:00"/>
    <n v="58.7499999965803"/>
    <x v="0"/>
    <n v="0.8631944444423425"/>
    <n v="2"/>
    <n v="1.1368055555576575"/>
    <n v="20.71666666661622"/>
    <n v="0"/>
    <n v="20.71666666661622"/>
    <n v="7.5301689461164862"/>
    <m/>
    <m/>
    <m/>
    <m/>
    <m/>
  </r>
  <r>
    <d v="2025-02-27T00:00:00"/>
    <x v="1"/>
    <m/>
    <s v="A21079"/>
    <s v="Manual"/>
    <m/>
    <s v="UBR 900Y"/>
    <s v="Kato Investment Ltd -Mityana"/>
    <n v="156"/>
    <s v="A21079"/>
    <s v="OM"/>
    <n v="690"/>
    <n v="689"/>
    <n v="-1"/>
    <m/>
    <d v="2025-02-25T21:42:00"/>
    <d v="2025-02-25T22:13:00"/>
    <d v="2025-02-25T22:26:00"/>
    <n v="12.93981481527832"/>
    <n v="43.796296293051761"/>
    <x v="0"/>
    <d v="2025-02-26T09:08:00"/>
    <d v="2025-02-26T15:00:00"/>
    <n v="344.66666666165111"/>
    <s v="Waited for empties from trade"/>
    <d v="2025-02-26T15:57:00"/>
    <d v="2025-02-26T16:55:00"/>
    <n v="56.791666667122627"/>
    <x v="0"/>
    <n v="0.72986111111094942"/>
    <n v="3"/>
    <n v="2.2701388888890506"/>
    <n v="17.516666666662786"/>
    <n v="0"/>
    <n v="17.516666666662786"/>
    <n v="8.9058039961960738"/>
    <m/>
    <m/>
    <m/>
    <m/>
    <m/>
  </r>
  <r>
    <d v="2025-02-27T00:00:00"/>
    <x v="1"/>
    <m/>
    <s v="A21077"/>
    <s v="Manual"/>
    <m/>
    <s v="UBJ 421C"/>
    <s v="Kato Investments Ltd- Kyegegwa"/>
    <n v="156"/>
    <s v="A21077"/>
    <s v="OM"/>
    <n v="600"/>
    <n v="599"/>
    <n v="-1"/>
    <m/>
    <d v="2025-02-25T19:53:00"/>
    <d v="2025-02-25T20:26:00"/>
    <d v="2025-02-25T20:36:00"/>
    <n v="9.9537037048624679"/>
    <n v="42.80092592986572"/>
    <x v="0"/>
    <d v="2025-02-26T08:30:00"/>
    <d v="2025-02-26T12:41:00"/>
    <n v="245.77083333424525"/>
    <s v="Waited for empties from trade"/>
    <d v="2025-02-26T13:39:00"/>
    <d v="2025-02-26T14:55:00"/>
    <n v="74.416666663018987"/>
    <x v="5"/>
    <n v="0.71041666666860692"/>
    <n v="2"/>
    <n v="1.2895833333313931"/>
    <n v="17.050000000046566"/>
    <n v="0"/>
    <n v="17.050000000046566"/>
    <n v="9.1495601172770638"/>
    <m/>
    <m/>
    <m/>
    <m/>
    <m/>
  </r>
  <r>
    <d v="2025-02-27T00:00:00"/>
    <x v="1"/>
    <m/>
    <s v="Z82849"/>
    <s v="Manual"/>
    <s v="Nminya Siraje"/>
    <s v="UBP 301H"/>
    <s v="Kobusinge Steven-FPortal"/>
    <n v="156"/>
    <s v="Z82849"/>
    <s v="OM"/>
    <n v="304"/>
    <n v="302"/>
    <n v="-2"/>
    <m/>
    <d v="2025-02-25T20:45:00"/>
    <d v="2025-02-25T21:08:00"/>
    <d v="2025-02-25T21:29:00"/>
    <n v="20.902777772910969"/>
    <n v="43.796296293051761"/>
    <x v="0"/>
    <d v="2025-02-26T17:37:00"/>
    <d v="2025-02-27T10:24:00"/>
    <n v="986.02083333629707"/>
    <s v="Waited for empties from trade"/>
    <d v="2025-03-08T16:18:00"/>
    <d v="2025-03-08T17:12:00"/>
    <n v="52.87499999794818"/>
    <x v="0"/>
    <n v="10.784027777779556"/>
    <n v="2"/>
    <n v="-8.7840277777795563"/>
    <n v="258.81666666670935"/>
    <n v="120"/>
    <n v="138.81666666670935"/>
    <n v="1.1237843678709476"/>
    <m/>
    <m/>
    <m/>
    <m/>
    <m/>
  </r>
  <r>
    <d v="2025-02-27T00:00:00"/>
    <x v="1"/>
    <m/>
    <s v="A21070"/>
    <s v="Manual"/>
    <s v="kayanja Sam"/>
    <s v="UBF 379L"/>
    <s v="Sawan Distributors Ltd-Kayabwe"/>
    <n v="70.2"/>
    <s v="A21070"/>
    <s v="OM"/>
    <n v="382"/>
    <n v="381"/>
    <n v="-1"/>
    <m/>
    <d v="2025-02-25T18:19:00"/>
    <d v="2025-02-25T17:47:00"/>
    <d v="2025-02-25T19:03:00"/>
    <n v="75.6481481444401"/>
    <n v="43.796296293051761"/>
    <x v="0"/>
    <d v="2025-02-26T10:22:00"/>
    <d v="2025-02-26T12:27:00"/>
    <n v="122.39583334245253"/>
    <m/>
    <d v="2025-02-27T10:22:00"/>
    <d v="2025-02-27T11:16:00"/>
    <n v="52.87499999794818"/>
    <x v="0"/>
    <n v="1.6381944444437977"/>
    <n v="2"/>
    <n v="0.36180555555620231"/>
    <n v="39.316666666651145"/>
    <n v="12"/>
    <n v="27.316666666651145"/>
    <n v="2.569859670532272"/>
    <m/>
    <m/>
    <m/>
    <m/>
    <m/>
  </r>
  <r>
    <d v="2025-02-27T00:00:00"/>
    <x v="1"/>
    <m/>
    <s v="A21075"/>
    <s v="Manual"/>
    <m/>
    <s v="UBR 534W"/>
    <s v="Kato Investment Ltd -Kagadi"/>
    <n v="156"/>
    <s v="A21075"/>
    <s v="OM"/>
    <n v="670"/>
    <n v="668"/>
    <n v="-2"/>
    <m/>
    <d v="2025-02-25T18:02:00"/>
    <d v="2025-02-25T18:34:00"/>
    <d v="2025-02-25T18:45:00"/>
    <n v="10.949074078477375"/>
    <n v="42.80092592986572"/>
    <x v="0"/>
    <d v="2025-02-26T16:29:00"/>
    <d v="2025-02-26T19:57:00"/>
    <n v="203.66666667396203"/>
    <s v="Waited for empties from trade"/>
    <d v="2025-02-28T09:37:00"/>
    <d v="2025-02-28T10:31:00"/>
    <n v="52.87499999794818"/>
    <x v="0"/>
    <n v="2.6194444444408873"/>
    <n v="2"/>
    <n v="-0.61944444444088731"/>
    <n v="62.866666666581295"/>
    <n v="24"/>
    <n v="38.866666666581295"/>
    <n v="4.0137221269384904"/>
    <m/>
    <m/>
    <m/>
    <m/>
    <m/>
  </r>
  <r>
    <d v="2025-02-27T00:00:00"/>
    <x v="1"/>
    <m/>
    <s v="Z82848"/>
    <s v="Manual"/>
    <m/>
    <s v="UBP 998T"/>
    <s v="Kobusinge Acaali- Kyenjojo"/>
    <n v="156"/>
    <s v="Z82848"/>
    <s v="OM"/>
    <n v="580"/>
    <n v="579"/>
    <n v="-1"/>
    <m/>
    <d v="2025-02-25T16:24:00"/>
    <d v="2025-02-25T15:51:00"/>
    <d v="2025-02-25T17:08:00"/>
    <n v="76.643518518055018"/>
    <n v="43.796296293051761"/>
    <x v="0"/>
    <d v="2025-02-26T14:31:00"/>
    <d v="2025-02-27T08:24:00"/>
    <n v="1050.6458333315095"/>
    <s v="slept at the RD and offloaded the next day"/>
    <d v="2025-02-27T20:54:00"/>
    <d v="2025-02-27T21:48:00"/>
    <n v="52.87499999794818"/>
    <x v="0"/>
    <n v="2.1569444444467081"/>
    <n v="2"/>
    <n v="-0.15694444444670808"/>
    <n v="51.766666666720994"/>
    <n v="24"/>
    <n v="27.766666666720994"/>
    <n v="5.6182472989085754"/>
    <m/>
    <m/>
    <m/>
    <m/>
    <m/>
  </r>
  <r>
    <d v="2025-02-27T00:00:00"/>
    <x v="1"/>
    <m/>
    <s v="Z82847"/>
    <s v="Manual"/>
    <m/>
    <s v="UBG 082B"/>
    <s v="Bates Enterprises U Ltd"/>
    <n v="156"/>
    <s v="Z82847"/>
    <s v="OM"/>
    <n v="414"/>
    <n v="413"/>
    <n v="-1"/>
    <m/>
    <d v="2025-02-27T04:49:00"/>
    <d v="2025-02-27T05:09:00"/>
    <d v="2025-02-27T05:32:00"/>
    <n v="22.893518520140788"/>
    <n v="42.80092592986572"/>
    <x v="0"/>
    <d v="2025-02-26T16:03:00"/>
    <d v="2025-02-27T12:33:00"/>
    <n v="1204.3750000068394"/>
    <s v="Reached late and offloaded the next day"/>
    <d v="2025-02-27T20:54:00"/>
    <d v="2025-02-27T21:54:00"/>
    <n v="58.7499999965803"/>
    <x v="0"/>
    <n v="0.64027777777664596"/>
    <n v="3"/>
    <n v="2.359722222223354"/>
    <n v="15.366666666639503"/>
    <n v="0"/>
    <n v="15.366666666639503"/>
    <n v="10.151843817805364"/>
    <m/>
    <m/>
    <m/>
    <m/>
    <m/>
  </r>
  <r>
    <d v="2025-02-27T00:00:00"/>
    <x v="1"/>
    <m/>
    <s v="A21081"/>
    <s v="Manual"/>
    <s v="Matovu Musa"/>
    <s v="UBR 538W"/>
    <s v="Ntale and Sons Ltd-Kakiri"/>
    <n v="156"/>
    <s v="A21081"/>
    <s v="OM"/>
    <n v="620"/>
    <n v="622"/>
    <n v="2"/>
    <m/>
    <d v="2025-02-25T16:17:00"/>
    <d v="2025-02-25T16:50:00"/>
    <d v="2025-02-25T17:00:00"/>
    <n v="9.9537037048624679"/>
    <n v="42.80092592986572"/>
    <x v="0"/>
    <d v="2025-02-26T08:05:00"/>
    <d v="2025-02-26T09:55:00"/>
    <n v="107.70833333561313"/>
    <m/>
    <d v="2025-02-28T08:38:00"/>
    <d v="2025-02-28T09:35:00"/>
    <n v="55.81249999726424"/>
    <x v="0"/>
    <n v="2.6513888888875954"/>
    <n v="3"/>
    <n v="0.34861111111240461"/>
    <n v="63.633333333302289"/>
    <n v="24"/>
    <n v="39.633333333302289"/>
    <n v="3.9360807401208291"/>
    <m/>
    <m/>
    <m/>
    <m/>
    <m/>
  </r>
  <r>
    <d v="2025-02-27T00:00:00"/>
    <x v="1"/>
    <m/>
    <s v="F15998"/>
    <s v="Manual"/>
    <s v="Taimwa Alex"/>
    <s v="UBJ 705D"/>
    <s v="Boniface Harera"/>
    <n v="156"/>
    <s v="F15998"/>
    <s v="OM"/>
    <n v="448"/>
    <n v="449"/>
    <n v="1"/>
    <m/>
    <d v="2025-02-26T08:16:00"/>
    <d v="2025-02-26T08:41:00"/>
    <d v="2025-02-26T09:00:00"/>
    <n v="18.912037036110025"/>
    <n v="43.796296293051761"/>
    <x v="0"/>
    <d v="2025-02-28T09:02:00"/>
    <d v="2025-02-28T11:35:00"/>
    <n v="149.81250000615546"/>
    <m/>
    <d v="2025-02-26T10:33:00"/>
    <d v="2025-02-26T11:27:00"/>
    <n v="52.87499999794818"/>
    <x v="0"/>
    <n v="6.4583333332848269E-2"/>
    <n v="2"/>
    <n v="1.9354166666671517"/>
    <n v="1.5499999999883585"/>
    <n v="0"/>
    <n v="1.5499999999883585"/>
    <n v="100.64516129107849"/>
    <m/>
    <m/>
    <m/>
    <m/>
    <m/>
  </r>
  <r>
    <d v="2025-02-27T00:00:00"/>
    <x v="1"/>
    <m/>
    <s v="OM9RS70RR"/>
    <s v="DJ"/>
    <s v="SENTONG DAVID"/>
    <s v="UBP 298H"/>
    <s v="Sawan Distributors Ltd-Nabingo "/>
    <n v="156"/>
    <s v="OM9RS70RR"/>
    <s v="OM"/>
    <n v="560"/>
    <n v="562"/>
    <n v="2"/>
    <m/>
    <d v="2025-02-28T18:19:00"/>
    <d v="2025-02-28T18:20:00"/>
    <d v="2025-02-28T19:03:00"/>
    <n v="42.80092592986572"/>
    <n v="43.796296293051761"/>
    <x v="0"/>
    <d v="2025-02-26T11:18:00"/>
    <d v="2025-02-26T13:39:00"/>
    <n v="138.06249999863212"/>
    <m/>
    <d v="2025-03-01T11:13:00"/>
    <d v="2025-03-01T12:06:00"/>
    <n v="51.895833338348893"/>
    <x v="0"/>
    <n v="0.67361111111677019"/>
    <n v="2"/>
    <n v="1.3263888888832298"/>
    <n v="16.166666666802485"/>
    <n v="0"/>
    <n v="16.166666666802485"/>
    <n v="9.6494845360014079"/>
    <m/>
    <m/>
    <m/>
    <m/>
    <m/>
  </r>
  <r>
    <d v="2025-02-27T00:00:00"/>
    <x v="1"/>
    <m/>
    <s v="OMNP0AERR"/>
    <s v="DJ"/>
    <s v="Benon Ssempijja"/>
    <s v="UAY 526V"/>
    <s v="Ntale and Sons"/>
    <n v="153.6"/>
    <s v="OMNP0AERR"/>
    <s v="OM"/>
    <n v="810"/>
    <n v="809"/>
    <n v="-1"/>
    <m/>
    <d v="2025-03-12T14:10:00"/>
    <d v="2025-03-12T14:29:00"/>
    <d v="2025-03-12T14:52:00"/>
    <n v="22.893518520140788"/>
    <n v="41.805555556250816"/>
    <x v="0"/>
    <d v="2025-02-26T17:19:00"/>
    <d v="2025-02-27T09:39:00"/>
    <n v="959.58333333219343"/>
    <s v="Waited for empties from trade"/>
    <d v="2025-03-27T11:13:00"/>
    <d v="2025-03-27T12:12:00"/>
    <n v="57.770833336981013"/>
    <x v="0"/>
    <n v="14.847916666672972"/>
    <n v="2"/>
    <n v="-12.847916666672972"/>
    <n v="356.35000000015134"/>
    <n v="168"/>
    <n v="188.35000000015134"/>
    <n v="0.81550305282652813"/>
    <m/>
    <m/>
    <m/>
    <m/>
    <m/>
  </r>
  <r>
    <d v="2025-02-27T00:00:00"/>
    <x v="1"/>
    <m/>
    <s v="OMUB5G2RR"/>
    <s v="DJ"/>
    <s v="Stephen Musoke "/>
    <s v="UBJ 375N"/>
    <s v="Kabaco U Ltd "/>
    <n v="153.6"/>
    <s v="OMUB5G2RR"/>
    <s v="OM"/>
    <n v="320"/>
    <n v="317"/>
    <n v="-3"/>
    <m/>
    <d v="2025-02-26T11:44:00"/>
    <d v="2025-02-26T12:04:00"/>
    <d v="2025-02-26T12:28:00"/>
    <n v="23.888888893755695"/>
    <n v="43.796296293051761"/>
    <x v="0"/>
    <d v="2025-02-27T13:33:00"/>
    <d v="2025-02-27T17:51:00"/>
    <n v="252.62500000273576"/>
    <s v="less casuals and offloaded the next day"/>
    <d v="2025-02-27T15:50:00"/>
    <d v="2025-02-27T16:44:00"/>
    <n v="52.87499999794818"/>
    <x v="0"/>
    <n v="1.140277777776646"/>
    <n v="2"/>
    <n v="0.85972222222335404"/>
    <n v="27.366666666639503"/>
    <n v="12"/>
    <n v="15.366666666639503"/>
    <n v="9.9956616052237433"/>
    <m/>
    <m/>
    <m/>
    <m/>
    <m/>
  </r>
  <r>
    <d v="2025-02-27T00:00:00"/>
    <x v="1"/>
    <m/>
    <s v="OMPYKSHRR"/>
    <s v="DJ"/>
    <s v="Jacob Oneka"/>
    <s v="UBE 422T"/>
    <s v="Kato Investment Ltd -Mityana"/>
    <n v="153.6"/>
    <s v="OMPYKSHRR"/>
    <s v="OM"/>
    <n v="690"/>
    <n v="689"/>
    <n v="-1"/>
    <m/>
    <d v="2025-02-26T12:29:00"/>
    <d v="2025-02-26T12:49:00"/>
    <d v="2025-02-26T13:12:00"/>
    <n v="22.893518520140788"/>
    <n v="42.80092592986572"/>
    <x v="0"/>
    <d v="2025-02-26T16:15:00"/>
    <d v="2025-02-26T20:15:00"/>
    <n v="234.9999999965803"/>
    <s v="Waited for empties from trade"/>
    <d v="2025-02-26T18:27:00"/>
    <d v="2025-02-26T19:24:00"/>
    <n v="55.81249999726424"/>
    <x v="0"/>
    <n v="0.21875"/>
    <n v="2"/>
    <n v="1.78125"/>
    <n v="5.25"/>
    <n v="0"/>
    <n v="5.25"/>
    <n v="29.257142857142856"/>
    <m/>
    <m/>
    <m/>
    <m/>
    <m/>
  </r>
  <r>
    <d v="2025-02-28T00:00:00"/>
    <x v="1"/>
    <m/>
    <s v="Z82866"/>
    <s v="Manual"/>
    <m/>
    <s v="UBR 533W"/>
    <s v="Kabaco U Ltd "/>
    <n v="156"/>
    <s v="Z82866"/>
    <s v="OM"/>
    <n v="320"/>
    <n v="321"/>
    <n v="1"/>
    <m/>
    <d v="2025-02-27T13:02:00"/>
    <d v="2025-02-25T16:40:00"/>
    <d v="2025-02-27T13:46:00"/>
    <n v="2693.4722222208316"/>
    <n v="43.796296293051761"/>
    <x v="0"/>
    <d v="2025-02-26T08:30:00"/>
    <d v="2025-02-26T12:41:00"/>
    <n v="245.77083333424525"/>
    <s v="Not enough casuals to offload"/>
    <d v="2025-02-28T09:54:00"/>
    <d v="2025-02-28T10:52:00"/>
    <n v="56.791666667122627"/>
    <x v="0"/>
    <n v="0.83888888888759539"/>
    <n v="2"/>
    <n v="1.1611111111124046"/>
    <n v="20.133333333302289"/>
    <n v="0"/>
    <n v="20.133333333302289"/>
    <n v="7.7483443708728741"/>
    <m/>
    <m/>
    <m/>
    <m/>
    <m/>
  </r>
  <r>
    <d v="2025-02-28T00:00:00"/>
    <x v="1"/>
    <m/>
    <s v="Z82873"/>
    <s v="Manual"/>
    <s v="Ngobi Fred"/>
    <s v="UBK 866R"/>
    <s v="Kobusinge Steven-FPortal"/>
    <n v="156"/>
    <s v="Z82873"/>
    <s v="OM"/>
    <n v="300"/>
    <n v="302"/>
    <n v="2"/>
    <m/>
    <d v="2025-02-26T08:11:00"/>
    <d v="2025-02-26T02:22:00"/>
    <d v="2025-02-26T09:06:00"/>
    <n v="402.12962962638511"/>
    <n v="54.745370371529134"/>
    <x v="0"/>
    <d v="2025-02-26T17:37:00"/>
    <d v="2025-02-27T10:24:00"/>
    <n v="986.02083333629707"/>
    <s v="Waited for empties from trade"/>
    <d v="2025-02-27T22:05:00"/>
    <d v="2025-02-27T22:55:00"/>
    <n v="48.958333328773733"/>
    <x v="0"/>
    <n v="1.5409722222248092"/>
    <n v="2"/>
    <n v="0.45902777777519077"/>
    <n v="36.983333333395422"/>
    <n v="12"/>
    <n v="24.983333333395422"/>
    <n v="6.2441627751679381"/>
    <m/>
    <m/>
    <m/>
    <m/>
    <m/>
  </r>
  <r>
    <d v="2025-02-28T00:00:00"/>
    <x v="1"/>
    <m/>
    <s v="Z82867"/>
    <s v="Manual"/>
    <s v="ZIWA ABASI"/>
    <s v="UBJ 420C"/>
    <s v="Kobusinge Steven-Kamwenge"/>
    <n v="156"/>
    <s v="Z82867"/>
    <s v="OM"/>
    <n v="288"/>
    <n v="287"/>
    <n v="-1"/>
    <m/>
    <d v="2025-02-26T08:43:00"/>
    <d v="2025-02-26T09:00:00"/>
    <d v="2025-02-26T09:27:00"/>
    <n v="26.87500000417155"/>
    <n v="43.796296293051761"/>
    <x v="0"/>
    <d v="2025-02-26T10:22:00"/>
    <d v="2025-02-26T12:27:00"/>
    <n v="122.39583334245253"/>
    <m/>
    <d v="2025-02-26T10:59:00"/>
    <d v="2025-02-26T11:56:00"/>
    <n v="55.81249999726424"/>
    <x v="0"/>
    <n v="6.3888888886140194E-2"/>
    <n v="2"/>
    <n v="1.9361111111138598"/>
    <n v="1.5333333332673647"/>
    <n v="0"/>
    <n v="1.5333333332673647"/>
    <n v="101.73913043915974"/>
    <m/>
    <m/>
    <m/>
    <m/>
    <m/>
  </r>
  <r>
    <d v="2025-02-28T00:00:00"/>
    <x v="1"/>
    <m/>
    <s v="Z82872"/>
    <s v="Manual"/>
    <s v="Kabanda Ronald"/>
    <s v="UBE 684K"/>
    <s v="Kabaco U Ltd "/>
    <n v="156"/>
    <s v="Z82872"/>
    <s v="OM"/>
    <n v="320"/>
    <n v="321"/>
    <n v="1"/>
    <m/>
    <d v="2025-02-26T08:36:00"/>
    <d v="2025-02-26T04:14:00"/>
    <d v="2025-02-26T09:20:00"/>
    <n v="304.58333333541913"/>
    <n v="43.796296293051761"/>
    <x v="0"/>
    <d v="2025-02-26T16:29:00"/>
    <d v="2025-02-26T19:57:00"/>
    <n v="203.66666667396203"/>
    <s v="found another truck to be offloaded"/>
    <d v="2025-03-02T15:22:00"/>
    <d v="2025-03-02T16:20:00"/>
    <n v="56.791666667122627"/>
    <x v="0"/>
    <n v="4.2513888888861402"/>
    <n v="2"/>
    <n v="-2.2513888888861402"/>
    <n v="102.03333333326736"/>
    <n v="48"/>
    <n v="54.033333333267365"/>
    <n v="2.8871067242478183"/>
    <m/>
    <m/>
    <m/>
    <m/>
    <m/>
  </r>
  <r>
    <d v="2025-02-28T00:00:00"/>
    <x v="1"/>
    <m/>
    <s v="A21105"/>
    <s v="Manual"/>
    <s v="Sentongo paul"/>
    <s v="UBR 541W"/>
    <s v="Kato Investment Ltd -Kagadi"/>
    <n v="156"/>
    <s v="A21105"/>
    <s v="OM"/>
    <n v="670"/>
    <n v="672"/>
    <n v="2"/>
    <m/>
    <d v="2025-02-26T13:43:00"/>
    <d v="2025-02-26T08:00:00"/>
    <d v="2025-02-26T14:27:00"/>
    <n v="385.20833332707599"/>
    <n v="43.796296293051761"/>
    <x v="0"/>
    <d v="2025-02-26T17:37:00"/>
    <d v="2025-02-27T10:24:00"/>
    <n v="986.02083333629707"/>
    <s v="found another truck at the RD"/>
    <d v="2025-03-02T15:22:00"/>
    <d v="2025-03-02T16:21:00"/>
    <n v="57.770833336981013"/>
    <x v="0"/>
    <n v="4.0381944444452529"/>
    <n v="2"/>
    <n v="-2.0381944444452529"/>
    <n v="96.916666666686069"/>
    <n v="48"/>
    <n v="48.916666666686069"/>
    <n v="3.1890971039169633"/>
    <m/>
    <m/>
    <m/>
    <m/>
    <m/>
  </r>
  <r>
    <d v="2025-02-28T00:00:00"/>
    <x v="1"/>
    <m/>
    <s v="Z82868"/>
    <s v="Manual"/>
    <s v="Nakalya John"/>
    <s v="UBM 648D"/>
    <s v="Kobusinge Acaali- Kyenjojo"/>
    <n v="156"/>
    <s v="Z82868"/>
    <s v="OM"/>
    <n v="580"/>
    <n v="582"/>
    <n v="2"/>
    <m/>
    <d v="2025-02-27T13:03:00"/>
    <d v="2025-02-25T16:40:00"/>
    <d v="2025-02-27T13:46:00"/>
    <n v="2693.4722222208316"/>
    <n v="42.80092592986572"/>
    <x v="0"/>
    <d v="2025-02-26T10:22:00"/>
    <d v="2025-02-26T12:27:00"/>
    <n v="122.39583334245253"/>
    <m/>
    <d v="2025-03-02T15:22:00"/>
    <d v="2025-03-02T16:18:00"/>
    <n v="54.833333337664953"/>
    <x v="0"/>
    <n v="3.0666666666656965"/>
    <n v="2"/>
    <n v="-1.0666666666656965"/>
    <n v="73.599999999976717"/>
    <n v="36"/>
    <n v="37.599999999976717"/>
    <n v="4.1489361702153351"/>
    <m/>
    <m/>
    <m/>
    <m/>
    <m/>
  </r>
  <r>
    <d v="2025-02-28T00:00:00"/>
    <x v="1"/>
    <m/>
    <s v="Z82869"/>
    <s v="Manual"/>
    <s v="kakembo Masudi"/>
    <s v="UBM 644D"/>
    <s v="Kobusinge Steven-FPortal"/>
    <n v="156"/>
    <s v="Z82869"/>
    <s v="OM"/>
    <n v="304"/>
    <n v="306"/>
    <n v="2"/>
    <m/>
    <d v="2025-02-26T18:26:00"/>
    <d v="2025-02-26T10:00:00"/>
    <d v="2025-02-26T19:09:00"/>
    <n v="546.45833334167639"/>
    <n v="42.80092592986572"/>
    <x v="0"/>
    <d v="2025-02-26T16:29:00"/>
    <d v="2025-02-26T19:57:00"/>
    <n v="203.66666667396203"/>
    <s v="Waited for empties from trade"/>
    <d v="2025-02-28T12:59:00"/>
    <d v="2025-02-28T13:56:00"/>
    <n v="55.81249999726424"/>
    <x v="0"/>
    <n v="1.7430555555547471"/>
    <n v="2"/>
    <n v="0.25694444444525288"/>
    <n v="41.833333333313931"/>
    <n v="12"/>
    <n v="29.833333333313931"/>
    <n v="5.22905027933301"/>
    <m/>
    <m/>
    <m/>
    <m/>
    <m/>
  </r>
  <r>
    <d v="2025-02-28T00:00:00"/>
    <x v="1"/>
    <m/>
    <s v="OMATP0LRR"/>
    <s v="DJ"/>
    <s v="Kabene John"/>
    <s v="UBA 523T"/>
    <s v="RUGOMA TRADERS CO. LTD NTUNGAM "/>
    <n v="153.6"/>
    <s v="OMATP0LRR"/>
    <s v="OM"/>
    <n v="150"/>
    <n v="149"/>
    <n v="-1"/>
    <m/>
    <d v="2025-02-26T08:23:00"/>
    <d v="2025-02-26T02:22:00"/>
    <d v="2025-02-26T09:06:00"/>
    <n v="402.12962962638511"/>
    <n v="42.80092592986572"/>
    <x v="0"/>
    <d v="2025-02-26T11:18:00"/>
    <d v="2025-02-26T13:39:00"/>
    <n v="138.06249999863212"/>
    <m/>
    <d v="2025-02-26T18:43:00"/>
    <d v="2025-02-26T19:59:00"/>
    <n v="74.416666663018987"/>
    <x v="8"/>
    <n v="0.40069444444816327"/>
    <n v="1"/>
    <n v="0.59930555555183673"/>
    <n v="9.6166666667559184"/>
    <n v="0"/>
    <n v="9.6166666667559184"/>
    <n v="15.972270363803235"/>
    <m/>
    <m/>
    <m/>
    <m/>
    <m/>
  </r>
  <r>
    <d v="2025-02-28T00:00:00"/>
    <x v="1"/>
    <m/>
    <s v="OMGVHG4RR"/>
    <s v="DJ"/>
    <s v="Tumusiime Robert"/>
    <s v="UBJ 988D"/>
    <s v="Kabaco U Ltd-Mbarara "/>
    <n v="153.6"/>
    <s v="OMGVHG4RR"/>
    <s v="OM"/>
    <n v="20"/>
    <n v="19"/>
    <n v="-1"/>
    <m/>
    <d v="2025-02-26T13:43:00"/>
    <d v="2025-02-26T08:00:00"/>
    <d v="2025-02-26T14:27:00"/>
    <n v="385.20833332707599"/>
    <n v="43.796296293051761"/>
    <x v="0"/>
    <d v="2025-02-26T16:15:00"/>
    <d v="2025-02-26T20:15:00"/>
    <n v="234.9999999965803"/>
    <s v="Waited for empties from trade"/>
    <d v="2025-02-27T10:46:00"/>
    <d v="2025-02-27T11:44:00"/>
    <n v="56.791666667122627"/>
    <x v="0"/>
    <n v="0.84652777777955635"/>
    <n v="3"/>
    <n v="2.1534722222204437"/>
    <n v="20.316666666709352"/>
    <n v="0"/>
    <n v="20.316666666709352"/>
    <n v="7.5602953240202106"/>
    <m/>
    <m/>
    <m/>
    <m/>
    <m/>
  </r>
  <r>
    <d v="2025-02-28T00:00:00"/>
    <x v="1"/>
    <m/>
    <s v="OM17TH5RR"/>
    <s v="DJ"/>
    <s v="Isaac Tumuhimbise"/>
    <s v="UBE 287X"/>
    <s v="Kabaco U Ltd "/>
    <n v="153.6"/>
    <s v="OM17TH5RR"/>
    <s v="OM"/>
    <n v="320"/>
    <n v="60"/>
    <n v="-260"/>
    <m/>
    <d v="2025-02-26T12:30:00"/>
    <d v="2025-02-26T12:19:00"/>
    <d v="2025-02-26T13:13:00"/>
    <n v="53.749999997914223"/>
    <n v="42.80092592986572"/>
    <x v="0"/>
    <d v="2025-02-27T05:52:00"/>
    <d v="2025-02-27T09:20:00"/>
    <n v="203.66666667396203"/>
    <s v="Dj failure at customer"/>
    <d v="2025-02-28T12:59:00"/>
    <d v="2025-02-28T13:49:00"/>
    <n v="48.958333328773733"/>
    <x v="0"/>
    <n v="1.9902777777824667"/>
    <n v="2"/>
    <n v="9.7222222175332718E-3"/>
    <n v="47.766666666779201"/>
    <n v="12"/>
    <n v="35.766666666779201"/>
    <n v="4.2945013979361617"/>
    <m/>
    <m/>
    <m/>
    <m/>
    <m/>
  </r>
  <r>
    <d v="2025-03-01T00:00:00"/>
    <x v="2"/>
    <s v="KESH"/>
    <s v="Z82875"/>
    <s v="Manual"/>
    <s v="SENTONG DAVID"/>
    <s v="UBP 298H"/>
    <s v="Kobusinge Steven-Kamwenge"/>
    <n v="78"/>
    <s v="Z82875"/>
    <s v="OM"/>
    <n v="288"/>
    <n v="290"/>
    <n v="2"/>
    <m/>
    <d v="2025-03-01T09:42:00"/>
    <d v="2025-03-01T07:00:00"/>
    <d v="2025-03-01T10:11:00"/>
    <n v="190.11574074514405"/>
    <n v="28.865740740972495"/>
    <x v="0"/>
    <d v="2025-02-26T10:22:00"/>
    <d v="2025-02-26T12:27:00"/>
    <n v="122.39583334245253"/>
    <m/>
    <d v="2025-03-04T09:37:00"/>
    <d v="2025-03-04T10:18:00"/>
    <n v="40.145833330825553"/>
    <x v="0"/>
    <n v="2.976388888884685"/>
    <n v="2"/>
    <n v="-0.976388888884685"/>
    <n v="71.43333333323244"/>
    <n v="24"/>
    <n v="47.43333333323244"/>
    <n v="1.6444132115284451"/>
    <m/>
    <m/>
    <m/>
    <m/>
    <m/>
  </r>
  <r>
    <d v="2025-03-01T00:00:00"/>
    <x v="2"/>
    <s v="KESH"/>
    <s v="A21137"/>
    <s v="Manual"/>
    <m/>
    <s v="UBR 864Y"/>
    <s v="Kato Investments Ltd- Kakumiro"/>
    <n v="93.6"/>
    <s v="A21137"/>
    <s v="OM"/>
    <n v="790"/>
    <n v="786"/>
    <n v="-4"/>
    <m/>
    <d v="2025-02-28T10:58:00"/>
    <d v="2025-02-28T11:25:00"/>
    <d v="2025-02-28T11:27:00"/>
    <n v="1.9907407368009444"/>
    <n v="28.865740740972495"/>
    <x v="0"/>
    <d v="2025-02-26T16:29:00"/>
    <d v="2025-02-26T19:57:00"/>
    <n v="203.66666667396203"/>
    <m/>
    <d v="2025-03-02T08:50:00"/>
    <d v="2025-03-02T09:34:00"/>
    <n v="43.083333330141613"/>
    <x v="0"/>
    <n v="1.890972222223354"/>
    <n v="3"/>
    <n v="1.109027777776646"/>
    <n v="45.383333333360497"/>
    <n v="12"/>
    <n v="33.383333333360497"/>
    <n v="2.8037943085349126"/>
    <m/>
    <m/>
    <m/>
    <m/>
    <m/>
  </r>
  <r>
    <d v="2025-03-01T00:00:00"/>
    <x v="2"/>
    <s v="KESH"/>
    <s v="A21138"/>
    <s v="Manual"/>
    <m/>
    <s v="UBR 903Y"/>
    <s v="KATO INVESTMENTS LTD-KATIKARA"/>
    <n v="78"/>
    <s v="A21138"/>
    <s v="OM"/>
    <n v="790"/>
    <n v="787"/>
    <n v="-3"/>
    <m/>
    <d v="2025-03-01T11:18:00"/>
    <d v="2025-03-01T14:52:00"/>
    <d v="2025-03-01T12:11:00"/>
    <n v="-160.25462962012776"/>
    <n v="52.75462963472819"/>
    <x v="9"/>
    <d v="2025-03-03T08:07:00"/>
    <d v="2025-03-03T11:55:00"/>
    <n v="223.25000000957516"/>
    <m/>
    <d v="2025-03-02T08:50:00"/>
    <d v="2025-03-02T09:34:00"/>
    <n v="43.083333330141613"/>
    <x v="0"/>
    <n v="0.86041666666278616"/>
    <n v="3"/>
    <n v="2.1395833333372138"/>
    <n v="20.649999999906868"/>
    <n v="0"/>
    <n v="20.649999999906868"/>
    <n v="3.7772397094601349"/>
    <m/>
    <m/>
    <m/>
    <m/>
    <m/>
  </r>
  <r>
    <d v="2025-03-01T00:00:00"/>
    <x v="2"/>
    <s v="KESH"/>
    <s v="F16011"/>
    <s v="Manual"/>
    <s v="Mudunga Musa"/>
    <s v="UBE 678K"/>
    <s v="Boniface Harera"/>
    <n v="156"/>
    <s v="F16011"/>
    <s v="OM"/>
    <n v="448"/>
    <n v="452"/>
    <n v="4"/>
    <m/>
    <d v="2025-02-28T16:21:00"/>
    <d v="2025-03-01T02:46:00"/>
    <d v="2025-02-28T16:48:00"/>
    <n v="-595.23148148194502"/>
    <n v="26.87500000417155"/>
    <x v="0"/>
    <d v="2025-03-01T10:47:00"/>
    <d v="2025-03-01T13:48:00"/>
    <n v="177.22916665959929"/>
    <m/>
    <d v="2025-03-03T10:07:00"/>
    <d v="2025-03-03T11:01:00"/>
    <n v="52.87499999794818"/>
    <x v="0"/>
    <n v="2.7215277777795563"/>
    <n v="2"/>
    <n v="-0.72152777777955635"/>
    <n v="65.316666666709352"/>
    <n v="24"/>
    <n v="41.316666666709352"/>
    <n v="3.7757160145180837"/>
    <m/>
    <m/>
    <m/>
    <m/>
    <m/>
  </r>
  <r>
    <d v="2025-03-01T00:00:00"/>
    <x v="2"/>
    <s v="KESH"/>
    <s v="F16012"/>
    <s v="Manual"/>
    <m/>
    <s v="UBG 084B"/>
    <s v="Boniface Harera"/>
    <n v="156"/>
    <s v="F16012"/>
    <s v="OM"/>
    <n v="448"/>
    <n v="449"/>
    <n v="1"/>
    <m/>
    <d v="2025-02-28T15:47:00"/>
    <d v="2025-03-01T02:46:00"/>
    <d v="2025-02-28T16:15:00"/>
    <n v="-628.07870369651937"/>
    <n v="27.870370367357584"/>
    <x v="0"/>
    <d v="2025-03-01T16:42:00"/>
    <d v="2025-03-01T18:42:00"/>
    <n v="117.5000000034197"/>
    <m/>
    <d v="2025-03-02T08:24:00"/>
    <d v="2025-03-02T09:05:00"/>
    <n v="40.145833330825553"/>
    <x v="0"/>
    <n v="1.6729166666627862"/>
    <n v="2"/>
    <n v="0.32708333333721384"/>
    <n v="40.149999999906868"/>
    <n v="12"/>
    <n v="28.149999999906868"/>
    <n v="5.5417406749739291"/>
    <m/>
    <m/>
    <m/>
    <m/>
    <m/>
  </r>
  <r>
    <d v="2025-03-02T00:00:00"/>
    <x v="2"/>
    <s v="KESH"/>
    <s v="A21157"/>
    <s v="Manual"/>
    <m/>
    <s v="UBE 692K"/>
    <s v="KATO INVESTMENTS LTD-KATIKARA"/>
    <n v="156"/>
    <s v="A21157"/>
    <s v="OM"/>
    <n v="790"/>
    <n v="794"/>
    <n v="4"/>
    <m/>
    <d v="2025-02-28T18:50:00"/>
    <d v="2025-03-01T07:00:00"/>
    <d v="2025-02-28T19:42:00"/>
    <n v="-674.86111111041589"/>
    <n v="51.759259261113279"/>
    <x v="9"/>
    <d v="2025-03-03T10:31:00"/>
    <d v="2025-03-04T14:37:00"/>
    <n v="1650.8749999952124"/>
    <m/>
    <d v="2025-03-01T13:44:00"/>
    <d v="2025-03-01T14:27:00"/>
    <n v="42.104166670542327"/>
    <x v="0"/>
    <n v="0.75138888889341615"/>
    <n v="3"/>
    <n v="2.2486111111065838"/>
    <n v="18.033333333441988"/>
    <n v="0"/>
    <n v="18.033333333441988"/>
    <n v="8.6506469500402989"/>
    <m/>
    <m/>
    <m/>
    <m/>
    <m/>
  </r>
  <r>
    <d v="2025-03-02T00:00:00"/>
    <x v="2"/>
    <s v="KESH"/>
    <s v="Z82879"/>
    <s v="Manual"/>
    <m/>
    <s v="UBP 294H"/>
    <s v="Kobusinge Steven-FPortal"/>
    <n v="156"/>
    <s v="Z82879"/>
    <s v="OM"/>
    <n v="304"/>
    <n v="308"/>
    <n v="4"/>
    <m/>
    <d v="2025-02-28T17:19:00"/>
    <d v="2025-03-01T07:00:00"/>
    <d v="2025-02-28T17:48:00"/>
    <n v="-788.33333332707605"/>
    <n v="28.865740740972495"/>
    <x v="0"/>
    <d v="2025-03-02T13:10:00"/>
    <d v="2025-03-02T17:19:00"/>
    <n v="243.81250000478758"/>
    <m/>
    <d v="2025-03-03T13:03:00"/>
    <d v="2025-03-03T13:47:00"/>
    <n v="43.083333330141613"/>
    <x v="5"/>
    <n v="2.8020833333284827"/>
    <n v="2"/>
    <n v="-0.80208333332848269"/>
    <n v="67.249999999883585"/>
    <n v="24"/>
    <n v="43.249999999883585"/>
    <n v="3.6069364161946798"/>
    <m/>
    <m/>
    <m/>
    <m/>
    <m/>
  </r>
  <r>
    <d v="2025-03-02T00:00:00"/>
    <x v="2"/>
    <s v="NBL"/>
    <s v="OMY4VRCRR"/>
    <s v="DJ"/>
    <s v="Luyaga Isaac"/>
    <s v="UAY 265V"/>
    <s v="Kato Investment Ltd -Mityana"/>
    <n v="153.6"/>
    <s v="OMY4VRCRR"/>
    <s v="OM"/>
    <n v="690"/>
    <n v="694"/>
    <n v="4"/>
    <m/>
    <d v="2025-03-02T12:07:00"/>
    <d v="2025-03-01T21:30:00"/>
    <d v="2025-03-02T12:59:00"/>
    <n v="924.69907407430583"/>
    <n v="51.759259261113279"/>
    <x v="10"/>
    <d v="2025-03-03T10:31:00"/>
    <d v="2025-03-04T14:37:00"/>
    <n v="1650.8749999952124"/>
    <m/>
    <d v="2025-03-04T13:44:00"/>
    <d v="2025-03-04T14:28:00"/>
    <n v="43.083333330141613"/>
    <x v="0"/>
    <n v="2.03125"/>
    <n v="3"/>
    <n v="0.96875"/>
    <n v="48.75"/>
    <n v="24"/>
    <n v="24.75"/>
    <n v="6.2060606060606061"/>
    <m/>
    <m/>
    <m/>
    <m/>
    <m/>
  </r>
  <r>
    <d v="2025-03-02T00:00:00"/>
    <x v="2"/>
    <s v="NBL"/>
    <s v="OMEZ1JZRR"/>
    <s v="DJ"/>
    <s v="Kabene John"/>
    <s v="UBA 523T"/>
    <s v="Kato Investments Ltd-Bulenga"/>
    <n v="153.6"/>
    <s v="OMEZ1JZRR"/>
    <s v="OM"/>
    <n v="560"/>
    <n v="564"/>
    <n v="4"/>
    <m/>
    <d v="2025-03-02T12:06:00"/>
    <d v="2025-03-01T21:30:00"/>
    <d v="2025-03-02T12:33:00"/>
    <n v="898.81944444374915"/>
    <n v="26.87500000417155"/>
    <x v="0"/>
    <d v="2025-03-03T11:15:00"/>
    <d v="2025-03-04T12:16:00"/>
    <n v="1469.7291666664387"/>
    <s v="less casuals and offloaded the next day"/>
    <d v="2025-03-03T13:01:00"/>
    <d v="2025-03-03T14:23:00"/>
    <n v="80.291666661651107"/>
    <x v="4"/>
    <n v="1.0194444444423425"/>
    <n v="3"/>
    <n v="1.9805555555576575"/>
    <n v="24.46666666661622"/>
    <n v="12"/>
    <n v="12.46666666661622"/>
    <n v="12.320855615023119"/>
    <m/>
    <m/>
    <m/>
    <m/>
    <m/>
  </r>
  <r>
    <d v="2025-03-02T00:00:00"/>
    <x v="2"/>
    <s v="NBL"/>
    <s v="OMOK60URR"/>
    <s v="DJ"/>
    <s v="Isaac Tumuhimbise"/>
    <s v="UBE 287X"/>
    <s v="Kabaco U Ltd "/>
    <n v="153.6"/>
    <s v="OMOK60URR"/>
    <s v="OM"/>
    <n v="320"/>
    <n v="324"/>
    <n v="4"/>
    <m/>
    <d v="2025-03-02T11:58:00"/>
    <d v="2025-03-02T02:22:00"/>
    <d v="2025-03-02T12:23:00"/>
    <n v="598.2175925923608"/>
    <n v="24.884259256941732"/>
    <x v="0"/>
    <d v="2025-03-03T11:05:00"/>
    <d v="2025-03-03T14:51:00"/>
    <n v="221.29166666985839"/>
    <m/>
    <d v="2025-03-03T17:12:00"/>
    <d v="2025-03-03T17:56:00"/>
    <n v="43.083333330141613"/>
    <x v="0"/>
    <n v="1.2006944444437977"/>
    <n v="2"/>
    <n v="0.79930555555620231"/>
    <n v="28.816666666651145"/>
    <n v="12"/>
    <n v="16.816666666651145"/>
    <n v="9.1337958374712649"/>
    <m/>
    <m/>
    <m/>
    <m/>
    <m/>
  </r>
  <r>
    <d v="2025-03-02T00:00:00"/>
    <x v="2"/>
    <s v="NBL"/>
    <s v="OMZH3MWRR"/>
    <s v="DJ"/>
    <s v="Stephen Musoke "/>
    <s v="UBJ 375N"/>
    <s v="KATO INVESTMENTS LIMITED-MASAK "/>
    <n v="153.6"/>
    <s v="OMZH3MWRR"/>
    <s v="OM"/>
    <n v="298"/>
    <n v="302"/>
    <n v="4"/>
    <m/>
    <d v="2025-03-02T08:38:00"/>
    <d v="2025-03-02T04:14:00"/>
    <d v="2025-03-02T09:07:00"/>
    <n v="291.64351852014079"/>
    <n v="28.865740740972495"/>
    <x v="0"/>
    <d v="2025-03-02T13:10:00"/>
    <d v="2025-03-02T17:19:00"/>
    <n v="243.81250000478758"/>
    <m/>
    <d v="2025-03-03T13:03:00"/>
    <d v="2025-03-03T13:47:00"/>
    <n v="43.083333330141613"/>
    <x v="0"/>
    <n v="1.163888888884685"/>
    <n v="2"/>
    <n v="0.836111111115315"/>
    <n v="27.93333333323244"/>
    <n v="12"/>
    <n v="15.93333333323244"/>
    <n v="9.6401673640777794"/>
    <m/>
    <m/>
    <m/>
    <m/>
    <m/>
  </r>
  <r>
    <d v="2025-03-03T00:00:00"/>
    <x v="2"/>
    <s v="KESH"/>
    <s v="A21167"/>
    <s v="Manual"/>
    <m/>
    <s v="UBR 537W"/>
    <s v="Sawan Distributors Ltd-Nabingo"/>
    <n v="78"/>
    <s v="A21167"/>
    <s v="OM"/>
    <n v="560"/>
    <n v="562"/>
    <n v="2"/>
    <m/>
    <d v="2025-02-28T15:24:00"/>
    <d v="2025-03-01T07:40:00"/>
    <d v="2025-02-28T15:53:00"/>
    <n v="-942.61574073680094"/>
    <n v="28.865740740972495"/>
    <x v="0"/>
    <d v="2025-03-03T10:06:00"/>
    <d v="2025-03-03T13:46:00"/>
    <n v="215.41666667122627"/>
    <s v="found another truck at the RD and offloaded the next day"/>
    <d v="2025-03-01T22:50:00"/>
    <d v="2025-03-01T23:41:00"/>
    <n v="49.93749999863212"/>
    <x v="0"/>
    <n v="1.2895833333313931"/>
    <n v="2"/>
    <n v="0.71041666666860692"/>
    <n v="30.949999999953434"/>
    <n v="12"/>
    <n v="18.949999999953434"/>
    <n v="4.1160949868175027"/>
    <m/>
    <m/>
    <m/>
    <m/>
    <m/>
  </r>
  <r>
    <d v="2025-03-03T00:00:00"/>
    <x v="2"/>
    <s v="KESH"/>
    <s v="Z82900"/>
    <s v="Manual"/>
    <s v="Byanshala Stoney"/>
    <s v="UBP 312H"/>
    <s v="Kobusinge Steven-FPortal"/>
    <n v="156"/>
    <s v="Z82900"/>
    <s v="OM"/>
    <n v="304"/>
    <n v="307"/>
    <n v="3"/>
    <m/>
    <d v="2025-02-28T12:15:00"/>
    <d v="2025-02-28T11:46:00"/>
    <d v="2025-02-28T12:44:00"/>
    <n v="57.731481481944989"/>
    <n v="28.865740740972495"/>
    <x v="0"/>
    <d v="2025-03-03T10:41:00"/>
    <d v="2025-03-03T13:48:00"/>
    <n v="183.10416665823141"/>
    <s v="found another truck at the RD"/>
    <d v="2025-03-02T07:57:00"/>
    <d v="2025-03-02T08:56:00"/>
    <n v="57.770833336981013"/>
    <x v="0"/>
    <n v="1.8006944444496185"/>
    <n v="2"/>
    <n v="0.19930555555038154"/>
    <n v="43.216666666790843"/>
    <n v="12"/>
    <n v="31.216666666790843"/>
    <n v="4.9973304858316965"/>
    <m/>
    <m/>
    <m/>
    <m/>
    <m/>
  </r>
  <r>
    <d v="2025-03-03T00:00:00"/>
    <x v="2"/>
    <s v="KESH"/>
    <s v="Z82902"/>
    <s v="Manual"/>
    <s v="Taimwa Alex"/>
    <s v="UBJ 705D"/>
    <s v="Kobusinge Steven-FPortal"/>
    <n v="156"/>
    <s v="Z82902"/>
    <s v="OM"/>
    <n v="304"/>
    <n v="307"/>
    <n v="3"/>
    <m/>
    <d v="2025-02-28T15:01:00"/>
    <d v="2025-02-28T13:09:00"/>
    <d v="2025-02-28T15:54:00"/>
    <n v="164.23611110415854"/>
    <n v="52.75462963472819"/>
    <x v="9"/>
    <d v="2025-03-03T16:31:00"/>
    <d v="2025-03-03T18:42:00"/>
    <n v="128.27083333082555"/>
    <m/>
    <d v="2025-03-01T16:25:00"/>
    <d v="2025-03-01T17:22:00"/>
    <n v="55.81249999726424"/>
    <x v="0"/>
    <n v="1.0215277777824667"/>
    <n v="2"/>
    <n v="0.97847222221753327"/>
    <n v="24.516666666779201"/>
    <n v="12"/>
    <n v="12.516666666779201"/>
    <n v="12.463382157011779"/>
    <m/>
    <m/>
    <m/>
    <m/>
    <m/>
  </r>
  <r>
    <d v="2025-03-03T00:00:00"/>
    <x v="2"/>
    <s v="KESH"/>
    <s v="A21166"/>
    <s v="Manual"/>
    <s v="Malinzi Awali"/>
    <s v="UBR 536W"/>
    <s v="Sawan Distributors Ltd-Kayabwe"/>
    <n v="78"/>
    <s v="A21166"/>
    <s v="OM"/>
    <n v="382"/>
    <n v="381"/>
    <n v="-1"/>
    <m/>
    <d v="2025-03-02T12:29:00"/>
    <d v="2025-03-01T21:30:00"/>
    <d v="2025-03-02T12:59:00"/>
    <n v="924.69907407430583"/>
    <n v="29.861111114587402"/>
    <x v="0"/>
    <d v="2025-03-03T20:25:00"/>
    <d v="2025-03-04T11:12:00"/>
    <n v="868.52083333287737"/>
    <m/>
    <d v="2025-03-04T13:29:00"/>
    <d v="2025-03-04T14:13:00"/>
    <n v="43.083333330141613"/>
    <x v="0"/>
    <n v="2.0208333333284827"/>
    <n v="2"/>
    <n v="-2.0833333328482695E-2"/>
    <n v="48.499999999883585"/>
    <n v="24"/>
    <n v="24.499999999883585"/>
    <n v="3.183673469402883"/>
    <m/>
    <m/>
    <m/>
    <m/>
    <m/>
  </r>
  <r>
    <d v="2025-03-03T00:00:00"/>
    <x v="2"/>
    <s v="KESH"/>
    <s v="Z82903"/>
    <s v="Manual"/>
    <s v="Bwanga Gilbert"/>
    <s v="UBK 862R"/>
    <s v="Kobusinge Steven-Kamwenge"/>
    <n v="156"/>
    <s v="Z82903"/>
    <s v="OM"/>
    <n v="288"/>
    <n v="289"/>
    <n v="1"/>
    <m/>
    <d v="2025-03-02T11:55:00"/>
    <d v="2025-03-02T02:22:00"/>
    <d v="2025-03-02T12:23:00"/>
    <n v="598.2175925923608"/>
    <n v="27.870370367357584"/>
    <x v="0"/>
    <d v="2025-03-03T17:08:00"/>
    <d v="2025-03-04T15:18:00"/>
    <n v="1302.2916666643869"/>
    <m/>
    <d v="2025-03-05T14:55:00"/>
    <d v="2025-03-05T15:39:00"/>
    <n v="43.083333330141613"/>
    <x v="0"/>
    <n v="3.1055555555576575"/>
    <n v="2"/>
    <n v="-1.1055555555576575"/>
    <n v="74.53333333338378"/>
    <n v="36"/>
    <n v="38.53333333338378"/>
    <n v="4.0484429065690941"/>
    <m/>
    <m/>
    <m/>
    <m/>
    <m/>
  </r>
  <r>
    <d v="2025-03-03T00:00:00"/>
    <x v="2"/>
    <s v="KESH"/>
    <s v="Z82901"/>
    <s v="Manual"/>
    <m/>
    <s v="UBR 534W"/>
    <s v="Kobusinge Acaali- Kyenjojo"/>
    <n v="156"/>
    <s v="Z82901"/>
    <s v="OM"/>
    <n v="580"/>
    <n v="576"/>
    <n v="-4"/>
    <m/>
    <d v="2025-03-02T08:38:00"/>
    <d v="2025-03-02T04:14:00"/>
    <d v="2025-03-02T09:07:00"/>
    <n v="291.64351852014079"/>
    <n v="28.865740740972495"/>
    <x v="0"/>
    <d v="2025-03-03T09:15:00"/>
    <d v="2025-03-03T12:05:00"/>
    <n v="166.45833333219343"/>
    <m/>
    <d v="2025-03-03T13:24:00"/>
    <d v="2025-03-03T14:08:00"/>
    <n v="43.083333330141613"/>
    <x v="0"/>
    <n v="1.1784722222218988"/>
    <n v="2"/>
    <n v="0.82152777777810115"/>
    <n v="28.283333333325572"/>
    <n v="12"/>
    <n v="16.283333333325572"/>
    <n v="9.5803480040987328"/>
    <m/>
    <m/>
    <m/>
    <m/>
    <m/>
  </r>
  <r>
    <d v="2025-03-03T00:00:00"/>
    <x v="2"/>
    <s v="KESH"/>
    <s v="Z82888"/>
    <s v="Manual"/>
    <s v="kayanja Sam"/>
    <s v="UBF 379L"/>
    <s v="Kobusinge Steven-Kamwenge"/>
    <n v="156"/>
    <s v="Z82888"/>
    <s v="OM"/>
    <n v="288"/>
    <n v="285"/>
    <n v="-3"/>
    <m/>
    <d v="2025-03-01T21:27:00"/>
    <d v="2025-03-01T22:00:00"/>
    <d v="2025-03-01T22:20:00"/>
    <n v="19.907407409724936"/>
    <n v="52.75462963472819"/>
    <x v="9"/>
    <d v="2025-03-03T13:05:00"/>
    <d v="2025-03-03T16:36:00"/>
    <n v="206.60416666301899"/>
    <s v="Reached late and offloaded the next day"/>
    <d v="2025-03-04T13:22:00"/>
    <d v="2025-03-04T14:44:00"/>
    <n v="80.291666661651107"/>
    <x v="8"/>
    <n v="2.6263888888861402"/>
    <n v="2"/>
    <n v="-0.62638888888614019"/>
    <n v="63.033333333267365"/>
    <n v="24"/>
    <n v="39.033333333267365"/>
    <n v="3.9965841161468059"/>
    <m/>
    <m/>
    <m/>
    <m/>
    <m/>
  </r>
  <r>
    <d v="2025-03-03T00:00:00"/>
    <x v="2"/>
    <s v="KESH"/>
    <s v="Z82887"/>
    <s v="Manual"/>
    <m/>
    <s v="UBR 533W"/>
    <s v="Kobusinge Steven-FPortal"/>
    <n v="156"/>
    <s v="Z82887"/>
    <s v="OM"/>
    <n v="304"/>
    <n v="306"/>
    <n v="2"/>
    <m/>
    <d v="2025-03-01T22:07:00"/>
    <d v="2025-03-02T02:46:00"/>
    <d v="2025-03-01T22:36:00"/>
    <n v="-248.84259259027507"/>
    <n v="28.865740740972495"/>
    <x v="0"/>
    <d v="2025-03-03T11:11:00"/>
    <d v="2025-03-03T14:32:00"/>
    <n v="196.81250000547152"/>
    <m/>
    <d v="2025-03-04T17:28:00"/>
    <d v="2025-03-04T18:12:00"/>
    <n v="43.083333330141613"/>
    <x v="0"/>
    <n v="2.7861111111124046"/>
    <n v="2"/>
    <n v="-0.78611111111240461"/>
    <n v="66.866666666697711"/>
    <n v="24"/>
    <n v="42.866666666697711"/>
    <n v="3.6391912908216257"/>
    <m/>
    <m/>
    <m/>
    <m/>
    <m/>
  </r>
  <r>
    <d v="2025-03-03T00:00:00"/>
    <x v="2"/>
    <s v="KESH"/>
    <s v="F16015"/>
    <s v="Manual"/>
    <s v="Lule Fred"/>
    <s v="UBP 310H"/>
    <s v="Boniface Harera"/>
    <n v="156"/>
    <s v="F16015"/>
    <s v="OM"/>
    <n v="448"/>
    <n v="445"/>
    <n v="-3"/>
    <m/>
    <d v="2025-03-01T21:22:00"/>
    <d v="2025-03-02T05:52:00"/>
    <d v="2025-03-01T21:50:00"/>
    <n v="-479.76851851805503"/>
    <n v="27.870370367357584"/>
    <x v="0"/>
    <d v="2025-03-03T14:49:00"/>
    <d v="2025-03-04T10:58:00"/>
    <n v="1183.8125000013679"/>
    <s v="Waited for empties from trade"/>
    <d v="2025-03-03T18:52:00"/>
    <d v="2025-03-03T19:42:00"/>
    <n v="48.958333328773733"/>
    <x v="0"/>
    <n v="1.8763888888934162"/>
    <n v="2"/>
    <n v="0.12361111110658385"/>
    <n v="45.033333333441988"/>
    <n v="12"/>
    <n v="33.033333333441988"/>
    <n v="4.7225025226888055"/>
    <m/>
    <m/>
    <m/>
    <m/>
    <m/>
  </r>
  <r>
    <d v="2025-03-03T00:00:00"/>
    <x v="2"/>
    <s v="NBL"/>
    <s v="OMPNM07RR"/>
    <s v="DJ"/>
    <s v="Abel Mark naffa"/>
    <s v="UBJ 415C"/>
    <s v="Kabaco U Ltd "/>
    <n v="153.6"/>
    <s v="OMPNM07RR"/>
    <s v="OM"/>
    <n v="320"/>
    <n v="302"/>
    <n v="-18"/>
    <m/>
    <d v="2025-03-03T07:56:00"/>
    <d v="2025-03-03T02:22:00"/>
    <d v="2025-03-03T08:24:00"/>
    <n v="360.32407407013426"/>
    <n v="27.870370367357584"/>
    <x v="0"/>
    <d v="2025-03-03T11:11:00"/>
    <d v="2025-03-03T14:32:00"/>
    <n v="196.81250000547152"/>
    <m/>
    <d v="2025-03-04T17:28:00"/>
    <d v="2025-03-04T18:12:00"/>
    <n v="43.083333330141613"/>
    <x v="0"/>
    <n v="1.3777777777795563"/>
    <n v="2"/>
    <n v="0.62222222222044365"/>
    <n v="33.066666666709352"/>
    <n v="12"/>
    <n v="21.066666666709352"/>
    <n v="7.2911392404915558"/>
    <m/>
    <m/>
    <m/>
    <m/>
    <m/>
  </r>
  <r>
    <d v="2025-03-03T00:00:00"/>
    <x v="2"/>
    <s v="NBL"/>
    <s v="OM2MDORRR"/>
    <s v="DJ"/>
    <s v="Tumusiime Robert"/>
    <s v="UBJ 988D"/>
    <s v="Kabaco U Ltd-Mbarara "/>
    <n v="153.6"/>
    <s v="OM2MDORRR"/>
    <s v="OM"/>
    <n v="20"/>
    <n v="17"/>
    <n v="-3"/>
    <m/>
    <d v="2025-03-03T06:31:00"/>
    <d v="2025-03-03T07:42:00"/>
    <d v="2025-03-03T07:00:00"/>
    <n v="-41.805555556250816"/>
    <n v="28.865740740972495"/>
    <x v="0"/>
    <d v="2025-03-03T09:15:00"/>
    <d v="2025-03-03T11:58:00"/>
    <n v="159.60416666370293"/>
    <m/>
    <d v="2025-03-03T13:24:00"/>
    <d v="2025-03-03T14:14:00"/>
    <n v="48.958333328773733"/>
    <x v="0"/>
    <n v="0.26666666667006211"/>
    <n v="3"/>
    <n v="2.7333333333299379"/>
    <n v="6.4000000000814907"/>
    <n v="0"/>
    <n v="6.4000000000814907"/>
    <n v="23.99999999969441"/>
    <m/>
    <m/>
    <m/>
    <m/>
    <m/>
  </r>
  <r>
    <d v="2025-03-03T00:00:00"/>
    <x v="2"/>
    <s v="NBL"/>
    <s v="OMVRA7NRR"/>
    <s v="DJ"/>
    <s v="Benon Ssempijja"/>
    <s v="UAY 526V"/>
    <s v="Ntale and Sons"/>
    <n v="153.6"/>
    <s v="OMVRA7NRR"/>
    <s v="OM"/>
    <n v="810"/>
    <n v="812"/>
    <n v="2"/>
    <m/>
    <d v="2025-03-02T19:04:00"/>
    <d v="2025-03-02T22:00:00"/>
    <d v="2025-03-02T19:33:00"/>
    <n v="-146.31944444166342"/>
    <n v="28.865740740972495"/>
    <x v="0"/>
    <d v="2025-03-03T14:49:00"/>
    <d v="2025-03-04T10:58:00"/>
    <n v="1183.8125000013679"/>
    <m/>
    <d v="2025-03-03T18:52:00"/>
    <d v="2025-03-03T19:36:00"/>
    <n v="43.083333330141613"/>
    <x v="0"/>
    <n v="0.97152777777955635"/>
    <n v="3"/>
    <n v="2.0284722222204437"/>
    <n v="23.316666666709352"/>
    <n v="0"/>
    <n v="23.316666666709352"/>
    <n v="6.587562544662708"/>
    <m/>
    <m/>
    <m/>
    <m/>
    <m/>
  </r>
  <r>
    <d v="2025-03-03T00:00:00"/>
    <x v="2"/>
    <s v="NBL"/>
    <s v="OMGDQSGRR"/>
    <s v="DJ"/>
    <s v="Bisaso  Ronald"/>
    <s v="UBK 875R"/>
    <s v="KATO INVESTMENTS LIMITED-MASAK "/>
    <n v="153.6"/>
    <s v="OMGDQSGRR"/>
    <s v="OM"/>
    <n v="298"/>
    <n v="295"/>
    <n v="-3"/>
    <m/>
    <d v="2025-03-02T19:44:00"/>
    <d v="2025-03-03T04:14:00"/>
    <d v="2025-03-02T20:11:00"/>
    <n v="-480.76388889166992"/>
    <n v="26.87500000417155"/>
    <x v="0"/>
    <d v="2025-03-03T13:05:00"/>
    <d v="2025-03-03T16:36:00"/>
    <n v="206.60416666301899"/>
    <s v="found another truck at the RD"/>
    <d v="2025-03-04T13:22:00"/>
    <d v="2025-03-04T14:12:00"/>
    <n v="48.958333328773733"/>
    <x v="0"/>
    <n v="1.7159722222204437"/>
    <n v="2"/>
    <n v="0.28402777777955635"/>
    <n v="41.183333333290648"/>
    <n v="12"/>
    <n v="29.183333333290648"/>
    <n v="5.2632781267923932"/>
    <m/>
    <m/>
    <m/>
    <m/>
    <m/>
  </r>
  <r>
    <d v="2025-03-04T00:00:00"/>
    <x v="2"/>
    <s v="KESH"/>
    <s v="A21198"/>
    <s v="Manual"/>
    <s v="Kabanda Ronald"/>
    <s v="UBE 684K"/>
    <s v="KATO INVESTMENTS LTD-KATIKARA"/>
    <n v="156"/>
    <s v="A21198"/>
    <s v="OM"/>
    <n v="790"/>
    <n v="792"/>
    <n v="2"/>
    <m/>
    <d v="2025-03-03T09:02:00"/>
    <d v="2025-03-02T14:52:00"/>
    <d v="2025-03-03T09:54:00"/>
    <n v="1136.7129629659757"/>
    <n v="51.759259261113279"/>
    <x v="1"/>
    <d v="2025-03-04T15:18:00"/>
    <d v="2025-03-04T17:47:00"/>
    <n v="145.89583333698101"/>
    <m/>
    <d v="2025-03-05T09:40:00"/>
    <d v="2025-03-05T10:24:00"/>
    <n v="43.083333330141613"/>
    <x v="0"/>
    <n v="1.9902777777824667"/>
    <n v="3"/>
    <n v="1.0097222222175333"/>
    <n v="47.766666666779201"/>
    <n v="12"/>
    <n v="35.766666666779201"/>
    <n v="4.3616029822789146"/>
    <m/>
    <m/>
    <m/>
    <m/>
    <m/>
  </r>
  <r>
    <d v="2025-03-04T00:00:00"/>
    <x v="2"/>
    <s v="KESH"/>
    <s v="A21204"/>
    <s v="Manual"/>
    <s v="Mulumba Kasim"/>
    <s v="UBE 680K"/>
    <s v="Kato Investment Ltd -Mityana"/>
    <n v="156"/>
    <s v="A21204"/>
    <s v="OM"/>
    <n v="690"/>
    <n v="692"/>
    <n v="2"/>
    <m/>
    <d v="2025-03-04T12:08:00"/>
    <d v="2025-03-04T03:42:00"/>
    <d v="2025-03-04T12:37:00"/>
    <n v="532.52314814235433"/>
    <n v="28.865740740972495"/>
    <x v="0"/>
    <d v="2025-03-05T09:22:00"/>
    <d v="2025-03-05T16:05:00"/>
    <n v="394.60416667054233"/>
    <m/>
    <d v="2025-03-05T11:09:00"/>
    <d v="2025-03-05T11:53:00"/>
    <n v="43.083333330141613"/>
    <x v="9"/>
    <n v="0.93888888889341615"/>
    <n v="3"/>
    <n v="2.0611111111065838"/>
    <n v="22.533333333441988"/>
    <n v="0"/>
    <n v="22.533333333441988"/>
    <n v="6.9230769230435403"/>
    <m/>
    <m/>
    <m/>
    <m/>
    <m/>
  </r>
  <r>
    <d v="2025-03-04T00:00:00"/>
    <x v="2"/>
    <s v="KESH"/>
    <s v="A21195"/>
    <s v="Manual"/>
    <m/>
    <s v="UBR 868Y"/>
    <s v="Kato Investment Ltd -Mityana"/>
    <n v="156"/>
    <s v="A21195"/>
    <s v="OM"/>
    <n v="690"/>
    <n v="686"/>
    <n v="-4"/>
    <m/>
    <d v="2025-03-03T07:56:00"/>
    <d v="2025-03-03T02:22:00"/>
    <d v="2025-03-03T08:24:00"/>
    <n v="360.32407407013426"/>
    <n v="27.870370367357584"/>
    <x v="0"/>
    <d v="2025-03-04T07:12:00"/>
    <d v="2025-03-04T11:47:00"/>
    <n v="269.27083332877373"/>
    <s v="found another truck at the RD"/>
    <d v="2025-03-05T11:09:00"/>
    <d v="2025-03-05T11:59:00"/>
    <n v="48.958333328773733"/>
    <x v="0"/>
    <n v="2.1145833333357587"/>
    <n v="3"/>
    <n v="0.88541666666424135"/>
    <n v="50.750000000058208"/>
    <n v="24"/>
    <n v="26.750000000058208"/>
    <n v="5.8317757009218898"/>
    <m/>
    <m/>
    <m/>
    <m/>
    <m/>
  </r>
  <r>
    <d v="2025-03-04T00:00:00"/>
    <x v="2"/>
    <s v="KESH"/>
    <s v="A21196"/>
    <s v="Manual"/>
    <m/>
    <s v="UBJ 423C"/>
    <s v="KATO INVESTMENTS LTD-KATIKARA"/>
    <n v="156"/>
    <s v="A21196"/>
    <s v="OM"/>
    <n v="790"/>
    <n v="787"/>
    <n v="-3"/>
    <m/>
    <d v="2025-03-02T13:27:00"/>
    <d v="2025-03-02T13:00:00"/>
    <d v="2025-03-02T13:55:00"/>
    <n v="54.745370371529134"/>
    <n v="27.870370367357584"/>
    <x v="0"/>
    <d v="2025-03-05T17:38:00"/>
    <d v="2025-03-05T19:47:00"/>
    <n v="126.31250000136788"/>
    <m/>
    <d v="2025-03-03T12:13:00"/>
    <d v="2025-03-03T13:10:00"/>
    <n v="55.81249999726424"/>
    <x v="0"/>
    <n v="0.92916666666860692"/>
    <n v="3"/>
    <n v="2.0708333333313931"/>
    <n v="22.300000000046566"/>
    <n v="0"/>
    <n v="22.300000000046566"/>
    <n v="6.9955156950526565"/>
    <m/>
    <m/>
    <m/>
    <m/>
    <m/>
  </r>
  <r>
    <d v="2025-03-04T00:00:00"/>
    <x v="2"/>
    <s v="KESH"/>
    <s v="A21194"/>
    <s v="Manual"/>
    <s v="Tsaale Hassan"/>
    <s v="UBJ 703D"/>
    <s v="Sawan Distributors Ltd-Nabingo"/>
    <n v="2.1779999999999999"/>
    <s v="A21194"/>
    <s v="OM"/>
    <n v="560"/>
    <n v="557"/>
    <n v="-3"/>
    <m/>
    <d v="2025-03-03T06:07:00"/>
    <d v="2025-03-03T07:42:00"/>
    <d v="2025-03-03T07:00:00"/>
    <n v="-41.805555556250816"/>
    <n v="52.75462963472819"/>
    <x v="9"/>
    <d v="2025-03-04T10:07:00"/>
    <d v="2025-03-04T12:09:00"/>
    <n v="119.45833333287737"/>
    <m/>
    <d v="2025-03-05T12:13:00"/>
    <d v="2025-03-05T12:57:00"/>
    <n v="43.083333330141613"/>
    <x v="0"/>
    <n v="2.2173611111138598"/>
    <n v="2"/>
    <n v="-0.21736111111385981"/>
    <n v="53.216666666732635"/>
    <n v="24"/>
    <n v="29.216666666732635"/>
    <n v="7.4546491728297165E-2"/>
    <m/>
    <m/>
    <m/>
    <m/>
    <m/>
  </r>
  <r>
    <d v="2025-03-04T00:00:00"/>
    <x v="2"/>
    <s v="KESH"/>
    <s v="A21202"/>
    <s v="Manual"/>
    <s v="Ntumwa Solomon"/>
    <s v="UBR 540W"/>
    <s v="Kato Investments Ltd- Kyegegwa"/>
    <n v="78"/>
    <s v="A21202"/>
    <s v="OM"/>
    <n v="600"/>
    <n v="597"/>
    <n v="-3"/>
    <m/>
    <d v="2025-03-02T16:41:00"/>
    <d v="2025-03-02T19:13:00"/>
    <d v="2025-03-02T17:10:00"/>
    <n v="-122.43055554790772"/>
    <n v="28.865740740972495"/>
    <x v="0"/>
    <d v="2025-03-04T12:13:00"/>
    <d v="2025-03-04T14:07:00"/>
    <n v="111.62499999452848"/>
    <m/>
    <d v="2025-03-04T08:58:00"/>
    <d v="2025-03-04T09:58:00"/>
    <n v="58.7499999965803"/>
    <x v="0"/>
    <n v="1.6583333333328483"/>
    <n v="2"/>
    <n v="0.34166666666715173"/>
    <n v="39.799999999988358"/>
    <n v="12"/>
    <n v="27.799999999988358"/>
    <n v="2.8057553956846282"/>
    <m/>
    <m/>
    <m/>
    <m/>
    <m/>
  </r>
  <r>
    <d v="2025-03-04T00:00:00"/>
    <x v="2"/>
    <s v="KESH"/>
    <s v="A21201"/>
    <s v="Manual"/>
    <s v="Nminya Siraje"/>
    <s v="UBP 301H"/>
    <s v="Kato Investments Ltd- Kakumiro"/>
    <n v="156"/>
    <s v="A21201"/>
    <s v="OM"/>
    <n v="790"/>
    <n v="788"/>
    <n v="-2"/>
    <m/>
    <d v="2025-03-02T19:04:00"/>
    <d v="2025-03-02T22:00:00"/>
    <d v="2025-03-02T19:33:00"/>
    <n v="-146.31944444166342"/>
    <n v="28.865740740972495"/>
    <x v="0"/>
    <d v="2025-03-04T14:40:00"/>
    <d v="2025-03-04T18:47:00"/>
    <n v="241.85416666507081"/>
    <m/>
    <d v="2025-03-04T08:58:00"/>
    <d v="2025-03-04T09:39:00"/>
    <n v="40.145833330825553"/>
    <x v="0"/>
    <n v="1.5590277777810115"/>
    <n v="3"/>
    <n v="1.4409722222189885"/>
    <n v="37.416666666744277"/>
    <n v="12"/>
    <n v="25.416666666744277"/>
    <n v="6.1377049180140455"/>
    <m/>
    <m/>
    <m/>
    <m/>
    <m/>
  </r>
  <r>
    <d v="2025-03-04T00:00:00"/>
    <x v="2"/>
    <s v="KESH"/>
    <s v="Z82922"/>
    <s v="Manual"/>
    <s v="Matovu Musa"/>
    <s v="UBR 538W"/>
    <s v="Kobusinge Steven-FPortal"/>
    <n v="156"/>
    <s v="Z82922"/>
    <s v="OM"/>
    <n v="304"/>
    <n v="301"/>
    <n v="-3"/>
    <m/>
    <d v="2025-03-03T20:36:00"/>
    <d v="2025-03-03T16:57:00"/>
    <d v="2025-03-03T21:05:00"/>
    <n v="246.85185184304524"/>
    <n v="28.865740740972495"/>
    <x v="0"/>
    <d v="2025-03-04T08:20:00"/>
    <d v="2025-03-04T12:09:00"/>
    <n v="224.22916666917445"/>
    <s v="Waited for empties from trade"/>
    <d v="2025-03-04T15:44:00"/>
    <d v="2025-03-04T16:31:00"/>
    <n v="46.020833329457673"/>
    <x v="0"/>
    <n v="0.77708333333430346"/>
    <n v="2"/>
    <n v="1.2229166666656965"/>
    <n v="18.650000000023283"/>
    <n v="0"/>
    <n v="18.650000000023283"/>
    <n v="8.3646112600431763"/>
    <m/>
    <m/>
    <m/>
    <m/>
    <m/>
  </r>
  <r>
    <d v="2025-03-04T00:00:00"/>
    <x v="2"/>
    <s v="KESH"/>
    <s v="A21200"/>
    <s v="Manual"/>
    <s v="ZIWA ABASI"/>
    <s v="UBJ 420C"/>
    <s v="Kato Investment Ltd -Kagadi"/>
    <n v="156"/>
    <s v="A21200"/>
    <s v="OM"/>
    <n v="670"/>
    <n v="669"/>
    <n v="-1"/>
    <m/>
    <d v="2025-03-03T19:22:00"/>
    <d v="2025-03-03T17:51:00"/>
    <d v="2025-03-03T19:44:00"/>
    <n v="112.47685185347412"/>
    <n v="21.89814814652588"/>
    <x v="0"/>
    <d v="2025-03-03T22:33:00"/>
    <d v="2025-03-04T16:00:00"/>
    <n v="1025.1874999972642"/>
    <m/>
    <d v="2025-03-04T18:14:00"/>
    <d v="2025-03-04T18:57:00"/>
    <n v="42.104166670542327"/>
    <x v="0"/>
    <n v="0.9375"/>
    <n v="2"/>
    <n v="1.0625"/>
    <n v="22.5"/>
    <n v="0"/>
    <n v="22.5"/>
    <n v="6.9333333333333336"/>
    <m/>
    <m/>
    <m/>
    <m/>
    <m/>
  </r>
  <r>
    <d v="2025-03-04T00:00:00"/>
    <x v="2"/>
    <s v="KESH"/>
    <s v="Z82923"/>
    <s v="Manual"/>
    <s v="Sentongo paul"/>
    <s v="UBR 541W"/>
    <s v="Kobusinge Acaali- Kyenjojo"/>
    <n v="156"/>
    <s v="Z82923"/>
    <s v="OM"/>
    <n v="580"/>
    <n v="577"/>
    <n v="-3"/>
    <m/>
    <d v="2025-03-03T20:05:00"/>
    <d v="2025-03-03T18:43:00"/>
    <d v="2025-03-03T20:57:00"/>
    <n v="133.37962962638508"/>
    <n v="51.759259261113279"/>
    <x v="10"/>
    <d v="2025-03-04T14:41:00"/>
    <d v="2025-03-04T17:24:00"/>
    <n v="159.60416666370293"/>
    <m/>
    <d v="2025-03-05T09:44:00"/>
    <d v="2025-03-05T10:37:00"/>
    <n v="51.895833338348893"/>
    <x v="0"/>
    <n v="1.5326388888861402"/>
    <n v="2"/>
    <n v="0.46736111111385981"/>
    <n v="36.783333333267365"/>
    <n v="12"/>
    <n v="24.783333333267365"/>
    <n v="6.2945527908708234"/>
    <m/>
    <m/>
    <m/>
    <m/>
    <m/>
  </r>
  <r>
    <d v="2025-03-04T00:00:00"/>
    <x v="2"/>
    <s v="KESH"/>
    <s v="F16033"/>
    <s v="Manual"/>
    <s v="Nakalya John"/>
    <s v="UBM 648D"/>
    <s v="Boniface Harera"/>
    <n v="156"/>
    <s v="F16033"/>
    <s v="OM"/>
    <n v="448"/>
    <n v="450"/>
    <n v="2"/>
    <m/>
    <d v="2025-03-04T16:27:00"/>
    <d v="2025-03-04T15:42:00"/>
    <d v="2025-03-04T16:56:00"/>
    <n v="73.657407407639155"/>
    <n v="28.865740740972495"/>
    <x v="0"/>
    <d v="2025-03-04T17:22:00"/>
    <d v="2025-03-05T13:01:00"/>
    <n v="1154.4374999979482"/>
    <m/>
    <d v="2025-03-05T17:18:00"/>
    <d v="2025-03-05T17:59:00"/>
    <n v="40.145833330825553"/>
    <x v="0"/>
    <n v="1.015277777776646"/>
    <n v="2"/>
    <n v="0.98472222222335404"/>
    <n v="24.366666666639503"/>
    <n v="12"/>
    <n v="12.366666666639503"/>
    <n v="12.614555256092398"/>
    <m/>
    <m/>
    <m/>
    <m/>
    <m/>
  </r>
  <r>
    <d v="2025-03-04T00:00:00"/>
    <x v="2"/>
    <s v="NBL"/>
    <s v="OMDIOAFRR"/>
    <s v="DJ"/>
    <s v="Mugisha  George"/>
    <s v="UAV 203T"/>
    <s v="Kabaco U Ltd-Mbarara "/>
    <n v="153.6"/>
    <s v="OMDIOAFRR"/>
    <s v="OM"/>
    <n v="20"/>
    <n v="17"/>
    <n v="-3"/>
    <m/>
    <d v="2025-03-04T20:53:00"/>
    <d v="2025-03-04T07:42:00"/>
    <d v="2025-03-04T21:15:00"/>
    <n v="809.23611111041589"/>
    <n v="21.89814814652588"/>
    <x v="0"/>
    <d v="2025-03-06T08:47:00"/>
    <d v="2025-03-06T12:57:00"/>
    <n v="244.79166666438687"/>
    <m/>
    <d v="2025-03-05T11:08:00"/>
    <d v="2025-03-05T11:51:00"/>
    <n v="42.104166670542327"/>
    <x v="0"/>
    <n v="0.57847222222335404"/>
    <n v="3"/>
    <n v="2.421527777776646"/>
    <n v="13.883333333360497"/>
    <n v="0"/>
    <n v="13.883333333360497"/>
    <n v="11.063625450158424"/>
    <m/>
    <m/>
    <m/>
    <m/>
    <m/>
  </r>
  <r>
    <d v="2025-03-04T00:00:00"/>
    <x v="2"/>
    <s v="NBL"/>
    <s v="OMR2MRVRR"/>
    <s v="DJ"/>
    <s v="Jacob Oneka"/>
    <s v="UBE 422T"/>
    <s v="Rugoma Traders-Kanungu/Kihihi "/>
    <n v="153.6"/>
    <s v="OMR2MRVRR"/>
    <s v="OM"/>
    <n v="414"/>
    <n v="412"/>
    <n v="-2"/>
    <m/>
    <d v="2025-03-04T11:09:00"/>
    <d v="2025-03-04T01:59:00"/>
    <d v="2025-03-04T11:38:00"/>
    <n v="576.31944444583496"/>
    <n v="28.865740740972495"/>
    <x v="0"/>
    <d v="2025-03-05T16:44:00"/>
    <d v="2025-03-05T20:14:00"/>
    <n v="205.6249999931606"/>
    <s v="found another truck at the RD"/>
    <d v="2025-03-05T17:18:00"/>
    <d v="2025-03-05T18:16:00"/>
    <n v="56.791666667122627"/>
    <x v="0"/>
    <n v="1.2361111111094942"/>
    <n v="2"/>
    <n v="0.76388888889050577"/>
    <n v="29.666666666627862"/>
    <n v="12"/>
    <n v="17.666666666627862"/>
    <n v="8.6943396226606069"/>
    <m/>
    <m/>
    <m/>
    <m/>
    <m/>
  </r>
  <r>
    <d v="2025-03-04T00:00:00"/>
    <x v="2"/>
    <s v="NBL"/>
    <s v="OM496R1RR"/>
    <s v="DJ"/>
    <s v="Stephen Musoke "/>
    <s v="UBJ 375N"/>
    <s v="Kabaco U Ltd "/>
    <n v="153.6"/>
    <s v="OM496R1RR"/>
    <s v="OM"/>
    <n v="320"/>
    <n v="318"/>
    <n v="-2"/>
    <m/>
    <d v="2025-03-04T11:24:00"/>
    <d v="2025-03-04T02:22:00"/>
    <d v="2025-03-04T11:54:00"/>
    <n v="569.35185185138835"/>
    <n v="29.861111114587402"/>
    <x v="0"/>
    <d v="2025-03-04T17:59:00"/>
    <d v="2025-03-05T13:11:00"/>
    <n v="1128.0000000041036"/>
    <m/>
    <d v="2025-03-05T18:03:00"/>
    <d v="2025-03-05T18:44:00"/>
    <n v="40.145833330825553"/>
    <x v="0"/>
    <n v="1.2562499999985448"/>
    <n v="2"/>
    <n v="0.74375000000145519"/>
    <n v="30.149999999965075"/>
    <n v="12"/>
    <n v="18.149999999965075"/>
    <n v="8.462809917371656"/>
    <m/>
    <m/>
    <m/>
    <m/>
    <m/>
  </r>
  <r>
    <d v="2025-03-04T00:00:00"/>
    <x v="2"/>
    <s v="NBL"/>
    <s v="OMNBE1MRR"/>
    <s v="DJ"/>
    <s v="GODWIN  NIWENSIIMA"/>
    <s v="UAR 731Q"/>
    <s v="Kabaco U Ltd "/>
    <n v="153.6"/>
    <s v="OMNBE1MRR"/>
    <s v="OM"/>
    <n v="320"/>
    <n v="317"/>
    <n v="-3"/>
    <m/>
    <d v="2025-03-03T18:51:00"/>
    <d v="2025-03-04T02:22:00"/>
    <d v="2025-03-03T19:20:00"/>
    <n v="-420.04629629930906"/>
    <n v="28.865740740972495"/>
    <x v="0"/>
    <d v="2025-03-03T22:33:00"/>
    <d v="2025-03-04T16:00:00"/>
    <n v="1025.1874999972642"/>
    <s v="Waited for empties from trade"/>
    <d v="2025-03-04T18:14:00"/>
    <d v="2025-03-04T19:04:00"/>
    <n v="48.958333328773733"/>
    <x v="0"/>
    <n v="0.95416666667006211"/>
    <n v="2"/>
    <n v="1.0458333333299379"/>
    <n v="22.900000000081491"/>
    <n v="0"/>
    <n v="22.900000000081491"/>
    <n v="6.7074235807621569"/>
    <m/>
    <m/>
    <m/>
    <m/>
    <m/>
  </r>
  <r>
    <d v="2025-03-04T00:00:00"/>
    <x v="2"/>
    <s v="NBL"/>
    <s v="OMOPQ4TRR"/>
    <s v="DJ"/>
    <s v="Isaac Tumuhimbise"/>
    <s v="UBE 287X"/>
    <s v="Rugoma Traders-Rukungiri"/>
    <n v="153.6"/>
    <s v="OMOPQ4TRR"/>
    <s v="OM"/>
    <n v="256"/>
    <n v="258"/>
    <n v="2"/>
    <m/>
    <d v="2025-03-03T19:58:00"/>
    <d v="2025-03-04T04:04:00"/>
    <d v="2025-03-03T20:51:00"/>
    <n v="-430.99537036735757"/>
    <n v="52.75462963472819"/>
    <x v="0"/>
    <d v="2025-03-04T14:41:00"/>
    <d v="2025-03-04T19:24:00"/>
    <n v="277.10416666712263"/>
    <s v="Reached late and offloaded the next day"/>
    <d v="2025-03-05T09:44:00"/>
    <d v="2025-03-05T10:32:00"/>
    <n v="46.99999999931606"/>
    <x v="0"/>
    <n v="1.5368055555518367"/>
    <n v="2"/>
    <n v="0.46319444444816327"/>
    <n v="36.883333333244082"/>
    <n v="12"/>
    <n v="24.883333333244082"/>
    <n v="6.1728064300288388"/>
    <m/>
    <m/>
    <m/>
    <m/>
    <m/>
  </r>
  <r>
    <d v="2025-03-04T00:00:00"/>
    <x v="2"/>
    <s v="NBL"/>
    <s v="OMF5K3MRR"/>
    <s v="DJ"/>
    <s v="Kilabila Ismail"/>
    <s v="UBE 419T"/>
    <s v="Kobusinge Steven-Kamwenge"/>
    <n v="153.6"/>
    <s v="OMF5K3MRR"/>
    <s v="OM"/>
    <n v="288"/>
    <n v="290"/>
    <n v="2"/>
    <m/>
    <d v="2025-03-03T19:24:00"/>
    <d v="2025-03-04T03:17:00"/>
    <d v="2025-03-03T19:51:00"/>
    <n v="-443.9351851930648"/>
    <n v="26.87500000417155"/>
    <x v="0"/>
    <d v="2025-03-04T08:20:00"/>
    <d v="2025-03-04T12:09:00"/>
    <n v="224.22916666917445"/>
    <s v="Waited for empties from trade"/>
    <d v="2025-03-04T15:44:00"/>
    <d v="2025-03-04T16:32:00"/>
    <n v="46.99999999931606"/>
    <x v="0"/>
    <n v="0.82847222222335404"/>
    <n v="2"/>
    <n v="1.171527777776646"/>
    <n v="19.883333333360497"/>
    <n v="0"/>
    <n v="19.883333333360497"/>
    <n v="7.725062866711994"/>
    <m/>
    <m/>
    <m/>
    <m/>
    <m/>
  </r>
  <r>
    <d v="2025-03-05T00:00:00"/>
    <x v="2"/>
    <s v="KESH"/>
    <s v="Z82928"/>
    <s v="Manual"/>
    <m/>
    <s v="UBJ 421C"/>
    <s v="Kabaco U Ltd "/>
    <n v="156"/>
    <s v="Z82928"/>
    <s v="OM"/>
    <n v="320"/>
    <n v="319"/>
    <n v="-1"/>
    <m/>
    <d v="2025-03-02T22:09:00"/>
    <d v="2025-03-02T17:32:00"/>
    <d v="2025-03-02T22:36:00"/>
    <n v="302.59259258818929"/>
    <n v="26.87500000417155"/>
    <x v="0"/>
    <d v="2025-03-05T15:11:00"/>
    <d v="2025-03-05T17:54:00"/>
    <n v="159.60416666370293"/>
    <m/>
    <d v="2025-03-05T12:45:00"/>
    <d v="2025-03-05T13:27:00"/>
    <n v="41.12500000068394"/>
    <x v="0"/>
    <n v="2.5895833333343035"/>
    <n v="2"/>
    <n v="-0.58958333333430346"/>
    <n v="62.150000000023283"/>
    <n v="24"/>
    <n v="38.150000000023283"/>
    <n v="4.089121887284529"/>
    <m/>
    <m/>
    <m/>
    <m/>
    <m/>
  </r>
  <r>
    <d v="2025-03-05T00:00:00"/>
    <x v="2"/>
    <s v="KESH"/>
    <s v="A21222"/>
    <s v="Manual"/>
    <s v="Ngobi Fred"/>
    <s v="UBK 866R"/>
    <s v="KATO INVESTMENTS LTD-KATIKARA"/>
    <n v="6.3"/>
    <s v="A21222"/>
    <s v="OM"/>
    <n v="790"/>
    <n v="789"/>
    <n v="-1"/>
    <m/>
    <d v="2025-03-02T19:58:00"/>
    <d v="2025-03-02T17:52:00"/>
    <d v="2025-03-02T20:26:00"/>
    <n v="153.2870370465389"/>
    <n v="27.870370367357584"/>
    <x v="0"/>
    <d v="2025-03-05T18:44:00"/>
    <d v="2025-03-05T20:47:00"/>
    <n v="120.43750000273576"/>
    <m/>
    <d v="2025-03-03T12:45:00"/>
    <d v="2025-03-03T13:27:00"/>
    <n v="41.12500000068394"/>
    <x v="0"/>
    <n v="0.67986111110803904"/>
    <n v="3"/>
    <n v="2.320138888891961"/>
    <n v="16.316666666592937"/>
    <n v="0"/>
    <n v="16.316666666592937"/>
    <n v="0.38610827375046786"/>
    <m/>
    <m/>
    <m/>
    <m/>
    <m/>
  </r>
  <r>
    <d v="2025-03-05T00:00:00"/>
    <x v="2"/>
    <s v="KESH"/>
    <s v="Z82939"/>
    <s v="Manual"/>
    <s v="Kyakulaga James"/>
    <s v="UBJ 419C"/>
    <s v="Kobusinge Steven-Kamwenge"/>
    <n v="156"/>
    <s v="Z82939"/>
    <s v="OM"/>
    <n v="288"/>
    <n v="285"/>
    <n v="-3"/>
    <m/>
    <d v="2025-03-04T11:10:00"/>
    <d v="2025-03-04T01:59:00"/>
    <d v="2025-03-04T11:38:00"/>
    <n v="576.31944444583496"/>
    <n v="27.870370367357584"/>
    <x v="0"/>
    <d v="2025-03-05T11:39:00"/>
    <d v="2025-03-05T13:30:00"/>
    <n v="108.68749999521242"/>
    <m/>
    <d v="2025-03-05T12:32:00"/>
    <d v="2025-03-05T13:15:00"/>
    <n v="42.104166670542327"/>
    <x v="0"/>
    <n v="1.0374999999985448"/>
    <n v="2"/>
    <n v="0.96250000000145519"/>
    <n v="24.899999999965075"/>
    <n v="12"/>
    <n v="12.899999999965075"/>
    <n v="12.093023255846694"/>
    <m/>
    <m/>
    <m/>
    <m/>
    <m/>
  </r>
  <r>
    <d v="2025-03-05T00:00:00"/>
    <x v="2"/>
    <s v="KESH"/>
    <s v="A21223"/>
    <s v="Manual"/>
    <s v="kakembo Masudi"/>
    <s v="UBM 644D"/>
    <s v="Kato Investment Ltd -Mubende"/>
    <n v="156"/>
    <s v="A21223"/>
    <s v="OM"/>
    <n v="680"/>
    <n v="679"/>
    <n v="-1"/>
    <m/>
    <d v="2025-03-04T11:25:00"/>
    <d v="2025-03-04T02:22:00"/>
    <d v="2025-03-04T11:54:00"/>
    <n v="569.35185185138835"/>
    <n v="28.865740740972495"/>
    <x v="0"/>
    <d v="2025-03-06T20:49:00"/>
    <d v="2025-03-07T14:19:00"/>
    <n v="1028.1250000068394"/>
    <m/>
    <d v="2025-03-05T12:05:00"/>
    <d v="2025-03-05T12:46:00"/>
    <n v="40.145833330825553"/>
    <x v="0"/>
    <n v="1.007638888884685"/>
    <n v="3"/>
    <n v="1.992361111115315"/>
    <n v="24.18333333323244"/>
    <n v="12"/>
    <n v="12.18333333323244"/>
    <n v="12.804377565085517"/>
    <m/>
    <m/>
    <m/>
    <m/>
    <m/>
  </r>
  <r>
    <d v="2025-03-05T00:00:00"/>
    <x v="2"/>
    <s v="KESH"/>
    <s v="A21218"/>
    <s v="Manual"/>
    <m/>
    <s v="UBR 903Y"/>
    <s v="KATO INVESTMENTS LTD-KATIKARA"/>
    <n v="78"/>
    <s v="A21218"/>
    <s v="OM"/>
    <n v="790"/>
    <n v="791"/>
    <n v="1"/>
    <m/>
    <d v="2025-03-03T16:23:00"/>
    <d v="2025-03-03T11:00:00"/>
    <d v="2025-03-03T17:15:00"/>
    <n v="373.2638888854126"/>
    <n v="51.759259261113279"/>
    <x v="0"/>
    <d v="2025-03-06T09:16:00"/>
    <d v="2025-03-06T11:47:00"/>
    <n v="147.85416666643869"/>
    <m/>
    <d v="2025-03-04T12:05:00"/>
    <d v="2025-03-04T12:54:00"/>
    <n v="47.979166669174447"/>
    <x v="0"/>
    <n v="0.78472222221898846"/>
    <n v="3"/>
    <n v="2.2152777777810115"/>
    <n v="18.833333333255723"/>
    <n v="0"/>
    <n v="18.833333333255723"/>
    <n v="4.1415929203710498"/>
    <m/>
    <m/>
    <m/>
    <m/>
    <m/>
  </r>
  <r>
    <d v="2025-03-05T00:00:00"/>
    <x v="2"/>
    <s v="KESH"/>
    <s v="Z82938"/>
    <s v="Manual"/>
    <m/>
    <s v="UBR 864Y"/>
    <s v="Kobusinge Steven-FPortal"/>
    <n v="156"/>
    <s v="Z82938"/>
    <s v="OM"/>
    <n v="304"/>
    <n v="301"/>
    <n v="-3"/>
    <m/>
    <d v="2025-03-03T13:38:00"/>
    <d v="2025-03-03T13:00:00"/>
    <d v="2025-03-03T14:07:00"/>
    <n v="66.689814813192541"/>
    <n v="28.865740740972495"/>
    <x v="0"/>
    <d v="2025-03-05T15:46:00"/>
    <d v="2025-03-05T17:50:00"/>
    <n v="121.41666666233505"/>
    <m/>
    <d v="2025-03-06T07:26:00"/>
    <d v="2025-03-06T08:08:00"/>
    <n v="41.12500000068394"/>
    <x v="0"/>
    <n v="2.7215277777795563"/>
    <n v="2"/>
    <n v="-0.72152777777955635"/>
    <n v="65.316666666709352"/>
    <n v="24"/>
    <n v="41.316666666709352"/>
    <n v="3.7757160145180837"/>
    <m/>
    <m/>
    <m/>
    <m/>
    <m/>
  </r>
  <r>
    <d v="2025-03-05T00:00:00"/>
    <x v="2"/>
    <s v="KESH"/>
    <s v="A21220"/>
    <s v="Manual"/>
    <s v="Faruk Abel"/>
    <s v="UBR 539W"/>
    <s v="Kato Investment Ltd -Mityana"/>
    <n v="156"/>
    <s v="A21220"/>
    <s v="OM"/>
    <n v="690"/>
    <n v="689"/>
    <n v="-1"/>
    <m/>
    <d v="2025-03-03T13:34:00"/>
    <d v="2025-03-03T13:00:00"/>
    <d v="2025-03-03T13:56:00"/>
    <n v="55.740740745144045"/>
    <n v="21.89814814652588"/>
    <x v="0"/>
    <d v="2025-03-05T19:04:00"/>
    <d v="2025-03-06T09:26:00"/>
    <n v="844.04166666849051"/>
    <m/>
    <d v="2025-03-05T21:07:00"/>
    <d v="2025-03-05T21:50:00"/>
    <n v="42.104166670542327"/>
    <x v="0"/>
    <n v="2.2993055555562023"/>
    <n v="3"/>
    <n v="0.70069444444379769"/>
    <n v="55.183333333348855"/>
    <n v="24"/>
    <n v="31.183333333348855"/>
    <n v="5.0026723677153075"/>
    <m/>
    <m/>
    <m/>
    <m/>
    <m/>
  </r>
  <r>
    <d v="2025-03-05T00:00:00"/>
    <x v="2"/>
    <s v="KESH"/>
    <s v="A21219"/>
    <s v="Manual"/>
    <s v="Eriku Alipa"/>
    <s v="UBK 858R"/>
    <s v="Kato Investment Ltd -Kagadi"/>
    <n v="156"/>
    <s v="A21219"/>
    <s v="OM"/>
    <n v="670"/>
    <n v="675"/>
    <n v="5"/>
    <m/>
    <d v="2025-03-03T13:57:00"/>
    <d v="2025-03-03T14:52:00"/>
    <d v="2025-03-03T14:50:00"/>
    <n v="-1.9907407368009444"/>
    <n v="52.75462963472819"/>
    <x v="0"/>
    <d v="2025-03-06T12:20:00"/>
    <d v="2025-03-06T14:40:00"/>
    <n v="137.08333332877373"/>
    <m/>
    <d v="2025-03-05T12:06:00"/>
    <d v="2025-03-05T12:48:00"/>
    <n v="41.12500000068394"/>
    <x v="0"/>
    <n v="1.8861111111109494"/>
    <n v="2"/>
    <n v="0.11388888888905058"/>
    <n v="45.266666666662786"/>
    <n v="12"/>
    <n v="33.266666666662786"/>
    <n v="4.689378757515577"/>
    <m/>
    <m/>
    <m/>
    <m/>
    <m/>
  </r>
  <r>
    <d v="2025-03-05T00:00:00"/>
    <x v="2"/>
    <s v="KESH"/>
    <s v="F16037"/>
    <s v="Manual"/>
    <s v="Ikwalikwa Yusuf"/>
    <s v="UBP 311H"/>
    <s v="Boniface Harera"/>
    <n v="156"/>
    <s v="F16037"/>
    <s v="OM"/>
    <n v="448"/>
    <n v="446"/>
    <n v="-2"/>
    <m/>
    <d v="2025-03-04T23:09:00"/>
    <d v="2025-03-05T05:52:00"/>
    <d v="2025-03-04T23:38:00"/>
    <n v="-372.26851851179771"/>
    <n v="28.865740740972495"/>
    <x v="0"/>
    <d v="2025-03-05T13:04:00"/>
    <d v="2025-03-05T15:56:00"/>
    <n v="168.41666667191021"/>
    <m/>
    <d v="2025-03-05T20:09:00"/>
    <d v="2025-03-05T20:50:00"/>
    <n v="40.145833330825553"/>
    <x v="0"/>
    <n v="0.85486111111094942"/>
    <n v="2"/>
    <n v="1.1451388888890506"/>
    <n v="20.516666666662786"/>
    <n v="0"/>
    <n v="20.516666666662786"/>
    <n v="7.6035743298145979"/>
    <m/>
    <m/>
    <m/>
    <m/>
    <m/>
  </r>
  <r>
    <d v="2025-03-05T00:00:00"/>
    <x v="2"/>
    <s v="KESH"/>
    <s v="A21216"/>
    <s v="Manual"/>
    <s v="SENTONG DAVID"/>
    <s v="UBP 298H"/>
    <s v="Kato Investment Ltd -Kagadi"/>
    <n v="156"/>
    <s v="A21216"/>
    <s v="OM"/>
    <n v="670"/>
    <n v="669"/>
    <n v="-1"/>
    <m/>
    <d v="2025-03-04T19:45:00"/>
    <d v="2025-03-05T03:13:00"/>
    <d v="2025-03-04T20:14:00"/>
    <n v="-417.06018518889323"/>
    <n v="28.865740740972495"/>
    <x v="0"/>
    <d v="2025-03-06T12:01:00"/>
    <d v="2025-03-07T11:46:00"/>
    <n v="1395.3124999931606"/>
    <m/>
    <d v="2025-03-07T09:30:00"/>
    <d v="2025-03-07T10:13:00"/>
    <n v="42.104166670542327"/>
    <x v="0"/>
    <n v="2.5527777777824667"/>
    <n v="2"/>
    <n v="-0.55277777778246673"/>
    <n v="61.266666666779201"/>
    <n v="24"/>
    <n v="37.266666666779201"/>
    <n v="4.1860465116152659"/>
    <m/>
    <m/>
    <m/>
    <m/>
    <m/>
  </r>
  <r>
    <d v="2025-03-05T00:00:00"/>
    <x v="2"/>
    <s v="NBL"/>
    <s v="OMXD6KGRR"/>
    <s v="DJ"/>
    <s v="Mugisha  George"/>
    <s v="UAV 203T"/>
    <s v="Kabaco U Ltd "/>
    <n v="153.6"/>
    <s v="OMXD6KGRR"/>
    <s v="OM"/>
    <n v="320"/>
    <n v="319"/>
    <n v="-1"/>
    <m/>
    <d v="2025-03-05T18:14:00"/>
    <d v="2025-03-05T02:22:00"/>
    <d v="2025-03-05T18:43:00"/>
    <n v="976.45833333541907"/>
    <n v="28.865740740972495"/>
    <x v="0"/>
    <d v="2025-03-06T12:01:00"/>
    <d v="2025-03-07T11:46:00"/>
    <n v="1395.3124999931606"/>
    <s v="Waited for empties from trade"/>
    <d v="2025-03-08T12:05:00"/>
    <d v="2025-03-08T13:14:00"/>
    <n v="67.56250000478758"/>
    <x v="7"/>
    <n v="2.7236111111051287"/>
    <n v="2"/>
    <n v="-0.72361111110512866"/>
    <n v="65.366666666523088"/>
    <n v="24"/>
    <n v="41.366666666523088"/>
    <n v="3.7131345689089392"/>
    <m/>
    <m/>
    <m/>
    <m/>
    <m/>
  </r>
  <r>
    <d v="2025-03-05T00:00:00"/>
    <x v="2"/>
    <s v="NBL"/>
    <s v="OM7NW09RR"/>
    <s v="DJ"/>
    <s v="Abel Mark naffa"/>
    <s v="UBJ 415C"/>
    <s v="Kabaco U Ltd "/>
    <n v="153.6"/>
    <s v="OM7NW09RR"/>
    <s v="OM"/>
    <n v="320"/>
    <n v="319"/>
    <n v="-1"/>
    <m/>
    <d v="2025-03-05T11:26:00"/>
    <d v="2025-03-05T02:22:00"/>
    <d v="2025-03-05T11:56:00"/>
    <n v="571.34259258818929"/>
    <n v="29.861111114587402"/>
    <x v="0"/>
    <d v="2025-03-06T12:20:00"/>
    <d v="2025-03-06T14:40:00"/>
    <n v="137.08333332877373"/>
    <m/>
    <d v="2025-03-08T12:05:00"/>
    <d v="2025-03-08T13:02:00"/>
    <n v="55.81249999726424"/>
    <x v="0"/>
    <n v="3.0062499999985448"/>
    <n v="2"/>
    <n v="-1.0062499999985448"/>
    <n v="72.149999999965075"/>
    <n v="36"/>
    <n v="36.149999999965075"/>
    <n v="4.2489626556057649"/>
    <m/>
    <m/>
    <m/>
    <m/>
    <m/>
  </r>
  <r>
    <d v="2025-03-06T00:00:00"/>
    <x v="2"/>
    <s v="KESH"/>
    <s v="A21244"/>
    <s v="Manual"/>
    <s v="Sentongo paul"/>
    <s v="UBR 541W"/>
    <s v="KATO INVESTMENTS LTD-KATIKARA"/>
    <n v="78"/>
    <s v="A21244"/>
    <s v="OM"/>
    <n v="790"/>
    <n v="786"/>
    <n v="-4"/>
    <m/>
    <d v="2025-03-03T18:28:00"/>
    <d v="2025-03-04T02:22:00"/>
    <d v="2025-03-03T19:20:00"/>
    <n v="-420.04629629930906"/>
    <n v="51.759259261113279"/>
    <x v="0"/>
    <d v="2025-03-07T14:16:00"/>
    <d v="2025-03-07T16:04:00"/>
    <n v="105.74999999589636"/>
    <m/>
    <d v="2025-03-04T17:56:00"/>
    <d v="2025-03-04T18:37:00"/>
    <n v="40.145833330825553"/>
    <x v="0"/>
    <n v="0.94166666666569654"/>
    <n v="3"/>
    <n v="2.0583333333343035"/>
    <n v="22.599999999976717"/>
    <n v="0"/>
    <n v="22.599999999976717"/>
    <n v="3.4513274336318744"/>
    <m/>
    <m/>
    <m/>
    <m/>
    <m/>
  </r>
  <r>
    <d v="2025-03-06T00:00:00"/>
    <x v="2"/>
    <s v="KESH"/>
    <s v="A21241"/>
    <s v="Manual"/>
    <s v="kayanja Sam"/>
    <s v="UBF 379L"/>
    <s v="Kato Investment Ltd -Mityana"/>
    <n v="141.6"/>
    <s v="A21241"/>
    <s v="OM"/>
    <n v="690"/>
    <n v="687"/>
    <n v="-3"/>
    <m/>
    <d v="2025-03-06T20:23:00"/>
    <d v="2025-03-06T04:04:00"/>
    <d v="2025-03-06T20:51:00"/>
    <n v="1002.3379629659757"/>
    <n v="27.870370367357584"/>
    <x v="0"/>
    <d v="2025-03-07T11:48:00"/>
    <d v="2025-03-07T14:08:00"/>
    <n v="137.08333332877373"/>
    <m/>
    <d v="2025-03-08T10:56:00"/>
    <d v="2025-03-08T11:53:00"/>
    <n v="55.81249999726424"/>
    <x v="0"/>
    <n v="1.5868055555547471"/>
    <n v="3"/>
    <n v="1.4131944444452529"/>
    <n v="38.083333333313931"/>
    <n v="12"/>
    <n v="26.083333333313931"/>
    <n v="5.4287539936142615"/>
    <m/>
    <m/>
    <m/>
    <m/>
    <m/>
  </r>
  <r>
    <d v="2025-03-06T00:00:00"/>
    <x v="2"/>
    <s v="KESH"/>
    <s v="A21243"/>
    <s v="Manual"/>
    <s v="Taimwa Alex"/>
    <s v="UBJ 705D"/>
    <s v="Kato Investment Ltd -Mubende"/>
    <n v="78"/>
    <s v="A21243"/>
    <s v="OM"/>
    <n v="680"/>
    <n v="683"/>
    <n v="3"/>
    <m/>
    <d v="2025-03-03T18:09:00"/>
    <d v="2025-03-04T02:46:00"/>
    <d v="2025-03-03T18:37:00"/>
    <n v="-486.73611111250165"/>
    <n v="27.870370367357584"/>
    <x v="0"/>
    <d v="2025-03-06T11:37:00"/>
    <d v="2025-03-06T13:56:00"/>
    <n v="136.10416666917445"/>
    <m/>
    <d v="2025-03-05T08:50:00"/>
    <d v="2025-03-05T09:47:00"/>
    <n v="55.81249999726424"/>
    <x v="0"/>
    <n v="1.5923611111138598"/>
    <n v="3"/>
    <n v="1.4076388888861402"/>
    <n v="38.216666666732635"/>
    <n v="12"/>
    <n v="26.216666666732635"/>
    <n v="2.9752066115627613"/>
    <m/>
    <m/>
    <m/>
    <m/>
    <m/>
  </r>
  <r>
    <d v="2025-03-06T00:00:00"/>
    <x v="2"/>
    <s v="KESH"/>
    <s v="Z82949"/>
    <s v="Manual"/>
    <s v="Tsaale Hassan"/>
    <s v="UBJ 703D"/>
    <s v="Bates Enterprises U Ltd"/>
    <n v="156"/>
    <s v="Z82949"/>
    <s v="OM"/>
    <n v="464"/>
    <n v="462"/>
    <n v="-2"/>
    <m/>
    <d v="2025-03-03T18:20:00"/>
    <d v="2025-03-04T06:34:00"/>
    <d v="2025-03-03T18:47:00"/>
    <n v="-703.72685185138835"/>
    <n v="26.87500000417155"/>
    <x v="0"/>
    <d v="2025-03-06T08:47:00"/>
    <d v="2025-03-06T10:42:00"/>
    <n v="112.60416666438687"/>
    <m/>
    <d v="2025-03-06T09:24:00"/>
    <d v="2025-03-06T10:06:00"/>
    <n v="41.12500000068394"/>
    <x v="0"/>
    <n v="2.6090277777839219"/>
    <n v="3"/>
    <n v="0.39097222221607808"/>
    <n v="62.616666666814126"/>
    <n v="24"/>
    <n v="38.616666666814126"/>
    <n v="4.0397065170324806"/>
    <m/>
    <m/>
    <m/>
    <m/>
    <m/>
  </r>
  <r>
    <d v="2025-03-06T00:00:00"/>
    <x v="2"/>
    <s v="KESH"/>
    <s v="Z82951"/>
    <s v="Manual"/>
    <s v="Malinzi Awali"/>
    <s v="UBR 536W"/>
    <s v="Kobusinge Acaali- Kyenjojo"/>
    <n v="78"/>
    <s v="Z82951"/>
    <s v="OM"/>
    <n v="580"/>
    <n v="577"/>
    <n v="-3"/>
    <m/>
    <d v="2025-03-03T06:34:00"/>
    <d v="2025-03-03T19:50:00"/>
    <d v="2025-03-03T07:03:00"/>
    <n v="-763.44907408056315"/>
    <n v="28.865740740972495"/>
    <x v="0"/>
    <d v="2025-03-06T08:47:00"/>
    <d v="2025-03-06T12:57:00"/>
    <n v="244.79166666438687"/>
    <s v="Waited for empties from trade"/>
    <d v="2025-03-06T09:24:00"/>
    <d v="2025-03-06T10:20:00"/>
    <n v="54.833333337664953"/>
    <x v="0"/>
    <n v="3.0979166666729725"/>
    <n v="2"/>
    <n v="-1.0979166666729725"/>
    <n v="74.35000000015134"/>
    <n v="36"/>
    <n v="38.35000000015134"/>
    <n v="2.0338983050767196"/>
    <m/>
    <m/>
    <m/>
    <m/>
    <m/>
  </r>
  <r>
    <d v="2025-03-06T00:00:00"/>
    <x v="2"/>
    <s v="KESH"/>
    <s v="A21240"/>
    <s v="Manual"/>
    <s v="Byanshala Stoney"/>
    <s v="UBP 312H"/>
    <s v="Kato Investment Ltd -Kagadi"/>
    <n v="78"/>
    <s v="A21240"/>
    <s v="OM"/>
    <n v="670"/>
    <n v="671"/>
    <n v="1"/>
    <m/>
    <d v="2025-03-05T18:14:00"/>
    <d v="2025-03-05T02:22:00"/>
    <d v="2025-03-05T18:43:00"/>
    <n v="976.45833333541907"/>
    <n v="28.865740740972495"/>
    <x v="0"/>
    <d v="2025-03-05T16:44:00"/>
    <d v="2025-03-05T20:14:00"/>
    <n v="205.6249999931606"/>
    <s v="Not enough casuals to offload"/>
    <d v="2025-03-05T21:55:00"/>
    <d v="2025-03-05T22:36:00"/>
    <n v="40.145833330825553"/>
    <x v="0"/>
    <n v="0.13333333333139308"/>
    <n v="2"/>
    <n v="1.8666666666686069"/>
    <n v="3.1999999999534339"/>
    <n v="0"/>
    <n v="3.1999999999534339"/>
    <n v="24.375000000354703"/>
    <m/>
    <m/>
    <m/>
    <m/>
    <m/>
  </r>
  <r>
    <d v="2025-03-06T00:00:00"/>
    <x v="2"/>
    <s v="KESH"/>
    <s v="Z82950"/>
    <s v="Manual"/>
    <m/>
    <s v="UBR 533W"/>
    <s v="Bates Enterprises U Ltd"/>
    <n v="156"/>
    <s v="Z82950"/>
    <s v="OM"/>
    <n v="464"/>
    <n v="462"/>
    <n v="-2"/>
    <m/>
    <d v="2025-03-05T11:27:00"/>
    <d v="2025-03-05T02:22:00"/>
    <d v="2025-03-05T11:56:00"/>
    <n v="571.34259258818929"/>
    <n v="28.865740740972495"/>
    <x v="0"/>
    <d v="2025-03-05T16:21:00"/>
    <d v="2025-03-05T18:26:00"/>
    <n v="122.39583333219343"/>
    <m/>
    <d v="2025-03-07T18:31:00"/>
    <d v="2025-03-07T19:25:00"/>
    <n v="52.87499999794818"/>
    <x v="0"/>
    <n v="2.2743055555547471"/>
    <n v="3"/>
    <n v="0.72569444444525288"/>
    <n v="54.583333333313931"/>
    <n v="24"/>
    <n v="30.583333333313931"/>
    <n v="5.1008174386953344"/>
    <m/>
    <m/>
    <m/>
    <m/>
    <m/>
  </r>
  <r>
    <d v="2025-03-06T00:00:00"/>
    <x v="2"/>
    <s v="KESH"/>
    <s v="A21233"/>
    <s v="Manual"/>
    <s v="Bwanga Gilbert"/>
    <s v="UBK 862R"/>
    <s v="Sawan Distributors Ltd-Nabingo"/>
    <n v="156"/>
    <s v="A21233"/>
    <s v="OM"/>
    <n v="560"/>
    <n v="556"/>
    <n v="-4"/>
    <m/>
    <d v="2025-03-04T17:55:00"/>
    <d v="2025-03-04T18:00:00"/>
    <d v="2025-03-04T18:24:00"/>
    <n v="23.888888893755695"/>
    <n v="28.865740740972495"/>
    <x v="0"/>
    <d v="2025-03-06T11:55:00"/>
    <d v="2025-03-06T13:45:00"/>
    <n v="107.70833332535403"/>
    <m/>
    <d v="2025-03-06T12:14:00"/>
    <d v="2025-03-06T13:36:00"/>
    <n v="80.291666661651107"/>
    <x v="10"/>
    <n v="1.7430555555547471"/>
    <n v="2"/>
    <n v="0.25694444444525288"/>
    <n v="41.833333333313931"/>
    <n v="12"/>
    <n v="29.833333333313931"/>
    <n v="5.22905027933301"/>
    <m/>
    <m/>
    <m/>
    <m/>
    <m/>
  </r>
  <r>
    <d v="2025-03-06T00:00:00"/>
    <x v="2"/>
    <s v="KESH"/>
    <s v="A21236"/>
    <s v="Manual"/>
    <s v="Lule Fred"/>
    <s v="UBP 310H"/>
    <s v="Kato Investment Ltd -Mityana"/>
    <n v="156"/>
    <s v="A21236"/>
    <s v="OM"/>
    <n v="690"/>
    <n v="688"/>
    <n v="-2"/>
    <m/>
    <d v="2025-03-04T19:14:00"/>
    <d v="2025-03-04T19:46:00"/>
    <d v="2025-03-04T19:43:00"/>
    <n v="-2.9861111104158531"/>
    <n v="28.865740740972495"/>
    <x v="0"/>
    <d v="2025-03-05T21:03:00"/>
    <d v="2025-03-06T11:25:00"/>
    <n v="844.04166666849051"/>
    <s v="slept at the RD and offloaded the next day"/>
    <d v="2025-03-06T15:00:00"/>
    <d v="2025-03-06T15:59:00"/>
    <n v="57.770833336981013"/>
    <x v="0"/>
    <n v="1.8034722222218988"/>
    <n v="3"/>
    <n v="1.1965277777781012"/>
    <n v="43.283333333325572"/>
    <n v="12"/>
    <n v="31.283333333325572"/>
    <n v="4.9866808737359198"/>
    <m/>
    <m/>
    <m/>
    <m/>
    <m/>
  </r>
  <r>
    <d v="2025-03-06T00:00:00"/>
    <x v="2"/>
    <s v="KESH"/>
    <s v="A21234"/>
    <s v="Manual"/>
    <s v="Kyapa Hakim"/>
    <s v="UBR 535W"/>
    <s v="Kato Investment Ltd -Kagadi"/>
    <n v="156"/>
    <s v="A21234"/>
    <s v="OM"/>
    <n v="670"/>
    <n v="666"/>
    <n v="-4"/>
    <m/>
    <d v="2025-03-04T23:11:00"/>
    <d v="2025-03-05T05:52:00"/>
    <d v="2025-03-04T23:38:00"/>
    <n v="-372.26851851179771"/>
    <n v="26.87500000417155"/>
    <x v="0"/>
    <d v="2025-03-06T16:29:00"/>
    <d v="2025-03-07T10:37:00"/>
    <n v="1065.3333333383489"/>
    <s v="Waited for empties from trade"/>
    <d v="2025-03-07T16:17:00"/>
    <d v="2025-03-07T17:32:00"/>
    <n v="73.4375000034197"/>
    <x v="8"/>
    <n v="2.6937499999985448"/>
    <n v="2"/>
    <n v="-0.69374999999854481"/>
    <n v="64.649999999965075"/>
    <n v="24"/>
    <n v="40.649999999965075"/>
    <n v="3.8376383763870612"/>
    <m/>
    <m/>
    <m/>
    <m/>
    <m/>
  </r>
  <r>
    <d v="2025-03-06T00:00:00"/>
    <x v="2"/>
    <s v="KESH"/>
    <s v="Z82952"/>
    <s v="Manual"/>
    <m/>
    <s v="UBR 534W"/>
    <s v="Kobusinge Steven-FPortal"/>
    <n v="5.5439999999999996"/>
    <s v="Z82952"/>
    <s v="OM"/>
    <n v="304"/>
    <n v="307"/>
    <n v="3"/>
    <m/>
    <d v="2025-03-04T20:22:00"/>
    <d v="2025-03-05T04:14:00"/>
    <d v="2025-03-04T20:50:00"/>
    <n v="-441.94444444583496"/>
    <n v="27.870370367357584"/>
    <x v="0"/>
    <d v="2025-03-07T09:31:00"/>
    <d v="2025-03-07T13:59:00"/>
    <n v="262.41666667054233"/>
    <s v="Waited for empties from trade"/>
    <d v="2025-03-07T15:00:00"/>
    <d v="2025-03-07T15:42:00"/>
    <n v="41.12500000068394"/>
    <x v="0"/>
    <n v="2.7569444444452529"/>
    <n v="2"/>
    <n v="-0.75694444444525288"/>
    <n v="66.166666666686069"/>
    <n v="24"/>
    <n v="42.166666666686069"/>
    <n v="0.1314782608695047"/>
    <m/>
    <m/>
    <m/>
    <m/>
    <m/>
  </r>
  <r>
    <d v="2025-03-06T00:00:00"/>
    <x v="2"/>
    <s v="NBL"/>
    <s v="OMM9KJSRR"/>
    <s v="DJ"/>
    <s v="Stephen Musoke "/>
    <s v="UBJ 375N"/>
    <s v="RUGOMA TRADERS CO. LTD NTUNGAM "/>
    <n v="153.6"/>
    <s v="OMM9KJSRR"/>
    <s v="OM"/>
    <n v="150"/>
    <n v="152"/>
    <n v="2"/>
    <m/>
    <d v="2025-03-06T17:56:00"/>
    <d v="2025-03-06T06:15:00"/>
    <d v="2025-03-06T18:24:00"/>
    <n v="725.62500000834314"/>
    <n v="27.870370367357584"/>
    <x v="0"/>
    <d v="2025-03-07T09:31:00"/>
    <d v="2025-03-07T13:59:00"/>
    <n v="262.41666667054233"/>
    <s v="Reached late and offloaded the next day"/>
    <d v="2025-03-07T16:17:00"/>
    <d v="2025-03-07T17:00:00"/>
    <n v="42.104166670542327"/>
    <x v="0"/>
    <n v="0.91180555555183673"/>
    <n v="1"/>
    <n v="8.8194444448163267E-2"/>
    <n v="21.883333333244082"/>
    <n v="0"/>
    <n v="21.883333333244082"/>
    <n v="7.0190403656036464"/>
    <m/>
    <m/>
    <m/>
    <m/>
    <m/>
  </r>
  <r>
    <d v="2025-03-06T00:00:00"/>
    <x v="2"/>
    <s v="NBL"/>
    <s v="OMJM25LRR"/>
    <s v="DJ"/>
    <s v="Jacob Oneka"/>
    <s v="UBE 422T"/>
    <s v="Kabaco U Ltd "/>
    <n v="153.6"/>
    <s v="OMJM25LRR"/>
    <s v="OM"/>
    <n v="320"/>
    <n v="322"/>
    <n v="2"/>
    <m/>
    <d v="2025-03-06T10:09:00"/>
    <d v="2025-03-06T02:22:00"/>
    <d v="2025-03-06T11:02:00"/>
    <n v="517.5925925902751"/>
    <n v="52.75462963472819"/>
    <x v="0"/>
    <d v="2025-03-07T08:11:00"/>
    <d v="2025-03-07T13:06:00"/>
    <n v="288.85416666438687"/>
    <s v="Waited for empties from trade"/>
    <d v="2025-03-08T09:16:00"/>
    <d v="2025-03-08T10:15:00"/>
    <n v="57.770833336981013"/>
    <x v="0"/>
    <n v="1.9263888888890506"/>
    <n v="2"/>
    <n v="7.3611111110949423E-2"/>
    <n v="46.233333333337214"/>
    <n v="12"/>
    <n v="34.233333333337214"/>
    <n v="4.4868549172341554"/>
    <m/>
    <m/>
    <m/>
    <m/>
    <m/>
  </r>
  <r>
    <d v="2025-03-06T00:00:00"/>
    <x v="2"/>
    <s v="NBL"/>
    <s v="OMB1R5JRR"/>
    <s v="DJ"/>
    <s v="Isaac Tumuhimbise"/>
    <s v="UBE 287X"/>
    <s v="RUGOMA TRADERS CO. LTD NTUNGAM "/>
    <n v="153.6"/>
    <s v="OMB1R5JRR"/>
    <s v="OM"/>
    <n v="150"/>
    <n v="152"/>
    <n v="2"/>
    <m/>
    <d v="2025-03-06T13:09:00"/>
    <d v="2025-03-06T06:15:00"/>
    <d v="2025-03-06T13:35:00"/>
    <n v="437.96296296180418"/>
    <n v="25.879629630556639"/>
    <x v="0"/>
    <d v="2025-03-07T11:50:00"/>
    <d v="2025-03-07T14:25:00"/>
    <n v="151.77083333561313"/>
    <m/>
    <d v="2025-03-07T15:00:00"/>
    <d v="2025-03-07T15:57:00"/>
    <n v="55.81249999726424"/>
    <x v="0"/>
    <n v="1.0590277777810115"/>
    <n v="1"/>
    <n v="-5.9027777781011537E-2"/>
    <n v="25.416666666744277"/>
    <n v="12"/>
    <n v="13.416666666744277"/>
    <n v="11.448447204902719"/>
    <m/>
    <m/>
    <m/>
    <m/>
    <m/>
  </r>
  <r>
    <d v="2025-03-06T00:00:00"/>
    <x v="2"/>
    <s v="NBL"/>
    <s v="OMXJO6NRR"/>
    <s v="DJ"/>
    <s v="Kabene John"/>
    <s v="UBA 523T"/>
    <s v="Kabaco U Ltd "/>
    <n v="153.6"/>
    <s v="OMXJO6NRR"/>
    <s v="OM"/>
    <n v="320"/>
    <n v="322"/>
    <n v="2"/>
    <m/>
    <d v="2025-03-06T08:18:00"/>
    <d v="2025-03-06T02:22:00"/>
    <d v="2025-03-06T08:46:00"/>
    <n v="382.22222221666016"/>
    <n v="27.870370367357584"/>
    <x v="0"/>
    <d v="2025-03-07T14:10:00"/>
    <d v="2025-03-07T17:54:00"/>
    <n v="219.33333333014161"/>
    <s v="Reached late and offloaded the next day"/>
    <d v="2025-03-08T10:43:00"/>
    <d v="2025-03-08T11:26:00"/>
    <n v="42.104166670542327"/>
    <x v="0"/>
    <n v="2.0812500000029104"/>
    <n v="2"/>
    <n v="-8.1250000002910383E-2"/>
    <n v="49.950000000069849"/>
    <n v="24"/>
    <n v="25.950000000069849"/>
    <n v="5.9190751444927381"/>
    <m/>
    <m/>
    <m/>
    <m/>
    <m/>
  </r>
  <r>
    <d v="2025-03-06T00:00:00"/>
    <x v="2"/>
    <s v="KESH"/>
    <s v="OMFLUW9RR"/>
    <s v="DJ"/>
    <s v="SENTONG DAVID"/>
    <s v="UBP 298H"/>
    <s v="Kato Investment Ltd -Kagadi"/>
    <n v="156"/>
    <s v="OMFLUW9RR"/>
    <s v="OM"/>
    <n v="670"/>
    <n v="672"/>
    <n v="2"/>
    <m/>
    <d v="2025-03-05T21:59:00"/>
    <d v="2025-03-05T22:30:00"/>
    <d v="2025-03-05T22:27:00"/>
    <n v="-2.9861111104158531"/>
    <n v="27.870370367357584"/>
    <x v="0"/>
    <d v="2025-03-06T16:29:00"/>
    <d v="2025-03-07T10:37:00"/>
    <n v="1065.3333333383489"/>
    <s v="truck faulty"/>
    <d v="2025-03-07T20:48:00"/>
    <d v="2025-03-07T21:36:00"/>
    <n v="46.99999999931606"/>
    <x v="0"/>
    <n v="1.9312500000014552"/>
    <n v="2"/>
    <n v="6.8749999998544808E-2"/>
    <n v="46.350000000034925"/>
    <n v="12"/>
    <n v="34.350000000034925"/>
    <n v="4.5414847161525875"/>
    <m/>
    <m/>
    <m/>
    <m/>
    <m/>
  </r>
  <r>
    <d v="2025-03-06T00:00:00"/>
    <x v="2"/>
    <s v="NBL"/>
    <s v="OM6CFFURR"/>
    <s v="DJ"/>
    <s v="James  Kironde"/>
    <s v="UBK 881R"/>
    <s v="Kabaco U Ltd-Mbarara "/>
    <n v="153.6"/>
    <s v="OM6CFFURR"/>
    <s v="OM"/>
    <n v="20"/>
    <n v="17"/>
    <n v="-3"/>
    <m/>
    <d v="2025-03-05T20:09:00"/>
    <d v="2025-03-06T07:42:00"/>
    <d v="2025-03-05T20:38:00"/>
    <n v="-660.92592592152266"/>
    <n v="28.865740740972495"/>
    <x v="0"/>
    <d v="2025-03-05T21:03:00"/>
    <d v="2025-03-06T11:25:00"/>
    <n v="844.04166666849051"/>
    <s v="Waited for empties from trade"/>
    <d v="2025-03-06T12:14:00"/>
    <d v="2025-03-06T13:12:00"/>
    <n v="56.791666667122627"/>
    <x v="0"/>
    <n v="0.65000000000145519"/>
    <n v="3"/>
    <n v="2.3499999999985448"/>
    <n v="15.600000000034925"/>
    <n v="0"/>
    <n v="15.600000000034925"/>
    <n v="9.8461538461318021"/>
    <m/>
    <m/>
    <m/>
    <m/>
    <m/>
  </r>
  <r>
    <d v="2025-03-07T00:00:00"/>
    <x v="2"/>
    <s v="KESH"/>
    <s v="A21262"/>
    <s v="Manual"/>
    <s v="ZIWA ABASI"/>
    <s v="UBJ 420C"/>
    <s v="KATO INVESTMENTS LTD-KATIKARA"/>
    <n v="78"/>
    <s v="A21262"/>
    <s v="OM"/>
    <n v="790"/>
    <n v="786"/>
    <n v="-4"/>
    <m/>
    <d v="2025-03-04T18:32:00"/>
    <d v="2025-03-05T03:13:00"/>
    <d v="2025-03-04T19:01:00"/>
    <n v="-489.72222222291748"/>
    <n v="28.865740740972495"/>
    <x v="0"/>
    <d v="2025-03-08T18:43:00"/>
    <d v="2025-03-08T20:55:00"/>
    <n v="129.25000000068394"/>
    <m/>
    <d v="2025-03-05T18:06:00"/>
    <d v="2025-03-05T18:49:00"/>
    <n v="42.104166670542327"/>
    <x v="0"/>
    <n v="0.96180555555474712"/>
    <n v="3"/>
    <n v="2.0381944444452529"/>
    <n v="23.083333333313931"/>
    <n v="0"/>
    <n v="23.083333333313931"/>
    <n v="3.3790613718439957"/>
    <m/>
    <m/>
    <m/>
    <m/>
    <m/>
  </r>
  <r>
    <d v="2025-03-07T00:00:00"/>
    <x v="2"/>
    <s v="KESH"/>
    <s v="A21267"/>
    <s v="Manual"/>
    <s v="Nminya Siraje"/>
    <s v="UBP 301H"/>
    <s v="Kato Investments Ltd-Bulenga"/>
    <n v="156"/>
    <s v="A21267"/>
    <s v="OM"/>
    <n v="560"/>
    <n v="559"/>
    <n v="-1"/>
    <m/>
    <d v="2025-03-04T19:58:00"/>
    <d v="2025-03-05T05:46:00"/>
    <d v="2025-03-04T20:20:00"/>
    <n v="-563.37962963055668"/>
    <n v="21.89814814652588"/>
    <x v="0"/>
    <d v="2025-03-08T07:51:00"/>
    <d v="2025-03-08T09:49:00"/>
    <n v="115.54166667396203"/>
    <m/>
    <d v="2025-03-05T13:08:00"/>
    <d v="2025-03-05T14:05:00"/>
    <n v="55.81249999726424"/>
    <x v="0"/>
    <n v="0.70000000000436557"/>
    <n v="3"/>
    <n v="2.2999999999956344"/>
    <n v="16.800000000104774"/>
    <n v="0"/>
    <n v="16.800000000104774"/>
    <n v="9.2857142856563755"/>
    <m/>
    <m/>
    <m/>
    <m/>
    <m/>
  </r>
  <r>
    <d v="2025-03-07T00:00:00"/>
    <x v="2"/>
    <s v="KESH"/>
    <s v="A21257"/>
    <s v="Manual"/>
    <m/>
    <s v="UBR 864Y"/>
    <s v="Kato Investment Ltd -Mityana"/>
    <n v="156"/>
    <s v="A21257"/>
    <s v="OM"/>
    <n v="690"/>
    <n v="687"/>
    <n v="-3"/>
    <m/>
    <d v="2025-03-04T19:26:00"/>
    <d v="2025-03-05T05:52:00"/>
    <d v="2025-03-04T19:53:00"/>
    <n v="-596.22685184513102"/>
    <n v="26.87500000417155"/>
    <x v="0"/>
    <d v="2025-03-07T07:06:00"/>
    <d v="2025-03-07T16:03:00"/>
    <n v="525.81250000068394"/>
    <s v="Waited for empties from trade"/>
    <d v="2025-03-06T13:08:00"/>
    <d v="2025-03-06T14:05:00"/>
    <n v="55.81249999726424"/>
    <x v="0"/>
    <n v="1.71875"/>
    <n v="3"/>
    <n v="1.28125"/>
    <n v="41.25"/>
    <n v="12"/>
    <n v="29.25"/>
    <n v="5.333333333333333"/>
    <m/>
    <m/>
    <m/>
    <m/>
    <m/>
  </r>
  <r>
    <d v="2025-03-07T00:00:00"/>
    <x v="2"/>
    <s v="KESH"/>
    <s v="Z82960"/>
    <s v="Manual"/>
    <m/>
    <s v="UBR 537W"/>
    <s v="Kabaco U Ltd "/>
    <n v="112.2"/>
    <s v="Z82960"/>
    <s v="OM"/>
    <n v="320"/>
    <n v="317"/>
    <n v="-3"/>
    <m/>
    <d v="2025-03-06T19:22:00"/>
    <d v="2025-03-06T02:22:00"/>
    <d v="2025-03-06T19:49:00"/>
    <n v="1042.1527777749968"/>
    <n v="26.87500000417155"/>
    <x v="0"/>
    <d v="2025-03-06T18:20:00"/>
    <d v="2025-03-07T12:03:00"/>
    <n v="1040.8541666637029"/>
    <s v="less casuals and offloaded the next day"/>
    <d v="2025-03-09T10:35:00"/>
    <d v="2025-03-09T11:18:00"/>
    <n v="42.104166670542327"/>
    <x v="0"/>
    <n v="2.6152777777751908"/>
    <n v="2"/>
    <n v="-0.61527777777519077"/>
    <n v="62.766666666604578"/>
    <n v="24"/>
    <n v="38.766666666604578"/>
    <n v="2.8942390369779805"/>
    <m/>
    <m/>
    <m/>
    <m/>
    <m/>
  </r>
  <r>
    <d v="2025-03-07T00:00:00"/>
    <x v="2"/>
    <s v="KESH"/>
    <s v="Z82961"/>
    <s v="Manual"/>
    <s v="Nakalya John"/>
    <s v="UBM 648D"/>
    <s v="Kobusinge Steven-FPortal"/>
    <n v="6.3"/>
    <s v="Z82961"/>
    <s v="OM"/>
    <n v="304"/>
    <n v="305"/>
    <n v="1"/>
    <m/>
    <d v="2025-03-06T17:54:00"/>
    <d v="2025-03-06T06:15:00"/>
    <d v="2025-03-06T18:24:00"/>
    <n v="725.62500000834314"/>
    <n v="29.861111114587402"/>
    <x v="0"/>
    <d v="2025-03-07T10:22:00"/>
    <d v="2025-03-07T11:50:00"/>
    <n v="86.166666670542327"/>
    <m/>
    <d v="2025-03-09T10:35:00"/>
    <d v="2025-03-09T11:33:00"/>
    <n v="56.791666667122627"/>
    <x v="0"/>
    <n v="2.6743055555489263"/>
    <n v="2"/>
    <n v="-0.67430555554892635"/>
    <n v="64.183333333174232"/>
    <n v="24"/>
    <n v="40.183333333174232"/>
    <n v="0.15678141849916907"/>
    <m/>
    <m/>
    <m/>
    <m/>
    <m/>
  </r>
  <r>
    <d v="2025-03-07T00:00:00"/>
    <x v="2"/>
    <s v="KESH"/>
    <s v="A21259"/>
    <s v="Manual"/>
    <s v="Matovu Musa"/>
    <s v="UBR 538W"/>
    <s v="Kato Investments Ltd- Kyegegwa"/>
    <n v="78"/>
    <s v="A21259"/>
    <s v="OM"/>
    <n v="600"/>
    <n v="597"/>
    <n v="-3"/>
    <m/>
    <d v="2025-03-06T13:08:00"/>
    <d v="2025-03-06T06:15:00"/>
    <d v="2025-03-06T13:35:00"/>
    <n v="437.96296296180418"/>
    <n v="26.87500000417155"/>
    <x v="0"/>
    <d v="2025-03-07T17:45:00"/>
    <d v="2025-03-07T21:02:00"/>
    <n v="192.89583332603797"/>
    <s v="Dj failure at customer"/>
    <d v="2025-03-08T09:03:00"/>
    <d v="2025-03-08T09:51:00"/>
    <n v="46.99999999931606"/>
    <x v="0"/>
    <n v="1.8111111111138598"/>
    <n v="2"/>
    <n v="0.18888888888614019"/>
    <n v="43.466666666732635"/>
    <n v="12"/>
    <n v="31.466666666732635"/>
    <n v="2.478813559316837"/>
    <m/>
    <m/>
    <m/>
    <m/>
    <m/>
  </r>
  <r>
    <d v="2025-03-07T00:00:00"/>
    <x v="2"/>
    <s v="KESH"/>
    <s v="A21258"/>
    <s v="Manual"/>
    <m/>
    <s v="UBJ 421C"/>
    <s v="Kato Investment Ltd -Mityana"/>
    <n v="156"/>
    <s v="A21258"/>
    <s v="OM"/>
    <n v="690"/>
    <n v="688"/>
    <n v="-2"/>
    <m/>
    <d v="2025-03-05T12:58:00"/>
    <d v="2025-03-05T12:26:00"/>
    <d v="2025-03-05T13:24:00"/>
    <n v="57.731481481944989"/>
    <n v="25.879629630556639"/>
    <x v="0"/>
    <d v="2025-03-07T19:54:00"/>
    <d v="2025-03-08T14:32:00"/>
    <n v="1094.7083333315095"/>
    <s v="Waited for empties from trade"/>
    <d v="2025-03-07T18:06:00"/>
    <d v="2025-03-07T18:56:00"/>
    <n v="48.958333328773733"/>
    <x v="0"/>
    <n v="2.1958333333313931"/>
    <n v="3"/>
    <n v="0.80416666666860692"/>
    <n v="52.699999999953434"/>
    <n v="24"/>
    <n v="28.699999999953434"/>
    <n v="5.4355400696952305"/>
    <m/>
    <m/>
    <m/>
    <m/>
    <m/>
  </r>
  <r>
    <d v="2025-03-07T00:00:00"/>
    <x v="2"/>
    <s v="KESH"/>
    <s v="A21261"/>
    <s v="Manual"/>
    <s v="Ntumwa Solomon"/>
    <s v="UBR 540W"/>
    <s v="Kato Investment Ltd -Kagadi"/>
    <n v="156"/>
    <s v="A21261"/>
    <s v="OM"/>
    <n v="670"/>
    <n v="667"/>
    <n v="-3"/>
    <m/>
    <d v="2025-03-05T21:59:00"/>
    <d v="2025-03-05T22:30:00"/>
    <d v="2025-03-05T22:27:00"/>
    <n v="-2.9861111104158531"/>
    <n v="27.870370367357584"/>
    <x v="0"/>
    <d v="2025-03-07T09:23:00"/>
    <d v="2025-03-07T15:06:00"/>
    <n v="335.85416666370293"/>
    <s v="Waited for empties from trade"/>
    <d v="2025-03-07T17:32:00"/>
    <d v="2025-03-07T18:15:00"/>
    <n v="42.104166670542327"/>
    <x v="0"/>
    <n v="1.7951388888905058"/>
    <n v="2"/>
    <n v="0.20486111110949423"/>
    <n v="43.083333333372138"/>
    <n v="12"/>
    <n v="31.083333333372138"/>
    <n v="5.0187667560259062"/>
    <m/>
    <m/>
    <m/>
    <m/>
    <m/>
  </r>
  <r>
    <d v="2025-03-07T00:00:00"/>
    <x v="2"/>
    <s v="NBL"/>
    <s v="OMHTHKORR"/>
    <s v="DJ"/>
    <s v="Isaac Tumuhimbise"/>
    <s v="UBE 287X"/>
    <s v="Kabaco U Ltd "/>
    <n v="153.6"/>
    <s v="OMJNRQ6RR"/>
    <s v="OM"/>
    <n v="320"/>
    <n v="317"/>
    <n v="-3"/>
    <m/>
    <d v="2025-03-07T18:25:00"/>
    <d v="2025-03-07T02:22:00"/>
    <d v="2025-03-07T18:53:00"/>
    <n v="986.41203704028158"/>
    <n v="27.870370367357584"/>
    <x v="0"/>
    <d v="2025-03-08T11:26:00"/>
    <d v="2025-03-08T16:01:00"/>
    <n v="269.27083332877373"/>
    <s v="Waited for empties from trade"/>
    <d v="2025-03-10T10:02:00"/>
    <d v="2025-03-10T10:45:00"/>
    <n v="42.104166670542327"/>
    <x v="0"/>
    <n v="2.6312499999985448"/>
    <n v="2"/>
    <n v="-0.63124999999854481"/>
    <n v="63.149999999965075"/>
    <n v="24"/>
    <n v="39.149999999965075"/>
    <n v="3.9233716475130782"/>
    <m/>
    <m/>
    <m/>
    <m/>
    <m/>
  </r>
  <r>
    <d v="2025-03-07T00:00:00"/>
    <x v="2"/>
    <s v="NBL"/>
    <s v="OM2VQCMRR"/>
    <s v="DJ"/>
    <s v="Abel Mark naffa"/>
    <s v="UBJ 415C"/>
    <s v="Kabaco U Ltd-Mbarara "/>
    <n v="153.6"/>
    <s v="OM14WBURR"/>
    <s v="OM"/>
    <n v="20"/>
    <n v="17"/>
    <n v="-3"/>
    <m/>
    <d v="2025-03-07T16:34:00"/>
    <d v="2025-03-07T07:42:00"/>
    <d v="2025-03-07T17:02:00"/>
    <n v="557.4074074097249"/>
    <n v="27.870370367357584"/>
    <x v="0"/>
    <d v="2025-03-07T17:45:00"/>
    <d v="2025-03-07T21:02:00"/>
    <n v="192.89583332603797"/>
    <s v="found another truck at the RD"/>
    <d v="2025-03-09T09:03:00"/>
    <d v="2025-03-09T09:45:00"/>
    <n v="41.12500000068394"/>
    <x v="0"/>
    <n v="1.6673611111109494"/>
    <n v="2"/>
    <n v="0.33263888888905058"/>
    <n v="40.016666666662786"/>
    <n v="12"/>
    <n v="28.016666666662786"/>
    <n v="5.4824509220709556"/>
    <m/>
    <m/>
    <m/>
    <m/>
    <m/>
  </r>
  <r>
    <d v="2025-03-07T00:00:00"/>
    <x v="2"/>
    <s v="NBL"/>
    <s v="OMIE8WWRR"/>
    <s v="DJ"/>
    <s v="Tumusiime Robert"/>
    <s v="UBJ 988D"/>
    <s v="Sawan Distributors Ltd-Kayabwe"/>
    <n v="153.6"/>
    <s v="OMZZIPQRR"/>
    <s v="OM"/>
    <n v="382"/>
    <n v="379"/>
    <n v="-3"/>
    <m/>
    <d v="2025-03-07T09:56:00"/>
    <d v="2025-03-07T04:19:00"/>
    <d v="2025-03-07T10:48:00"/>
    <n v="387.19907407430583"/>
    <n v="51.759259261113279"/>
    <x v="0"/>
    <d v="2025-03-07T18:46:00"/>
    <d v="2025-03-08T12:16:00"/>
    <n v="1028.1249999965803"/>
    <s v="Waited for empties from trade"/>
    <d v="2025-03-09T18:45:00"/>
    <d v="2025-03-09T19:41:00"/>
    <n v="54.833333337664953"/>
    <x v="0"/>
    <n v="2.3312500000029104"/>
    <n v="2"/>
    <n v="-0.33125000000291038"/>
    <n v="55.950000000069849"/>
    <n v="24"/>
    <n v="31.950000000069849"/>
    <n v="4.8075117370786913"/>
    <m/>
    <m/>
    <m/>
    <m/>
    <m/>
  </r>
  <r>
    <d v="2025-03-07T00:00:00"/>
    <x v="2"/>
    <s v="NBL"/>
    <s v="OM3KEC6RR"/>
    <s v="DJ"/>
    <s v="Luyaga Isaac"/>
    <s v="UAY 265V"/>
    <s v="RUGOMA TRADERS CO. LTD NTUNGAM "/>
    <n v="153.6"/>
    <s v="OMKY5Y8RR"/>
    <s v="OM"/>
    <n v="150"/>
    <n v="148"/>
    <n v="-2"/>
    <m/>
    <d v="2025-03-07T11:41:00"/>
    <d v="2025-03-07T06:15:00"/>
    <d v="2025-03-07T12:09:00"/>
    <n v="352.36111111250165"/>
    <n v="27.870370367357584"/>
    <x v="0"/>
    <d v="2025-03-07T18:27:00"/>
    <d v="2025-03-07T20:37:00"/>
    <n v="127.29166666096717"/>
    <m/>
    <d v="2025-03-09T09:59:00"/>
    <d v="2025-03-09T10:55:00"/>
    <n v="54.833333337664953"/>
    <x v="0"/>
    <n v="1.9097222222262644"/>
    <n v="1"/>
    <n v="-0.90972222222626442"/>
    <n v="45.833333333430346"/>
    <n v="12"/>
    <n v="33.833333333430346"/>
    <n v="4.5399014778194946"/>
    <m/>
    <m/>
    <m/>
    <m/>
    <m/>
  </r>
  <r>
    <d v="2025-03-07T00:00:00"/>
    <x v="2"/>
    <s v="NBL"/>
    <s v="OM7NTMURR"/>
    <s v="DJ"/>
    <s v="Kilabila Ismail"/>
    <s v="UBE 419T"/>
    <s v="Ntale and Sons"/>
    <n v="153.6"/>
    <s v="OM2U5PIRR"/>
    <s v="OM"/>
    <n v="810"/>
    <n v="809"/>
    <n v="-1"/>
    <m/>
    <d v="2025-03-06T20:50:00"/>
    <d v="2025-03-06T21:30:00"/>
    <d v="2025-03-06T21:42:00"/>
    <n v="11.944444441663412"/>
    <n v="51.759259261113279"/>
    <x v="0"/>
    <d v="2025-03-07T19:54:00"/>
    <d v="2025-03-08T14:32:00"/>
    <n v="1094.7083333315095"/>
    <s v="Reached late and offloaded the next day"/>
    <d v="2025-03-08T18:06:00"/>
    <d v="2025-03-08T18:49:00"/>
    <n v="42.104166670542327"/>
    <x v="0"/>
    <n v="1.8499999999985448"/>
    <n v="3"/>
    <n v="1.1500000000014552"/>
    <n v="44.399999999965075"/>
    <n v="12"/>
    <n v="32.399999999965075"/>
    <n v="4.7407407407458511"/>
    <m/>
    <m/>
    <m/>
    <m/>
    <m/>
  </r>
  <r>
    <d v="2025-03-07T00:00:00"/>
    <x v="2"/>
    <s v="NBL"/>
    <s v="OMJNRQ6RR"/>
    <s v="DJ"/>
    <s v="James  Kironde"/>
    <s v="UBK 881R"/>
    <s v="KATO INVESTMENTS LIMITED-MASAK "/>
    <n v="153.6"/>
    <s v="OMQ9CV1RR"/>
    <s v="OM"/>
    <n v="298"/>
    <n v="295"/>
    <n v="-3"/>
    <m/>
    <d v="2025-03-06T20:02:00"/>
    <d v="2025-03-07T04:14:00"/>
    <d v="2025-03-06T20:55:00"/>
    <n v="-436.96759258818929"/>
    <n v="52.75462963472819"/>
    <x v="0"/>
    <d v="2025-03-07T09:23:00"/>
    <d v="2025-03-07T15:06:00"/>
    <n v="335.85416666370293"/>
    <s v="Waited for empties from trade"/>
    <d v="2025-03-07T17:32:00"/>
    <d v="2025-03-07T18:29:00"/>
    <n v="55.81249999726424"/>
    <x v="0"/>
    <n v="0.85902777777664596"/>
    <n v="2"/>
    <n v="1.140972222223354"/>
    <n v="20.616666666639503"/>
    <n v="0"/>
    <n v="20.616666666639503"/>
    <n v="7.4502829426128878"/>
    <m/>
    <m/>
    <m/>
    <m/>
    <m/>
  </r>
  <r>
    <d v="2025-03-08T00:00:00"/>
    <x v="2"/>
    <s v="KESH"/>
    <s v="Z82968"/>
    <s v="Manual"/>
    <s v="SENTONG DAVID"/>
    <s v="UBP 298H"/>
    <s v="Kobusinge Steven-FPortal"/>
    <n v="5.04"/>
    <s v="Z82968"/>
    <s v="OM"/>
    <n v="304"/>
    <n v="301"/>
    <n v="-3"/>
    <m/>
    <d v="2025-03-05T13:47:00"/>
    <d v="2025-03-05T19:03:00"/>
    <d v="2025-03-05T14:39:00"/>
    <n v="-262.77777776873944"/>
    <n v="51.759259261113279"/>
    <x v="0"/>
    <d v="2025-03-08T17:51:00"/>
    <d v="2025-03-08T20:04:00"/>
    <n v="130.22916666028323"/>
    <m/>
    <d v="2025-03-07T08:56:00"/>
    <d v="2025-03-07T09:54:00"/>
    <n v="56.791666667122627"/>
    <x v="0"/>
    <n v="1.7618055555503815"/>
    <n v="2"/>
    <n v="0.23819444444961846"/>
    <n v="42.283333333209157"/>
    <n v="12"/>
    <n v="30.283333333209157"/>
    <n v="0.16642817831658777"/>
    <m/>
    <m/>
    <m/>
    <m/>
    <m/>
  </r>
  <r>
    <d v="2025-03-08T00:00:00"/>
    <x v="2"/>
    <s v="KESH"/>
    <s v="A21275"/>
    <s v="Manual"/>
    <s v="kakembo Masudi"/>
    <s v="UBM 644D"/>
    <s v="Kato Investment Ltd -Mubende"/>
    <n v="156"/>
    <s v="A21275"/>
    <s v="OM"/>
    <n v="680"/>
    <n v="678"/>
    <n v="-2"/>
    <m/>
    <d v="2025-03-05T19:58:00"/>
    <d v="2025-03-06T07:00:00"/>
    <d v="2025-03-05T20:26:00"/>
    <n v="-631.06481480693526"/>
    <n v="27.870370367357584"/>
    <x v="0"/>
    <d v="2025-03-09T08:27:00"/>
    <d v="2025-03-09T17:34:00"/>
    <n v="535.60416666849051"/>
    <s v="Reached late and offloaded the next day"/>
    <d v="2025-03-07T18:21:00"/>
    <d v="2025-03-07T19:10:00"/>
    <n v="47.979166669174447"/>
    <x v="0"/>
    <n v="1.9131944444379769"/>
    <n v="3"/>
    <n v="1.0868055555620231"/>
    <n v="45.916666666511446"/>
    <n v="12"/>
    <n v="33.916666666511446"/>
    <n v="4.5995085995296492"/>
    <m/>
    <m/>
    <m/>
    <m/>
    <m/>
  </r>
  <r>
    <d v="2025-03-08T00:00:00"/>
    <x v="2"/>
    <s v="KESH"/>
    <s v="A21276"/>
    <s v="Manual"/>
    <s v="Kabanda Ronald"/>
    <s v="UBE 684K"/>
    <s v="KATO INVESTMENTS LTD-KATIKARA"/>
    <n v="156"/>
    <s v="A21276"/>
    <s v="OM"/>
    <n v="790"/>
    <n v="791"/>
    <n v="1"/>
    <m/>
    <d v="2025-03-05T20:09:00"/>
    <d v="2025-03-06T07:42:00"/>
    <d v="2025-03-05T20:38:00"/>
    <n v="-660.92592592152266"/>
    <n v="28.865740740972495"/>
    <x v="0"/>
    <d v="2025-03-10T08:49:00"/>
    <d v="2025-03-10T14:02:00"/>
    <n v="306.47916667054233"/>
    <s v="truck faulty"/>
    <d v="2025-03-06T15:34:00"/>
    <d v="2025-03-06T16:30:00"/>
    <n v="54.833333337664953"/>
    <x v="0"/>
    <n v="0.788888888884685"/>
    <n v="3"/>
    <n v="2.211111111115315"/>
    <n v="18.93333333323244"/>
    <n v="0"/>
    <n v="18.93333333323244"/>
    <n v="8.2394366197622162"/>
    <m/>
    <m/>
    <m/>
    <m/>
    <m/>
  </r>
  <r>
    <d v="2025-03-08T00:00:00"/>
    <x v="2"/>
    <s v="KESH"/>
    <s v="Z82966"/>
    <s v="Manual"/>
    <s v="Ikwalikwa Yusuf"/>
    <s v="UBP 311H"/>
    <s v="Rugoma Traders-Rukungiri"/>
    <n v="5.04"/>
    <s v="Z82966"/>
    <s v="OM"/>
    <n v="256"/>
    <n v="255"/>
    <n v="-1"/>
    <m/>
    <d v="2025-03-05T15:43:00"/>
    <d v="2025-03-06T05:52:00"/>
    <d v="2025-03-05T16:11:00"/>
    <n v="-817.1990740680485"/>
    <n v="27.870370367357584"/>
    <x v="0"/>
    <d v="2025-03-08T18:58:00"/>
    <d v="2025-03-09T12:32:00"/>
    <n v="1032.0416666657547"/>
    <s v="found another truck to be offloaded"/>
    <d v="2025-03-07T16:28:00"/>
    <d v="2025-03-07T17:25:00"/>
    <n v="55.81249999726424"/>
    <x v="0"/>
    <n v="2.0118055555576575"/>
    <n v="2"/>
    <n v="-1.1805555557657499E-2"/>
    <n v="48.28333333338378"/>
    <n v="24"/>
    <n v="24.28333333338378"/>
    <n v="0.20754975977993945"/>
    <m/>
    <m/>
    <m/>
    <m/>
    <m/>
  </r>
  <r>
    <d v="2025-03-08T00:00:00"/>
    <x v="2"/>
    <s v="NBL"/>
    <s v="OM14WBURR"/>
    <s v="DJ"/>
    <s v="Kabene John"/>
    <s v="UBA 523T"/>
    <s v="KATO INVESTMENTS LIMITED-MASAK "/>
    <n v="153.6"/>
    <s v="OM3SDLVRR"/>
    <s v="OM"/>
    <n v="298"/>
    <n v="297"/>
    <n v="-1"/>
    <m/>
    <d v="2025-03-08T16:52:00"/>
    <d v="2025-03-08T04:14:00"/>
    <d v="2025-03-08T17:20:00"/>
    <n v="782.36111110624427"/>
    <n v="27.870370367357584"/>
    <x v="0"/>
    <d v="2025-03-11T09:24:00"/>
    <d v="2025-03-11T12:40:00"/>
    <n v="191.91666666643869"/>
    <s v="slept at the RD and offloaded the next day"/>
    <d v="2025-03-09T18:21:00"/>
    <d v="2025-03-09T19:04:00"/>
    <n v="42.104166670542327"/>
    <x v="8"/>
    <n v="1.0423611111109494"/>
    <n v="2"/>
    <n v="0.95763888888905058"/>
    <n v="25.016666666662786"/>
    <n v="12"/>
    <n v="13.016666666662786"/>
    <n v="11.80025608194974"/>
    <m/>
    <m/>
    <m/>
    <m/>
    <m/>
  </r>
  <r>
    <d v="2025-03-08T00:00:00"/>
    <x v="2"/>
    <s v="NBL"/>
    <s v="OMZZIPQRR"/>
    <s v="DJ"/>
    <s v="Jacob Oneka"/>
    <s v="UBE 422T"/>
    <s v="Sawan Distributors Ltd-Kayabwe"/>
    <n v="153.6"/>
    <s v="OM8QNZMRR"/>
    <s v="OM"/>
    <n v="382"/>
    <n v="381"/>
    <n v="-1"/>
    <m/>
    <d v="2025-03-08T14:04:00"/>
    <d v="2025-03-08T04:19:00"/>
    <d v="2025-03-08T14:57:00"/>
    <n v="635.04629630139482"/>
    <n v="52.75462963472819"/>
    <x v="0"/>
    <d v="2025-03-09T09:09:00"/>
    <d v="2025-03-12T16:38:00"/>
    <n v="4669.6458333404007"/>
    <s v="found another truck at the RD"/>
    <d v="2025-03-09T15:20:00"/>
    <d v="2025-03-09T16:19:00"/>
    <n v="57.770833336981013"/>
    <x v="0"/>
    <n v="1.015972222223354"/>
    <n v="2"/>
    <n v="0.98402777777664596"/>
    <n v="24.383333333360497"/>
    <n v="12"/>
    <n v="12.383333333360497"/>
    <n v="12.403768506029319"/>
    <m/>
    <m/>
    <m/>
    <m/>
    <m/>
  </r>
  <r>
    <d v="2025-03-08T00:00:00"/>
    <x v="2"/>
    <s v="NBL"/>
    <s v="OMKY5Y8RR"/>
    <s v="DJ"/>
    <s v="Stephen Musoke "/>
    <s v="UBJ 375N"/>
    <s v="KATO INVESTMENTS LTD- KALISIZO"/>
    <n v="153.6"/>
    <s v="OM2IOKSRR"/>
    <s v="OM"/>
    <n v="350"/>
    <n v="351"/>
    <n v="1"/>
    <m/>
    <d v="2025-03-08T09:32:00"/>
    <d v="2025-03-08T03:43:00"/>
    <d v="2025-03-08T10:01:00"/>
    <n v="376.24999999582843"/>
    <n v="28.865740740972495"/>
    <x v="0"/>
    <d v="2025-03-09T12:06:00"/>
    <d v="2025-03-09T19:27:00"/>
    <n v="431.81250000205182"/>
    <s v="found another truck at the RD and offloaded the next day"/>
    <d v="2025-03-10T16:57:00"/>
    <d v="2025-03-10T17:54:00"/>
    <n v="55.81249999726424"/>
    <x v="0"/>
    <n v="2.288888888891961"/>
    <n v="2"/>
    <n v="-0.28888888889196096"/>
    <n v="54.933333333407063"/>
    <n v="24"/>
    <n v="30.933333333407063"/>
    <n v="4.9655172413674746"/>
    <m/>
    <m/>
    <m/>
    <m/>
    <m/>
  </r>
  <r>
    <d v="2025-03-08T00:00:00"/>
    <x v="2"/>
    <s v="NBL"/>
    <s v="OM2U5PIRR"/>
    <s v="DJ"/>
    <s v="James  Kironde"/>
    <s v="UBK 881R"/>
    <s v="Ntale and Sons Ltd-Kakiri"/>
    <n v="153.6"/>
    <s v="OMSMRMKRR"/>
    <s v="OM"/>
    <n v="620"/>
    <n v="622"/>
    <n v="2"/>
    <m/>
    <d v="2025-03-08T07:19:00"/>
    <d v="2025-03-08T01:59:00"/>
    <d v="2025-03-08T07:46:00"/>
    <n v="345.39351851805503"/>
    <n v="26.87500000417155"/>
    <x v="0"/>
    <d v="2025-03-08T18:58:00"/>
    <d v="2025-03-09T12:32:00"/>
    <n v="1032.0416666657547"/>
    <s v="Waited for empties from trade"/>
    <d v="2025-03-10T15:34:00"/>
    <d v="2025-03-10T16:17:00"/>
    <n v="42.104166670542327"/>
    <x v="0"/>
    <n v="2.3249999999970896"/>
    <n v="3"/>
    <n v="0.67500000000291038"/>
    <n v="55.799999999930151"/>
    <n v="24"/>
    <n v="31.799999999930151"/>
    <n v="4.8301886792558921"/>
    <m/>
    <m/>
    <m/>
    <m/>
    <m/>
  </r>
  <r>
    <d v="2025-03-08T00:00:00"/>
    <x v="2"/>
    <s v="NBL"/>
    <s v="OMQ9CV1RR"/>
    <s v="DJ"/>
    <s v="Benon Ssempijja"/>
    <s v="UAY 526V"/>
    <s v="KATO INVESTMENTS LIMITED-MASAK "/>
    <n v="153.6"/>
    <s v="OM19WNFRR"/>
    <s v="OM"/>
    <n v="298"/>
    <n v="295"/>
    <n v="-3"/>
    <m/>
    <d v="2025-03-08T06:59:00"/>
    <d v="2025-03-08T04:14:00"/>
    <d v="2025-03-08T07:27:00"/>
    <n v="192.106481481945"/>
    <n v="27.870370367357584"/>
    <x v="0"/>
    <d v="2025-03-08T12:25:00"/>
    <d v="2025-03-08T15:30:00"/>
    <n v="181.14583333903283"/>
    <s v="found another truck at the RD"/>
    <d v="2025-03-10T16:28:00"/>
    <d v="2025-03-10T17:26:00"/>
    <n v="56.791666667122627"/>
    <x v="0"/>
    <n v="2.3756944444467081"/>
    <n v="2"/>
    <n v="-0.37569444444670808"/>
    <n v="57.016666666720994"/>
    <n v="24"/>
    <n v="33.016666666720994"/>
    <n v="4.6521958606687708"/>
    <m/>
    <m/>
    <m/>
    <m/>
    <m/>
  </r>
  <r>
    <d v="2025-03-09T00:00:00"/>
    <x v="2"/>
    <s v="KESH"/>
    <s v="Z82989"/>
    <s v="Manual"/>
    <m/>
    <s v="UBR 534W"/>
    <s v="Kobusinge Steven-Kamwenge"/>
    <n v="78"/>
    <s v="Z82989"/>
    <s v="OM"/>
    <n v="288"/>
    <n v="286"/>
    <n v="-2"/>
    <m/>
    <d v="2025-03-07T10:57:00"/>
    <d v="2025-03-06T14:15:00"/>
    <d v="2025-03-07T11:25:00"/>
    <n v="1264.1203703715291"/>
    <n v="27.870370367357584"/>
    <x v="0"/>
    <d v="2025-03-11T12:08:00"/>
    <d v="2025-03-11T15:18:00"/>
    <n v="186.04166665754747"/>
    <s v="Waited for empties from trade"/>
    <d v="2025-03-09T11:58:00"/>
    <d v="2025-03-09T12:47:00"/>
    <n v="47.979166669174447"/>
    <x v="0"/>
    <n v="2.0229166666686069"/>
    <n v="2"/>
    <n v="-2.2916666668606922E-2"/>
    <n v="48.550000000046566"/>
    <n v="24"/>
    <n v="24.550000000046566"/>
    <n v="3.177189409362609"/>
    <m/>
    <m/>
    <m/>
    <m/>
    <m/>
  </r>
  <r>
    <d v="2025-03-09T00:00:00"/>
    <x v="2"/>
    <s v="KESH"/>
    <s v="A21298"/>
    <s v="Manual"/>
    <s v="Sentongo paul"/>
    <s v="UBR 541W"/>
    <s v="Kato Investment Ltd -Mubende"/>
    <n v="78"/>
    <s v="A21298"/>
    <s v="OM"/>
    <n v="680"/>
    <n v="683"/>
    <n v="3"/>
    <m/>
    <d v="2025-03-07T18:26:00"/>
    <d v="2025-03-07T02:22:00"/>
    <d v="2025-03-07T18:53:00"/>
    <n v="986.41203704028158"/>
    <n v="26.87500000417155"/>
    <x v="0"/>
    <d v="2025-03-10T14:04:00"/>
    <d v="2025-03-10T16:50:00"/>
    <n v="162.54166667327809"/>
    <m/>
    <d v="2025-03-10T10:55:00"/>
    <d v="2025-03-10T11:48:00"/>
    <n v="51.895833338348893"/>
    <x v="0"/>
    <n v="2.6680555555503815"/>
    <n v="3"/>
    <n v="0.33194444444961846"/>
    <n v="64.033333333209157"/>
    <n v="24"/>
    <n v="40.033333333209157"/>
    <n v="1.9483763530451776"/>
    <m/>
    <m/>
    <m/>
    <m/>
    <m/>
  </r>
  <r>
    <d v="2025-03-09T00:00:00"/>
    <x v="2"/>
    <s v="KESH"/>
    <s v="Z82990"/>
    <s v="Manual"/>
    <s v="Malinzi Awali"/>
    <s v="UBR 536W"/>
    <s v="Kobusinge Steven-Kamwenge"/>
    <n v="156"/>
    <s v="Z82990"/>
    <s v="OM"/>
    <n v="288"/>
    <n v="286"/>
    <n v="-2"/>
    <m/>
    <d v="2025-03-07T10:21:00"/>
    <d v="2025-03-07T04:19:00"/>
    <d v="2025-03-07T10:48:00"/>
    <n v="387.19907407430583"/>
    <n v="26.87500000417155"/>
    <x v="0"/>
    <d v="2025-03-09T18:09:00"/>
    <d v="2025-03-11T09:11:00"/>
    <n v="2293.2083333397168"/>
    <s v="Waited for empties from trade"/>
    <d v="2025-03-09T10:55:00"/>
    <d v="2025-03-09T11:52:00"/>
    <n v="55.81249999726424"/>
    <x v="0"/>
    <n v="2.0048611111124046"/>
    <n v="2"/>
    <n v="-4.8611111124046147E-3"/>
    <n v="48.116666666697711"/>
    <n v="24"/>
    <n v="24.116666666697711"/>
    <n v="6.4685556323344517"/>
    <m/>
    <m/>
    <m/>
    <m/>
    <m/>
  </r>
  <r>
    <d v="2025-03-09T00:00:00"/>
    <x v="2"/>
    <s v="KESH"/>
    <s v="A21291"/>
    <s v="Manual"/>
    <m/>
    <s v="UBR 868Y"/>
    <s v="Kato Investment Ltd -Mityana"/>
    <n v="157.5"/>
    <s v="A21291"/>
    <s v="OM"/>
    <n v="690"/>
    <n v="693"/>
    <n v="3"/>
    <m/>
    <d v="2025-03-07T11:00:00"/>
    <d v="2025-03-07T07:00:00"/>
    <d v="2025-03-07T11:50:00"/>
    <n v="288.65740740972495"/>
    <n v="49.768518513883464"/>
    <x v="0"/>
    <d v="2025-03-08T15:31:00"/>
    <d v="2025-03-08T17:52:00"/>
    <n v="138.06249999863212"/>
    <m/>
    <d v="2025-03-08T15:41:00"/>
    <d v="2025-03-08T16:38:00"/>
    <n v="55.81249999726424"/>
    <x v="0"/>
    <n v="1.1604166666656965"/>
    <n v="3"/>
    <n v="1.8395833333343035"/>
    <n v="27.849999999976717"/>
    <n v="12"/>
    <n v="15.849999999976717"/>
    <n v="9.9369085173647544"/>
    <m/>
    <m/>
    <m/>
    <m/>
    <m/>
  </r>
  <r>
    <d v="2025-03-09T00:00:00"/>
    <x v="2"/>
    <s v="KESH"/>
    <s v="A21292"/>
    <s v="Manual"/>
    <m/>
    <s v="UBP 294H"/>
    <s v="Kato Investment Ltd -Mityana"/>
    <n v="157.5"/>
    <s v="A21292"/>
    <s v="OM"/>
    <n v="690"/>
    <n v="691"/>
    <n v="1"/>
    <m/>
    <d v="2025-03-06T16:04:00"/>
    <d v="2025-03-06T15:44:00"/>
    <d v="2025-03-06T16:56:00"/>
    <n v="71.666666670838211"/>
    <n v="51.759259261113279"/>
    <x v="11"/>
    <d v="2025-03-10T11:06:00"/>
    <d v="2025-03-10T15:59:00"/>
    <n v="286.89583333492919"/>
    <s v="truck faulty"/>
    <d v="2025-03-08T15:41:00"/>
    <d v="2025-03-08T16:17:00"/>
    <n v="35.25000000205182"/>
    <x v="0"/>
    <n v="1.9479166666642413"/>
    <n v="3"/>
    <n v="1.0520833333357587"/>
    <n v="46.749999999941792"/>
    <n v="12"/>
    <n v="34.749999999941792"/>
    <n v="4.532374100727016"/>
    <m/>
    <m/>
    <m/>
    <m/>
    <m/>
  </r>
  <r>
    <d v="2025-03-09T00:00:00"/>
    <x v="2"/>
    <s v="KESH"/>
    <s v="Z82979"/>
    <s v="Manual"/>
    <m/>
    <s v="UBJ 423C"/>
    <s v="Kabaco U Ltd "/>
    <n v="156"/>
    <s v="Z82979"/>
    <s v="OM"/>
    <n v="320"/>
    <n v="163"/>
    <n v="-157"/>
    <m/>
    <d v="2025-03-06T10:58:00"/>
    <d v="2025-03-06T11:12:00"/>
    <d v="2025-03-06T11:24:00"/>
    <n v="11.944444441663412"/>
    <n v="25.879629630556639"/>
    <x v="0"/>
    <d v="2025-03-09T18:12:00"/>
    <d v="2025-03-09T20:15:00"/>
    <n v="120.43750000273576"/>
    <m/>
    <d v="2025-03-09T11:58:00"/>
    <d v="2025-03-09T12:54:00"/>
    <n v="54.833333337664953"/>
    <x v="0"/>
    <n v="3.023611111115315"/>
    <n v="2"/>
    <n v="-1.023611111115315"/>
    <n v="72.56666666676756"/>
    <n v="36"/>
    <n v="36.56666666676756"/>
    <n v="4.2661804922398243"/>
    <m/>
    <m/>
    <m/>
    <m/>
    <m/>
  </r>
  <r>
    <d v="2025-03-09T00:00:00"/>
    <x v="2"/>
    <s v="KESH"/>
    <s v="Z82985"/>
    <s v="Manual"/>
    <m/>
    <s v="UBR 535W"/>
    <s v="Rugoma Traders-Rukungiri"/>
    <n v="156"/>
    <s v="Z82985"/>
    <s v="OM"/>
    <n v="256"/>
    <n v="255"/>
    <n v="-1"/>
    <m/>
    <d v="2025-03-06T21:13:00"/>
    <d v="2025-03-06T21:30:00"/>
    <d v="2025-03-06T21:42:00"/>
    <n v="11.944444441663412"/>
    <n v="28.865740740972495"/>
    <x v="0"/>
    <d v="2025-03-12T09:27:00"/>
    <d v="2025-03-12T11:32:00"/>
    <n v="122.39583333219343"/>
    <m/>
    <d v="2025-03-09T10:55:00"/>
    <d v="2025-03-09T11:52:00"/>
    <n v="55.81249999726424"/>
    <x v="0"/>
    <n v="2.5506944444423425"/>
    <n v="2"/>
    <n v="-0.5506944444423425"/>
    <n v="61.21666666661622"/>
    <n v="24"/>
    <n v="37.21666666661622"/>
    <n v="4.191670398572632"/>
    <m/>
    <m/>
    <m/>
    <m/>
    <m/>
  </r>
  <r>
    <d v="2025-03-09T00:00:00"/>
    <x v="2"/>
    <s v="KESH"/>
    <s v="F16045"/>
    <s v="Manual"/>
    <m/>
    <s v="UBG 084G"/>
    <s v="KATO INVESTMENTS LIMITED-MASAK "/>
    <n v="72"/>
    <s v="F16045"/>
    <s v="OM"/>
    <n v="298"/>
    <n v="297"/>
    <n v="-1"/>
    <m/>
    <d v="2025-03-06T11:25:00"/>
    <d v="2025-03-06T11:42:00"/>
    <d v="2025-03-06T11:53:00"/>
    <n v="10.949074068048503"/>
    <n v="27.870370367357584"/>
    <x v="0"/>
    <d v="2025-03-09T12:41:00"/>
    <d v="2025-03-09T14:52:00"/>
    <n v="128.27083333082555"/>
    <m/>
    <d v="2025-03-08T18:28:00"/>
    <d v="2025-03-08T19:25:00"/>
    <n v="55.81249999726424"/>
    <x v="0"/>
    <n v="2.2743055555547471"/>
    <n v="2"/>
    <n v="-0.27430555555474712"/>
    <n v="54.583333333313931"/>
    <n v="24"/>
    <n v="30.583333333313931"/>
    <n v="2.3542234332440004"/>
    <m/>
    <m/>
    <m/>
    <m/>
    <m/>
  </r>
  <r>
    <d v="2025-03-09T00:00:00"/>
    <x v="2"/>
    <s v="KESH"/>
    <s v="F16048"/>
    <s v="Manual"/>
    <s v="Faruk Abel"/>
    <s v="UBR 539W"/>
    <s v="Boniface Harera"/>
    <n v="78"/>
    <s v="F16048"/>
    <s v="OM"/>
    <n v="448"/>
    <n v="449"/>
    <n v="1"/>
    <m/>
    <d v="2025-03-06T20:05:00"/>
    <d v="2025-03-07T04:14:00"/>
    <d v="2025-03-06T20:55:00"/>
    <n v="-436.96759258818929"/>
    <n v="49.768518513883464"/>
    <x v="0"/>
    <d v="2025-03-09T08:31:00"/>
    <d v="2025-03-10T12:05:00"/>
    <n v="1619.541666662335"/>
    <s v="Waited for empties from trade"/>
    <d v="2025-03-09T10:55:00"/>
    <d v="2025-03-09T11:31:00"/>
    <n v="35.25000000205182"/>
    <x v="0"/>
    <n v="2.5833333333284827"/>
    <n v="2"/>
    <n v="-0.58333333332848269"/>
    <n v="61.999999999883585"/>
    <n v="24"/>
    <n v="37.999999999883585"/>
    <n v="2.0526315789536569"/>
    <m/>
    <m/>
    <m/>
    <m/>
    <m/>
  </r>
  <r>
    <d v="2025-03-09T00:00:00"/>
    <x v="2"/>
    <s v="KESH"/>
    <s v="F16046"/>
    <s v="Manual"/>
    <m/>
    <s v="UBP 998T"/>
    <s v="Boniface Harera"/>
    <n v="156"/>
    <s v="F16046"/>
    <s v="OM"/>
    <n v="448"/>
    <n v="449"/>
    <n v="1"/>
    <m/>
    <d v="2025-03-06T21:44:00"/>
    <d v="2025-03-07T07:00:00"/>
    <d v="2025-03-06T22:12:00"/>
    <n v="-525.55555554790772"/>
    <n v="27.870370367357584"/>
    <x v="0"/>
    <d v="2025-03-10T12:53:00"/>
    <d v="2025-03-10T18:28:00"/>
    <n v="328.02083332535403"/>
    <s v="Waited for empties from trade"/>
    <d v="2025-03-08T15:41:00"/>
    <d v="2025-03-08T16:17:00"/>
    <n v="35.25000000205182"/>
    <x v="0"/>
    <n v="1.7284722222175333"/>
    <n v="2"/>
    <n v="0.27152777778246673"/>
    <n v="41.483333333220799"/>
    <n v="12"/>
    <n v="29.483333333220799"/>
    <n v="5.291124929358805"/>
    <m/>
    <m/>
    <m/>
    <m/>
    <m/>
  </r>
  <r>
    <d v="2025-03-09T00:00:00"/>
    <x v="2"/>
    <s v="KESH"/>
    <s v="Z82986"/>
    <s v="Manual"/>
    <s v="Eriku Alipa"/>
    <s v="UBK 858R"/>
    <s v="Kobusinge Acaali- Kyenjojo"/>
    <n v="156"/>
    <s v="Z82986"/>
    <s v="OM"/>
    <n v="580"/>
    <n v="581"/>
    <n v="1"/>
    <m/>
    <d v="2025-03-06T19:09:00"/>
    <d v="2025-03-07T07:00:00"/>
    <d v="2025-03-06T20:02:00"/>
    <n v="-654.95370370069088"/>
    <n v="52.75462963472819"/>
    <x v="0"/>
    <d v="2025-03-09T18:12:00"/>
    <d v="2025-03-09T20:15:00"/>
    <n v="120.43750000273576"/>
    <m/>
    <d v="2025-03-08T15:53:00"/>
    <d v="2025-03-08T16:50:00"/>
    <n v="55.81249999726424"/>
    <x v="0"/>
    <n v="1.8270833333372138"/>
    <n v="2"/>
    <n v="0.17291666666278616"/>
    <n v="43.850000000093132"/>
    <n v="12"/>
    <n v="31.850000000093132"/>
    <n v="4.8979591836591476"/>
    <m/>
    <m/>
    <m/>
    <m/>
    <m/>
  </r>
  <r>
    <d v="2025-03-09T00:00:00"/>
    <x v="2"/>
    <s v="KESH"/>
    <s v="Z82987"/>
    <s v="Manual"/>
    <s v="Ngobi Fred"/>
    <s v="UBK 866R"/>
    <s v="Kobusinge Steven-FPortal"/>
    <n v="156"/>
    <s v="Z82987"/>
    <s v="OM"/>
    <n v="304"/>
    <n v="303"/>
    <n v="-1"/>
    <m/>
    <d v="2025-03-06T15:18:00"/>
    <d v="2025-03-07T05:51:00"/>
    <d v="2025-03-06T16:08:00"/>
    <n v="-819.18981481527828"/>
    <n v="49.768518513883464"/>
    <x v="0"/>
    <d v="2025-03-12T09:27:00"/>
    <d v="2025-03-12T11:32:00"/>
    <n v="122.39583333219343"/>
    <m/>
    <d v="2025-03-07T15:53:00"/>
    <d v="2025-03-07T17:02:00"/>
    <n v="67.56250000478758"/>
    <x v="5"/>
    <n v="0.98958333333575865"/>
    <n v="2"/>
    <n v="1.0104166666642413"/>
    <n v="23.750000000058208"/>
    <n v="0"/>
    <n v="23.750000000058208"/>
    <n v="6.5684210526154807"/>
    <m/>
    <m/>
    <m/>
    <m/>
    <m/>
  </r>
  <r>
    <d v="2025-03-09T00:00:00"/>
    <x v="2"/>
    <s v="KESH"/>
    <s v="Z82988"/>
    <s v="Manual"/>
    <s v="Taimwa Alex"/>
    <s v="UBJ 705D"/>
    <s v="Kobusinge Steven-FPortal"/>
    <n v="156"/>
    <s v="Z82988"/>
    <s v="OM"/>
    <n v="304"/>
    <n v="302"/>
    <n v="-2"/>
    <m/>
    <d v="2025-03-06T13:43:00"/>
    <d v="2025-03-07T04:57:00"/>
    <d v="2025-03-06T14:36:00"/>
    <n v="-857.01388889792725"/>
    <n v="52.75462963472819"/>
    <x v="0"/>
    <d v="2025-03-09T12:41:00"/>
    <d v="2025-03-09T15:52:00"/>
    <n v="187.02083333766495"/>
    <s v="Waited for empties from trade"/>
    <d v="2025-03-09T12:14:00"/>
    <d v="2025-03-09T12:56:00"/>
    <n v="41.12500000068394"/>
    <x v="0"/>
    <n v="2.9013888888948713"/>
    <n v="2"/>
    <n v="-0.90138888889487134"/>
    <n v="69.633333333476912"/>
    <n v="24"/>
    <n v="45.633333333476912"/>
    <n v="3.4185536888132031"/>
    <m/>
    <m/>
    <m/>
    <m/>
    <m/>
  </r>
  <r>
    <d v="2025-03-09T00:00:00"/>
    <x v="2"/>
    <s v="KESH"/>
    <s v="A21299"/>
    <s v="Manual"/>
    <m/>
    <s v="UBR 903Y"/>
    <s v="Kato Investments Ltd- Kyegegwa"/>
    <n v="156"/>
    <s v="A21299"/>
    <s v="OM"/>
    <n v="600"/>
    <n v="596"/>
    <n v="-4"/>
    <m/>
    <d v="2025-03-06T15:15:00"/>
    <d v="2025-03-07T06:34:00"/>
    <d v="2025-03-06T15:42:00"/>
    <n v="-887.87037036527181"/>
    <n v="26.87500000417155"/>
    <x v="0"/>
    <d v="2025-03-09T08:31:00"/>
    <d v="2025-03-10T12:05:00"/>
    <n v="1619.541666662335"/>
    <s v="found another truck at RD"/>
    <d v="2025-03-09T12:14:00"/>
    <d v="2025-03-09T12:57:00"/>
    <n v="42.104166670542327"/>
    <x v="0"/>
    <n v="2.8555555555576575"/>
    <n v="2"/>
    <n v="-0.8555555555576575"/>
    <n v="68.53333333338378"/>
    <n v="24"/>
    <n v="44.53333333338378"/>
    <n v="3.5029940119720799"/>
    <m/>
    <m/>
    <m/>
    <m/>
    <m/>
  </r>
  <r>
    <d v="2025-03-09T00:00:00"/>
    <x v="2"/>
    <s v="KESH"/>
    <s v="OM3SDLVRR"/>
    <s v="DJ"/>
    <s v="SENTONG DAVID"/>
    <s v="UBP 298H"/>
    <s v="Kobusinge Steven-FPortal"/>
    <n v="153.6"/>
    <s v="OMLTVKTRR"/>
    <s v="OM"/>
    <n v="304"/>
    <n v="303"/>
    <n v="-1"/>
    <m/>
    <d v="2025-03-11T09:53:00"/>
    <d v="2025-03-09T20:25:00"/>
    <d v="2025-03-11T10:46:00"/>
    <n v="2290.3472222208316"/>
    <n v="52.75462963472819"/>
    <x v="0"/>
    <d v="2025-03-11T10:50:00"/>
    <d v="2025-03-11T13:52:00"/>
    <n v="178.20833332945767"/>
    <m/>
    <d v="2025-03-12T10:55:00"/>
    <d v="2025-03-12T11:52:00"/>
    <n v="55.81249999726424"/>
    <x v="0"/>
    <n v="1.0062499999985448"/>
    <n v="2"/>
    <n v="0.99375000000145519"/>
    <n v="24.149999999965075"/>
    <n v="12"/>
    <n v="12.149999999965075"/>
    <n v="12.641975308678314"/>
    <m/>
    <m/>
    <m/>
    <m/>
    <m/>
  </r>
  <r>
    <d v="2025-03-10T00:00:00"/>
    <x v="2"/>
    <s v="KESH"/>
    <s v="Z82998"/>
    <s v="Manual"/>
    <s v="Byanshala Stoney"/>
    <s v="UBP 312H"/>
    <s v="Kabaco U Ltd "/>
    <n v="70.8"/>
    <s v="Z82998"/>
    <s v="OM"/>
    <n v="320"/>
    <n v="324"/>
    <n v="4"/>
    <m/>
    <d v="2025-03-06T19:35:00"/>
    <d v="2025-03-07T19:03:00"/>
    <d v="2025-03-06T20:25:00"/>
    <n v="-1351.7129629576327"/>
    <n v="49.768518513883464"/>
    <x v="0"/>
    <d v="2025-03-11T17:08:00"/>
    <d v="2025-03-11T19:18:00"/>
    <n v="127.29166667122627"/>
    <m/>
    <d v="2025-03-09T11:58:00"/>
    <d v="2025-03-09T12:55:00"/>
    <n v="55.81249999726424"/>
    <x v="0"/>
    <n v="2.6479166666686069"/>
    <n v="2"/>
    <n v="-0.64791666666860692"/>
    <n v="63.550000000046566"/>
    <n v="24"/>
    <n v="39.550000000046566"/>
    <n v="1.7901390644732398"/>
    <m/>
    <m/>
    <m/>
    <m/>
    <m/>
  </r>
  <r>
    <d v="2025-03-10T00:00:00"/>
    <x v="2"/>
    <s v="KESH"/>
    <s v="A21321"/>
    <s v="Manual"/>
    <s v="Lule Fred"/>
    <s v="UBP 310H"/>
    <s v="KATO INVESTMENTS LTD-KATIKARA"/>
    <n v="147.6"/>
    <s v="A21321"/>
    <s v="OM"/>
    <n v="790"/>
    <n v="788"/>
    <n v="-2"/>
    <m/>
    <d v="2025-03-08T16:54:00"/>
    <d v="2025-03-08T04:14:00"/>
    <d v="2025-03-08T17:20:00"/>
    <n v="782.36111110624427"/>
    <n v="25.879629630556639"/>
    <x v="0"/>
    <d v="2025-03-10T09:44:00"/>
    <d v="2025-03-10T14:11:00"/>
    <n v="261.43750000068394"/>
    <s v="First offloaded their route sale trucks"/>
    <d v="2025-03-10T16:12:00"/>
    <d v="2025-03-10T16:55:00"/>
    <n v="42.104166670542327"/>
    <x v="0"/>
    <n v="1.9527777777839219"/>
    <n v="3"/>
    <n v="1.0472222222160781"/>
    <n v="46.866666666814126"/>
    <n v="12"/>
    <n v="34.866666666814126"/>
    <n v="4.23326959845246"/>
    <m/>
    <m/>
    <m/>
    <m/>
    <m/>
  </r>
  <r>
    <d v="2025-03-10T00:00:00"/>
    <x v="2"/>
    <s v="KESH"/>
    <s v="A21322"/>
    <s v="Manual"/>
    <s v="Kyakulaga James"/>
    <s v="UBJ 419C"/>
    <s v="Kato Investment Ltd -Mityana"/>
    <n v="134.4"/>
    <s v="A21322"/>
    <s v="OM"/>
    <n v="690"/>
    <n v="686"/>
    <n v="-4"/>
    <m/>
    <d v="2025-03-08T09:11:00"/>
    <d v="2025-03-08T03:43:00"/>
    <d v="2025-03-08T10:01:00"/>
    <n v="376.24999999582843"/>
    <n v="49.768518513883464"/>
    <x v="0"/>
    <d v="2025-03-10T11:13:00"/>
    <d v="2025-03-10T13:08:00"/>
    <n v="112.60416666438687"/>
    <m/>
    <d v="2025-03-10T13:39:00"/>
    <d v="2025-03-10T14:36:00"/>
    <n v="55.81249999726424"/>
    <x v="0"/>
    <n v="2.1513888888875954"/>
    <n v="3"/>
    <n v="0.84861111111240461"/>
    <n v="51.633333333302289"/>
    <n v="24"/>
    <n v="27.633333333302289"/>
    <n v="4.863691194215356"/>
    <m/>
    <m/>
    <m/>
    <m/>
    <m/>
  </r>
  <r>
    <d v="2025-03-10T00:00:00"/>
    <x v="2"/>
    <s v="KESH"/>
    <s v="A21314"/>
    <s v="Manual"/>
    <s v="Mulumba Kasim"/>
    <s v="UBE 680K"/>
    <s v="Sawan Distributors Ltd-Nabingo"/>
    <n v="156"/>
    <s v="A21314"/>
    <s v="OM"/>
    <n v="560"/>
    <n v="559"/>
    <n v="-1"/>
    <m/>
    <d v="2025-03-08T07:19:00"/>
    <d v="2025-03-08T01:59:00"/>
    <d v="2025-03-08T07:46:00"/>
    <n v="345.39351851805503"/>
    <n v="26.87500000417155"/>
    <x v="0"/>
    <d v="2025-03-10T09:21:00"/>
    <d v="2025-03-10T16:22:00"/>
    <n v="412.22916666643869"/>
    <s v="Waited for empties from trade"/>
    <d v="2025-03-11T13:37:00"/>
    <d v="2025-03-11T14:19:00"/>
    <n v="41.12500000068394"/>
    <x v="0"/>
    <n v="3.2437500000014552"/>
    <n v="2"/>
    <n v="-1.2437500000014552"/>
    <n v="77.850000000034925"/>
    <n v="36"/>
    <n v="41.850000000034925"/>
    <n v="3.727598566305133"/>
    <m/>
    <m/>
    <m/>
    <m/>
    <m/>
  </r>
  <r>
    <d v="2025-03-10T00:00:00"/>
    <x v="2"/>
    <s v="KESH"/>
    <s v="A21318"/>
    <s v="Manual"/>
    <m/>
    <s v="UBR 900Y"/>
    <s v="Ntale and Sons Ltd-Kakiri"/>
    <n v="148.80000000000001"/>
    <s v="A21318"/>
    <s v="OM"/>
    <n v="620"/>
    <n v="617"/>
    <n v="-3"/>
    <m/>
    <d v="2025-03-07T13:18:00"/>
    <d v="2025-03-07T12:30:00"/>
    <d v="2025-03-07T13:48:00"/>
    <n v="77.638888881241044"/>
    <n v="29.861111114587402"/>
    <x v="0"/>
    <d v="2025-03-10T09:44:00"/>
    <d v="2025-03-10T14:11:00"/>
    <n v="261.43750000068394"/>
    <s v="slept at the RD and offloaded the next day"/>
    <d v="2025-03-08T19:47:00"/>
    <d v="2025-03-08T20:44:00"/>
    <n v="55.81249999726424"/>
    <x v="0"/>
    <n v="1.2493055555605679"/>
    <n v="3"/>
    <n v="1.7506944444394321"/>
    <n v="29.983333333453629"/>
    <n v="12"/>
    <n v="17.983333333453629"/>
    <n v="8.2743280815016487"/>
    <m/>
    <m/>
    <m/>
    <m/>
    <m/>
  </r>
  <r>
    <d v="2025-03-10T00:00:00"/>
    <x v="2"/>
    <s v="KESH"/>
    <s v="F16052"/>
    <s v="Manual"/>
    <s v="Matovu Musa"/>
    <s v="UBR 538W"/>
    <s v="Boniface Harera"/>
    <n v="44.4"/>
    <s v="F16052"/>
    <s v="OM"/>
    <n v="448"/>
    <n v="444"/>
    <n v="-4"/>
    <m/>
    <d v="2025-03-07T13:17:00"/>
    <d v="2025-03-07T13:00:00"/>
    <d v="2025-03-07T13:45:00"/>
    <n v="44.791666666666664"/>
    <n v="27.870370367357584"/>
    <x v="0"/>
    <d v="2025-03-12T09:55:00"/>
    <d v="2025-03-12T12:25:00"/>
    <n v="146.8749999965803"/>
    <m/>
    <d v="2025-03-09T11:58:00"/>
    <d v="2025-03-09T12:41:00"/>
    <n v="42.104166670542327"/>
    <x v="0"/>
    <n v="1.9256944444496185"/>
    <n v="2"/>
    <n v="7.4305555550381541E-2"/>
    <n v="46.216666666790843"/>
    <n v="12"/>
    <n v="34.216666666790843"/>
    <n v="1.2976132488993337"/>
    <m/>
    <m/>
    <m/>
    <m/>
    <m/>
  </r>
  <r>
    <d v="2025-03-10T00:00:00"/>
    <x v="2"/>
    <s v="KESH"/>
    <s v="A21315"/>
    <s v="Manual"/>
    <s v="Tsaale Hassan"/>
    <s v="UBJ 703D"/>
    <s v="Sawan Distributors Ltd-Nabingo"/>
    <n v="156"/>
    <s v="A21315"/>
    <s v="OM"/>
    <n v="560"/>
    <n v="556"/>
    <n v="-4"/>
    <m/>
    <d v="2025-03-10T20:02:00"/>
    <d v="2025-03-10T09:16:00"/>
    <d v="2025-03-10T20:55:00"/>
    <n v="695.76388889375573"/>
    <n v="52.75462963472819"/>
    <x v="1"/>
    <d v="2025-03-11T09:24:00"/>
    <d v="2025-03-11T12:40:00"/>
    <n v="191.91666666643869"/>
    <s v="Waited for empties from trade"/>
    <d v="2025-03-11T17:05:00"/>
    <d v="2025-03-11T18:03:00"/>
    <n v="56.791666667122627"/>
    <x v="0"/>
    <n v="0.84027777777373558"/>
    <n v="2"/>
    <n v="1.1597222222262644"/>
    <n v="20.166666666569654"/>
    <n v="0"/>
    <n v="20.166666666569654"/>
    <n v="7.7355371901198566"/>
    <m/>
    <m/>
    <m/>
    <m/>
    <m/>
  </r>
  <r>
    <d v="2025-03-10T00:00:00"/>
    <x v="2"/>
    <s v="KESH"/>
    <s v="A21316"/>
    <s v="Manual"/>
    <s v="Ikwalikwa Yusuf"/>
    <s v="UBP 311H"/>
    <s v="Sawan Distributors Ltd-Kayabwe"/>
    <n v="156"/>
    <s v="A21316"/>
    <s v="OM"/>
    <n v="382"/>
    <n v="379"/>
    <n v="-3"/>
    <m/>
    <d v="2025-03-11T08:44:00"/>
    <d v="2025-03-09T11:00:00"/>
    <d v="2025-03-11T09:08:00"/>
    <n v="2755.1851851868073"/>
    <n v="23.888888893755695"/>
    <x v="0"/>
    <d v="2025-03-11T09:24:00"/>
    <d v="2025-03-11T12:40:00"/>
    <n v="191.91666666643869"/>
    <s v="Reached late and offloaded the next day"/>
    <d v="2025-03-11T14:22:00"/>
    <d v="2025-03-11T15:09:00"/>
    <n v="46.020833329457673"/>
    <x v="0"/>
    <n v="0.21805555555329192"/>
    <n v="2"/>
    <n v="1.7819444444467081"/>
    <n v="5.2333333332790062"/>
    <n v="0"/>
    <n v="5.2333333332790062"/>
    <n v="29.808917197761676"/>
    <m/>
    <m/>
    <m/>
    <m/>
    <m/>
  </r>
  <r>
    <d v="2025-03-10T00:00:00"/>
    <x v="2"/>
    <s v="NBL"/>
    <s v="OM8QNZMRR"/>
    <s v="DJ"/>
    <s v="Kabene John"/>
    <s v="UBA 523T"/>
    <s v="Ntale and Sons"/>
    <n v="153.6"/>
    <s v="OMQOK5MRR"/>
    <s v="OM"/>
    <n v="810"/>
    <n v="809"/>
    <n v="-1"/>
    <s v="Deviated due to road mantanance"/>
    <d v="2025-03-10T08:26:00"/>
    <d v="2025-03-09T17:00:00"/>
    <d v="2025-03-10T09:19:00"/>
    <n v="974.46759258818929"/>
    <n v="52.75462963472819"/>
    <x v="5"/>
    <d v="2025-03-11T09:24:00"/>
    <d v="2025-03-11T12:40:00"/>
    <n v="191.91666666643869"/>
    <s v="Waited for empties from trade"/>
    <d v="2025-03-12T13:37:00"/>
    <d v="2025-03-12T14:13:00"/>
    <n v="35.25000000205182"/>
    <x v="0"/>
    <n v="2.1791666666686069"/>
    <n v="3"/>
    <n v="0.82083333333139308"/>
    <n v="52.300000000046566"/>
    <n v="24"/>
    <n v="28.300000000046566"/>
    <n v="5.4275618374468992"/>
    <m/>
    <m/>
    <m/>
    <m/>
    <m/>
  </r>
  <r>
    <d v="2025-03-10T00:00:00"/>
    <x v="2"/>
    <s v="NBL"/>
    <s v="OM2IOKSRR"/>
    <s v="DJ"/>
    <s v="Mugisha  George"/>
    <s v="UAV 203T"/>
    <s v="Kabaco U Ltd-Mbarara "/>
    <n v="153.6"/>
    <s v="OMMB4GSRR"/>
    <s v="OM"/>
    <n v="20"/>
    <n v="17"/>
    <n v="-3"/>
    <m/>
    <d v="2025-03-10T08:08:00"/>
    <d v="2025-03-10T07:42:00"/>
    <d v="2025-03-10T08:35:00"/>
    <n v="52.75462963472819"/>
    <n v="26.87500000417155"/>
    <x v="0"/>
    <d v="2025-03-10T09:21:00"/>
    <d v="2025-03-10T16:22:00"/>
    <n v="412.22916666643869"/>
    <s v="space consquents"/>
    <d v="2025-03-10T17:05:00"/>
    <d v="2025-03-10T17:53:00"/>
    <n v="46.99999999931606"/>
    <x v="0"/>
    <n v="0.35416666666424135"/>
    <n v="3"/>
    <n v="2.6458333333357587"/>
    <n v="8.4999999999417923"/>
    <n v="0"/>
    <n v="8.4999999999417923"/>
    <n v="18.070588235417862"/>
    <m/>
    <m/>
    <m/>
    <m/>
    <m/>
  </r>
  <r>
    <d v="2025-03-10T00:00:00"/>
    <x v="2"/>
    <s v="NBL"/>
    <s v="OMSMRMKRR"/>
    <s v="DJ"/>
    <s v="Isaac Tumuhimbise"/>
    <s v="UBE 287X"/>
    <s v="KATO INVESTMENTS LTD- KALISIZO"/>
    <n v="153.6"/>
    <m/>
    <s v="OM"/>
    <n v="350"/>
    <n v="348"/>
    <n v="-2"/>
    <m/>
    <d v="2025-03-09T16:32:00"/>
    <d v="2025-03-10T03:43:00"/>
    <d v="2025-03-09T17:22:00"/>
    <n v="-618.12500000208581"/>
    <n v="49.768518513883464"/>
    <x v="10"/>
    <d v="2025-03-10T14:49:00"/>
    <d v="2025-03-10T16:46:00"/>
    <n v="114.56250000410364"/>
    <m/>
    <d v="2025-03-11T14:22:00"/>
    <d v="2025-03-11T15:05:00"/>
    <n v="42.104166670542327"/>
    <x v="0"/>
    <n v="1.875"/>
    <n v="2"/>
    <n v="0.125"/>
    <n v="45"/>
    <n v="12"/>
    <n v="33"/>
    <n v="4.6545454545454543"/>
    <m/>
    <m/>
    <m/>
    <m/>
    <m/>
  </r>
  <r>
    <d v="2025-03-11T00:00:00"/>
    <x v="2"/>
    <s v="KESH"/>
    <s v="A21340"/>
    <s v="Manual"/>
    <s v="Ntumwa Solomon"/>
    <s v="UBR 540W"/>
    <s v="Kato Investment Ltd -Mityana"/>
    <n v="148.80000000000001"/>
    <s v="A21340"/>
    <s v="OM"/>
    <n v="690"/>
    <n v="693"/>
    <n v="3"/>
    <m/>
    <d v="2025-03-11T10:24:00"/>
    <d v="2025-03-09T20:25:00"/>
    <d v="2025-03-11T10:46:00"/>
    <n v="2290.3472222208316"/>
    <n v="21.89814814652588"/>
    <x v="0"/>
    <d v="2025-03-11T10:04:00"/>
    <d v="2025-03-11T13:41:00"/>
    <n v="212.47916667191021"/>
    <s v="truck faulty"/>
    <d v="2025-03-11T20:05:00"/>
    <d v="2025-03-11T20:58:00"/>
    <n v="51.895833338348893"/>
    <x v="0"/>
    <n v="0.38819444444379769"/>
    <n v="3"/>
    <n v="2.6118055555562023"/>
    <n v="9.3166666666511446"/>
    <n v="0"/>
    <n v="9.3166666666511446"/>
    <n v="15.971377459776162"/>
    <m/>
    <m/>
    <m/>
    <m/>
    <m/>
  </r>
  <r>
    <d v="2025-03-11T00:00:00"/>
    <x v="2"/>
    <s v="KESH"/>
    <s v="A21339"/>
    <s v="Manual"/>
    <s v="Kabanda Ronald"/>
    <s v="UBE 684K"/>
    <s v="Kato Investments Ltd- Kakumiro"/>
    <n v="54.6"/>
    <s v="A21339"/>
    <s v="OM"/>
    <n v="790"/>
    <n v="793"/>
    <n v="3"/>
    <m/>
    <d v="2025-03-10T07:20:00"/>
    <d v="2025-03-08T20:05:00"/>
    <d v="2025-03-10T07:49:00"/>
    <n v="2134.0740740743058"/>
    <n v="28.865740740972495"/>
    <x v="0"/>
    <d v="2025-03-12T16:02:00"/>
    <d v="2025-03-12T18:07:00"/>
    <n v="122.39583333219343"/>
    <m/>
    <d v="2025-03-11T20:40:00"/>
    <d v="2025-03-11T21:22:00"/>
    <n v="41.12500000068394"/>
    <x v="0"/>
    <n v="1.5354166666656965"/>
    <n v="3"/>
    <n v="1.4645833333343035"/>
    <n v="36.849999999976717"/>
    <n v="12"/>
    <n v="24.849999999976717"/>
    <n v="2.1971830985936078"/>
    <m/>
    <m/>
    <m/>
    <m/>
    <m/>
  </r>
  <r>
    <d v="2025-03-11T00:00:00"/>
    <x v="2"/>
    <s v="KESH"/>
    <s v="Z83017"/>
    <s v="Manual"/>
    <s v="kayanja Sam"/>
    <s v="UBF 379L"/>
    <s v="Kabaco U Ltd "/>
    <n v="6.3"/>
    <s v="Z83017"/>
    <s v="OM"/>
    <n v="320"/>
    <n v="323"/>
    <n v="3"/>
    <m/>
    <d v="2025-03-09T10:54:00"/>
    <d v="2025-03-09T02:46:00"/>
    <d v="2025-03-09T11:21:00"/>
    <n v="512.61574074305827"/>
    <n v="26.87500000417155"/>
    <x v="0"/>
    <d v="2025-03-11T12:33:00"/>
    <d v="2025-03-11T14:19:00"/>
    <n v="103.79166666643869"/>
    <m/>
    <d v="2025-03-11T20:05:00"/>
    <d v="2025-03-11T21:03:00"/>
    <n v="56.791666667122627"/>
    <x v="0"/>
    <n v="2.3638888888890506"/>
    <n v="2"/>
    <n v="-0.36388888888905058"/>
    <n v="56.733333333337214"/>
    <n v="24"/>
    <n v="32.733333333337214"/>
    <n v="0.19246435845211568"/>
    <m/>
    <m/>
    <m/>
    <m/>
    <m/>
  </r>
  <r>
    <d v="2025-03-11T00:00:00"/>
    <x v="2"/>
    <s v="KESH"/>
    <s v="Z83016"/>
    <s v="Manual"/>
    <s v="Mudunga Musa"/>
    <s v="UBE 678K"/>
    <s v="Kabaco U Ltd "/>
    <n v="156"/>
    <s v="Z83016"/>
    <s v="OM"/>
    <n v="320"/>
    <n v="162"/>
    <n v="-158"/>
    <m/>
    <d v="2025-03-08T14:33:00"/>
    <d v="2025-03-08T14:00:00"/>
    <d v="2025-03-08T15:02:00"/>
    <n v="61.712962955546878"/>
    <n v="28.865740740972495"/>
    <x v="0"/>
    <d v="2025-03-11T06:55:00"/>
    <d v="2025-03-11T10:30:00"/>
    <n v="210.52083333219343"/>
    <s v="Waited for empties from trade"/>
    <d v="2025-03-11T20:05:00"/>
    <d v="2025-03-11T21:01:00"/>
    <n v="54.833333337664953"/>
    <x v="0"/>
    <n v="3.2104166666686069"/>
    <n v="2"/>
    <n v="-1.2104166666686069"/>
    <n v="77.050000000046566"/>
    <n v="36"/>
    <n v="41.050000000046566"/>
    <n v="3.800243605355007"/>
    <m/>
    <m/>
    <m/>
    <m/>
    <m/>
  </r>
  <r>
    <d v="2025-03-11T00:00:00"/>
    <x v="2"/>
    <s v="KESH"/>
    <s v="Z83018"/>
    <s v="Manual"/>
    <s v="ZIWA ABASI"/>
    <s v="UBJ 420C"/>
    <s v="Kabaco U Ltd "/>
    <n v="156"/>
    <s v="Z83018"/>
    <s v="OM"/>
    <n v="320"/>
    <n v="317"/>
    <n v="-3"/>
    <m/>
    <d v="2025-03-08T11:06:00"/>
    <d v="2025-03-08T14:52:00"/>
    <d v="2025-03-08T11:59:00"/>
    <n v="-172.19907407222004"/>
    <n v="52.75462963472819"/>
    <x v="0"/>
    <d v="2025-03-11T08:35:00"/>
    <d v="2025-03-11T11:01:00"/>
    <n v="142.95833332740585"/>
    <m/>
    <d v="2025-03-10T20:40:00"/>
    <d v="2025-03-10T21:55:00"/>
    <n v="73.4375000034197"/>
    <x v="4"/>
    <n v="2.3618055555562023"/>
    <n v="2"/>
    <n v="-0.36180555555620231"/>
    <n v="56.683333333348855"/>
    <n v="24"/>
    <n v="32.683333333348855"/>
    <n v="4.7730749617519406"/>
    <m/>
    <m/>
    <m/>
    <m/>
    <m/>
  </r>
  <r>
    <d v="2025-03-11T00:00:00"/>
    <x v="2"/>
    <s v="KESH"/>
    <s v="F16055"/>
    <s v="Manual"/>
    <m/>
    <s v="UBP 998T"/>
    <s v="Boniface Harera"/>
    <n v="156"/>
    <s v="F16055"/>
    <s v="OM"/>
    <n v="448"/>
    <n v="444"/>
    <n v="-4"/>
    <m/>
    <d v="2025-03-08T11:48:00"/>
    <d v="2025-03-08T19:03:00"/>
    <d v="2025-03-08T12:16:00"/>
    <n v="-405.11574073680094"/>
    <n v="27.870370367357584"/>
    <x v="0"/>
    <d v="2025-03-11T16:46:00"/>
    <d v="2025-03-11T19:04:00"/>
    <n v="135.12499999931606"/>
    <m/>
    <d v="2025-03-10T19:27:00"/>
    <d v="2025-03-10T20:10:00"/>
    <n v="42.104166670542327"/>
    <x v="0"/>
    <n v="2.2993055555562023"/>
    <n v="2"/>
    <n v="-0.29930555555620231"/>
    <n v="55.183333333348855"/>
    <n v="24"/>
    <n v="31.183333333348855"/>
    <n v="5.0026723677153075"/>
    <m/>
    <m/>
    <m/>
    <m/>
    <m/>
  </r>
  <r>
    <d v="2025-03-11T00:00:00"/>
    <x v="2"/>
    <s v="KESH"/>
    <s v="Z83013"/>
    <s v="Manual"/>
    <s v="Nminya Siraje"/>
    <s v="UBP 301H"/>
    <s v="Kobusinge Acaali- Kyenjojo"/>
    <n v="156"/>
    <s v="Z83013"/>
    <s v="OM"/>
    <n v="580"/>
    <n v="578"/>
    <n v="-2"/>
    <m/>
    <d v="2025-03-08T19:28:00"/>
    <d v="2025-03-09T05:52:00"/>
    <d v="2025-03-08T20:21:00"/>
    <n v="-568.3564814777734"/>
    <n v="52.75462963472819"/>
    <x v="0"/>
    <d v="2025-03-11T10:37:00"/>
    <d v="2025-03-11T12:42:00"/>
    <n v="122.39583333219343"/>
    <m/>
    <d v="2025-03-10T19:27:00"/>
    <d v="2025-03-10T20:18:00"/>
    <n v="49.93749999863212"/>
    <x v="0"/>
    <n v="1.9625000000014552"/>
    <n v="2"/>
    <n v="3.7499999998544808E-2"/>
    <n v="47.100000000034925"/>
    <n v="12"/>
    <n v="35.100000000034925"/>
    <n v="4.4444444444400224"/>
    <m/>
    <m/>
    <m/>
    <m/>
    <m/>
  </r>
  <r>
    <d v="2025-03-11T00:00:00"/>
    <x v="2"/>
    <s v="KESH"/>
    <s v="A21338"/>
    <s v="Manual"/>
    <s v="Faruk Abel"/>
    <s v="UBR 539W"/>
    <s v="Kato Investment Ltd -Kagadi"/>
    <n v="39"/>
    <s v="A21338"/>
    <s v="OM"/>
    <n v="670"/>
    <n v="674"/>
    <n v="4"/>
    <m/>
    <d v="2025-03-11T08:42:00"/>
    <d v="2025-03-09T11:00:00"/>
    <d v="2025-03-11T09:08:00"/>
    <n v="2755.1851851868073"/>
    <n v="25.879629630556639"/>
    <x v="0"/>
    <d v="2025-03-12T13:06:00"/>
    <d v="2025-03-12T19:58:00"/>
    <n v="403.41666666849051"/>
    <s v="Reached late and offloaded the next day"/>
    <d v="2025-03-11T11:32:00"/>
    <d v="2025-03-11T12:28:00"/>
    <n v="54.833333337664953"/>
    <x v="0"/>
    <n v="9.9999999998544808E-2"/>
    <n v="2"/>
    <n v="1.9000000000014552"/>
    <n v="2.3999999999650754"/>
    <n v="0"/>
    <n v="2.3999999999650754"/>
    <n v="16.250000000236469"/>
    <m/>
    <m/>
    <m/>
    <m/>
    <m/>
  </r>
  <r>
    <d v="2025-03-11T00:00:00"/>
    <x v="2"/>
    <s v="KESH"/>
    <s v="A21353"/>
    <s v="Manual"/>
    <s v="Nakalya John"/>
    <s v="UBM 648D"/>
    <s v="Sawan Distributors Ltd-Nabingo"/>
    <n v="156"/>
    <s v="A21353"/>
    <s v="OM"/>
    <n v="560"/>
    <n v="557"/>
    <n v="-3"/>
    <m/>
    <d v="2025-03-10T09:31:00"/>
    <d v="2025-03-09T13:00:00"/>
    <d v="2025-03-10T10:23:00"/>
    <n v="1277.0601851868075"/>
    <n v="51.759259261113279"/>
    <x v="0"/>
    <d v="2025-03-12T10:22:00"/>
    <d v="2025-03-12T13:24:00"/>
    <n v="178.20833333971677"/>
    <m/>
    <d v="2025-03-12T08:25:00"/>
    <d v="2025-03-12T09:21:00"/>
    <n v="54.833333337664953"/>
    <x v="0"/>
    <n v="1.9180555555576575"/>
    <n v="2"/>
    <n v="8.1944444442342501E-2"/>
    <n v="46.03333333338378"/>
    <n v="12"/>
    <n v="34.03333333338378"/>
    <n v="4.5837414299638226"/>
    <m/>
    <m/>
    <m/>
    <m/>
    <m/>
  </r>
  <r>
    <d v="2025-03-11T00:00:00"/>
    <x v="2"/>
    <s v="NBL"/>
    <s v="OMAIF00RR"/>
    <s v="DJ"/>
    <s v="Stephen Musoke "/>
    <s v="UBJ 375N"/>
    <s v="KATO INVESTMENTS LIMITED-MASAK "/>
    <n v="153.6"/>
    <m/>
    <s v="OM"/>
    <n v="298"/>
    <n v="295"/>
    <n v="-3"/>
    <m/>
    <d v="2025-03-11T18:05:00"/>
    <d v="2025-03-11T04:14:00"/>
    <d v="2025-03-11T18:26:00"/>
    <n v="848.05555555625085"/>
    <n v="20.902777772910969"/>
    <x v="0"/>
    <d v="2025-03-12T10:22:00"/>
    <d v="2025-03-12T13:24:00"/>
    <n v="178.20833333971677"/>
    <m/>
    <d v="2025-03-13T17:41:00"/>
    <d v="2025-03-13T18:22:00"/>
    <n v="40.145833330825553"/>
    <x v="0"/>
    <n v="1.96875"/>
    <n v="2"/>
    <n v="3.125E-2"/>
    <n v="47.25"/>
    <n v="12"/>
    <n v="35.25"/>
    <n v="4.3574468085106384"/>
    <m/>
    <m/>
    <m/>
    <m/>
    <m/>
  </r>
  <r>
    <d v="2025-03-11T00:00:00"/>
    <x v="2"/>
    <s v="NBL"/>
    <s v="OMB59V1RR"/>
    <s v="DJ"/>
    <s v="Mugisha  George"/>
    <s v="UAV 203T"/>
    <s v="Ntale and Sons"/>
    <n v="153.6"/>
    <m/>
    <s v="OM"/>
    <n v="810"/>
    <n v="809"/>
    <n v="-1"/>
    <m/>
    <d v="2025-03-11T06:16:00"/>
    <d v="2025-03-10T21:00:00"/>
    <d v="2025-03-11T06:43:00"/>
    <n v="580.30092592986568"/>
    <n v="26.87500000417155"/>
    <x v="0"/>
    <d v="2025-03-11T18:19:00"/>
    <d v="2025-03-12T13:34:00"/>
    <n v="1130.9375000034197"/>
    <s v="Waited for empties from trade"/>
    <d v="2025-03-12T17:41:00"/>
    <d v="2025-03-12T18:37:00"/>
    <n v="54.833333337664953"/>
    <x v="0"/>
    <n v="1.4569444444423425"/>
    <n v="3"/>
    <n v="1.5430555555576575"/>
    <n v="34.96666666661622"/>
    <n v="12"/>
    <n v="22.96666666661622"/>
    <n v="6.6879535558927738"/>
    <m/>
    <m/>
    <m/>
    <m/>
    <m/>
  </r>
  <r>
    <d v="2025-03-12T00:00:00"/>
    <x v="2"/>
    <s v="KESH"/>
    <s v="Z83021"/>
    <s v="Manual"/>
    <s v="kakembo Masudi"/>
    <s v="UBM 644D"/>
    <s v="Kobusinge Steven-Kamwenge"/>
    <n v="156"/>
    <s v="Z83021"/>
    <s v="OM"/>
    <n v="288"/>
    <n v="287"/>
    <n v="-1"/>
    <m/>
    <d v="2025-03-10T08:57:00"/>
    <d v="2025-03-09T17:00:00"/>
    <d v="2025-03-10T09:19:00"/>
    <n v="974.46759258818929"/>
    <n v="21.89814814652588"/>
    <x v="0"/>
    <d v="2025-03-12T20:13:00"/>
    <d v="2025-03-13T13:22:00"/>
    <n v="1007.5624999911088"/>
    <s v="Dj failure at customer"/>
    <d v="2025-03-12T17:41:00"/>
    <d v="2025-03-12T18:22:00"/>
    <n v="40.145833330825553"/>
    <x v="0"/>
    <n v="2.3486111111124046"/>
    <n v="2"/>
    <n v="-0.34861111111240461"/>
    <n v="56.366666666697711"/>
    <n v="24"/>
    <n v="32.366666666697711"/>
    <n v="4.8197734294495485"/>
    <m/>
    <m/>
    <m/>
    <m/>
    <m/>
  </r>
  <r>
    <d v="2025-03-12T00:00:00"/>
    <x v="2"/>
    <s v="KESH"/>
    <s v="Z83022"/>
    <s v="Manual"/>
    <m/>
    <s v="UBJ 421C"/>
    <s v="Kobusinge Steven-Kamwenge"/>
    <n v="156"/>
    <s v="Z83022"/>
    <s v="OM"/>
    <n v="288"/>
    <n v="292"/>
    <n v="4"/>
    <m/>
    <d v="2025-03-10T08:09:00"/>
    <d v="2025-03-10T07:42:00"/>
    <d v="2025-03-10T08:35:00"/>
    <n v="52.75462963472819"/>
    <n v="25.879629630556639"/>
    <x v="0"/>
    <d v="2025-03-12T12:03:00"/>
    <d v="2025-03-12T14:31:00"/>
    <n v="144.91666666712263"/>
    <m/>
    <d v="2025-03-12T18:43:00"/>
    <d v="2025-03-12T19:41:00"/>
    <n v="56.791666667122627"/>
    <x v="0"/>
    <n v="2.422222222223354"/>
    <n v="2"/>
    <n v="-0.42222222222335404"/>
    <n v="58.133333333360497"/>
    <n v="24"/>
    <n v="34.133333333360497"/>
    <n v="4.5703124999963629"/>
    <m/>
    <m/>
    <m/>
    <m/>
    <m/>
  </r>
  <r>
    <d v="2025-03-12T00:00:00"/>
    <x v="2"/>
    <s v="KESH"/>
    <s v="A21362"/>
    <s v="Manual"/>
    <m/>
    <s v="UBE 692K"/>
    <s v="Kato Investments Ltd- Kyegegwa"/>
    <n v="21.6"/>
    <s v="A21362"/>
    <s v="OM"/>
    <n v="600"/>
    <n v="597"/>
    <n v="-3"/>
    <m/>
    <d v="2025-03-09T16:53:00"/>
    <d v="2025-03-10T03:43:00"/>
    <d v="2025-03-09T17:22:00"/>
    <n v="-618.12500000208581"/>
    <n v="28.865740740972495"/>
    <x v="0"/>
    <d v="2025-03-13T12:17:00"/>
    <d v="2025-03-13T15:04:00"/>
    <n v="163.52083333287737"/>
    <m/>
    <d v="2025-03-12T18:43:00"/>
    <d v="2025-03-12T19:40:00"/>
    <n v="55.81249999726424"/>
    <x v="0"/>
    <n v="3.0562500000014552"/>
    <n v="2"/>
    <n v="-1.0562500000014552"/>
    <n v="73.350000000034925"/>
    <n v="36"/>
    <n v="37.350000000034925"/>
    <n v="0.57831325301150749"/>
    <m/>
    <m/>
    <m/>
    <m/>
    <m/>
  </r>
  <r>
    <d v="2025-03-12T00:00:00"/>
    <x v="2"/>
    <s v="KESH"/>
    <s v="Z83023"/>
    <s v="Manual"/>
    <m/>
    <s v="UBR 864Y"/>
    <s v="Kobusinge Steven-FPortal"/>
    <n v="156"/>
    <s v="Z83023"/>
    <s v="OM"/>
    <n v="304"/>
    <n v="307"/>
    <n v="3"/>
    <m/>
    <d v="2025-03-11T18:09:00"/>
    <d v="2025-03-10T22:25:00"/>
    <d v="2025-03-11T18:37:00"/>
    <n v="1206.3888888791553"/>
    <n v="27.870370367357584"/>
    <x v="0"/>
    <d v="2025-03-12T17:38:00"/>
    <d v="2025-03-12T20:23:00"/>
    <n v="161.5625000034197"/>
    <m/>
    <d v="2025-03-12T18:43:00"/>
    <d v="2025-03-12T19:39:00"/>
    <n v="54.833333337664953"/>
    <x v="0"/>
    <n v="1.0041666666729725"/>
    <n v="2"/>
    <n v="0.9958333333270275"/>
    <n v="24.10000000015134"/>
    <n v="12"/>
    <n v="12.10000000015134"/>
    <n v="12.892561983309822"/>
    <m/>
    <m/>
    <m/>
    <m/>
    <m/>
  </r>
  <r>
    <d v="2025-03-12T00:00:00"/>
    <x v="2"/>
    <s v="KESH"/>
    <s v="Z83025"/>
    <s v="Manual"/>
    <s v="SENTONG DAVID"/>
    <s v="UBP 298H"/>
    <s v="Kobusinge Steven-FPortal"/>
    <n v="156"/>
    <s v="Z83025"/>
    <s v="OM"/>
    <n v="304"/>
    <n v="301"/>
    <n v="-3"/>
    <m/>
    <d v="2025-03-11T05:50:00"/>
    <d v="2025-03-10T21:00:00"/>
    <d v="2025-03-11T06:43:00"/>
    <n v="580.30092592986568"/>
    <n v="52.75462963472819"/>
    <x v="9"/>
    <d v="2025-03-12T07:21:00"/>
    <d v="2025-03-12T12:54:00"/>
    <n v="326.06249999589636"/>
    <s v="slept at the RD and offloaded the next day"/>
    <d v="2025-03-13T08:48:00"/>
    <d v="2025-03-13T09:29:00"/>
    <n v="40.145833330825553"/>
    <x v="0"/>
    <n v="2.0868055555547471"/>
    <n v="2"/>
    <n v="-8.6805555554747116E-2"/>
    <n v="50.083333333313931"/>
    <n v="24"/>
    <n v="26.083333333313931"/>
    <n v="5.9808306709309669"/>
    <m/>
    <m/>
    <m/>
    <m/>
    <m/>
  </r>
  <r>
    <d v="2025-03-12T00:00:00"/>
    <x v="2"/>
    <s v="KESH"/>
    <s v="A21370"/>
    <s v="Manual"/>
    <m/>
    <s v="UBR 903Y"/>
    <s v="KATO INVESTMENTS LTD-KATIKARA"/>
    <n v="6.3"/>
    <s v="A21370"/>
    <s v="OM"/>
    <n v="790"/>
    <n v="786"/>
    <n v="-4"/>
    <m/>
    <d v="2025-03-11T08:09:00"/>
    <d v="2025-03-11T05:52:00"/>
    <d v="2025-03-11T08:35:00"/>
    <n v="162.24537037778646"/>
    <n v="25.879629630556639"/>
    <x v="0"/>
    <d v="2025-03-13T13:30:00"/>
    <d v="2025-03-13T15:37:00"/>
    <n v="124.35416666165111"/>
    <m/>
    <d v="2025-03-12T11:50:00"/>
    <d v="2025-03-12T12:47:00"/>
    <n v="55.81249999726424"/>
    <x v="0"/>
    <n v="1.1354166666642413"/>
    <n v="3"/>
    <n v="1.8645833333357587"/>
    <n v="27.249999999941792"/>
    <n v="12"/>
    <n v="15.249999999941792"/>
    <n v="0.41311475409993748"/>
    <m/>
    <m/>
    <m/>
    <m/>
    <m/>
  </r>
  <r>
    <d v="2025-03-12T00:00:00"/>
    <x v="2"/>
    <s v="KESH"/>
    <s v="A21371"/>
    <s v="Manual"/>
    <s v="Tsaale Hassan"/>
    <s v="UBJ 703D"/>
    <s v="Kato Investment Ltd -Mubende"/>
    <n v="156"/>
    <s v="A21371"/>
    <s v="OM"/>
    <n v="680"/>
    <n v="677"/>
    <n v="-3"/>
    <m/>
    <d v="2025-03-11T06:58:00"/>
    <d v="2025-03-11T07:40:00"/>
    <d v="2025-03-11T07:25:00"/>
    <n v="-14.930555552079264"/>
    <n v="26.87500000417155"/>
    <x v="0"/>
    <d v="2025-03-11T17:02:00"/>
    <d v="2025-03-12T10:56:00"/>
    <n v="1051.6250000013679"/>
    <s v="found another truck at the RD and offloaded the next day"/>
    <d v="2025-03-12T12:51:00"/>
    <d v="2025-03-12T13:47:00"/>
    <n v="54.833333337664953"/>
    <x v="0"/>
    <n v="1.226388888884685"/>
    <n v="3"/>
    <n v="1.773611111115315"/>
    <n v="29.43333333323244"/>
    <n v="12"/>
    <n v="17.43333333323244"/>
    <n v="8.9483747610460522"/>
    <m/>
    <m/>
    <m/>
    <m/>
    <m/>
  </r>
  <r>
    <d v="2025-03-12T00:00:00"/>
    <x v="2"/>
    <s v="KESH"/>
    <s v="A21373"/>
    <s v="Manual"/>
    <s v="Sentongo paul"/>
    <s v="UBR 541W"/>
    <s v="Kato Investment Ltd -Mityana"/>
    <n v="156"/>
    <s v="A21373"/>
    <s v="OM"/>
    <n v="690"/>
    <n v="687"/>
    <n v="-3"/>
    <m/>
    <d v="2025-03-10T10:33:00"/>
    <d v="2025-03-10T16:40:00"/>
    <d v="2025-03-10T11:00:00"/>
    <n v="-338.42592592360842"/>
    <n v="26.87500000417155"/>
    <x v="0"/>
    <d v="2025-03-12T08:37:00"/>
    <d v="2025-03-12T12:27:00"/>
    <n v="225.20833333903283"/>
    <s v="found another truck at the RD"/>
    <d v="2025-03-12T13:04:00"/>
    <d v="2025-03-12T14:00:00"/>
    <n v="54.833333337664953"/>
    <x v="0"/>
    <n v="2.086111111108039"/>
    <n v="3"/>
    <n v="0.91388888889196096"/>
    <n v="50.066666666592937"/>
    <n v="24"/>
    <n v="26.066666666592937"/>
    <n v="5.9846547314747278"/>
    <m/>
    <m/>
    <m/>
    <m/>
    <m/>
  </r>
  <r>
    <d v="2025-03-12T00:00:00"/>
    <x v="2"/>
    <s v="KESH"/>
    <s v="A21372"/>
    <s v="Manual"/>
    <s v="Ngobi Fred"/>
    <s v="UBK 866R"/>
    <s v="Kato Investments Ltd- Kyegegwa"/>
    <n v="156"/>
    <s v="A21372"/>
    <s v="OM"/>
    <n v="600"/>
    <n v="598"/>
    <n v="-2"/>
    <m/>
    <d v="2025-03-10T15:05:00"/>
    <d v="2025-03-11T05:46:00"/>
    <d v="2025-03-10T15:34:00"/>
    <n v="-848.05555555625085"/>
    <n v="28.865740740972495"/>
    <x v="0"/>
    <d v="2025-03-12T12:06:00"/>
    <d v="2025-03-12T15:38:00"/>
    <n v="207.58333333287737"/>
    <s v="Waited for empties from trade"/>
    <d v="2025-03-13T10:00:00"/>
    <d v="2025-03-13T10:41:00"/>
    <n v="40.145833330825553"/>
    <x v="0"/>
    <n v="2.7680555555562023"/>
    <n v="3"/>
    <n v="0.23194444444379769"/>
    <n v="66.433333333348855"/>
    <n v="24"/>
    <n v="42.433333333348855"/>
    <n v="3.6763550667700615"/>
    <m/>
    <m/>
    <m/>
    <m/>
    <m/>
  </r>
  <r>
    <d v="2025-03-12T00:00:00"/>
    <x v="2"/>
    <s v="NBL"/>
    <s v="OMLTVKTRR"/>
    <s v="DJ"/>
    <s v="Abel Mark naffa"/>
    <s v="UBJ 415C"/>
    <s v="Kabaco U Ltd-Mbarara "/>
    <n v="153.6"/>
    <m/>
    <s v="OM"/>
    <n v="20"/>
    <n v="17"/>
    <n v="-3"/>
    <m/>
    <d v="2025-03-12T08:20:00"/>
    <d v="2025-03-12T10:00:00"/>
    <d v="2025-03-12T08:46:00"/>
    <n v="-73.657407407639155"/>
    <n v="25.879629630556639"/>
    <x v="0"/>
    <d v="2025-03-12T16:03:00"/>
    <d v="2025-03-12T18:13:00"/>
    <n v="127.29166667122627"/>
    <m/>
    <d v="2025-03-12T16:43:00"/>
    <d v="2025-03-12T17:39:00"/>
    <n v="54.833333337664953"/>
    <x v="0"/>
    <n v="0.33125000000291038"/>
    <n v="1"/>
    <n v="0.66874999999708962"/>
    <n v="7.9500000000698492"/>
    <n v="0"/>
    <n v="7.9500000000698492"/>
    <n v="19.320754716811379"/>
    <m/>
    <m/>
    <m/>
    <m/>
    <m/>
  </r>
  <r>
    <d v="2025-03-12T00:00:00"/>
    <x v="2"/>
    <s v="NBL"/>
    <s v="OMQOK5MRR"/>
    <s v="DJ"/>
    <s v="James  Kironde"/>
    <s v="UBK 881R"/>
    <s v="KATO INVESTMENTS LIMITED-MASAK "/>
    <n v="153.6"/>
    <m/>
    <s v="OM"/>
    <n v="298"/>
    <n v="297"/>
    <n v="-1"/>
    <m/>
    <d v="2025-03-11T20:28:00"/>
    <d v="2025-03-12T08:00:00"/>
    <d v="2025-03-11T20:55:00"/>
    <n v="-661.92129629513749"/>
    <n v="26.87500000417155"/>
    <x v="0"/>
    <d v="2025-03-12T12:06:00"/>
    <d v="2025-03-12T15:38:00"/>
    <n v="207.58333333287737"/>
    <s v="Reached late and offloaded the next day"/>
    <d v="2025-03-13T10:00:00"/>
    <d v="2025-03-13T10:56:00"/>
    <n v="54.833333337664953"/>
    <x v="0"/>
    <n v="1.5451388888832298"/>
    <n v="2"/>
    <n v="0.45486111111677019"/>
    <n v="37.083333333197515"/>
    <n v="12"/>
    <n v="25.083333333197515"/>
    <n v="6.1235880399002669"/>
    <m/>
    <m/>
    <m/>
    <m/>
    <m/>
  </r>
  <r>
    <d v="2025-03-12T00:00:00"/>
    <x v="2"/>
    <s v="NBL"/>
    <s v="OMMB4GSRR"/>
    <s v="DJ"/>
    <s v="Isaac Tumuhimbise"/>
    <s v="UBE 287X"/>
    <s v="Kabaco U Ltd-Mbarara "/>
    <n v="153.6"/>
    <m/>
    <s v="OM"/>
    <n v="20"/>
    <n v="17"/>
    <n v="-3"/>
    <m/>
    <d v="2025-03-11T20:19:00"/>
    <d v="2025-03-12T10:00:00"/>
    <d v="2025-03-11T20:45:00"/>
    <n v="-791.31944443749182"/>
    <n v="25.879629630556639"/>
    <x v="0"/>
    <d v="2025-03-12T08:37:00"/>
    <d v="2025-03-12T12:27:00"/>
    <n v="225.20833333903283"/>
    <s v="Waited for empties from trade"/>
    <d v="2025-03-12T13:04:00"/>
    <d v="2025-03-12T13:45:00"/>
    <n v="40.145833330825553"/>
    <x v="0"/>
    <n v="0.67986111110803904"/>
    <n v="1"/>
    <n v="0.32013888889196096"/>
    <n v="16.316666666592937"/>
    <n v="0"/>
    <n v="16.316666666592937"/>
    <n v="9.413687436201883"/>
    <m/>
    <m/>
    <m/>
    <m/>
    <m/>
  </r>
  <r>
    <d v="2025-03-13T00:00:00"/>
    <x v="2"/>
    <s v="KESH"/>
    <s v="A21386"/>
    <s v="Manual"/>
    <m/>
    <s v="UBR 863Y"/>
    <s v="Kato Investments Ltd- Kakumiro"/>
    <n v="5.04"/>
    <s v="A21386"/>
    <s v="OM"/>
    <n v="790"/>
    <n v="788"/>
    <n v="-2"/>
    <m/>
    <d v="2025-03-11T15:22:00"/>
    <d v="2025-03-11T14:31:00"/>
    <d v="2025-03-11T15:48:00"/>
    <n v="76.643518518055018"/>
    <n v="25.879629630556639"/>
    <x v="0"/>
    <d v="2025-03-12T16:36:00"/>
    <d v="2025-03-12T18:27:00"/>
    <n v="108.68750000547152"/>
    <m/>
    <d v="2025-03-13T16:56:00"/>
    <d v="2025-03-13T17:52:00"/>
    <n v="54.833333337664953"/>
    <x v="0"/>
    <n v="2.047222222223354"/>
    <n v="3"/>
    <n v="0.95277777777664596"/>
    <n v="49.133333333360497"/>
    <n v="24"/>
    <n v="25.133333333360497"/>
    <n v="0.20053050397856312"/>
    <m/>
    <m/>
    <m/>
    <m/>
    <m/>
  </r>
  <r>
    <d v="2025-03-13T00:00:00"/>
    <x v="2"/>
    <s v="KESH"/>
    <s v="Z83037"/>
    <s v="Manual"/>
    <m/>
    <s v="UBJ 423C"/>
    <s v="Kobusinge Steven-Kamwenge"/>
    <n v="5.04"/>
    <s v="Z83037"/>
    <s v="OM"/>
    <n v="288"/>
    <n v="292"/>
    <n v="4"/>
    <m/>
    <d v="2025-03-10T12:24:00"/>
    <d v="2025-03-10T12:22:00"/>
    <d v="2025-03-10T12:50:00"/>
    <n v="27.870370367357584"/>
    <n v="25.879629630556639"/>
    <x v="0"/>
    <d v="2025-03-13T07:28:00"/>
    <d v="2025-03-13T13:09:00"/>
    <n v="333.89583333424525"/>
    <s v="Reached late and offloaded the next day"/>
    <d v="2025-03-13T06:43:00"/>
    <d v="2025-03-13T07:24:00"/>
    <n v="40.145833330825553"/>
    <x v="0"/>
    <n v="2.7451388888948713"/>
    <n v="2"/>
    <n v="-0.74513888889487134"/>
    <n v="65.883333333476912"/>
    <n v="24"/>
    <n v="41.883333333476912"/>
    <n v="0.1203342618380276"/>
    <m/>
    <m/>
    <m/>
    <m/>
    <m/>
  </r>
  <r>
    <d v="2025-03-13T00:00:00"/>
    <x v="2"/>
    <s v="KESH"/>
    <s v="A21395"/>
    <s v="Manual"/>
    <s v="Malinzi Awali"/>
    <s v="UBR 880Y"/>
    <s v="KATO INVESTMENTS LTD-KATIKARA"/>
    <n v="156"/>
    <s v="A21395"/>
    <s v="OM"/>
    <n v="790"/>
    <n v="789"/>
    <n v="-1"/>
    <m/>
    <d v="2025-03-11T17:35:00"/>
    <d v="2025-03-11T17:50:00"/>
    <d v="2025-03-11T18:01:00"/>
    <n v="10.949074078477375"/>
    <n v="25.879629630556639"/>
    <x v="0"/>
    <d v="2025-03-13T10:42:00"/>
    <d v="2025-03-13T12:55:00"/>
    <n v="130.22916667054233"/>
    <m/>
    <d v="2025-03-13T15:37:00"/>
    <d v="2025-03-13T16:34:00"/>
    <n v="55.81249999726424"/>
    <x v="0"/>
    <n v="1.8999999999941792"/>
    <n v="3"/>
    <n v="1.1000000000058208"/>
    <n v="45.599999999860302"/>
    <n v="12"/>
    <n v="33.599999999860302"/>
    <n v="4.642857142876446"/>
    <m/>
    <m/>
    <m/>
    <m/>
    <m/>
  </r>
  <r>
    <d v="2025-03-13T00:00:00"/>
    <x v="2"/>
    <s v="KESH"/>
    <s v="A21384"/>
    <s v="Manual"/>
    <s v="Eriku Alipa"/>
    <s v="UBK 858R"/>
    <s v="KATO INVESTMENTS LTD-KATIKARA"/>
    <n v="5.04"/>
    <s v="A21384"/>
    <s v="OM"/>
    <n v="790"/>
    <n v="787"/>
    <n v="-3"/>
    <m/>
    <d v="2025-03-12T17:07:00"/>
    <d v="2025-03-12T16:25:00"/>
    <d v="2025-03-12T18:00:00"/>
    <n v="94.560185180550135"/>
    <n v="52.75462963472819"/>
    <x v="12"/>
    <d v="2025-03-13T10:54:00"/>
    <d v="2025-03-13T12:33:00"/>
    <n v="96.93749999794818"/>
    <m/>
    <d v="2025-03-13T15:55:00"/>
    <d v="2025-03-13T16:36:00"/>
    <n v="40.145833330825553"/>
    <x v="0"/>
    <n v="0.91319444444525288"/>
    <n v="3"/>
    <n v="2.0868055555547471"/>
    <n v="21.916666666686069"/>
    <n v="0"/>
    <n v="21.916666666686069"/>
    <n v="0.2299619771861082"/>
    <m/>
    <m/>
    <m/>
    <m/>
    <m/>
  </r>
  <r>
    <d v="2025-03-13T00:00:00"/>
    <x v="2"/>
    <s v="KESH"/>
    <s v="A21400"/>
    <s v="Manual"/>
    <m/>
    <s v="UBR 900Y"/>
    <s v="Kato Investment Ltd -Mityana"/>
    <n v="156"/>
    <s v="A21400"/>
    <s v="OM"/>
    <n v="690"/>
    <n v="688"/>
    <n v="-2"/>
    <m/>
    <d v="2025-03-11T13:25:00"/>
    <d v="2025-03-11T13:42:00"/>
    <d v="2025-03-11T13:54:00"/>
    <n v="11.944444441663412"/>
    <n v="28.865740740972495"/>
    <x v="0"/>
    <d v="2025-03-12T16:30:00"/>
    <d v="2025-03-13T10:37:00"/>
    <n v="1064.3541666684905"/>
    <s v="found another truck to be offloaded"/>
    <d v="2025-03-13T07:11:00"/>
    <d v="2025-03-13T08:11:00"/>
    <n v="58.7499999965803"/>
    <x v="0"/>
    <n v="1.7201388888861402"/>
    <n v="3"/>
    <n v="1.2798611111138598"/>
    <n v="41.283333333267365"/>
    <n v="12"/>
    <n v="29.283333333267365"/>
    <n v="5.3272623790672089"/>
    <m/>
    <m/>
    <m/>
    <m/>
    <m/>
  </r>
  <r>
    <d v="2025-03-13T00:00:00"/>
    <x v="2"/>
    <s v="KESH"/>
    <s v="F16062"/>
    <s v="Manual"/>
    <s v="Bwanga Gilbert"/>
    <s v="UBK 862R"/>
    <s v="Boniface Harera"/>
    <n v="78"/>
    <s v="F16062"/>
    <s v="OM"/>
    <n v="448"/>
    <n v="447"/>
    <n v="-1"/>
    <m/>
    <d v="2025-03-12T07:16:00"/>
    <d v="2025-03-12T07:24:00"/>
    <d v="2025-03-12T07:43:00"/>
    <n v="18.912037036110025"/>
    <n v="26.87500000417155"/>
    <x v="0"/>
    <d v="2025-03-12T15:30:00"/>
    <d v="2025-03-12T17:51:00"/>
    <n v="138.06249999863212"/>
    <m/>
    <d v="2025-03-13T16:30:00"/>
    <d v="2025-03-13T17:26:00"/>
    <n v="54.833333337664953"/>
    <x v="0"/>
    <n v="1.3659722222218988"/>
    <n v="2"/>
    <n v="0.63402777777810115"/>
    <n v="32.783333333325572"/>
    <n v="12"/>
    <n v="20.783333333325572"/>
    <n v="3.7530072173229732"/>
    <m/>
    <m/>
    <m/>
    <m/>
    <m/>
  </r>
  <r>
    <d v="2025-03-13T00:00:00"/>
    <x v="2"/>
    <s v="KESH"/>
    <s v="Z83039"/>
    <s v="Manual"/>
    <m/>
    <s v="UBP 294H"/>
    <s v="Kobusinge Acaali- Kyenjojo"/>
    <n v="6.3"/>
    <s v="Z83039"/>
    <s v="OM"/>
    <n v="580"/>
    <n v="577"/>
    <n v="-3"/>
    <m/>
    <d v="2025-03-11T13:43:00"/>
    <d v="2025-03-11T12:35:00"/>
    <d v="2025-03-11T14:10:00"/>
    <n v="94.560185180550135"/>
    <n v="26.87500000417155"/>
    <x v="0"/>
    <d v="2025-03-13T15:51:00"/>
    <d v="2025-03-13T17:39:00"/>
    <n v="105.75000000615546"/>
    <m/>
    <d v="2025-03-13T17:16:00"/>
    <d v="2025-03-13T18:14:00"/>
    <n v="56.791666667122627"/>
    <x v="0"/>
    <n v="2.1291666666656965"/>
    <n v="2"/>
    <n v="-0.12916666666569654"/>
    <n v="51.099999999976717"/>
    <n v="24"/>
    <n v="27.099999999976717"/>
    <n v="0.23247232472344695"/>
    <m/>
    <m/>
    <m/>
    <m/>
    <m/>
  </r>
  <r>
    <d v="2025-03-13T00:00:00"/>
    <x v="2"/>
    <s v="KESH"/>
    <s v="A21389"/>
    <s v="Manual"/>
    <s v="Ikwalikwa Yusuf"/>
    <s v="UBP 311H"/>
    <s v="Ntale and Sons Ltd-Kakiri"/>
    <n v="156"/>
    <s v="A21389"/>
    <s v="OM"/>
    <n v="620"/>
    <n v="619"/>
    <n v="-1"/>
    <m/>
    <d v="2025-03-12T08:19:00"/>
    <d v="2025-03-12T08:34:00"/>
    <d v="2025-03-12T08:46:00"/>
    <n v="11.944444441663412"/>
    <n v="26.87500000417155"/>
    <x v="0"/>
    <d v="2025-03-13T13:56:00"/>
    <d v="2025-03-13T18:02:00"/>
    <n v="240.87499999521242"/>
    <s v="slept at the RD and offloaded the next day"/>
    <d v="2025-03-13T16:56:00"/>
    <d v="2025-03-13T17:37:00"/>
    <n v="40.145833330825553"/>
    <x v="0"/>
    <n v="1.3402777777810115"/>
    <n v="3"/>
    <n v="1.6597222222189885"/>
    <n v="32.166666666744277"/>
    <n v="12"/>
    <n v="20.166666666744277"/>
    <n v="7.7355371900528747"/>
    <m/>
    <m/>
    <m/>
    <m/>
    <m/>
  </r>
  <r>
    <d v="2025-03-13T00:00:00"/>
    <x v="2"/>
    <s v="KESH"/>
    <s v="A21382"/>
    <s v="Manual"/>
    <s v="Taimwa Alex"/>
    <s v="UBJ 705D"/>
    <s v="Kato Investment Ltd -Mubende"/>
    <n v="156"/>
    <s v="A21382"/>
    <s v="OM"/>
    <n v="680"/>
    <n v="679"/>
    <n v="-1"/>
    <m/>
    <d v="2025-03-12T11:02:00"/>
    <d v="2025-03-12T11:18:00"/>
    <d v="2025-03-12T11:28:00"/>
    <n v="9.9537037048624679"/>
    <n v="25.879629630556639"/>
    <x v="0"/>
    <d v="2025-03-13T15:36:00"/>
    <d v="2025-03-13T19:58:00"/>
    <n v="256.54166666165111"/>
    <s v="found another truck at the RD"/>
    <d v="2025-03-13T06:43:00"/>
    <d v="2025-03-13T07:39:00"/>
    <n v="54.833333337664953"/>
    <x v="0"/>
    <n v="0.80208333333575865"/>
    <n v="3"/>
    <n v="2.1979166666642413"/>
    <n v="19.250000000058208"/>
    <n v="0"/>
    <n v="19.250000000058208"/>
    <n v="8.1038961038716"/>
    <m/>
    <m/>
    <m/>
    <m/>
    <m/>
  </r>
  <r>
    <d v="2025-03-13T00:00:00"/>
    <x v="2"/>
    <s v="KESH"/>
    <s v="A21394"/>
    <s v="Manual"/>
    <s v="Awali Malinzi"/>
    <s v="UBR 860Y"/>
    <s v="Kato Investment Ltd -Mubende"/>
    <n v="156"/>
    <s v="A21394"/>
    <s v="OM"/>
    <n v="680"/>
    <n v="679"/>
    <n v="-1"/>
    <m/>
    <d v="2025-03-12T18:12:00"/>
    <d v="2025-03-12T18:28:00"/>
    <d v="2025-03-12T18:38:00"/>
    <n v="9.9537037048624679"/>
    <n v="25.879629630556639"/>
    <x v="0"/>
    <d v="2025-03-13T07:28:00"/>
    <d v="2025-03-13T13:09:00"/>
    <n v="333.89583333424525"/>
    <s v="found another truck at the RD"/>
    <d v="2025-03-14T07:11:00"/>
    <d v="2025-03-14T07:52:00"/>
    <n v="40.145833330825553"/>
    <x v="0"/>
    <n v="1.5229166666686069"/>
    <n v="3"/>
    <n v="1.4770833333313931"/>
    <n v="36.550000000046566"/>
    <n v="12"/>
    <n v="24.550000000046566"/>
    <n v="6.3543788187252179"/>
    <m/>
    <m/>
    <m/>
    <m/>
    <m/>
  </r>
  <r>
    <d v="2025-03-13T00:00:00"/>
    <x v="2"/>
    <s v="KESH"/>
    <s v="A21392"/>
    <s v="Manual"/>
    <s v="Nminya Siraje"/>
    <s v="UBP 301H"/>
    <s v="Kato Investment Ltd -Mityana"/>
    <n v="78"/>
    <s v="A21392"/>
    <s v="OM"/>
    <n v="690"/>
    <n v="694"/>
    <n v="4"/>
    <m/>
    <d v="2025-03-12T15:26:00"/>
    <d v="2025-03-12T15:31:00"/>
    <d v="2025-03-12T15:52:00"/>
    <n v="20.902777772910969"/>
    <n v="25.879629630556639"/>
    <x v="0"/>
    <d v="2025-03-13T10:54:00"/>
    <d v="2025-03-13T12:33:00"/>
    <n v="96.93749999794818"/>
    <m/>
    <d v="2025-03-13T17:16:00"/>
    <d v="2025-03-13T17:57:00"/>
    <n v="40.145833330825553"/>
    <x v="0"/>
    <n v="1.0583333333343035"/>
    <n v="3"/>
    <n v="1.9416666666656965"/>
    <n v="25.400000000023283"/>
    <n v="12"/>
    <n v="13.400000000023283"/>
    <n v="5.8208955223779455"/>
    <m/>
    <m/>
    <m/>
    <m/>
    <m/>
  </r>
  <r>
    <d v="2025-03-13T00:00:00"/>
    <x v="2"/>
    <s v="KESH"/>
    <s v="Z83038"/>
    <s v="Manual"/>
    <m/>
    <s v="UBR 868Y"/>
    <s v="Kobusinge Steven-FPortal"/>
    <n v="156"/>
    <s v="Z83038"/>
    <s v="OM"/>
    <n v="304"/>
    <n v="303"/>
    <n v="-1"/>
    <m/>
    <d v="2025-03-11T12:07:00"/>
    <d v="2025-03-11T12:19:00"/>
    <d v="2025-03-11T12:32:00"/>
    <n v="12.93981481527832"/>
    <n v="24.884259256941732"/>
    <x v="0"/>
    <d v="2025-03-12T15:30:00"/>
    <d v="2025-03-12T17:51:00"/>
    <n v="138.06249999863212"/>
    <m/>
    <d v="2025-03-13T16:56:00"/>
    <d v="2025-03-13T17:53:00"/>
    <n v="55.81249999726424"/>
    <x v="0"/>
    <n v="2.1833333333343035"/>
    <n v="2"/>
    <n v="-0.18333333333430346"/>
    <n v="52.400000000023283"/>
    <n v="24"/>
    <n v="28.400000000023283"/>
    <n v="5.49295774647437"/>
    <m/>
    <m/>
    <m/>
    <m/>
    <m/>
  </r>
  <r>
    <d v="2025-03-13T00:00:00"/>
    <x v="2"/>
    <s v="KESH"/>
    <s v="A21385"/>
    <s v="Manual"/>
    <s v="Mulumba Kasim"/>
    <s v="UBE 680K"/>
    <s v="Ntale and Sons Ltd-Kakiri"/>
    <n v="5.5439999999999996"/>
    <s v="A21385"/>
    <s v="OM"/>
    <n v="620"/>
    <n v="618"/>
    <n v="-2"/>
    <m/>
    <d v="2025-03-12T08:26:00"/>
    <d v="2025-03-12T07:17:00"/>
    <d v="2025-03-12T08:52:00"/>
    <n v="94.560185180550135"/>
    <n v="25.879629630556639"/>
    <x v="0"/>
    <d v="2025-03-13T15:51:00"/>
    <d v="2025-03-13T17:39:00"/>
    <n v="105.75000000615546"/>
    <m/>
    <d v="2025-03-13T06:43:00"/>
    <d v="2025-03-13T07:32:00"/>
    <n v="47.979166669174447"/>
    <x v="0"/>
    <n v="0.9104166666729725"/>
    <n v="3"/>
    <n v="2.0895833333270275"/>
    <n v="21.85000000015134"/>
    <n v="0"/>
    <n v="21.85000000015134"/>
    <n v="0.25372997711494738"/>
    <m/>
    <m/>
    <m/>
    <m/>
    <m/>
  </r>
  <r>
    <d v="2025-03-13T00:00:00"/>
    <x v="2"/>
    <s v="KESH"/>
    <s v="Z83047"/>
    <s v="Manual"/>
    <s v="Kyakulaga James"/>
    <s v="UBJ 419C"/>
    <s v="Kobusinge Acaali- Kyenjojo"/>
    <n v="156"/>
    <s v="Z83047"/>
    <s v="OM"/>
    <n v="580"/>
    <n v="579"/>
    <n v="-1"/>
    <m/>
    <d v="2025-03-12T17:33:00"/>
    <d v="2025-03-12T17:50:00"/>
    <d v="2025-03-12T18:00:00"/>
    <n v="9.9537037048624679"/>
    <n v="26.87500000417155"/>
    <x v="0"/>
    <d v="2025-03-13T13:56:00"/>
    <d v="2025-03-13T16:02:00"/>
    <n v="123.37500000205182"/>
    <m/>
    <d v="2025-03-13T16:56:00"/>
    <d v="2025-03-13T17:33:00"/>
    <n v="36.229166661651107"/>
    <x v="0"/>
    <n v="0.95555555555620231"/>
    <n v="2"/>
    <n v="1.0444444444437977"/>
    <n v="22.933333333348855"/>
    <n v="0"/>
    <n v="22.933333333348855"/>
    <n v="6.8023255813907451"/>
    <m/>
    <m/>
    <m/>
    <m/>
    <m/>
  </r>
  <r>
    <d v="2025-03-13T00:00:00"/>
    <x v="2"/>
    <s v="KESH"/>
    <s v="F16064"/>
    <s v="Manual"/>
    <s v="Lule Fred"/>
    <s v="UBP 310H"/>
    <s v="Boniface Harera"/>
    <n v="156"/>
    <s v="F16064"/>
    <s v="OM"/>
    <n v="448"/>
    <n v="449"/>
    <n v="1"/>
    <m/>
    <d v="2025-03-12T12:18:00"/>
    <d v="2025-03-12T12:10:00"/>
    <d v="2025-03-12T12:44:00"/>
    <n v="33.842592588189291"/>
    <n v="25.879629630556639"/>
    <x v="0"/>
    <d v="2025-03-13T15:36:00"/>
    <d v="2025-03-13T19:58:00"/>
    <n v="256.54166666165111"/>
    <s v="Waited for empties from trade"/>
    <d v="2025-03-13T06:43:00"/>
    <d v="2025-03-13T07:39:00"/>
    <n v="54.833333337664953"/>
    <x v="0"/>
    <n v="0.74930555556056788"/>
    <n v="2"/>
    <n v="1.2506944444394321"/>
    <n v="17.983333333453629"/>
    <n v="0"/>
    <n v="17.983333333453629"/>
    <n v="8.6746987951226959"/>
    <m/>
    <m/>
    <m/>
    <m/>
    <m/>
  </r>
  <r>
    <d v="2025-03-13T00:00:00"/>
    <x v="2"/>
    <s v="KESH"/>
    <s v="A21402"/>
    <s v="Manual"/>
    <s v="Matovu Musa"/>
    <s v="UBR 538W"/>
    <s v="Ntale and Sons Ltd-Kakiri"/>
    <n v="156"/>
    <s v="A21402"/>
    <s v="OM"/>
    <n v="620"/>
    <n v="619"/>
    <n v="-1"/>
    <m/>
    <d v="2025-03-12T11:02:00"/>
    <d v="2025-03-12T11:07:00"/>
    <d v="2025-03-12T11:28:00"/>
    <n v="20.902777772910969"/>
    <n v="25.879629630556639"/>
    <x v="0"/>
    <d v="2025-03-13T13:25:00"/>
    <d v="2025-03-13T15:30:00"/>
    <n v="122.39583333219343"/>
    <m/>
    <d v="2025-03-13T15:37:00"/>
    <d v="2025-03-13T16:13:00"/>
    <n v="35.25000000205182"/>
    <x v="0"/>
    <n v="1.1729166666627862"/>
    <n v="3"/>
    <n v="1.8270833333372138"/>
    <n v="28.149999999906868"/>
    <n v="12"/>
    <n v="16.149999999906868"/>
    <n v="9.659442724513907"/>
    <m/>
    <m/>
    <m/>
    <m/>
    <m/>
  </r>
  <r>
    <d v="2025-03-14T00:00:00"/>
    <x v="2"/>
    <s v="KESH"/>
    <s v="Z83049"/>
    <s v="Manual"/>
    <m/>
    <s v="UBP 304H"/>
    <s v="Kabaco U Ltd"/>
    <n v="11.087999999999999"/>
    <s v="Z83049"/>
    <s v="OM"/>
    <n v="320"/>
    <n v="319"/>
    <n v="-1"/>
    <m/>
    <d v="2024-03-14T08:32:00"/>
    <d v="2024-03-14T07:30:00"/>
    <d v="2024-03-14T08:58:00"/>
    <n v="87.592592596532384"/>
    <n v="25.879629630556639"/>
    <x v="0"/>
    <d v="2024-03-14T17:58:00"/>
    <d v="2024-03-15T17:33:31"/>
    <n v="1386.0267361085425"/>
    <s v="Waited for empties from trade"/>
    <d v="2024-03-16T15:09:31"/>
    <d v="2024-03-16T15:45:31"/>
    <n v="35.25000000205182"/>
    <x v="0"/>
    <n v="2.2579976851848187"/>
    <n v="2"/>
    <n v="-0.25799768518481869"/>
    <n v="54.191944444435649"/>
    <n v="24"/>
    <n v="30.191944444435649"/>
    <n v="0.36725027831201873"/>
    <m/>
    <m/>
    <m/>
    <m/>
    <m/>
  </r>
  <r>
    <d v="2025-03-14T00:00:00"/>
    <x v="2"/>
    <s v="KESH"/>
    <s v="A21414"/>
    <s v="Manual"/>
    <s v="Nassasira"/>
    <s v="UBK 882R"/>
    <s v="Kato Investment Ltd -Mubende"/>
    <n v="93.6"/>
    <s v="A21414"/>
    <s v="OM"/>
    <n v="680"/>
    <n v="677"/>
    <n v="-3"/>
    <m/>
    <d v="2024-03-14T08:19:00"/>
    <d v="2024-03-14T07:30:00"/>
    <d v="2024-03-14T08:47:00"/>
    <n v="76.643518518055018"/>
    <n v="27.870370367357584"/>
    <x v="0"/>
    <d v="2024-03-15T03:02:00"/>
    <d v="2024-03-15T06:00:00"/>
    <n v="174.29166667054233"/>
    <m/>
    <d v="2024-03-16T15:49:51"/>
    <d v="2024-03-16T16:46:51"/>
    <n v="55.81249999726424"/>
    <x v="0"/>
    <n v="2.2936458333351766"/>
    <n v="3"/>
    <n v="0.70635416666482342"/>
    <n v="55.047500000044238"/>
    <n v="24"/>
    <n v="31.047500000044238"/>
    <n v="3.0147354859446533"/>
    <m/>
    <m/>
    <m/>
    <m/>
    <m/>
  </r>
  <r>
    <d v="2025-03-14T00:00:00"/>
    <x v="2"/>
    <s v="KESH"/>
    <s v="Z83048"/>
    <s v="Manual"/>
    <s v="kakembo Masudi"/>
    <s v="UBM 644D"/>
    <s v="Kobusinge Steven-Kamwenge"/>
    <n v="156"/>
    <s v="Z83048"/>
    <s v="OM"/>
    <n v="288"/>
    <n v="286"/>
    <n v="-2"/>
    <m/>
    <d v="2024-03-14T08:35:00"/>
    <d v="2024-03-14T07:30:00"/>
    <d v="2024-03-14T09:02:00"/>
    <n v="91.574074070134273"/>
    <n v="26.87500000417155"/>
    <x v="0"/>
    <d v="2024-03-15T10:17:00"/>
    <d v="2024-03-16T12:41:00"/>
    <n v="1550.9999999979482"/>
    <s v="Reached late and offloaded the next day"/>
    <d v="2024-03-16T17:29:00"/>
    <d v="2024-03-16T18:21:00"/>
    <n v="50.916666668490507"/>
    <x v="0"/>
    <n v="2.352083333338669"/>
    <n v="2"/>
    <n v="-0.35208333333866904"/>
    <n v="56.450000000128057"/>
    <n v="24"/>
    <n v="32.450000000128057"/>
    <n v="4.8073959938177007"/>
    <m/>
    <m/>
    <m/>
    <m/>
    <m/>
  </r>
  <r>
    <d v="2025-03-14T00:00:00"/>
    <x v="2"/>
    <s v="KESH"/>
    <s v="Z83055"/>
    <s v="Manual"/>
    <s v="Nakalya John"/>
    <s v="UBM 648D"/>
    <s v="Bates Enterprises U Ltd"/>
    <n v="156"/>
    <s v="Z83055"/>
    <s v="OM"/>
    <n v="464"/>
    <n v="461"/>
    <n v="-3"/>
    <m/>
    <d v="2024-03-14T08:09:00"/>
    <d v="2024-03-14T07:30:00"/>
    <d v="2024-03-14T08:38:00"/>
    <n v="67.685185186807459"/>
    <n v="28.865740740972495"/>
    <x v="0"/>
    <d v="2024-03-15T07:08:00"/>
    <d v="2024-03-15T15:37:00"/>
    <n v="498.39583332672191"/>
    <s v="truck faulty"/>
    <d v="2024-03-16T10:15:12"/>
    <d v="2024-03-16T10:59:12"/>
    <n v="43.083333340400713"/>
    <x v="0"/>
    <n v="2.0674999999973807"/>
    <n v="3"/>
    <n v="0.93250000000261934"/>
    <n v="49.619999999937136"/>
    <n v="24"/>
    <n v="25.619999999937136"/>
    <n v="6.0889929742538165"/>
    <m/>
    <m/>
    <m/>
    <m/>
    <m/>
  </r>
  <r>
    <d v="2025-03-14T00:00:00"/>
    <x v="2"/>
    <s v="KESH"/>
    <s v="Z83060"/>
    <s v="Manual"/>
    <m/>
    <s v="UBG 084B"/>
    <s v="Kobusinge Acaali- Kyenjojo"/>
    <n v="139.19999999999999"/>
    <s v="Z83060"/>
    <s v="OM"/>
    <n v="580"/>
    <n v="579"/>
    <n v="-1"/>
    <m/>
    <d v="2024-03-14T08:17:00"/>
    <d v="2024-03-14T07:30:00"/>
    <d v="2024-03-14T08:46:00"/>
    <n v="75.6481481444401"/>
    <n v="28.865740740972495"/>
    <x v="0"/>
    <d v="2024-03-15T06:16:00"/>
    <d v="2024-03-15T09:53:00"/>
    <n v="212.47916667191021"/>
    <s v="slept at the RD and offloaded the next day"/>
    <d v="2024-03-16T08:41:00"/>
    <d v="2024-03-16T09:42:00"/>
    <n v="59.729166666438687"/>
    <x v="0"/>
    <n v="1.9965277777810115"/>
    <n v="2"/>
    <n v="3.4722222189884633E-3"/>
    <n v="47.916666666744277"/>
    <n v="12"/>
    <n v="35.916666666744277"/>
    <n v="3.8756380510357085"/>
    <m/>
    <m/>
    <m/>
    <m/>
    <m/>
  </r>
  <r>
    <d v="2025-03-14T00:00:00"/>
    <x v="2"/>
    <s v="KESH"/>
    <s v="Z83058"/>
    <s v="Manual"/>
    <s v="Byanshala Stoney"/>
    <s v="UBP 312H"/>
    <s v="Kabaco U Ltd"/>
    <n v="156"/>
    <s v="Z83058"/>
    <s v="OM"/>
    <n v="320"/>
    <n v="317"/>
    <n v="-3"/>
    <m/>
    <d v="2024-03-15T01:31:10"/>
    <d v="2024-03-15T00:51:10"/>
    <d v="2024-03-15T01:59:10"/>
    <n v="67.685185186807459"/>
    <n v="27.870370367357584"/>
    <x v="0"/>
    <d v="2024-03-16T03:29:10"/>
    <d v="2024-03-16T17:31:34"/>
    <n v="824.84999999876891"/>
    <s v="Waited for empties from trade"/>
    <d v="2024-03-16T20:16:34"/>
    <d v="2024-03-16T21:13:34"/>
    <n v="55.81249999726424"/>
    <x v="0"/>
    <n v="1.7620833333348855"/>
    <n v="2"/>
    <n v="0.23791666666511446"/>
    <n v="42.290000000037253"/>
    <n v="12"/>
    <n v="30.290000000037253"/>
    <n v="5.1502145922683438"/>
    <m/>
    <m/>
    <m/>
    <m/>
    <m/>
  </r>
  <r>
    <d v="2025-03-14T00:00:00"/>
    <x v="2"/>
    <s v="KESH"/>
    <s v="Z83057"/>
    <s v="Manual"/>
    <s v="Muzamiru"/>
    <s v="UBJ 417C"/>
    <s v="Kobusinge Steven-Kamwenge"/>
    <n v="156"/>
    <s v="Z83057"/>
    <s v="OM"/>
    <n v="288"/>
    <n v="285"/>
    <n v="-3"/>
    <m/>
    <d v="2024-03-15T02:01:40"/>
    <d v="2024-03-15T01:00:40"/>
    <d v="2024-03-15T02:28:40"/>
    <n v="87.592592596532384"/>
    <n v="26.87500000417155"/>
    <x v="0"/>
    <d v="2024-03-16T08:28:40"/>
    <d v="2024-03-17T15:27:42"/>
    <n v="1820.3034722232405"/>
    <s v="found another truck at the RD and offloaded the next day"/>
    <d v="2024-03-17T17:37:18"/>
    <d v="2024-03-17T18:33:18"/>
    <n v="54.833333337664953"/>
    <x v="0"/>
    <n v="2.6309953703676001"/>
    <n v="2"/>
    <n v="-0.63099537036760012"/>
    <n v="63.143888888822403"/>
    <n v="24"/>
    <n v="39.143888888822403"/>
    <n v="3.9852964135238498"/>
    <m/>
    <m/>
    <m/>
    <m/>
    <m/>
  </r>
  <r>
    <d v="2025-03-14T00:00:00"/>
    <x v="2"/>
    <s v="KESH"/>
    <s v="F16070"/>
    <s v="Manual"/>
    <m/>
    <s v="UBP 998T"/>
    <s v="Boniface Harera"/>
    <n v="139.19999999999999"/>
    <s v="F16070"/>
    <s v="OM"/>
    <n v="448"/>
    <n v="445"/>
    <n v="-3"/>
    <m/>
    <d v="2024-03-15T19:19:00"/>
    <d v="2024-03-15T03:43:00"/>
    <d v="2024-03-15T19:46:00"/>
    <n v="958.54166666249512"/>
    <n v="26.87500000417155"/>
    <x v="0"/>
    <d v="2024-03-16T03:58:00"/>
    <d v="2024-03-16T17:27:00"/>
    <n v="792.14583333014161"/>
    <s v="space consquents"/>
    <d v="2024-03-17T14:14:00"/>
    <d v="2024-03-17T14:59:00"/>
    <n v="44.0625"/>
    <x v="0"/>
    <n v="1.7694444444423425"/>
    <n v="2"/>
    <n v="0.2305555555576575"/>
    <n v="42.46666666661622"/>
    <n v="12"/>
    <n v="30.46666666661622"/>
    <n v="4.5689277899419194"/>
    <m/>
    <m/>
    <m/>
    <m/>
    <m/>
  </r>
  <r>
    <d v="2025-03-14T00:00:00"/>
    <x v="2"/>
    <s v="KESH"/>
    <s v="A21413"/>
    <s v="Manual"/>
    <s v="ZIWA ABASI"/>
    <s v="UBJ 420C"/>
    <s v="Sawan Distributors Ltd-Nabingo"/>
    <n v="156"/>
    <s v="A21413"/>
    <s v="OM"/>
    <n v="560"/>
    <n v="557"/>
    <n v="-3"/>
    <m/>
    <d v="2024-03-14T13:58:15"/>
    <d v="2024-03-14T13:12:15"/>
    <d v="2024-03-14T14:24:15"/>
    <n v="71.666666670838211"/>
    <n v="25.879629630556639"/>
    <x v="0"/>
    <d v="2024-03-15T09:54:15"/>
    <d v="2024-03-15T14:31:15"/>
    <n v="271.22916665823141"/>
    <s v="Waited for empties from trade"/>
    <d v="2024-03-16T10:19:15"/>
    <d v="2024-03-16T11:19:15"/>
    <n v="58.7499999965803"/>
    <x v="0"/>
    <n v="1.8298611111094942"/>
    <n v="2"/>
    <n v="0.17013888889050577"/>
    <n v="43.916666666627862"/>
    <n v="12"/>
    <n v="31.916666666627862"/>
    <n v="4.8877284595359685"/>
    <m/>
    <m/>
    <m/>
    <m/>
    <m/>
  </r>
  <r>
    <d v="2025-03-14T00:00:00"/>
    <x v="2"/>
    <s v="KESH"/>
    <s v="Z83059"/>
    <s v="Manual"/>
    <s v="kayanja Sam"/>
    <s v="UBF 379L"/>
    <s v="Kobusinge Steven-FPortal"/>
    <n v="116.4"/>
    <s v="Z83059"/>
    <s v="OM"/>
    <n v="304"/>
    <n v="301"/>
    <n v="-3"/>
    <m/>
    <d v="2024-03-14T13:48:00"/>
    <d v="2024-03-15T04:19:00"/>
    <d v="2024-03-14T14:15:00"/>
    <n v="-840.09259258818929"/>
    <n v="26.87500000417155"/>
    <x v="0"/>
    <d v="2024-03-14T21:59:00"/>
    <d v="2024-03-15T00:47:00"/>
    <n v="164.50000000273576"/>
    <m/>
    <d v="2024-03-15T21:50:00"/>
    <d v="2024-03-15T22:47:00"/>
    <n v="55.81250000752334"/>
    <x v="0"/>
    <n v="1.3159722222189885"/>
    <n v="2"/>
    <n v="0.68402777778101154"/>
    <n v="31.583333333255723"/>
    <n v="12"/>
    <n v="19.583333333255723"/>
    <n v="5.9438297872575987"/>
    <m/>
    <m/>
    <m/>
    <m/>
    <m/>
  </r>
  <r>
    <d v="2025-03-15T00:00:00"/>
    <x v="2"/>
    <s v="KESH"/>
    <s v="F16073"/>
    <s v="Manual"/>
    <m/>
    <s v="UBR 864Y"/>
    <s v="Boniface Harera"/>
    <n v="78"/>
    <s v="F16073"/>
    <s v="OM"/>
    <n v="448"/>
    <n v="447"/>
    <n v="-1"/>
    <m/>
    <d v="2024-03-15T09:06:09"/>
    <d v="2024-03-15T08:10:09"/>
    <d v="2024-03-15T09:33:09"/>
    <n v="82.615740738886714"/>
    <n v="26.87500000417155"/>
    <x v="0"/>
    <d v="2024-03-15T15:33:09"/>
    <d v="2024-03-15T20:13:09"/>
    <n v="274.16666666780657"/>
    <s v="Reached late and offloaded the next day"/>
    <d v="2024-03-16T10:08:21"/>
    <d v="2024-03-16T10:49:21"/>
    <n v="40.145833330825553"/>
    <x v="0"/>
    <n v="1.0244444444469991"/>
    <n v="2"/>
    <n v="0.97555555555300089"/>
    <n v="24.586666666727979"/>
    <n v="12"/>
    <n v="12.586666666727979"/>
    <n v="6.1970338982748974"/>
    <m/>
    <m/>
    <m/>
    <m/>
    <m/>
  </r>
  <r>
    <d v="2025-03-15T00:00:00"/>
    <x v="2"/>
    <s v="KESH"/>
    <s v="Z83071"/>
    <s v="Manual"/>
    <m/>
    <s v="UBR 868Y"/>
    <s v="Kobusinge Steven-Kamwenge"/>
    <n v="156"/>
    <s v="Z83071"/>
    <s v="OM"/>
    <n v="288"/>
    <n v="287"/>
    <n v="-1"/>
    <m/>
    <d v="2024-03-14T21:54:00"/>
    <d v="2024-03-14T20:30:00"/>
    <d v="2024-03-14T22:47:00"/>
    <n v="136.36574074722981"/>
    <n v="52.75462963472819"/>
    <x v="13"/>
    <d v="2024-03-16T07:58:00"/>
    <d v="2024-03-16T10:42:00"/>
    <n v="160.58333333356131"/>
    <m/>
    <d v="2024-03-16T18:18:00"/>
    <d v="2024-03-16T19:07:00"/>
    <n v="47.979166669174447"/>
    <x v="0"/>
    <n v="1.8131944444394321"/>
    <n v="2"/>
    <n v="0.18680555556056788"/>
    <n v="43.516666666546371"/>
    <n v="12"/>
    <n v="31.516666666546371"/>
    <n v="4.9497620306904953"/>
    <m/>
    <m/>
    <m/>
    <m/>
    <m/>
  </r>
  <r>
    <d v="2025-03-15T00:00:00"/>
    <x v="2"/>
    <s v="KESH"/>
    <s v="A21416"/>
    <s v="Manual"/>
    <s v="Faruk Abel"/>
    <s v="UBR 539W"/>
    <s v="Sawan Distributors Ltd-Kayabwe"/>
    <n v="15.75"/>
    <s v="A21416"/>
    <s v="OM"/>
    <n v="382"/>
    <n v="379"/>
    <n v="-3"/>
    <m/>
    <d v="2024-03-15T08:12:00"/>
    <d v="2024-03-15T07:30:00"/>
    <d v="2024-03-15T08:38:00"/>
    <n v="67.685185186807459"/>
    <n v="25.879629630556639"/>
    <x v="0"/>
    <d v="2024-03-15T14:38:00"/>
    <d v="2024-03-15T18:58:00"/>
    <n v="254.58333333219343"/>
    <s v="Waited for empties from trade"/>
    <d v="2024-03-16T08:53:12"/>
    <d v="2024-03-16T09:41:12"/>
    <n v="46.99999999931606"/>
    <x v="0"/>
    <n v="1.0105555555564933"/>
    <n v="2"/>
    <n v="0.98944444444350665"/>
    <n v="24.25333333335584"/>
    <n v="12"/>
    <n v="12.25333333335584"/>
    <n v="1.2853645266570515"/>
    <m/>
    <m/>
    <m/>
    <m/>
    <m/>
  </r>
  <r>
    <d v="2025-03-15T00:00:00"/>
    <x v="2"/>
    <s v="KESH"/>
    <s v="A21428"/>
    <s v="Manual"/>
    <s v="Kabanda Ronald"/>
    <s v="UBE 684K"/>
    <s v="Sawan Distributors Ltd-Kayabwe"/>
    <n v="139.19999999999999"/>
    <s v="A21428"/>
    <s v="OM"/>
    <n v="382"/>
    <n v="379"/>
    <n v="-3"/>
    <m/>
    <d v="2024-03-15T21:43:00"/>
    <d v="2024-03-16T02:22:00"/>
    <d v="2024-03-15T22:09:00"/>
    <n v="-251.82870370069091"/>
    <n v="25.879629630556639"/>
    <x v="0"/>
    <d v="2024-03-17T12:34:00"/>
    <d v="2024-03-17T17:42:00"/>
    <n v="301.58333334176859"/>
    <s v="Waited for empties from trade"/>
    <d v="2024-03-17T18:41:00"/>
    <d v="2024-03-17T19:25:00"/>
    <n v="43.083333340400713"/>
    <x v="0"/>
    <n v="1.8555555555503815"/>
    <n v="2"/>
    <n v="0.14444444444961846"/>
    <n v="44.533333333209157"/>
    <n v="12"/>
    <n v="32.533333333209157"/>
    <n v="4.278688524606495"/>
    <m/>
    <m/>
    <m/>
    <m/>
    <m/>
  </r>
  <r>
    <d v="2025-03-15T00:00:00"/>
    <x v="2"/>
    <s v="NBL"/>
    <s v="A21427"/>
    <s v="Manual"/>
    <m/>
    <s v="UBE 422T"/>
    <s v="Kato Investment Ltd -Mityana"/>
    <n v="69.599999999999994"/>
    <s v="A21427"/>
    <s v="OM"/>
    <n v="690"/>
    <n v="687"/>
    <n v="-3"/>
    <m/>
    <d v="2024-03-16T19:04:00"/>
    <d v="2024-03-16T01:59:00"/>
    <d v="2024-03-16T19:58:00"/>
    <n v="1074.0046296263852"/>
    <n v="53.749999997914223"/>
    <x v="9"/>
    <d v="2024-03-17T10:22:00"/>
    <d v="2024-03-17T15:40:00"/>
    <n v="311.37500000957516"/>
    <s v="Waited for empties from trade"/>
    <d v="2024-03-18T12:02:00"/>
    <d v="2024-03-18T13:03:00"/>
    <n v="59.729166666438687"/>
    <x v="0"/>
    <n v="1.6694444444437977"/>
    <n v="3"/>
    <n v="1.3305555555562023"/>
    <n v="40.066666666651145"/>
    <n v="12"/>
    <n v="28.066666666651145"/>
    <n v="2.479809976248402"/>
    <m/>
    <m/>
    <m/>
    <m/>
    <m/>
  </r>
  <r>
    <d v="2025-03-15T00:00:00"/>
    <x v="2"/>
    <s v="NBL"/>
    <s v="A21425"/>
    <s v="Manual"/>
    <m/>
    <s v="UBE 419T"/>
    <s v="Kato Investment Ltd -Mubende"/>
    <n v="146.4"/>
    <s v="A21425"/>
    <s v="OM"/>
    <n v="680"/>
    <n v="677"/>
    <n v="-3"/>
    <m/>
    <d v="2024-03-16T08:19:00"/>
    <d v="2024-03-16T07:30:00"/>
    <d v="2024-03-16T08:47:00"/>
    <n v="76.643518518055018"/>
    <n v="27.870370367357584"/>
    <x v="0"/>
    <d v="2024-03-17T03:07:00"/>
    <d v="2024-03-17T14:26:00"/>
    <n v="664.85416666917445"/>
    <s v="Waited for empties from trade"/>
    <d v="2024-03-17T21:16:00"/>
    <d v="2024-03-17T22:07:00"/>
    <n v="49.93749999863212"/>
    <x v="0"/>
    <n v="1.5201388888890506"/>
    <n v="3"/>
    <n v="1.4798611111109494"/>
    <n v="36.483333333337214"/>
    <n v="12"/>
    <n v="24.483333333337214"/>
    <n v="5.9795779441787662"/>
    <m/>
    <m/>
    <m/>
    <m/>
    <m/>
  </r>
  <r>
    <d v="2025-03-15T00:00:00"/>
    <x v="2"/>
    <s v="NBL"/>
    <s v="Z83064"/>
    <s v="Manual"/>
    <m/>
    <s v="UBJ 988D"/>
    <s v="Kabaco U Ltd"/>
    <n v="153.6"/>
    <s v="Z83064"/>
    <s v="OM"/>
    <n v="320"/>
    <n v="318"/>
    <n v="-2"/>
    <m/>
    <d v="2024-03-16T15:51:00"/>
    <d v="2024-03-16T20:13:00"/>
    <d v="2024-03-16T16:19:00"/>
    <n v="-232.91666667500976"/>
    <n v="27.870370367357584"/>
    <x v="0"/>
    <d v="2024-03-17T10:16:00"/>
    <d v="2024-03-17T15:48:00"/>
    <n v="325.08333333629707"/>
    <s v="Waited for empties from trade"/>
    <d v="2024-03-18T14:51:00"/>
    <d v="2024-03-18T15:48:00"/>
    <n v="55.81249999726424"/>
    <x v="0"/>
    <n v="1.9388888888934162"/>
    <n v="2"/>
    <n v="6.1111111106583849E-2"/>
    <n v="46.533333333441988"/>
    <n v="12"/>
    <n v="34.533333333441988"/>
    <n v="4.4478764478624528"/>
    <m/>
    <m/>
    <m/>
    <m/>
    <m/>
  </r>
  <r>
    <d v="2025-03-15T00:00:00"/>
    <x v="2"/>
    <s v="KESH"/>
    <s v="Z83063"/>
    <s v="Manual"/>
    <m/>
    <s v="UBJ 421C"/>
    <s v="Rugoma Traders-Rukungiri"/>
    <n v="156"/>
    <s v="Z83063"/>
    <s v="OM"/>
    <n v="256"/>
    <n v="253"/>
    <n v="-3"/>
    <m/>
    <d v="2024-03-17T02:08:42"/>
    <d v="2024-03-17T01:22:42"/>
    <d v="2024-03-17T02:37:42"/>
    <n v="74.652777781254073"/>
    <n v="28.865740740972495"/>
    <x v="0"/>
    <d v="2024-03-19T08:37:42"/>
    <d v="2024-03-19T13:12:42"/>
    <n v="269.27083332877373"/>
    <s v="Waited for empties from trade"/>
    <d v="2024-03-20T07:06:59"/>
    <d v="2024-03-20T07:47:59"/>
    <n v="40.145833330825553"/>
    <x v="0"/>
    <n v="3.1870023148148903"/>
    <n v="2"/>
    <n v="-1.1870023148148903"/>
    <n v="76.488055555557366"/>
    <n v="36"/>
    <n v="40.488055555557366"/>
    <n v="3.8529881926766802"/>
    <m/>
    <m/>
    <m/>
    <m/>
    <m/>
  </r>
  <r>
    <d v="2025-03-15T00:00:00"/>
    <x v="2"/>
    <s v="KESH"/>
    <s v="A21418"/>
    <s v="Manual"/>
    <s v="Mudunga Musa"/>
    <s v="UBE 678K"/>
    <s v="KATO INVESTMENTS LTD-KATIKARA"/>
    <n v="148.80000000000001"/>
    <s v="A21418"/>
    <s v="OM"/>
    <n v="790"/>
    <n v="787"/>
    <n v="-3"/>
    <m/>
    <d v="2024-03-17T02:24:02"/>
    <d v="2024-03-17T01:41:02"/>
    <d v="2024-03-17T02:53:02"/>
    <n v="71.666666660409348"/>
    <n v="28.865740740972495"/>
    <x v="0"/>
    <d v="2024-03-18T09:10:02"/>
    <d v="2024-03-18T15:15:02"/>
    <n v="357.39583333903283"/>
    <s v="Not enough casuals to offload"/>
    <d v="2024-03-18T18:07:50"/>
    <d v="2024-03-18T19:03:50"/>
    <n v="54.833333337664953"/>
    <x v="0"/>
    <n v="1.6352777777792653"/>
    <n v="3"/>
    <n v="1.3647222222207347"/>
    <n v="39.246666666702367"/>
    <n v="12"/>
    <n v="27.246666666702367"/>
    <n v="5.4612184976684013"/>
    <m/>
    <m/>
    <m/>
    <m/>
    <m/>
  </r>
  <r>
    <d v="2025-03-15T00:00:00"/>
    <x v="2"/>
    <s v="KESH"/>
    <s v="A21417"/>
    <s v="Manual"/>
    <m/>
    <s v="UBJ 423C"/>
    <s v="Kato Investment Ltd -Mityana"/>
    <n v="5.04"/>
    <s v="A21417"/>
    <s v="OM"/>
    <n v="690"/>
    <n v="688"/>
    <n v="-2"/>
    <m/>
    <d v="2024-03-17T15:57:34"/>
    <d v="2024-03-17T03:16:34"/>
    <d v="2024-03-17T16:24:34"/>
    <n v="784.35185185347416"/>
    <n v="26.87500000417155"/>
    <x v="0"/>
    <d v="2024-03-17T16:55:34"/>
    <d v="2024-03-18T03:22:56"/>
    <n v="614.29652777005685"/>
    <s v="found another truck to be offloaded"/>
    <d v="2024-03-18T03:50:56"/>
    <d v="2024-03-18T04:47:56"/>
    <n v="55.81249999726424"/>
    <x v="0"/>
    <n v="0.47664351852290565"/>
    <n v="3"/>
    <n v="2.5233564814770943"/>
    <n v="11.439444444549736"/>
    <n v="0"/>
    <n v="11.439444444549736"/>
    <n v="0.44058083628364331"/>
    <m/>
    <m/>
    <m/>
    <m/>
    <m/>
  </r>
  <r>
    <d v="2025-03-16T00:00:00"/>
    <x v="2"/>
    <s v="KESH"/>
    <s v="A21438"/>
    <s v="Manual"/>
    <m/>
    <s v="UBR 903Y"/>
    <s v="KATO INVESTMENTS LTD-KATIKARA"/>
    <n v="156"/>
    <s v="A21438"/>
    <s v="OM"/>
    <n v="790"/>
    <n v="787"/>
    <n v="-3"/>
    <m/>
    <d v="2024-03-17T08:45:00"/>
    <d v="2024-03-16T08:00:00"/>
    <d v="2024-03-17T09:12:00"/>
    <n v="1504.9999999937427"/>
    <n v="26.87500000417155"/>
    <x v="0"/>
    <d v="2024-03-17T09:50:00"/>
    <d v="2024-03-17T17:28:00"/>
    <n v="448.45833333834889"/>
    <s v="Waited for empties from trade"/>
    <d v="2024-03-17T18:14:00"/>
    <d v="2024-03-17T18:55:00"/>
    <n v="40.145833330825553"/>
    <x v="0"/>
    <n v="0.37638888889341615"/>
    <n v="3"/>
    <n v="2.6236111111065838"/>
    <n v="9.0333333334419876"/>
    <n v="0"/>
    <n v="9.0333333334419876"/>
    <n v="17.26937269351922"/>
    <m/>
    <m/>
    <m/>
    <m/>
    <m/>
  </r>
  <r>
    <d v="2025-03-16T00:00:00"/>
    <x v="2"/>
    <s v="KESH"/>
    <s v="A21440"/>
    <s v="Manual"/>
    <s v="Taimwa Alex"/>
    <s v="UBJ 705D"/>
    <s v="Sawan Distributors Ltd-Kayabwe"/>
    <n v="15.75"/>
    <s v="A21440"/>
    <s v="OM"/>
    <n v="382"/>
    <n v="379"/>
    <n v="-3"/>
    <m/>
    <d v="2024-03-16T20:58:00"/>
    <d v="2024-03-16T08:00:00"/>
    <d v="2024-03-16T21:26:00"/>
    <n v="802.26851851596928"/>
    <n v="27.870370367357584"/>
    <x v="0"/>
    <d v="2024-03-17T16:14:00"/>
    <d v="2024-03-18T03:30:00"/>
    <n v="661.91666666985839"/>
    <s v="Waited for empties from trade"/>
    <d v="2024-03-18T08:53:00"/>
    <d v="2024-03-18T09:42:00"/>
    <n v="47.979166669174447"/>
    <x v="0"/>
    <n v="1.4770833333313931"/>
    <n v="2"/>
    <n v="0.52291666666860692"/>
    <n v="35.449999999953434"/>
    <n v="12"/>
    <n v="23.449999999953434"/>
    <n v="0.67164179104610988"/>
    <m/>
    <m/>
    <m/>
    <m/>
    <m/>
  </r>
  <r>
    <d v="2025-03-16T00:00:00"/>
    <x v="2"/>
    <s v="KESH"/>
    <s v="Z83078"/>
    <s v="Manual"/>
    <s v="Mulumba Kasim"/>
    <s v="UBE 680K"/>
    <s v="Kabaco U Ltd"/>
    <n v="156"/>
    <s v="Z83078"/>
    <s v="OM"/>
    <n v="320"/>
    <n v="317"/>
    <n v="-3"/>
    <m/>
    <d v="2024-03-18T02:44:00"/>
    <d v="2024-03-17T08:00:00"/>
    <d v="2024-03-18T03:10:00"/>
    <n v="1144.6759259236085"/>
    <n v="25.879629630556639"/>
    <x v="0"/>
    <d v="2024-03-18T03:16:00"/>
    <d v="2024-03-18T17:35:00"/>
    <n v="841.10416666917445"/>
    <s v="Waited for empties from trade"/>
    <d v="2024-03-18T19:09:00"/>
    <d v="2024-03-18T19:43:00"/>
    <n v="33.291666662335047"/>
    <x v="0"/>
    <n v="0.66597222222480923"/>
    <n v="2"/>
    <n v="1.3340277777751908"/>
    <n v="15.983333333395422"/>
    <n v="0"/>
    <n v="15.983333333395422"/>
    <n v="9.7601668404208972"/>
    <m/>
    <m/>
    <m/>
    <m/>
    <m/>
  </r>
  <r>
    <d v="2025-03-16T00:00:00"/>
    <x v="2"/>
    <s v="KESH"/>
    <s v="F16075"/>
    <s v="Manual"/>
    <s v="Tsaale Hassan"/>
    <s v="UBJ 703D"/>
    <s v="Boniface Harera"/>
    <n v="156"/>
    <s v="F16075"/>
    <s v="OM"/>
    <n v="448"/>
    <n v="446"/>
    <n v="-2"/>
    <m/>
    <d v="2024-03-18T08:10:00"/>
    <d v="2024-03-18T07:30:00"/>
    <d v="2024-03-18T08:38:00"/>
    <n v="67.685185186807459"/>
    <n v="27.870370367357584"/>
    <x v="0"/>
    <d v="2024-03-19T09:53:00"/>
    <d v="2024-03-19T13:14:00"/>
    <n v="196.81249999521242"/>
    <m/>
    <d v="2024-03-20T18:02:00"/>
    <d v="2024-03-20T19:00:00"/>
    <n v="56.791666667122627"/>
    <x v="0"/>
    <n v="2.3916666666627862"/>
    <n v="2"/>
    <n v="-0.39166666666278616"/>
    <n v="57.399999999906868"/>
    <n v="24"/>
    <n v="33.399999999906868"/>
    <n v="4.6706586826477539"/>
    <m/>
    <m/>
    <m/>
    <m/>
    <m/>
  </r>
  <r>
    <d v="2025-03-16T00:00:00"/>
    <x v="2"/>
    <s v="KESH"/>
    <s v="A21443"/>
    <s v="Manual"/>
    <s v="Kyakulaga James"/>
    <s v="UBJ 419C"/>
    <s v="Kato Investment Ltd -Mityana"/>
    <n v="78"/>
    <s v="A21443"/>
    <s v="OM"/>
    <n v="690"/>
    <n v="689"/>
    <n v="-1"/>
    <m/>
    <d v="2024-03-18T08:08:00"/>
    <d v="2024-03-18T07:30:00"/>
    <d v="2024-03-18T09:02:00"/>
    <n v="91.574074070134273"/>
    <n v="53.749999997914223"/>
    <x v="11"/>
    <d v="2024-03-18T18:02:00"/>
    <d v="2024-03-19T17:37:31"/>
    <n v="1386.0267361188016"/>
    <s v="Waited for empties from trade"/>
    <d v="2024-03-20T12:49:31"/>
    <d v="2024-03-20T13:43:31"/>
    <n v="52.87499999794818"/>
    <x v="0"/>
    <n v="2.1579976851862739"/>
    <n v="3"/>
    <n v="0.84200231481372612"/>
    <n v="51.791944444470573"/>
    <n v="24"/>
    <n v="27.791944444470573"/>
    <n v="2.8065686499858673"/>
    <m/>
    <m/>
    <m/>
    <m/>
    <m/>
  </r>
  <r>
    <d v="2025-03-16T00:00:00"/>
    <x v="2"/>
    <s v="KESH"/>
    <s v="Z83080"/>
    <s v="Manual"/>
    <m/>
    <s v="UBR 880Y"/>
    <s v="Kabaco U Ltd"/>
    <n v="156"/>
    <s v="Z83080"/>
    <s v="OM"/>
    <n v="320"/>
    <n v="319"/>
    <n v="-1"/>
    <m/>
    <d v="2024-03-18T08:12:00"/>
    <d v="2024-03-18T07:30:00"/>
    <d v="2024-03-18T08:38:00"/>
    <n v="67.685185186807459"/>
    <n v="25.879629630556639"/>
    <x v="0"/>
    <d v="2024-03-18T17:38:00"/>
    <d v="2024-03-19T17:13:31"/>
    <n v="1386.0267361085425"/>
    <s v="space consquents"/>
    <d v="2024-03-20T12:25:31"/>
    <d v="2024-03-20T13:25:31"/>
    <n v="58.7499999965803"/>
    <x v="0"/>
    <n v="2.1579976851862739"/>
    <n v="2"/>
    <n v="-0.15799768518627388"/>
    <n v="51.791944444470573"/>
    <n v="24"/>
    <n v="27.791944444470573"/>
    <n v="5.6131372999717346"/>
    <m/>
    <m/>
    <m/>
    <m/>
    <m/>
  </r>
  <r>
    <d v="2025-03-16T00:00:00"/>
    <x v="2"/>
    <s v="NBL"/>
    <s v="F16076"/>
    <s v="Manual"/>
    <m/>
    <s v="UBJ 988D"/>
    <s v="KATO INVESTMENTS LIMITED-MASAK"/>
    <n v="153.6"/>
    <s v="F16076"/>
    <s v="OM"/>
    <n v="298"/>
    <n v="295"/>
    <n v="-3"/>
    <m/>
    <d v="2024-03-18T07:44:00"/>
    <d v="2024-03-18T07:30:00"/>
    <d v="2024-03-18T08:13:00"/>
    <n v="42.80092592986572"/>
    <n v="28.865740740972495"/>
    <x v="0"/>
    <d v="2024-03-19T03:43:00"/>
    <d v="2024-03-19T16:20:00"/>
    <n v="741.22916666165111"/>
    <s v="truck faulty"/>
    <d v="2024-03-20T03:57:55"/>
    <d v="2024-03-20T04:38:55"/>
    <n v="40.145833330825553"/>
    <x v="4"/>
    <n v="1.822858796294895"/>
    <n v="2"/>
    <n v="0.177141203705105"/>
    <n v="43.74861111107748"/>
    <n v="12"/>
    <n v="31.74861111107748"/>
    <n v="4.8380069119435296"/>
    <m/>
    <m/>
    <m/>
    <m/>
    <m/>
  </r>
  <r>
    <d v="2025-03-16T00:00:00"/>
    <x v="2"/>
    <s v="KESH"/>
    <s v="F16074"/>
    <s v="Manual"/>
    <s v="Ngobi Fred"/>
    <s v="UBK 866R"/>
    <s v="Boniface Harera"/>
    <n v="156"/>
    <s v="F16074"/>
    <s v="OM"/>
    <n v="448"/>
    <n v="445"/>
    <n v="-3"/>
    <m/>
    <d v="2024-03-19T06:56:00"/>
    <d v="2024-03-18T21:55:00"/>
    <d v="2024-03-19T07:23:00"/>
    <n v="565.37037036735762"/>
    <n v="26.87500000417155"/>
    <x v="0"/>
    <d v="2024-03-20T03:58:00"/>
    <d v="2024-03-20T15:17:00"/>
    <n v="664.85416666917445"/>
    <s v="slept at the RD and offloaded the next day"/>
    <d v="2024-03-20T09:56:00"/>
    <d v="2024-03-20T10:56:00"/>
    <n v="58.7499999965803"/>
    <x v="0"/>
    <n v="1.1062500000043656"/>
    <n v="2"/>
    <n v="0.89374999999563443"/>
    <n v="26.550000000104774"/>
    <n v="12"/>
    <n v="14.550000000104774"/>
    <n v="10.721649484458876"/>
    <m/>
    <m/>
    <m/>
    <m/>
    <m/>
  </r>
  <r>
    <d v="2025-03-17T00:00:00"/>
    <x v="2"/>
    <s v="KESH"/>
    <s v="A21467"/>
    <s v="Manual"/>
    <m/>
    <s v="UBE 692K"/>
    <s v="Kato Investments Ltd-Bulenga"/>
    <n v="156"/>
    <s v="A21467"/>
    <s v="OM"/>
    <n v="560"/>
    <n v="558"/>
    <n v="-2"/>
    <m/>
    <d v="2024-03-19T08:24:27"/>
    <d v="2024-03-19T07:30:27"/>
    <d v="2024-03-19T08:53:27"/>
    <n v="82.615740738886714"/>
    <n v="28.865740740972495"/>
    <x v="0"/>
    <d v="2024-03-20T07:23:27"/>
    <d v="2024-03-20T12:56:27"/>
    <n v="326.06250000615546"/>
    <s v="Waited for empties from trade"/>
    <d v="2024-03-21T06:02:49"/>
    <d v="2024-03-21T06:46:49"/>
    <n v="43.083333330141613"/>
    <x v="0"/>
    <n v="1.8815046296294895"/>
    <n v="3"/>
    <n v="1.1184953703705105"/>
    <n v="45.156111111107748"/>
    <n v="12"/>
    <n v="33.156111111107748"/>
    <n v="4.705014996397991"/>
    <m/>
    <m/>
    <m/>
    <m/>
    <m/>
  </r>
  <r>
    <d v="2025-03-17T00:00:00"/>
    <x v="2"/>
    <s v="KESH"/>
    <s v="A21468"/>
    <s v="Manual"/>
    <s v="Awali Malinzi"/>
    <s v="UBR 860Y"/>
    <s v="Kato Investment Ltd -Mubende"/>
    <n v="78"/>
    <s v="A21468"/>
    <s v="OM"/>
    <n v="680"/>
    <n v="677"/>
    <n v="-3"/>
    <m/>
    <d v="2024-03-19T15:39:00"/>
    <d v="2024-03-18T19:35:00"/>
    <d v="2024-03-19T16:05:00"/>
    <n v="1224.3055555625081"/>
    <n v="25.879629630556639"/>
    <x v="0"/>
    <d v="2024-03-20T12:27:00"/>
    <d v="2024-03-20T16:42:00"/>
    <n v="249.6874999931606"/>
    <s v="Waited for empties from trade"/>
    <d v="2024-03-21T07:55:00"/>
    <d v="2024-03-21T08:54:00"/>
    <n v="57.770833336981013"/>
    <x v="0"/>
    <n v="1.6597222222189885"/>
    <n v="3"/>
    <n v="1.3402777777810115"/>
    <n v="39.833333333255723"/>
    <n v="12"/>
    <n v="27.833333333255723"/>
    <n v="2.8023952095886524"/>
    <m/>
    <m/>
    <m/>
    <m/>
    <m/>
  </r>
  <r>
    <d v="2025-03-17T00:00:00"/>
    <x v="2"/>
    <s v="KESH"/>
    <s v="Z83096"/>
    <s v="Manual"/>
    <m/>
    <s v="UBJ 421C"/>
    <s v="Bates Enterprises Ltd-Ntoroko"/>
    <n v="56"/>
    <s v="Z83096"/>
    <s v="OM"/>
    <n v="464"/>
    <n v="461"/>
    <n v="-3"/>
    <m/>
    <d v="2024-03-19T13:12:00"/>
    <d v="2024-03-18T15:48:00"/>
    <d v="2024-03-19T13:38:00"/>
    <n v="1303.9351851909789"/>
    <n v="25.879629630556639"/>
    <x v="0"/>
    <d v="2024-03-21T08:55:00"/>
    <d v="2024-03-21T13:58:00"/>
    <n v="296.68749999247666"/>
    <s v="found another truck at the RD and offloaded the next day"/>
    <d v="2024-03-22T09:15:00"/>
    <d v="2024-03-22T10:05:00"/>
    <n v="48.958333339032833"/>
    <x v="0"/>
    <n v="2.8173611111051287"/>
    <n v="3"/>
    <n v="0.18263888889487134"/>
    <n v="67.616666666523088"/>
    <n v="24"/>
    <n v="43.616666666523088"/>
    <n v="1.2839128773446926"/>
    <m/>
    <m/>
    <m/>
    <m/>
    <m/>
  </r>
  <r>
    <d v="2025-03-17T00:00:00"/>
    <x v="2"/>
    <s v="KESH"/>
    <s v="A21464"/>
    <s v="Manual"/>
    <s v="SENTONG DAVID"/>
    <s v="UBP 298H"/>
    <s v="Ntale and Sons Ltd-Kakiri"/>
    <n v="148.80000000000001"/>
    <s v="A21464"/>
    <s v="OM"/>
    <n v="620"/>
    <n v="621"/>
    <n v="1"/>
    <m/>
    <d v="2024-03-19T08:29:00"/>
    <d v="2024-03-19T07:30:00"/>
    <d v="2024-03-19T08:58:00"/>
    <n v="87.592592596532384"/>
    <n v="28.865740740972495"/>
    <x v="0"/>
    <d v="2024-03-20T07:48:00"/>
    <d v="2024-03-20T14:05:00"/>
    <n v="369.14583333629707"/>
    <s v="Waited for empties from trade"/>
    <d v="2024-03-21T12:53:00"/>
    <d v="2024-03-21T13:31:00"/>
    <n v="37.208333331509493"/>
    <x v="0"/>
    <n v="2.1631944444452529"/>
    <n v="3"/>
    <n v="0.83680555555474712"/>
    <n v="51.916666666686069"/>
    <n v="24"/>
    <n v="27.916666666686069"/>
    <n v="5.3301492537276394"/>
    <m/>
    <m/>
    <m/>
    <m/>
    <m/>
  </r>
  <r>
    <d v="2025-03-17T00:00:00"/>
    <x v="2"/>
    <s v="KESH"/>
    <s v="Z83104"/>
    <s v="Manual"/>
    <m/>
    <s v="UBR 863Y"/>
    <s v="Kobusinge Steven-Kamwenge"/>
    <n v="156"/>
    <s v="Z83104"/>
    <s v="OM"/>
    <n v="288"/>
    <n v="285"/>
    <n v="-3"/>
    <m/>
    <d v="2024-03-19T08:10:00"/>
    <d v="2024-03-19T07:30:00"/>
    <d v="2024-03-19T08:38:00"/>
    <n v="67.685185186807459"/>
    <n v="27.870370367357584"/>
    <x v="0"/>
    <d v="2024-03-20T10:38:00"/>
    <d v="2024-03-20T15:40:00"/>
    <n v="295.70833333287737"/>
    <s v="Waited for empties from trade"/>
    <d v="2024-03-21T13:05:55"/>
    <d v="2024-03-21T13:56:55"/>
    <n v="49.93749999863212"/>
    <x v="0"/>
    <n v="2.1860532407372375"/>
    <n v="2"/>
    <n v="-0.1860532407372375"/>
    <n v="52.4652777776937"/>
    <n v="24"/>
    <n v="28.4652777776937"/>
    <n v="5.4803610636902542"/>
    <m/>
    <m/>
    <m/>
    <m/>
    <m/>
  </r>
  <r>
    <d v="2025-03-17T00:00:00"/>
    <x v="2"/>
    <s v="KESH"/>
    <s v="Z83095"/>
    <s v="Manual"/>
    <s v="Muzamiru"/>
    <s v="UBJ 417C"/>
    <s v="Rugoma Traders-Rukungiri"/>
    <n v="156"/>
    <s v="Z83095"/>
    <s v="OM"/>
    <n v="256"/>
    <n v="253"/>
    <n v="-3"/>
    <m/>
    <d v="2024-03-19T08:15:00"/>
    <d v="2024-03-19T07:30:00"/>
    <d v="2024-03-19T08:42:00"/>
    <n v="71.666666670838211"/>
    <n v="26.87500000417155"/>
    <x v="0"/>
    <d v="2024-03-19T21:12:00"/>
    <d v="2024-03-20T17:23:02"/>
    <n v="1185.8034722273442"/>
    <s v="Waited for empties from trade"/>
    <d v="2024-03-21T15:20:38"/>
    <d v="2024-03-21T16:17:38"/>
    <n v="55.81249999726424"/>
    <x v="0"/>
    <n v="2.2768287037033588"/>
    <n v="2"/>
    <n v="-0.27682870370335877"/>
    <n v="54.64388888888061"/>
    <n v="24"/>
    <n v="30.64388888888061"/>
    <n v="5.0907376856011863"/>
    <m/>
    <m/>
    <m/>
    <m/>
    <m/>
  </r>
  <r>
    <d v="2025-03-17T00:00:00"/>
    <x v="2"/>
    <s v="KESH"/>
    <s v="A21465"/>
    <s v="Manual"/>
    <s v="Nassasira"/>
    <s v="UBK 882R"/>
    <s v="Kato Investment Ltd -Mityana"/>
    <n v="187.2"/>
    <s v="A21465"/>
    <s v="OM"/>
    <n v="690"/>
    <n v="687"/>
    <n v="-3"/>
    <m/>
    <d v="2024-03-20T01:34:50"/>
    <d v="2024-03-20T00:53:50"/>
    <d v="2024-03-20T02:01:50"/>
    <n v="67.685185186807459"/>
    <n v="26.87500000417155"/>
    <x v="0"/>
    <d v="2024-03-20T14:31:50"/>
    <d v="2024-03-20T18:08:50"/>
    <n v="212.47916667191021"/>
    <s v="less casuals and offloaded the next day"/>
    <d v="2024-03-21T14:32:50"/>
    <d v="2024-03-21T15:32:50"/>
    <n v="58.7499999965803"/>
    <x v="0"/>
    <n v="1.5215277777751908"/>
    <n v="3"/>
    <n v="1.4784722222248092"/>
    <n v="36.516666666604578"/>
    <n v="12"/>
    <n v="24.516666666604578"/>
    <n v="7.6356220258521033"/>
    <m/>
    <m/>
    <m/>
    <m/>
    <m/>
  </r>
  <r>
    <d v="2025-03-17T00:00:00"/>
    <x v="2"/>
    <s v="KESH"/>
    <s v="A21466"/>
    <s v="Manual"/>
    <s v="Lule Fred"/>
    <s v="UBP 310H"/>
    <s v="KATO INVESTMENTS LTD-KATIKARA"/>
    <n v="70.8"/>
    <s v="A21466"/>
    <s v="OM"/>
    <n v="790"/>
    <n v="787"/>
    <n v="-3"/>
    <m/>
    <d v="2024-03-20T08:19:32"/>
    <d v="2024-03-20T07:30:32"/>
    <d v="2024-03-20T08:47:32"/>
    <n v="76.643518518055018"/>
    <n v="27.870370367357584"/>
    <x v="0"/>
    <d v="2024-03-20T09:14:32"/>
    <d v="2024-03-20T12:31:32"/>
    <n v="192.89583332603797"/>
    <s v="Waited for empties from trade"/>
    <d v="2024-03-20T13:01:32"/>
    <d v="2024-03-20T13:46:32"/>
    <n v="44.0625"/>
    <x v="0"/>
    <n v="0.17638888888905058"/>
    <n v="3"/>
    <n v="2.8236111111109494"/>
    <n v="4.2333333333372138"/>
    <n v="0"/>
    <n v="4.2333333333372138"/>
    <n v="16.724409448803566"/>
    <m/>
    <m/>
    <m/>
    <m/>
    <m/>
  </r>
  <r>
    <d v="2025-03-17T00:00:00"/>
    <x v="2"/>
    <s v="KESH"/>
    <s v="Z83094"/>
    <s v="Manual"/>
    <m/>
    <s v="UBP 304H"/>
    <s v="Bates Enterprises U Ltd"/>
    <n v="156"/>
    <s v="Z83094"/>
    <s v="OM"/>
    <n v="464"/>
    <n v="461"/>
    <n v="-3"/>
    <m/>
    <d v="2024-03-20T08:12:55"/>
    <d v="2024-03-20T07:32:55"/>
    <d v="2024-03-20T08:40:55"/>
    <n v="67.685185186807459"/>
    <n v="27.870370367357584"/>
    <x v="0"/>
    <d v="2024-03-20T10:50:55"/>
    <d v="2024-03-20T15:30:55"/>
    <n v="274.16666666780657"/>
    <s v="Waited for empties from trade"/>
    <d v="2024-03-20T17:40:55"/>
    <d v="2024-03-20T18:28:55"/>
    <n v="46.99999999931606"/>
    <x v="0"/>
    <n v="0.375"/>
    <n v="3"/>
    <n v="2.625"/>
    <n v="9"/>
    <n v="0"/>
    <n v="9"/>
    <n v="17.333333333333332"/>
    <m/>
    <m/>
    <m/>
    <m/>
    <m/>
  </r>
  <r>
    <d v="2025-03-17T00:00:00"/>
    <x v="2"/>
    <s v="KESH"/>
    <s v="A21469"/>
    <s v="Manual"/>
    <s v="Eriku Alipa"/>
    <s v="UBK 858R"/>
    <s v="Kato Investment Ltd -Kagadi"/>
    <n v="156"/>
    <s v="A21469"/>
    <s v="OM"/>
    <n v="670"/>
    <n v="671"/>
    <n v="1"/>
    <m/>
    <d v="2024-03-17T20:47:00"/>
    <d v="2024-03-17T01:59:00"/>
    <d v="2024-03-17T21:13:00"/>
    <n v="1148.6574074076391"/>
    <n v="25.879629630556639"/>
    <x v="0"/>
    <d v="2024-03-18T14:03:00"/>
    <d v="2024-03-18T16:16:00"/>
    <n v="130.22916666028323"/>
    <s v="slept at the RD and offloaded the next day"/>
    <d v="2024-03-19T09:19:00"/>
    <d v="2024-03-19T10:07:00"/>
    <n v="46.99999999931606"/>
    <x v="0"/>
    <n v="1.5041666666656965"/>
    <n v="2"/>
    <n v="0.49583333333430346"/>
    <n v="36.099999999976717"/>
    <n v="12"/>
    <n v="24.099999999976717"/>
    <n v="6.4730290456494073"/>
    <m/>
    <m/>
    <m/>
    <m/>
    <m/>
  </r>
  <r>
    <d v="2025-03-17T00:00:00"/>
    <x v="2"/>
    <s v="NBL"/>
    <s v="F16083"/>
    <s v="Manual"/>
    <m/>
    <s v="UBJ 988D"/>
    <s v="Rugoma Traders-Kanungu/Kihihi"/>
    <n v="153.6"/>
    <s v="F16083"/>
    <s v="OM"/>
    <n v="414"/>
    <n v="411"/>
    <n v="-3"/>
    <m/>
    <d v="2024-03-20T08:18:00"/>
    <d v="2024-03-20T07:30:00"/>
    <d v="2024-03-20T08:45:00"/>
    <n v="74.652777781254073"/>
    <n v="26.87500000417155"/>
    <x v="0"/>
    <d v="2024-03-21T08:45:00"/>
    <d v="2024-03-21T13:44:00"/>
    <n v="292.77083333356131"/>
    <s v="Waited for empties from trade"/>
    <d v="2024-03-22T09:57:00"/>
    <d v="2024-03-22T10:53:00"/>
    <n v="54.833333337664953"/>
    <x v="0"/>
    <n v="2.0499999999956344"/>
    <n v="2"/>
    <n v="-4.9999999995634425E-2"/>
    <n v="49.199999999895226"/>
    <n v="24"/>
    <n v="25.199999999895226"/>
    <n v="6.0952380952634373"/>
    <m/>
    <m/>
    <m/>
    <m/>
    <m/>
  </r>
  <r>
    <d v="2025-03-17T00:00:00"/>
    <x v="2"/>
    <s v="KESH"/>
    <s v="Z83099"/>
    <s v="Manual"/>
    <s v="kakembo Masudi"/>
    <s v="UBM 644D"/>
    <s v="Kabaco U Ltd"/>
    <n v="148.80000000000001"/>
    <s v="Z83099"/>
    <s v="OM"/>
    <n v="320"/>
    <n v="319"/>
    <n v="-1"/>
    <m/>
    <d v="2024-03-20T08:27:00"/>
    <d v="2024-03-20T07:30:00"/>
    <d v="2024-03-20T08:53:00"/>
    <n v="82.615740738886714"/>
    <n v="25.879629630556639"/>
    <x v="0"/>
    <d v="2024-03-21T08:23:00"/>
    <d v="2024-03-21T13:00:00"/>
    <n v="271.22916665823141"/>
    <s v="Waited for empties from trade"/>
    <d v="2024-03-22T03:48:00"/>
    <d v="2024-03-22T04:41:00"/>
    <n v="51.895833338348893"/>
    <x v="0"/>
    <n v="1.7881944444452529"/>
    <n v="2"/>
    <n v="0.21180555555474712"/>
    <n v="42.916666666686069"/>
    <n v="12"/>
    <n v="30.916666666686069"/>
    <n v="4.8129380053878155"/>
    <m/>
    <m/>
    <m/>
    <m/>
    <m/>
  </r>
  <r>
    <d v="2025-03-17T00:00:00"/>
    <x v="2"/>
    <s v="KESH"/>
    <s v="Z83102"/>
    <s v="Manual"/>
    <m/>
    <s v="UBR 538W"/>
    <s v="Kobusinge Steven-FPortal"/>
    <n v="156"/>
    <s v="Z83102"/>
    <s v="OM"/>
    <n v="304"/>
    <n v="301"/>
    <n v="-3"/>
    <m/>
    <d v="2024-03-20T20:52:00"/>
    <d v="2024-03-20T16:40:00"/>
    <d v="2024-03-20T21:21:00"/>
    <n v="279.6990740680485"/>
    <n v="28.865740740972495"/>
    <x v="0"/>
    <d v="2024-03-21T15:23:00"/>
    <d v="2024-03-22T08:51:00"/>
    <n v="1026.1666666671226"/>
    <s v="found another truck to be offloaded"/>
    <d v="2024-03-23T17:22:00"/>
    <d v="2024-03-23T18:03:00"/>
    <n v="40.145833330825553"/>
    <x v="0"/>
    <n v="2.8340277777824667"/>
    <n v="2"/>
    <n v="-0.83402777778246673"/>
    <n v="68.016666666779201"/>
    <n v="24"/>
    <n v="44.016666666779201"/>
    <n v="3.5441120787489853"/>
    <m/>
    <m/>
    <m/>
    <m/>
    <m/>
  </r>
  <r>
    <d v="2025-03-18T00:00:00"/>
    <x v="2"/>
    <s v="KESH"/>
    <s v="Z83125"/>
    <s v="Manual"/>
    <s v="Ikwalikwa Yusuf"/>
    <s v="UBP 311H"/>
    <s v="Kabaco U Ltd"/>
    <n v="156"/>
    <s v="Z83125"/>
    <s v="OM"/>
    <n v="320"/>
    <n v="317"/>
    <n v="-3"/>
    <m/>
    <d v="2024-03-21T09:52:37"/>
    <d v="2024-03-21T09:03:37"/>
    <d v="2024-03-21T10:19:37"/>
    <n v="75.648148154868977"/>
    <n v="26.87500000417155"/>
    <x v="0"/>
    <d v="2024-03-22T08:49:37"/>
    <d v="2024-03-22T12:26:37"/>
    <n v="212.47916666165111"/>
    <s v="Waited for empties from trade"/>
    <d v="2024-03-23T10:24:13"/>
    <d v="2024-03-23T11:24:13"/>
    <n v="58.7499999965803"/>
    <x v="0"/>
    <n v="2.0031944444417604"/>
    <n v="2"/>
    <n v="-3.1944444417604245E-3"/>
    <n v="48.07666666660225"/>
    <n v="24"/>
    <n v="24.07666666660225"/>
    <n v="6.4793022290080593"/>
    <m/>
    <m/>
    <m/>
    <m/>
    <m/>
  </r>
  <r>
    <d v="2025-03-18T00:00:00"/>
    <x v="2"/>
    <s v="NBL"/>
    <s v="F16092"/>
    <s v="Manual"/>
    <m/>
    <s v="UBE 422T"/>
    <s v="KATO INVESTMENTS LIMITED-MASAK"/>
    <n v="76.8"/>
    <s v="F16092"/>
    <s v="OM"/>
    <n v="298"/>
    <n v="297"/>
    <n v="-1"/>
    <m/>
    <d v="2024-03-21T15:59:00"/>
    <d v="2024-03-20T09:00:00"/>
    <d v="2024-03-21T16:25:00"/>
    <n v="1876.2731481527833"/>
    <n v="25.879629630556639"/>
    <x v="0"/>
    <d v="2024-03-22T12:32:00"/>
    <d v="2024-03-24T07:30:00"/>
    <n v="2524.2916666671226"/>
    <s v="Waited for empties from trade"/>
    <d v="2024-03-24T15:03:00"/>
    <d v="2024-03-24T16:00:00"/>
    <n v="55.81249999726424"/>
    <x v="0"/>
    <n v="2.9430555555518367"/>
    <n v="2"/>
    <n v="-0.94305555555183673"/>
    <n v="70.633333333244082"/>
    <n v="24"/>
    <n v="46.633333333244082"/>
    <n v="1.6468906361718438"/>
    <m/>
    <m/>
    <m/>
    <m/>
    <m/>
  </r>
  <r>
    <d v="2025-03-18T00:00:00"/>
    <x v="2"/>
    <s v="KESH"/>
    <s v="Z83126"/>
    <s v="Manual"/>
    <s v="Byanshala Stoney"/>
    <s v="UBP 312H"/>
    <s v="Kabaco U Ltd"/>
    <n v="156"/>
    <s v="Z83126"/>
    <s v="OM"/>
    <n v="320"/>
    <n v="319"/>
    <n v="-1"/>
    <m/>
    <d v="2024-03-21T16:58:00"/>
    <d v="2024-03-20T08:00:00"/>
    <d v="2024-03-21T17:24:00"/>
    <n v="1994.7222222166602"/>
    <n v="25.879629630556639"/>
    <x v="0"/>
    <d v="2024-03-23T12:08:00"/>
    <d v="2024-03-23T16:12:00"/>
    <n v="238.91666666575475"/>
    <s v="truck faulty"/>
    <d v="2024-03-24T03:31:00"/>
    <d v="2024-03-24T04:12:00"/>
    <n v="40.145833330825553"/>
    <x v="0"/>
    <n v="2.421527777776646"/>
    <n v="2"/>
    <n v="-0.42152777777664596"/>
    <n v="58.116666666639503"/>
    <n v="24"/>
    <n v="34.116666666639503"/>
    <n v="4.5725451880837582"/>
    <m/>
    <m/>
    <m/>
    <m/>
    <m/>
  </r>
  <r>
    <d v="2025-03-18T00:00:00"/>
    <x v="2"/>
    <s v="NBL"/>
    <s v="Z83124"/>
    <s v="Manual"/>
    <m/>
    <s v="UBE 419T"/>
    <s v="Kabaco U Ltd"/>
    <n v="153.6"/>
    <s v="Z83124"/>
    <s v="OM"/>
    <n v="320"/>
    <n v="319"/>
    <n v="-1"/>
    <m/>
    <d v="2024-03-22T06:36:00"/>
    <d v="2024-03-20T08:00:00"/>
    <d v="2024-03-22T07:03:00"/>
    <n v="2809.9305555479077"/>
    <n v="26.87500000417155"/>
    <x v="0"/>
    <d v="2024-03-22T14:03:00"/>
    <d v="2024-03-22T16:21:00"/>
    <n v="135.12499999931606"/>
    <m/>
    <d v="2024-03-23T03:31:00"/>
    <d v="2024-03-23T04:23:00"/>
    <n v="50.916666668490507"/>
    <x v="0"/>
    <n v="0.85277777777810115"/>
    <n v="2"/>
    <n v="1.1472222222218988"/>
    <n v="20.466666666674428"/>
    <n v="0"/>
    <n v="20.466666666674428"/>
    <n v="7.5048859934824961"/>
    <m/>
    <m/>
    <m/>
    <m/>
    <m/>
  </r>
  <r>
    <d v="2025-03-18T00:00:00"/>
    <x v="2"/>
    <s v="KESH"/>
    <s v="Z83127"/>
    <s v="Manual"/>
    <s v="Faruk Abel"/>
    <s v="UBR 539W"/>
    <s v="Kabaco U Ltd"/>
    <n v="156"/>
    <s v="Z83127"/>
    <s v="OM"/>
    <n v="320"/>
    <n v="318"/>
    <n v="-2"/>
    <m/>
    <d v="2024-03-21T08:12:00"/>
    <d v="2024-03-21T07:30:00"/>
    <d v="2024-03-21T08:38:00"/>
    <n v="67.685185186807459"/>
    <n v="25.879629630556639"/>
    <x v="0"/>
    <d v="2024-03-22T10:23:00"/>
    <d v="2024-03-22T15:45:00"/>
    <n v="315.29166666849051"/>
    <s v="Waited for empties from trade"/>
    <d v="2024-03-23T17:54:36"/>
    <d v="2024-03-23T18:35:36"/>
    <n v="40.145833330825553"/>
    <x v="0"/>
    <n v="2.3865277777731535"/>
    <n v="2"/>
    <n v="-0.3865277777731535"/>
    <n v="57.276666666555684"/>
    <n v="24"/>
    <n v="33.276666666555684"/>
    <n v="4.6879695482476293"/>
    <m/>
    <m/>
    <m/>
    <m/>
    <m/>
  </r>
  <r>
    <d v="2025-03-18T00:00:00"/>
    <x v="2"/>
    <s v="KESH"/>
    <s v="A21497"/>
    <s v="Manual"/>
    <s v="kayanja Sam"/>
    <s v="UBF 379L"/>
    <s v="Sawan Distributors Ltd-Kayabwe"/>
    <n v="156"/>
    <s v="A21497"/>
    <s v="OM"/>
    <n v="382"/>
    <n v="381"/>
    <n v="-1"/>
    <m/>
    <d v="2024-03-21T08:16:00"/>
    <d v="2024-03-21T07:30:00"/>
    <d v="2024-03-21T08:42:00"/>
    <n v="71.666666670838211"/>
    <n v="25.879629630556639"/>
    <x v="0"/>
    <d v="2024-03-22T03:07:00"/>
    <d v="2024-03-22T19:28:00"/>
    <n v="960.56250000205182"/>
    <s v="Not enough casuals to offload"/>
    <d v="2024-03-23T21:54:44"/>
    <d v="2024-03-23T22:54:44"/>
    <n v="58.7499999965803"/>
    <x v="0"/>
    <n v="2.5505092592575238"/>
    <n v="2"/>
    <n v="-0.55050925925752381"/>
    <n v="61.212222222180571"/>
    <n v="24"/>
    <n v="37.212222222180571"/>
    <n v="4.1921710310279519"/>
    <m/>
    <m/>
    <m/>
    <m/>
    <m/>
  </r>
  <r>
    <d v="2025-03-18T00:00:00"/>
    <x v="2"/>
    <s v="KESH"/>
    <s v="F16094"/>
    <s v="Manual"/>
    <s v="ZIWA ABASI"/>
    <s v="UBJ 420C"/>
    <s v="Boniface Harera"/>
    <n v="156"/>
    <s v="F16094"/>
    <s v="OM"/>
    <n v="448"/>
    <n v="447"/>
    <n v="-1"/>
    <m/>
    <d v="2024-03-21T08:11:00"/>
    <d v="2024-03-21T07:30:00"/>
    <d v="2024-03-21T08:38:00"/>
    <n v="67.685185186807459"/>
    <n v="26.87500000417155"/>
    <x v="0"/>
    <d v="2024-03-22T09:38:00"/>
    <d v="2024-03-22T14:38:00"/>
    <n v="293.7500000034197"/>
    <s v="Reached late and offloaded the next day"/>
    <d v="2024-03-23T12:14:00"/>
    <d v="2024-03-23T13:14:00"/>
    <n v="58.7499999965803"/>
    <x v="0"/>
    <n v="2.1500000000014552"/>
    <n v="2"/>
    <n v="-0.15000000000145519"/>
    <n v="51.600000000034925"/>
    <n v="24"/>
    <n v="27.600000000034925"/>
    <n v="5.652173913036326"/>
    <m/>
    <m/>
    <m/>
    <m/>
    <m/>
  </r>
  <r>
    <d v="2025-03-18T00:00:00"/>
    <x v="2"/>
    <s v="KESH"/>
    <s v="Z83131"/>
    <s v="Manual"/>
    <m/>
    <s v="UBR 880Y"/>
    <s v="Kobusinge Steven-FPortal"/>
    <n v="156"/>
    <s v="Z83131"/>
    <s v="OM"/>
    <n v="304"/>
    <n v="301"/>
    <n v="-3"/>
    <m/>
    <d v="2024-03-21T08:12:00"/>
    <d v="2024-03-21T07:30:00"/>
    <d v="2024-03-21T08:38:00"/>
    <n v="67.685185186807459"/>
    <n v="25.879629630556639"/>
    <x v="0"/>
    <d v="2024-03-22T07:08:00"/>
    <d v="2024-03-22T16:17:00"/>
    <n v="537.56249999794818"/>
    <s v="found another truck to be offloaded"/>
    <d v="2024-03-23T08:53:07"/>
    <d v="2024-03-23T09:38:07"/>
    <n v="44.0625"/>
    <x v="0"/>
    <n v="2.010497685187147"/>
    <n v="2"/>
    <n v="-1.0497685187146999E-2"/>
    <n v="48.251944444491528"/>
    <n v="24"/>
    <n v="24.251944444491528"/>
    <n v="6.4324739138775779"/>
    <m/>
    <m/>
    <m/>
    <m/>
    <m/>
  </r>
  <r>
    <d v="2025-03-20T00:00:00"/>
    <x v="2"/>
    <s v="KESH"/>
    <s v="Z83162"/>
    <s v="Manual"/>
    <m/>
    <s v="UBG 084B"/>
    <s v="Rugoma Traders-Rukungiri"/>
    <n v="156"/>
    <s v="Z83162"/>
    <s v="OM"/>
    <n v="256"/>
    <n v="255"/>
    <n v="-1"/>
    <m/>
    <d v="2024-03-21T08:31:00"/>
    <d v="2024-03-21T07:30:00"/>
    <d v="2024-03-21T08:58:00"/>
    <n v="87.592592596532384"/>
    <n v="26.87500000417155"/>
    <x v="0"/>
    <d v="2024-03-21T15:58:00"/>
    <d v="2024-03-21T19:29:00"/>
    <n v="206.60416666301899"/>
    <s v="found another truck at the RD"/>
    <d v="2024-03-22T19:29:00"/>
    <d v="2024-03-22T20:38:00"/>
    <n v="67.56250000478758"/>
    <x v="5"/>
    <n v="1.4381944444394321"/>
    <n v="2"/>
    <n v="0.56180555556056788"/>
    <n v="34.516666666546371"/>
    <n v="12"/>
    <n v="22.516666666546371"/>
    <n v="6.9282013323834244"/>
    <m/>
    <m/>
    <m/>
    <m/>
    <m/>
  </r>
  <r>
    <d v="2025-03-20T00:00:00"/>
    <x v="2"/>
    <s v="NBL"/>
    <s v="A21544"/>
    <s v="Manual"/>
    <m/>
    <s v="UBE 422T"/>
    <s v="Kato Investments Ltd- Kakumiro"/>
    <n v="76.8"/>
    <s v="A21544"/>
    <s v="OM"/>
    <n v="790"/>
    <n v="788"/>
    <n v="-2"/>
    <m/>
    <d v="2024-03-21T08:16:00"/>
    <d v="2024-03-21T07:30:00"/>
    <d v="2024-03-21T08:42:00"/>
    <n v="71.666666670838211"/>
    <n v="25.879629630556639"/>
    <x v="0"/>
    <d v="2024-03-21T15:42:00"/>
    <d v="2024-03-21T19:20:00"/>
    <n v="213.45833333150949"/>
    <s v="Waited for empties from trade"/>
    <d v="2024-03-22T02:50:00"/>
    <d v="2024-03-22T03:41:00"/>
    <n v="49.93749999863212"/>
    <x v="0"/>
    <n v="0.75555555555183673"/>
    <n v="3"/>
    <n v="2.2444444444481633"/>
    <n v="18.133333333244082"/>
    <n v="0"/>
    <n v="18.133333333244082"/>
    <n v="4.2352941176679044"/>
    <m/>
    <m/>
    <m/>
    <m/>
    <m/>
  </r>
  <r>
    <d v="2025-03-20T00:00:00"/>
    <x v="2"/>
    <s v="KESH"/>
    <s v="Z83163"/>
    <s v="Manual"/>
    <s v="kakembo Masudi"/>
    <s v="UBM 644D"/>
    <s v="Kobusinge Steven-Kamwenge"/>
    <n v="6.3"/>
    <s v="Z83163"/>
    <s v="OM"/>
    <n v="288"/>
    <n v="285"/>
    <n v="-3"/>
    <m/>
    <d v="2024-03-22T08:36:00"/>
    <d v="2024-03-21T20:25:00"/>
    <d v="2024-03-22T09:02:00"/>
    <n v="753.49537036527181"/>
    <n v="25.879629630556639"/>
    <x v="0"/>
    <d v="2024-03-23T08:47:00"/>
    <d v="2024-03-23T13:12:00"/>
    <n v="259.47916667122627"/>
    <s v="Waited for empties from trade"/>
    <d v="2024-03-23T13:41:00"/>
    <d v="2024-03-23T14:38:00"/>
    <n v="55.81249999726424"/>
    <x v="0"/>
    <n v="1.1937500000058208"/>
    <n v="2"/>
    <n v="0.80624999999417923"/>
    <n v="28.650000000139698"/>
    <n v="12"/>
    <n v="16.650000000139698"/>
    <n v="0.37837837837520366"/>
    <m/>
    <m/>
    <m/>
    <m/>
    <m/>
  </r>
  <r>
    <d v="2025-03-20T00:00:00"/>
    <x v="2"/>
    <s v="KESH"/>
    <s v="A21547"/>
    <s v="Manual"/>
    <m/>
    <s v="UBR 864Y"/>
    <s v="Kato Investment Ltd -Kagadi"/>
    <n v="78"/>
    <s v="A21547"/>
    <s v="OM"/>
    <n v="670"/>
    <n v="667"/>
    <n v="-3"/>
    <m/>
    <d v="2024-03-22T03:07:00"/>
    <d v="2024-03-21T08:00:00"/>
    <d v="2024-03-22T03:34:00"/>
    <n v="1168.5648148069351"/>
    <n v="26.87500000417155"/>
    <x v="0"/>
    <d v="2024-03-23T08:37:00"/>
    <d v="2024-03-23T13:57:00"/>
    <n v="313.33333333903283"/>
    <m/>
    <d v="2024-03-23T21:43:00"/>
    <d v="2024-03-23T22:26:00"/>
    <n v="42.104166660283227"/>
    <x v="0"/>
    <n v="1.7562500000058208"/>
    <n v="2"/>
    <n v="0.24374999999417923"/>
    <n v="42.150000000139698"/>
    <n v="12"/>
    <n v="30.150000000139698"/>
    <n v="2.5870646766049283"/>
    <m/>
    <m/>
    <m/>
    <m/>
    <m/>
  </r>
  <r>
    <d v="2025-03-20T00:00:00"/>
    <x v="2"/>
    <s v="KESH"/>
    <s v="Z83164"/>
    <s v="Manual"/>
    <s v="SENTONG DAVID"/>
    <s v="UBP 298H"/>
    <s v="Bates Enterprises U Ltd"/>
    <n v="78"/>
    <s v="Z83164"/>
    <s v="OM"/>
    <n v="464"/>
    <n v="461"/>
    <n v="-3"/>
    <m/>
    <d v="2024-03-22T12:19:13"/>
    <d v="2024-03-22T03:34:13"/>
    <d v="2024-03-22T12:46:13"/>
    <n v="549.44444444166345"/>
    <n v="26.87500000417155"/>
    <x v="0"/>
    <d v="2024-03-22T13:22:13"/>
    <d v="2024-03-22T15:40:13"/>
    <n v="135.12499999931606"/>
    <m/>
    <d v="2024-03-22T16:10:13"/>
    <d v="2024-03-22T17:03:13"/>
    <n v="51.895833338348893"/>
    <x v="0"/>
    <n v="0.14166666666278616"/>
    <n v="3"/>
    <n v="2.8583333333372138"/>
    <n v="3.3999999999068677"/>
    <n v="0"/>
    <n v="3.3999999999068677"/>
    <n v="22.941176471216636"/>
    <m/>
    <m/>
    <m/>
    <m/>
    <m/>
  </r>
  <r>
    <d v="2025-03-20T00:00:00"/>
    <x v="2"/>
    <s v="KESH"/>
    <s v="F16102"/>
    <s v="Manual"/>
    <s v="ZIWA ABASI"/>
    <s v="UBJ 420C"/>
    <s v="Boniface Harera"/>
    <n v="148.80000000000001"/>
    <s v="F16102"/>
    <s v="OM"/>
    <n v="448"/>
    <n v="446"/>
    <n v="-2"/>
    <m/>
    <d v="2024-03-22T12:34:22"/>
    <d v="2024-03-22T03:39:22"/>
    <d v="2024-03-22T13:02:22"/>
    <n v="560.39351852014079"/>
    <n v="27.870370367357584"/>
    <x v="0"/>
    <d v="2024-03-22T19:02:22"/>
    <d v="2024-03-23T03:47:29"/>
    <n v="514.17673611045757"/>
    <m/>
    <d v="2024-03-23T17:07:29"/>
    <d v="2024-03-23T17:48:29"/>
    <n v="40.145833330825553"/>
    <x v="0"/>
    <n v="1.1702199074061355"/>
    <n v="2"/>
    <n v="0.82978009259386454"/>
    <n v="28.085277777747251"/>
    <n v="12"/>
    <n v="16.085277777747251"/>
    <n v="9.2506950800596925"/>
    <m/>
    <m/>
    <m/>
    <m/>
    <m/>
  </r>
  <r>
    <d v="2025-03-20T00:00:00"/>
    <x v="2"/>
    <s v="NBL"/>
    <s v="A21545"/>
    <s v="Manual"/>
    <m/>
    <s v="UBE 419T"/>
    <s v="Ntale and Sons"/>
    <n v="153.6"/>
    <s v="A21545"/>
    <s v="OM"/>
    <n v="810"/>
    <n v="807"/>
    <n v="-3"/>
    <m/>
    <d v="2024-03-22T08:11:00"/>
    <d v="2024-03-22T07:30:00"/>
    <d v="2024-03-22T08:38:00"/>
    <n v="67.685185186807459"/>
    <n v="26.87500000417155"/>
    <x v="0"/>
    <d v="2024-03-23T10:38:00"/>
    <d v="2024-03-23T15:53:00"/>
    <n v="308.4375"/>
    <m/>
    <d v="2024-03-24T14:41:00"/>
    <d v="2024-03-24T15:33:00"/>
    <n v="50.916666668490507"/>
    <x v="0"/>
    <n v="2.2520833333328483"/>
    <n v="3"/>
    <n v="0.74791666666715173"/>
    <n v="54.049999999988358"/>
    <n v="24"/>
    <n v="30.049999999988358"/>
    <n v="5.1114808652266053"/>
    <m/>
    <m/>
    <m/>
    <m/>
    <m/>
  </r>
  <r>
    <d v="2025-03-20T00:00:00"/>
    <x v="2"/>
    <s v="NBL"/>
    <s v="Z83160"/>
    <s v="Manual"/>
    <m/>
    <s v="UBJ 988D"/>
    <s v="Kabaco U Ltd-Mbarara "/>
    <n v="153.6"/>
    <s v="Z83160"/>
    <s v="OM"/>
    <n v="20"/>
    <n v="17"/>
    <n v="-3"/>
    <m/>
    <d v="2024-03-22T08:21:00"/>
    <d v="2024-03-22T07:30:00"/>
    <d v="2024-03-22T08:47:00"/>
    <n v="76.643518518055018"/>
    <n v="25.879629630556639"/>
    <x v="0"/>
    <d v="2024-03-22T17:47:00"/>
    <d v="2024-03-23T14:26:50"/>
    <n v="1214.0034722228302"/>
    <s v="space consquents"/>
    <d v="2024-03-24T07:58:02"/>
    <d v="2024-03-24T08:39:02"/>
    <n v="40.145833330825553"/>
    <x v="0"/>
    <n v="1.965995370374003"/>
    <n v="1"/>
    <n v="-0.96599537037400296"/>
    <n v="47.183888888976071"/>
    <n v="12"/>
    <n v="35.183888888976071"/>
    <n v="4.3656345233663592"/>
    <m/>
    <m/>
    <m/>
    <m/>
    <m/>
  </r>
  <r>
    <d v="2025-03-20T00:00:00"/>
    <x v="2"/>
    <s v="KESH"/>
    <s v="F16103"/>
    <s v="Manual"/>
    <s v="Tsaale Hassan"/>
    <s v="UBJ 703D"/>
    <s v="Boniface Harera"/>
    <n v="156"/>
    <s v="F16103"/>
    <s v="OM"/>
    <n v="448"/>
    <n v="445"/>
    <n v="-3"/>
    <m/>
    <d v="2024-03-22T08:11:00"/>
    <d v="2024-03-22T07:30:00"/>
    <d v="2024-03-22T08:38:00"/>
    <n v="67.685185186807459"/>
    <n v="26.87500000417155"/>
    <x v="0"/>
    <d v="2024-03-23T10:38:00"/>
    <d v="2024-03-23T15:26:00"/>
    <n v="281.99999999589636"/>
    <s v="Reached late and offloaded the next day"/>
    <d v="2024-03-24T03:03:55"/>
    <d v="2024-03-24T03:59:55"/>
    <n v="54.833333337664953"/>
    <x v="0"/>
    <n v="1.767997685186856"/>
    <n v="2"/>
    <n v="0.23200231481314404"/>
    <n v="42.431944444484543"/>
    <n v="12"/>
    <n v="30.431944444484543"/>
    <n v="5.1261923234837301"/>
    <m/>
    <m/>
    <m/>
    <m/>
    <m/>
  </r>
  <r>
    <d v="2025-03-20T00:00:00"/>
    <x v="2"/>
    <s v="KESH"/>
    <s v="A21548"/>
    <s v="Manual"/>
    <m/>
    <s v="UBR 903Y"/>
    <s v="Kato Investments Ltd- Kyegegwa"/>
    <n v="78"/>
    <s v="A21548"/>
    <s v="OM"/>
    <n v="600"/>
    <n v="599"/>
    <n v="-1"/>
    <m/>
    <d v="2024-03-22T08:11:00"/>
    <d v="2024-03-22T07:30:00"/>
    <d v="2024-03-22T08:38:00"/>
    <n v="67.685185186807459"/>
    <n v="26.87500000417155"/>
    <x v="0"/>
    <d v="2024-03-23T09:53:00"/>
    <d v="2024-03-23T16:39:00"/>
    <n v="397.54166665959929"/>
    <s v="truck faulty"/>
    <d v="2024-03-24T21:54:22"/>
    <d v="2024-03-24T22:50:22"/>
    <n v="54.833333337664953"/>
    <x v="0"/>
    <n v="2.5530324074061355"/>
    <n v="2"/>
    <n v="-0.55303240740613546"/>
    <n v="61.272777777747251"/>
    <n v="24"/>
    <n v="37.272777777747251"/>
    <n v="2.0926800912211023"/>
    <m/>
    <m/>
    <m/>
    <m/>
    <m/>
  </r>
  <r>
    <d v="2025-03-20T00:00:00"/>
    <x v="2"/>
    <s v="KESH"/>
    <s v="Z83157"/>
    <s v="Manual"/>
    <s v="Ngobi Fred"/>
    <s v="UBK 866R"/>
    <s v="Kabaco U Ltd"/>
    <n v="156"/>
    <s v="Z83157"/>
    <s v="OM"/>
    <n v="320"/>
    <n v="164"/>
    <n v="-156"/>
    <m/>
    <d v="2024-03-23T13:41:22"/>
    <d v="2024-03-23T00:55:22"/>
    <d v="2024-03-23T14:07:22"/>
    <n v="788.33333332707605"/>
    <n v="25.879629630556639"/>
    <x v="0"/>
    <d v="2024-03-23T14:34:22"/>
    <d v="2024-03-23T18:03:22"/>
    <n v="204.64583333356131"/>
    <s v="slept at the RD and offloaded the next day"/>
    <d v="2024-03-23T18:41:22"/>
    <d v="2024-03-23T19:29:22"/>
    <n v="46.99999999931606"/>
    <x v="0"/>
    <n v="0.19027777777955635"/>
    <n v="2"/>
    <n v="1.8097222222204437"/>
    <n v="4.5666666667093523"/>
    <n v="0"/>
    <n v="4.5666666667093523"/>
    <n v="34.160583941286532"/>
    <m/>
    <m/>
    <m/>
    <m/>
    <m/>
  </r>
  <r>
    <d v="2025-03-20T00:00:00"/>
    <x v="2"/>
    <s v="KESH"/>
    <s v="Z83158"/>
    <s v="Manual"/>
    <m/>
    <s v="UBR 863Y"/>
    <s v="Kabaco U Ltd"/>
    <n v="156"/>
    <s v="Z83158"/>
    <s v="OM"/>
    <n v="320"/>
    <n v="317"/>
    <n v="-3"/>
    <m/>
    <d v="2024-03-23T08:35:00"/>
    <d v="2024-03-23T07:30:00"/>
    <d v="2024-03-23T09:02:00"/>
    <n v="91.574074070134273"/>
    <n v="26.87500000417155"/>
    <x v="0"/>
    <d v="2024-03-24T10:17:00"/>
    <d v="2024-03-24T13:15:00"/>
    <n v="174.29166667054233"/>
    <m/>
    <d v="2024-03-25T21:48:12"/>
    <d v="2024-03-25T22:29:12"/>
    <n v="40.145833330825553"/>
    <x v="0"/>
    <n v="2.5320833333389601"/>
    <n v="2"/>
    <n v="-0.53208333333896007"/>
    <n v="60.770000000135042"/>
    <n v="24"/>
    <n v="36.770000000135042"/>
    <n v="4.2425890671587458"/>
    <m/>
    <m/>
    <m/>
    <m/>
    <m/>
  </r>
  <r>
    <d v="2025-03-20T00:00:00"/>
    <x v="2"/>
    <s v="KESH"/>
    <s v="F16104"/>
    <s v="Manual"/>
    <s v="Muzamiru"/>
    <s v="UBJ 417C"/>
    <s v="Boniface Harera"/>
    <n v="156"/>
    <s v="F16104"/>
    <s v="OM"/>
    <n v="448"/>
    <n v="447"/>
    <n v="-1"/>
    <m/>
    <d v="2024-03-23T08:11:00"/>
    <d v="2024-03-23T07:30:00"/>
    <d v="2024-03-23T08:38:00"/>
    <n v="67.685185186807459"/>
    <n v="26.87500000417155"/>
    <x v="0"/>
    <d v="2024-03-23T14:38:00"/>
    <d v="2024-03-23T19:53:00"/>
    <n v="308.4375"/>
    <s v="space consquents"/>
    <d v="2024-03-24T01:13:00"/>
    <d v="2024-03-24T01:58:00"/>
    <n v="44.0625"/>
    <x v="0"/>
    <n v="0.69097222221898846"/>
    <n v="2"/>
    <n v="1.3090277777810115"/>
    <n v="16.583333333255723"/>
    <n v="0"/>
    <n v="16.583333333255723"/>
    <n v="9.4070351759234221"/>
    <m/>
    <m/>
    <m/>
    <m/>
    <m/>
  </r>
  <r>
    <d v="2025-03-21T00:00:00"/>
    <x v="2"/>
    <s v="KESH"/>
    <s v="Z83175"/>
    <s v="Manual"/>
    <s v="Nakalya John"/>
    <s v="UBM 648D"/>
    <s v="Kobusinge Steven-Kamwenge"/>
    <n v="156"/>
    <s v="Z83175"/>
    <s v="OM"/>
    <n v="288"/>
    <n v="287"/>
    <n v="-1"/>
    <m/>
    <d v="2024-03-24T02:50:00"/>
    <d v="2024-03-24T04:14:00"/>
    <d v="2024-03-24T03:16:00"/>
    <n v="-57.731481481944989"/>
    <n v="25.879629630556639"/>
    <x v="0"/>
    <d v="2024-03-24T15:17:00"/>
    <d v="2024-03-24T18:19:00"/>
    <n v="178.20833332945767"/>
    <m/>
    <d v="2024-03-25T12:54:00"/>
    <d v="2024-03-25T13:53:00"/>
    <n v="57.770833336981013"/>
    <x v="0"/>
    <n v="1.4013888888875954"/>
    <n v="2"/>
    <n v="0.59861111111240461"/>
    <n v="33.633333333302289"/>
    <n v="12"/>
    <n v="21.633333333302289"/>
    <n v="7.211093990765356"/>
    <m/>
    <m/>
    <m/>
    <m/>
    <m/>
  </r>
  <r>
    <d v="2025-03-21T00:00:00"/>
    <x v="2"/>
    <s v="KESH"/>
    <s v="A21559"/>
    <s v="Manual"/>
    <m/>
    <s v="UBR 900Y"/>
    <s v="Kato Investment Ltd -Mityana"/>
    <n v="78"/>
    <s v="A21559"/>
    <s v="OM"/>
    <n v="690"/>
    <n v="687"/>
    <n v="-3"/>
    <m/>
    <d v="2024-03-23T15:29:00"/>
    <d v="2024-03-23T17:30:00"/>
    <d v="2024-03-23T15:55:00"/>
    <n v="-94.560185180550135"/>
    <n v="25.879629630556639"/>
    <x v="0"/>
    <d v="2024-03-24T12:36:00"/>
    <d v="2024-03-24T19:26:00"/>
    <n v="401.45833332877373"/>
    <s v="Waited for empties from trade"/>
    <d v="2024-03-24T09:44:00"/>
    <d v="2024-03-24T10:41:00"/>
    <n v="55.81249999726424"/>
    <x v="0"/>
    <n v="0.74236111110803904"/>
    <n v="3"/>
    <n v="2.257638888891961"/>
    <n v="17.816666666592937"/>
    <n v="0"/>
    <n v="17.816666666592937"/>
    <n v="4.3779232928151233"/>
    <m/>
    <m/>
    <m/>
    <m/>
    <m/>
  </r>
  <r>
    <d v="2025-03-21T00:00:00"/>
    <x v="2"/>
    <s v="KESH"/>
    <s v="A21558"/>
    <s v="Manual"/>
    <s v="Mulumba Kasim"/>
    <s v="UBE 680K"/>
    <s v="KATO INVESTMENTS LTD-KATIKARA"/>
    <n v="5.5439999999999996"/>
    <s v="A21558"/>
    <s v="OM"/>
    <n v="790"/>
    <n v="787"/>
    <n v="-3"/>
    <m/>
    <d v="2024-03-24T04:15:44"/>
    <d v="2024-03-24T03:20:44"/>
    <d v="2024-03-24T04:43:44"/>
    <n v="82.615740749315592"/>
    <n v="27.870370367357584"/>
    <x v="0"/>
    <d v="2024-03-24T13:43:44"/>
    <d v="2024-03-24T18:12:44"/>
    <n v="263.39583333014161"/>
    <s v="Waited for empties from trade"/>
    <d v="2024-03-25T14:36:44"/>
    <d v="2024-03-25T15:24:44"/>
    <n v="46.99999999931606"/>
    <x v="0"/>
    <n v="1.4118055555518367"/>
    <n v="3"/>
    <n v="1.5881944444481633"/>
    <n v="33.883333333244082"/>
    <n v="12"/>
    <n v="21.883333333244082"/>
    <n v="0.25334348819600661"/>
    <m/>
    <m/>
    <m/>
    <m/>
    <m/>
  </r>
  <r>
    <d v="2025-03-21T00:00:00"/>
    <x v="2"/>
    <s v="NBL"/>
    <s v="F16105"/>
    <s v="Manual"/>
    <m/>
    <s v="UBJ 988D"/>
    <s v="KATO INVESTMENTS LIMITED-MASAK"/>
    <n v="76.8"/>
    <s v="F16105"/>
    <s v="OM"/>
    <n v="298"/>
    <n v="297"/>
    <n v="-1"/>
    <m/>
    <d v="2024-03-25T12:50:00"/>
    <d v="2024-03-24T07:42:00"/>
    <d v="2024-03-25T13:19:00"/>
    <n v="1768.773148146526"/>
    <n v="28.865740740972495"/>
    <x v="0"/>
    <d v="2024-03-25T14:02:00"/>
    <d v="2024-03-25T17:49:00"/>
    <n v="222.27083332945767"/>
    <s v="slept at the RD and offloaded the next day"/>
    <d v="2024-03-25T18:46:00"/>
    <d v="2024-03-25T19:43:00"/>
    <n v="55.81249999726424"/>
    <x v="0"/>
    <n v="0.22708333333866904"/>
    <n v="2"/>
    <n v="1.772916666661331"/>
    <n v="5.4500000001280569"/>
    <n v="0"/>
    <n v="5.4500000001280569"/>
    <n v="14.091743118934945"/>
    <m/>
    <m/>
    <m/>
    <m/>
    <m/>
  </r>
  <r>
    <d v="2025-03-21T00:00:00"/>
    <x v="2"/>
    <s v="KESH"/>
    <s v="F16108"/>
    <s v="Manual"/>
    <m/>
    <s v="UBR 538W"/>
    <s v="Boniface Harera"/>
    <n v="148.80000000000001"/>
    <s v="F16108"/>
    <s v="OM"/>
    <n v="448"/>
    <n v="445"/>
    <n v="-3"/>
    <m/>
    <d v="2024-03-24T17:11:00"/>
    <d v="2024-03-24T03:52:00"/>
    <d v="2024-03-24T17:39:00"/>
    <n v="823.17129629930912"/>
    <n v="27.870370367357584"/>
    <x v="0"/>
    <d v="2024-03-24T18:17:00"/>
    <d v="2024-03-25T03:05:00"/>
    <n v="516.99999999247666"/>
    <s v="Reached late and offloaded the next day"/>
    <d v="2024-03-25T03:40:00"/>
    <d v="2024-03-25T04:32:00"/>
    <n v="50.916666668490507"/>
    <x v="0"/>
    <n v="0.41736111111094942"/>
    <n v="2"/>
    <n v="1.5826388888890506"/>
    <n v="10.016666666662786"/>
    <n v="0"/>
    <n v="10.016666666662786"/>
    <n v="14.855241264564825"/>
    <m/>
    <m/>
    <m/>
    <m/>
    <m/>
  </r>
  <r>
    <d v="2025-03-21T00:00:00"/>
    <x v="2"/>
    <s v="KESH"/>
    <s v="F16109"/>
    <s v="Manual"/>
    <s v="Eriku Alipa"/>
    <s v="UBK 858R"/>
    <s v="Boniface Harera"/>
    <n v="148.80000000000001"/>
    <s v="F16109"/>
    <s v="OM"/>
    <n v="448"/>
    <n v="445"/>
    <n v="-3"/>
    <m/>
    <d v="2024-03-24T12:46:00"/>
    <d v="2024-03-24T03:43:00"/>
    <d v="2024-03-24T13:12:00"/>
    <n v="566.36574074097246"/>
    <n v="25.879629630556639"/>
    <x v="0"/>
    <d v="2024-03-25T12:17:00"/>
    <d v="2024-03-25T17:19:00"/>
    <n v="295.70833333287737"/>
    <s v="found another truck to be offloaded"/>
    <d v="2024-03-26T12:22:00"/>
    <d v="2024-03-26T13:07:00"/>
    <n v="44.0625"/>
    <x v="0"/>
    <n v="1.9652777777737356"/>
    <n v="2"/>
    <n v="3.4722222226264421E-2"/>
    <n v="47.166666666569654"/>
    <n v="12"/>
    <n v="35.166666666569654"/>
    <n v="4.2312796208647532"/>
    <m/>
    <m/>
    <m/>
    <m/>
    <m/>
  </r>
  <r>
    <d v="2025-03-21T00:00:00"/>
    <x v="2"/>
    <s v="KESH"/>
    <s v="F16110"/>
    <s v="Manual"/>
    <m/>
    <s v="UBJ 421C"/>
    <s v="Boniface Harera"/>
    <n v="156"/>
    <s v="F16110"/>
    <s v="OM"/>
    <n v="448"/>
    <n v="445"/>
    <n v="-3"/>
    <m/>
    <d v="2024-03-25T08:19:00"/>
    <d v="2024-03-25T07:30:00"/>
    <d v="2024-03-25T08:47:00"/>
    <n v="76.643518518055018"/>
    <n v="27.870370367357584"/>
    <x v="0"/>
    <d v="2024-03-26T10:02:00"/>
    <d v="2024-03-27T14:50:00"/>
    <n v="1691.9999999958964"/>
    <s v="Waited for empties from trade"/>
    <d v="2024-03-27T19:38:00"/>
    <d v="2024-03-27T20:29:00"/>
    <n v="49.93749999863212"/>
    <x v="0"/>
    <n v="2.4520833333372138"/>
    <n v="2"/>
    <n v="-0.45208333333721384"/>
    <n v="58.850000000093132"/>
    <n v="24"/>
    <n v="34.850000000093132"/>
    <n v="4.4763271162003759"/>
    <m/>
    <m/>
    <m/>
    <m/>
    <m/>
  </r>
  <r>
    <d v="2025-03-22T00:00:00"/>
    <x v="2"/>
    <s v="KESH"/>
    <s v="A21579"/>
    <s v="Manual"/>
    <s v="Nassasira"/>
    <s v="UBK 882R"/>
    <s v="Kato Investment Ltd -Mubende"/>
    <n v="187.2"/>
    <s v="A21579"/>
    <s v="OM"/>
    <n v="680"/>
    <n v="679"/>
    <n v="-1"/>
    <m/>
    <d v="2024-03-25T07:48:00"/>
    <d v="2024-03-25T07:30:00"/>
    <d v="2024-03-25T08:42:00"/>
    <n v="71.666666670838211"/>
    <n v="53.749999997914223"/>
    <x v="10"/>
    <d v="2024-03-26T09:57:00"/>
    <d v="2024-03-26T16:43:00"/>
    <n v="397.54166666985839"/>
    <s v="Waited for empties from trade"/>
    <d v="2024-03-27T17:03:48"/>
    <d v="2024-03-27T17:59:48"/>
    <n v="54.833333327405853"/>
    <x v="0"/>
    <n v="2.3484722222201526"/>
    <n v="3"/>
    <n v="0.65152777777984738"/>
    <n v="56.363333333283663"/>
    <n v="24"/>
    <n v="32.363333333283663"/>
    <n v="5.7843238232656491"/>
    <m/>
    <m/>
    <m/>
    <m/>
    <m/>
  </r>
  <r>
    <d v="2025-03-22T00:00:00"/>
    <x v="2"/>
    <s v="KESH"/>
    <s v="A21581"/>
    <s v="Manual"/>
    <s v="Lule Fred"/>
    <s v="UBP 310H"/>
    <s v="KATO INVESTMENTS LTD-KATIKARA"/>
    <n v="148.80000000000001"/>
    <s v="A21581"/>
    <s v="OM"/>
    <n v="790"/>
    <n v="787"/>
    <n v="-3"/>
    <m/>
    <d v="2024-03-22T08:35:00"/>
    <d v="2024-03-25T07:30:00"/>
    <d v="2024-03-22T09:02:00"/>
    <n v="-4208.425925929866"/>
    <n v="26.87500000417155"/>
    <x v="0"/>
    <d v="2024-03-23T10:17:00"/>
    <d v="2024-03-23T18:43:00"/>
    <n v="495.45833333766495"/>
    <s v="truck faulty"/>
    <d v="2024-03-23T21:07:00"/>
    <d v="2024-03-23T21:58:00"/>
    <n v="49.93749999863212"/>
    <x v="0"/>
    <n v="1.5034722222262644"/>
    <n v="3"/>
    <n v="1.4965277777737356"/>
    <n v="36.083333333430346"/>
    <n v="12"/>
    <n v="24.083333333430346"/>
    <n v="6.1785467127778801"/>
    <m/>
    <m/>
    <m/>
    <m/>
    <m/>
  </r>
  <r>
    <d v="2025-03-22T00:00:00"/>
    <x v="2"/>
    <s v="KESH"/>
    <s v="Z83189"/>
    <s v="Manual"/>
    <s v="Faruk Abel"/>
    <s v="UBR 539W"/>
    <s v="Kabaco U Ltd"/>
    <n v="156"/>
    <s v="Z83189"/>
    <s v="OM"/>
    <n v="320"/>
    <n v="317"/>
    <n v="-3"/>
    <m/>
    <d v="2024-03-25T08:12:00"/>
    <d v="2024-03-25T07:30:00"/>
    <d v="2024-03-25T08:38:00"/>
    <n v="67.685185186807459"/>
    <n v="25.879629630556639"/>
    <x v="0"/>
    <d v="2024-03-26T08:38:00"/>
    <d v="2024-03-26T13:42:00"/>
    <n v="297.66666666233505"/>
    <s v="less casuals and offloaded the next day"/>
    <d v="2024-03-27T06:14:00"/>
    <d v="2024-03-27T07:05:00"/>
    <n v="49.93749999863212"/>
    <x v="0"/>
    <n v="1.9000000000014552"/>
    <n v="2"/>
    <n v="9.9999999998544808E-2"/>
    <n v="45.600000000034925"/>
    <n v="12"/>
    <n v="33.600000000034925"/>
    <n v="4.6428571428523169"/>
    <m/>
    <m/>
    <m/>
    <m/>
    <m/>
  </r>
  <r>
    <d v="2025-03-22T00:00:00"/>
    <x v="2"/>
    <s v="KESH"/>
    <s v="Z83187"/>
    <s v="Manual"/>
    <m/>
    <s v="UBJ 423C"/>
    <s v="Kobusinge Acaali- Kyenjojo"/>
    <n v="148.80000000000001"/>
    <s v="Z83187"/>
    <s v="OM"/>
    <n v="580"/>
    <n v="577"/>
    <n v="-3"/>
    <m/>
    <d v="2024-03-25T08:16:00"/>
    <d v="2024-03-25T07:30:00"/>
    <d v="2024-03-25T08:42:00"/>
    <n v="71.666666670838211"/>
    <n v="25.879629630556639"/>
    <x v="0"/>
    <d v="2024-03-25T15:42:00"/>
    <d v="2024-03-25T19:32:24"/>
    <n v="225.59999999466527"/>
    <s v="Not enough casuals to offload"/>
    <d v="2024-03-26T08:32:24"/>
    <d v="2024-03-26T09:17:24"/>
    <n v="44.0625"/>
    <x v="0"/>
    <n v="0.99333333333197515"/>
    <n v="2"/>
    <n v="1.0066666666680248"/>
    <n v="23.839999999967404"/>
    <n v="0"/>
    <n v="23.839999999967404"/>
    <n v="6.2416107382635682"/>
    <m/>
    <m/>
    <m/>
    <m/>
    <m/>
  </r>
  <r>
    <d v="2025-03-22T00:00:00"/>
    <x v="2"/>
    <s v="KESH"/>
    <s v="A21582"/>
    <s v="Manual"/>
    <s v="Kabanda Ronald"/>
    <s v="UBE 684K"/>
    <s v="Kato Investment Ltd -Mityana"/>
    <n v="148.80000000000001"/>
    <s v="A21582"/>
    <s v="OM"/>
    <n v="690"/>
    <n v="687"/>
    <n v="-3"/>
    <m/>
    <d v="2024-03-26T14:51:21"/>
    <d v="2024-03-26T01:54:21"/>
    <d v="2024-03-26T15:17:21"/>
    <n v="799.28240740555339"/>
    <n v="25.879629630556639"/>
    <x v="0"/>
    <d v="2024-03-26T18:30:21"/>
    <d v="2024-03-27T13:13:33"/>
    <n v="1099.7999999983585"/>
    <s v="Waited for empties from trade"/>
    <d v="2024-03-27T15:53:33"/>
    <d v="2024-03-27T16:50:33"/>
    <n v="55.81249999726424"/>
    <x v="0"/>
    <n v="1.0251388888864312"/>
    <n v="3"/>
    <n v="1.9748611111135688"/>
    <n v="24.60333333327435"/>
    <n v="12"/>
    <n v="12.60333333327435"/>
    <n v="11.806400423223728"/>
    <m/>
    <m/>
    <m/>
    <m/>
    <m/>
  </r>
  <r>
    <d v="2025-03-22T00:00:00"/>
    <x v="2"/>
    <s v="KESH"/>
    <s v="F16114"/>
    <s v="Manual"/>
    <s v="Byanshala Stoney"/>
    <s v="UBP 312H"/>
    <s v="Boniface Harera"/>
    <n v="156"/>
    <s v="F16114"/>
    <s v="OM"/>
    <n v="448"/>
    <n v="447"/>
    <n v="-1"/>
    <m/>
    <d v="2024-03-25T14:24:00"/>
    <d v="2024-03-26T01:59:00"/>
    <d v="2024-03-25T14:50:00"/>
    <n v="-665.90277777916833"/>
    <n v="25.879629630556639"/>
    <x v="0"/>
    <d v="2024-03-26T10:26:00"/>
    <d v="2024-03-26T19:12:00"/>
    <n v="515.04166667327809"/>
    <s v="found another truck to be offloaded"/>
    <d v="2024-03-27T15:25:00"/>
    <d v="2024-03-27T16:23:00"/>
    <n v="56.791666667122627"/>
    <x v="0"/>
    <n v="2.0243055555547471"/>
    <n v="2"/>
    <n v="-2.4305555554747116E-2"/>
    <n v="48.583333333313931"/>
    <n v="24"/>
    <n v="24.583333333313931"/>
    <n v="6.3457627118694155"/>
    <m/>
    <m/>
    <m/>
    <m/>
    <m/>
  </r>
  <r>
    <d v="2025-03-22T00:00:00"/>
    <x v="2"/>
    <s v="KESH"/>
    <s v="A21578"/>
    <s v="Manual"/>
    <s v="Kyakulaga James"/>
    <s v="UBJ 419C"/>
    <s v="Sawan Distributors Ltd-Nabingo"/>
    <n v="6.3"/>
    <s v="A21578"/>
    <s v="OM"/>
    <n v="560"/>
    <n v="558"/>
    <n v="-2"/>
    <m/>
    <d v="2024-03-29T03:13:00"/>
    <d v="2024-03-26T07:42:00"/>
    <d v="2024-03-29T03:39:00"/>
    <n v="4058.1250000041714"/>
    <n v="25.879629630556639"/>
    <x v="0"/>
    <d v="2024-03-29T03:43:00"/>
    <d v="2024-03-29T06:28:00"/>
    <n v="161.5625000034197"/>
    <m/>
    <d v="2024-03-30T03:03:00"/>
    <d v="2024-03-30T03:44:00"/>
    <n v="40.145833330825553"/>
    <x v="0"/>
    <n v="0.97499999999854481"/>
    <n v="2"/>
    <n v="1.0250000000014552"/>
    <n v="23.399999999965075"/>
    <n v="0"/>
    <n v="23.399999999965075"/>
    <n v="0.26923076923117106"/>
    <m/>
    <m/>
    <m/>
    <m/>
    <m/>
  </r>
  <r>
    <d v="2025-03-22T00:00:00"/>
    <x v="2"/>
    <s v="KESH"/>
    <s v="A21577"/>
    <s v="Manual"/>
    <s v="kayanja Sam"/>
    <s v="UBF 379L"/>
    <s v="Kato Investments Ltd- Kyegegwa"/>
    <n v="156"/>
    <s v="A21577"/>
    <s v="OM"/>
    <n v="600"/>
    <n v="599"/>
    <n v="-1"/>
    <m/>
    <d v="2024-03-26T19:38:00"/>
    <d v="2024-03-26T04:14:00"/>
    <d v="2024-03-26T20:02:00"/>
    <n v="943.61111111041589"/>
    <n v="23.888888893755695"/>
    <x v="0"/>
    <d v="2024-03-27T14:04:00"/>
    <d v="2024-03-29T08:05:00"/>
    <n v="2468.4791666698584"/>
    <s v="Waited for empties from trade"/>
    <d v="2024-03-29T20:06:00"/>
    <d v="2024-03-29T21:06:00"/>
    <n v="58.7499999965803"/>
    <x v="0"/>
    <n v="3.0027777777795563"/>
    <n v="2"/>
    <n v="-1.0027777777795563"/>
    <n v="72.066666666709352"/>
    <n v="36"/>
    <n v="36.066666666709352"/>
    <n v="4.3253234750410918"/>
    <m/>
    <m/>
    <m/>
    <m/>
    <m/>
  </r>
  <r>
    <d v="2025-03-23T00:00:00"/>
    <x v="2"/>
    <s v="NBL"/>
    <s v="Z83205"/>
    <s v="Manual"/>
    <m/>
    <s v="UBE 422T"/>
    <s v="Kabaco U Ltd-Mbarara "/>
    <n v="153.6"/>
    <s v="Z83205"/>
    <s v="OM"/>
    <n v="20"/>
    <n v="17"/>
    <n v="-3"/>
    <m/>
    <d v="2024-03-26T02:58:39"/>
    <d v="2024-03-26T10:17:39"/>
    <d v="2024-03-26T03:25:39"/>
    <n v="-410.09259259444661"/>
    <n v="26.87500000417155"/>
    <x v="0"/>
    <d v="2024-03-26T17:25:39"/>
    <d v="2024-03-27T14:47:15"/>
    <n v="1254.8999999991793"/>
    <s v="space consquents"/>
    <d v="2024-03-27T20:07:15"/>
    <d v="2024-03-27T21:03:15"/>
    <n v="54.833333337664953"/>
    <x v="0"/>
    <n v="1.695555555554165"/>
    <n v="1"/>
    <n v="-0.69555555555416504"/>
    <n v="40.693333333299961"/>
    <n v="12"/>
    <n v="28.693333333299961"/>
    <n v="5.3531598513073408"/>
    <m/>
    <m/>
    <m/>
    <m/>
    <m/>
  </r>
  <r>
    <d v="2025-03-23T00:00:00"/>
    <x v="2"/>
    <s v="KESH"/>
    <s v="Z83203"/>
    <s v="Manual"/>
    <s v="Nminya Siraje"/>
    <s v="UBP 301H"/>
    <s v="Bates Enterprises Ltd-Ntoroko"/>
    <n v="141.6"/>
    <s v="Z83203"/>
    <s v="OM"/>
    <n v="464"/>
    <n v="461"/>
    <n v="-3"/>
    <m/>
    <d v="2024-03-26T12:13:42"/>
    <d v="2024-03-26T03:22:42"/>
    <d v="2024-03-26T12:39:42"/>
    <n v="554.42129628888017"/>
    <n v="25.879629630556639"/>
    <x v="0"/>
    <d v="2024-03-26T21:39:42"/>
    <d v="2024-03-27T00:27:42"/>
    <n v="164.50000000273576"/>
    <m/>
    <d v="2024-03-28T16:27:13"/>
    <d v="2024-03-28T17:08:13"/>
    <n v="40.145833330825553"/>
    <x v="0"/>
    <n v="2.1579976851862739"/>
    <n v="2"/>
    <n v="-0.15799768518627388"/>
    <n v="51.791944444470573"/>
    <n v="24"/>
    <n v="27.791944444470573"/>
    <n v="5.0950015492051124"/>
    <m/>
    <m/>
    <m/>
    <m/>
    <m/>
  </r>
  <r>
    <d v="2025-03-23T00:00:00"/>
    <x v="2"/>
    <s v="KESH"/>
    <s v="F16128"/>
    <s v="Manual"/>
    <s v="Ikwalikwa Yusuf"/>
    <s v="UBP 311H"/>
    <s v="Boniface Harera"/>
    <n v="156"/>
    <s v="F16128"/>
    <s v="OM"/>
    <n v="448"/>
    <n v="446"/>
    <n v="-2"/>
    <m/>
    <d v="2024-03-26T12:08:07"/>
    <d v="2024-03-26T03:26:07"/>
    <d v="2024-03-26T12:34:07"/>
    <n v="545.46296296806156"/>
    <n v="25.879629630556639"/>
    <x v="0"/>
    <d v="2024-03-26T14:39:07"/>
    <d v="2024-03-26T19:25:07"/>
    <n v="280.04166666643869"/>
    <s v="slept at the RD and offloaded the next day"/>
    <d v="2024-03-27T07:39:31"/>
    <d v="2024-03-27T08:39:31"/>
    <n v="58.7499999965803"/>
    <x v="0"/>
    <n v="0.79541666666773381"/>
    <n v="2"/>
    <n v="1.2045833333322662"/>
    <n v="19.090000000025611"/>
    <n v="0"/>
    <n v="19.090000000025611"/>
    <n v="8.1718177055940657"/>
    <m/>
    <m/>
    <m/>
    <m/>
    <m/>
  </r>
  <r>
    <d v="2025-03-24T00:00:00"/>
    <x v="2"/>
    <s v="KESH"/>
    <s v="Z83220"/>
    <s v="Manual"/>
    <m/>
    <s v="UBR 864Y"/>
    <s v="Rugoma Traders-Rukungiri"/>
    <n v="156"/>
    <s v="Z83220"/>
    <s v="OM"/>
    <n v="256"/>
    <n v="253"/>
    <n v="-3"/>
    <m/>
    <d v="2024-03-27T22:04:00"/>
    <d v="2024-03-26T22:00:00"/>
    <d v="2024-03-27T22:32:00"/>
    <n v="1465.1851851847216"/>
    <n v="27.870370367357584"/>
    <x v="0"/>
    <d v="2024-03-28T12:34:00"/>
    <d v="2024-03-28T18:36:00"/>
    <n v="354.45833333971677"/>
    <s v="Waited for empties from trade"/>
    <d v="2024-03-29T21:57:00"/>
    <d v="2024-03-29T22:43:00"/>
    <n v="45.041666669858387"/>
    <x v="0"/>
    <n v="1.9756944444452529"/>
    <n v="2"/>
    <n v="2.4305555554747116E-2"/>
    <n v="47.416666666686069"/>
    <n v="12"/>
    <n v="35.416666666686069"/>
    <n v="4.4047058823505285"/>
    <m/>
    <m/>
    <m/>
    <m/>
    <m/>
  </r>
  <r>
    <d v="2025-03-24T00:00:00"/>
    <x v="2"/>
    <s v="KESH"/>
    <s v="A21630"/>
    <s v="Manual"/>
    <m/>
    <s v="UBR 866R"/>
    <s v="Sawan Distributors Ltd-Nabingo"/>
    <n v="78"/>
    <s v="A21630"/>
    <s v="OM"/>
    <n v="560"/>
    <n v="558"/>
    <n v="-2"/>
    <m/>
    <d v="2024-03-29T11:41:00"/>
    <d v="2024-03-26T22:00:00"/>
    <d v="2024-03-29T12:07:00"/>
    <n v="3709.7453703757005"/>
    <n v="25.879629630556639"/>
    <x v="0"/>
    <d v="2024-03-29T12:10:00"/>
    <d v="2024-03-29T15:00:00"/>
    <n v="166.45833333219343"/>
    <m/>
    <d v="2024-03-30T08:41:00"/>
    <d v="2024-03-30T09:22:00"/>
    <n v="40.145833330825553"/>
    <x v="0"/>
    <n v="0.85694444444379769"/>
    <n v="2"/>
    <n v="1.1430555555562023"/>
    <n v="20.566666666651145"/>
    <n v="0"/>
    <n v="20.566666666651145"/>
    <n v="3.7925445705052936"/>
    <m/>
    <m/>
    <m/>
    <m/>
    <m/>
  </r>
  <r>
    <d v="2025-03-24T00:00:00"/>
    <x v="2"/>
    <s v="KESH"/>
    <s v="Z83222"/>
    <s v="Manual"/>
    <m/>
    <s v="UBG 084B"/>
    <s v="Kobusinge Steven-FPortal"/>
    <n v="156"/>
    <s v="Z83222"/>
    <s v="OM"/>
    <n v="304"/>
    <n v="301"/>
    <n v="-3"/>
    <m/>
    <d v="2024-03-28T08:57:00"/>
    <d v="2024-03-28T08:15:00"/>
    <d v="2024-03-28T09:23:00"/>
    <n v="67.685185186807459"/>
    <n v="25.879629630556639"/>
    <x v="0"/>
    <d v="2024-03-28T18:43:00"/>
    <d v="2024-03-29T18:18:31"/>
    <n v="1386.0267361085425"/>
    <s v="space consquents"/>
    <d v="2024-03-30T15:54:31"/>
    <d v="2024-03-30T16:50:31"/>
    <n v="54.833333337664953"/>
    <x v="0"/>
    <n v="2.2718865740753245"/>
    <n v="2"/>
    <n v="-0.27188657407532446"/>
    <n v="54.525277777807787"/>
    <n v="24"/>
    <n v="30.525277777807787"/>
    <n v="5.1105186047942768"/>
    <m/>
    <m/>
    <m/>
    <m/>
    <m/>
  </r>
  <r>
    <d v="2025-03-24T00:00:00"/>
    <x v="2"/>
    <s v="KESH"/>
    <s v="Z83223"/>
    <s v="Manual"/>
    <s v="Muzamiru"/>
    <s v="UBJ 417C"/>
    <s v="Kobusinge Steven-FPortal"/>
    <n v="148.80000000000001"/>
    <s v="Z83223"/>
    <s v="OM"/>
    <n v="304"/>
    <n v="301"/>
    <n v="-3"/>
    <m/>
    <d v="2024-03-28T09:38:39"/>
    <d v="2024-03-28T08:39:39"/>
    <d v="2024-03-28T10:03:39"/>
    <n v="83.611111112501632"/>
    <n v="24.884259256941732"/>
    <x v="0"/>
    <d v="2024-03-28T16:03:39"/>
    <d v="2024-03-29T10:33:15"/>
    <n v="1086.4833333272691"/>
    <s v="Waited for empties from trade"/>
    <d v="2024-03-29T15:53:15"/>
    <d v="2024-03-29T16:50:15"/>
    <n v="55.81249999726424"/>
    <x v="0"/>
    <n v="1.2427777777775191"/>
    <n v="2"/>
    <n v="0.75722222222248092"/>
    <n v="29.826666666660458"/>
    <n v="12"/>
    <n v="17.826666666660458"/>
    <n v="8.3470456245354434"/>
    <m/>
    <m/>
    <m/>
    <m/>
    <m/>
  </r>
  <r>
    <d v="2025-03-24T00:00:00"/>
    <x v="2"/>
    <s v="NBL"/>
    <s v="Z83211"/>
    <s v="Manual"/>
    <m/>
    <s v="UBE 419T"/>
    <s v="Kabaco U Ltd"/>
    <n v="153.6"/>
    <s v="Z83211"/>
    <s v="OM"/>
    <n v="320"/>
    <n v="319"/>
    <n v="-1"/>
    <m/>
    <d v="2024-03-29T07:54:47"/>
    <d v="2024-03-29T07:06:47"/>
    <d v="2024-03-29T08:21:47"/>
    <n v="74.652777781254073"/>
    <n v="26.87500000417155"/>
    <x v="0"/>
    <d v="2024-03-29T08:57:47"/>
    <d v="2024-03-29T12:34:47"/>
    <n v="212.47916667191021"/>
    <s v="Waited for empties from trade"/>
    <d v="2024-03-29T13:07:47"/>
    <d v="2024-03-29T13:59:47"/>
    <n v="50.916666668490507"/>
    <x v="0"/>
    <n v="0.19861111111094942"/>
    <n v="2"/>
    <n v="1.8013888888890506"/>
    <n v="4.7666666666627862"/>
    <n v="0"/>
    <n v="4.7666666666627862"/>
    <n v="32.223776223802453"/>
    <m/>
    <m/>
    <m/>
    <m/>
    <m/>
  </r>
  <r>
    <d v="2025-03-24T00:00:00"/>
    <x v="2"/>
    <s v="NBL"/>
    <s v="Z83213"/>
    <s v="Manual"/>
    <m/>
    <s v="UBE 422T"/>
    <s v="Kabaco U Ltd"/>
    <n v="153.6"/>
    <s v="Z83213"/>
    <s v="OM"/>
    <n v="320"/>
    <n v="317"/>
    <n v="-3"/>
    <m/>
    <d v="2024-03-28T19:43:00"/>
    <d v="2024-03-29T02:30:00"/>
    <d v="2024-03-28T20:10:00"/>
    <n v="-378.24074073262938"/>
    <n v="26.87500000417155"/>
    <x v="0"/>
    <d v="2024-03-30T09:33:00"/>
    <d v="2024-03-30T13:17:00"/>
    <n v="219.33333333014161"/>
    <s v="Waited for empties from trade"/>
    <d v="2024-03-31T08:49:00"/>
    <d v="2024-03-31T09:30:00"/>
    <n v="40.145833330825553"/>
    <x v="0"/>
    <n v="2.5270833333270275"/>
    <n v="2"/>
    <n v="-0.5270833333270275"/>
    <n v="60.64999999984866"/>
    <n v="24"/>
    <n v="36.64999999984866"/>
    <n v="4.1909959072478653"/>
    <m/>
    <m/>
    <m/>
    <m/>
    <m/>
  </r>
  <r>
    <d v="2025-03-24T00:00:00"/>
    <x v="2"/>
    <s v="NBL"/>
    <s v="F16131"/>
    <s v="Manual"/>
    <m/>
    <s v="UBJ 988D"/>
    <s v="Rugoma Traders-Kanungu/Kihihi"/>
    <n v="153.6"/>
    <s v="F16131"/>
    <s v="OM"/>
    <n v="414"/>
    <n v="411"/>
    <n v="-3"/>
    <m/>
    <d v="2024-03-29T08:20:00"/>
    <d v="2024-03-29T07:30:00"/>
    <d v="2024-03-29T08:46:00"/>
    <n v="75.6481481444401"/>
    <n v="25.879629630556639"/>
    <x v="0"/>
    <d v="2024-03-30T03:03:00"/>
    <d v="2024-03-30T15:48:00"/>
    <n v="749.0625"/>
    <s v="slept at the RD and offloaded the next day"/>
    <d v="2024-03-31T18:40:48"/>
    <d v="2024-03-31T19:36:48"/>
    <n v="54.833333337664953"/>
    <x v="0"/>
    <n v="2.4130555555602768"/>
    <n v="2"/>
    <n v="-0.41305555556027684"/>
    <n v="57.913333333446644"/>
    <n v="24"/>
    <n v="33.913333333446644"/>
    <n v="4.5291920581724039"/>
    <m/>
    <m/>
    <m/>
    <m/>
    <m/>
  </r>
  <r>
    <d v="2025-03-24T00:00:00"/>
    <x v="2"/>
    <s v="KESH"/>
    <s v="A21629"/>
    <s v="Manual"/>
    <m/>
    <s v="UBR 863Y"/>
    <s v="Ntale and Sons Ltd-Kakiri"/>
    <n v="78"/>
    <s v="A21629"/>
    <s v="OM"/>
    <n v="620"/>
    <n v="617"/>
    <n v="-3"/>
    <m/>
    <d v="2024-03-29T08:15:00"/>
    <d v="2024-03-29T07:30:00"/>
    <d v="2024-03-29T08:42:00"/>
    <n v="71.666666670838211"/>
    <n v="26.87500000417155"/>
    <x v="0"/>
    <d v="2024-03-30T08:42:00"/>
    <d v="2024-03-30T14:06:00"/>
    <n v="317.24999999794818"/>
    <s v="Reached late and offloaded the next day"/>
    <d v="2024-03-30T12:54:00"/>
    <d v="2024-03-30T13:35:00"/>
    <n v="40.145833330825553"/>
    <x v="0"/>
    <n v="1.1749999999956344"/>
    <n v="3"/>
    <n v="1.8250000000043656"/>
    <n v="28.199999999895226"/>
    <n v="12"/>
    <n v="16.199999999895226"/>
    <n v="4.8148148148459544"/>
    <m/>
    <m/>
    <m/>
    <m/>
    <m/>
  </r>
  <r>
    <d v="2025-03-24T00:00:00"/>
    <x v="2"/>
    <s v="KESH"/>
    <s v="Z83214"/>
    <s v="Manual"/>
    <s v="Mbogo bashil"/>
    <s v="UBR 903Y"/>
    <s v="Kobusinge Acaali- Kyenjojo"/>
    <n v="156"/>
    <s v="Z83214"/>
    <s v="OM"/>
    <n v="580"/>
    <n v="579"/>
    <n v="-1"/>
    <m/>
    <d v="2024-03-29T08:14:00"/>
    <d v="2024-03-29T07:30:00"/>
    <d v="2024-03-29T08:38:00"/>
    <n v="67.685185186807459"/>
    <n v="23.888888893755695"/>
    <x v="0"/>
    <d v="2024-03-29T21:08:00"/>
    <d v="2024-03-30T16:54:42"/>
    <n v="1161.9770833291841"/>
    <s v="found another truck to be offloaded"/>
    <d v="2024-03-31T15:42:42"/>
    <d v="2024-03-31T16:23:42"/>
    <n v="40.145833330825553"/>
    <x v="0"/>
    <n v="2.2949305555521278"/>
    <n v="2"/>
    <n v="-0.29493055555212777"/>
    <n v="55.078333333251067"/>
    <n v="24"/>
    <n v="31.078333333251067"/>
    <n v="5.0195741942536474"/>
    <m/>
    <m/>
    <m/>
    <m/>
    <m/>
  </r>
  <r>
    <d v="2025-03-24T00:00:00"/>
    <x v="2"/>
    <s v="KESH"/>
    <s v="Z83221"/>
    <s v="Manual"/>
    <m/>
    <s v="UBP 304H"/>
    <s v="Kobusinge Steven-FPortal"/>
    <n v="148.80000000000001"/>
    <s v="Z83221"/>
    <s v="OM"/>
    <n v="304"/>
    <n v="301"/>
    <n v="-3"/>
    <m/>
    <d v="2025-03-29T08:27:00"/>
    <d v="2025-03-29T07:30:00"/>
    <d v="2025-03-29T08:53:00"/>
    <n v="82.615740738886714"/>
    <n v="25.879629630556639"/>
    <x v="0"/>
    <d v="2025-03-30T10:08:00"/>
    <d v="2025-03-30T12:58:00"/>
    <n v="166.45833333219343"/>
    <m/>
    <d v="2025-03-31T14:55:51"/>
    <d v="2025-03-31T15:31:51"/>
    <n v="35.24999999179272"/>
    <x v="0"/>
    <n v="2.2519791666709352"/>
    <n v="2"/>
    <n v="-0.25197916667093523"/>
    <n v="54.047500000102445"/>
    <n v="24"/>
    <n v="30.047500000102445"/>
    <n v="4.9521590814374798"/>
    <m/>
    <m/>
    <m/>
    <m/>
    <m/>
  </r>
  <r>
    <d v="2025-03-24T00:00:00"/>
    <x v="2"/>
    <s v="KESH"/>
    <s v="A21625"/>
    <s v="Manual"/>
    <s v="Tsaale Hassan"/>
    <s v="UBJ 703D"/>
    <s v="Sawan Distributors Ltd-Kayabwe"/>
    <n v="69.599999999999994"/>
    <s v="A21625"/>
    <s v="OM"/>
    <n v="382"/>
    <n v="381"/>
    <n v="-1"/>
    <m/>
    <d v="2024-03-29T08:34:00"/>
    <d v="2024-03-29T07:30:00"/>
    <d v="2024-03-29T09:02:00"/>
    <n v="91.574074070134273"/>
    <n v="27.870370367357584"/>
    <x v="0"/>
    <d v="2024-03-30T10:32:00"/>
    <d v="2024-03-30T16:07:00"/>
    <n v="328.02083333561313"/>
    <s v="Waited for empties from trade"/>
    <d v="2024-03-31T14:55:00"/>
    <d v="2024-03-31T15:51:00"/>
    <n v="54.833333337664953"/>
    <x v="0"/>
    <n v="2.2451388888948713"/>
    <n v="2"/>
    <n v="-0.24513888889487134"/>
    <n v="53.883333333476912"/>
    <n v="24"/>
    <n v="29.883333333476912"/>
    <n v="2.3290574456106725"/>
    <m/>
    <m/>
    <m/>
    <m/>
    <m/>
  </r>
  <r>
    <d v="2025-03-24T00:00:00"/>
    <x v="2"/>
    <s v="KESH"/>
    <s v="Z83219"/>
    <s v="Manual"/>
    <s v="kakembo Masudi"/>
    <s v="UBM 644D"/>
    <s v="Kobusinge Acaali- Kyenjojo"/>
    <n v="156"/>
    <s v="Z83219"/>
    <s v="OM"/>
    <n v="580"/>
    <n v="577"/>
    <n v="-3"/>
    <m/>
    <d v="2024-03-30T08:28:07"/>
    <d v="2024-03-30T07:47:07"/>
    <d v="2024-03-30T08:55:07"/>
    <n v="67.685185186807459"/>
    <n v="26.87500000417155"/>
    <x v="0"/>
    <d v="2024-03-30T14:55:07"/>
    <d v="2024-03-30T17:57:07"/>
    <n v="178.20833332945767"/>
    <m/>
    <d v="2024-03-31T08:49:55"/>
    <d v="2024-03-31T09:45:55"/>
    <n v="54.833333337664953"/>
    <x v="0"/>
    <n v="0.99638888888875954"/>
    <n v="2"/>
    <n v="1.0036111111112405"/>
    <n v="23.913333333330229"/>
    <n v="0"/>
    <n v="23.913333333330229"/>
    <n v="6.5235572902155106"/>
    <m/>
    <m/>
    <m/>
    <m/>
    <m/>
  </r>
  <r>
    <d v="2025-03-25T00:00:00"/>
    <x v="2"/>
    <s v="KESH"/>
    <s v="A21641"/>
    <s v="Manual"/>
    <s v="SENTONG DAVID"/>
    <s v="UBP 298H"/>
    <s v="Kato Investments Ltd- Kyegegwa"/>
    <n v="156"/>
    <s v="A21641"/>
    <s v="OM"/>
    <n v="600"/>
    <n v="597"/>
    <n v="-3"/>
    <m/>
    <d v="2025-03-30T21:36:00"/>
    <d v="2025-03-30T21:55:00"/>
    <d v="2025-03-30T22:02:00"/>
    <n v="6.9675925944466144"/>
    <n v="25.879629630556639"/>
    <x v="0"/>
    <d v="2025-03-30T19:02:00"/>
    <d v="2025-03-31T19:43:00"/>
    <n v="1450.1458333308256"/>
    <s v="space consquents"/>
    <d v="2025-04-01T20:54:00"/>
    <d v="2025-04-01T21:50:00"/>
    <n v="54.833333337664953"/>
    <x v="0"/>
    <n v="1.952777777776646"/>
    <n v="2"/>
    <n v="4.7222222223354038E-2"/>
    <n v="46.866666666639503"/>
    <n v="12"/>
    <n v="34.866666666639503"/>
    <n v="4.4741873805006174"/>
    <m/>
    <m/>
    <m/>
    <m/>
    <m/>
  </r>
  <r>
    <d v="2025-03-25T00:00:00"/>
    <x v="2"/>
    <s v="KESH"/>
    <s v="A21643"/>
    <s v="Manual"/>
    <s v="ZIWA ABASI"/>
    <s v="UBJ 420C"/>
    <s v="Kato Investments Ltd- Kyegegwa"/>
    <n v="156"/>
    <s v="A21643"/>
    <s v="OM"/>
    <n v="600"/>
    <n v="599"/>
    <n v="-1"/>
    <m/>
    <d v="2024-03-30T21:56:00"/>
    <d v="2024-03-30T21:55:00"/>
    <d v="2024-03-30T22:25:00"/>
    <n v="29.861111114587402"/>
    <n v="28.865740740972495"/>
    <x v="0"/>
    <d v="2024-03-01T18:17:00"/>
    <d v="2024-03-01T21:05:00"/>
    <n v="164.50000000273576"/>
    <m/>
    <d v="2024-03-31T18:52:00"/>
    <d v="2024-03-31T19:48:00"/>
    <n v="54.833333337664953"/>
    <x v="0"/>
    <n v="0.85208333333139308"/>
    <n v="2"/>
    <n v="1.1479166666686069"/>
    <n v="20.449999999953434"/>
    <n v="0"/>
    <n v="20.449999999953434"/>
    <n v="7.6283618582080797"/>
    <m/>
    <m/>
    <m/>
    <m/>
    <m/>
  </r>
  <r>
    <d v="2025-03-25T00:00:00"/>
    <x v="2"/>
    <s v="KESH"/>
    <s v="Z83237"/>
    <s v="Manual"/>
    <m/>
    <s v="UBJ 900Y"/>
    <s v="Kobusinge Steven-FPortal"/>
    <n v="156"/>
    <s v="Z83237"/>
    <s v="OM"/>
    <n v="304"/>
    <n v="301"/>
    <n v="-3"/>
    <m/>
    <d v="2024-03-14T19:57:00"/>
    <d v="2024-03-14T15:48:00"/>
    <d v="2024-03-14T20:24:00"/>
    <n v="274.72222222083172"/>
    <n v="26.87500000417155"/>
    <x v="0"/>
    <d v="2024-03-15T08:52:00"/>
    <d v="2024-03-15T17:39:00"/>
    <n v="516.02083334313647"/>
    <s v="Waited for empties from trade"/>
    <d v="2024-03-16T13:04:00"/>
    <d v="2024-03-16T13:45:00"/>
    <n v="40.145833330825553"/>
    <x v="0"/>
    <n v="1.6944444444452529"/>
    <n v="2"/>
    <n v="0.30555555555474712"/>
    <n v="40.666666666686069"/>
    <n v="12"/>
    <n v="28.666666666686069"/>
    <n v="5.4418604651125957"/>
    <m/>
    <m/>
    <m/>
    <m/>
    <m/>
  </r>
  <r>
    <d v="2025-03-25T00:00:00"/>
    <x v="2"/>
    <s v="KESH"/>
    <s v="A21635"/>
    <s v="Manual"/>
    <s v="Faruk Abel"/>
    <s v="UBR 539W"/>
    <s v="Nakuya Enterprises Ltd"/>
    <n v="156"/>
    <s v="A21635"/>
    <s v="OM"/>
    <n v="560"/>
    <n v="558"/>
    <n v="-2"/>
    <m/>
    <d v="2024-03-14T13:08:00"/>
    <d v="2024-03-15T01:59:00"/>
    <d v="2024-03-14T13:34:00"/>
    <n v="-741.55092592360836"/>
    <n v="25.879629630556639"/>
    <x v="0"/>
    <d v="2024-03-15T12:40:00"/>
    <d v="2024-03-15T17:45:00"/>
    <n v="298.64583333219343"/>
    <s v="Waited for empties from trade"/>
    <d v="2024-03-16T16:47:00"/>
    <d v="2024-03-16T17:43:00"/>
    <n v="54.833333337664953"/>
    <x v="0"/>
    <n v="2.1340277777781012"/>
    <n v="2"/>
    <n v="-0.13402777777810115"/>
    <n v="51.216666666674428"/>
    <n v="24"/>
    <n v="27.216666666674428"/>
    <n v="5.7317819963241465"/>
    <m/>
    <m/>
    <m/>
    <m/>
    <m/>
  </r>
  <r>
    <d v="2025-03-25T00:00:00"/>
    <x v="2"/>
    <s v="KESH"/>
    <s v="A21636"/>
    <s v="Manual"/>
    <s v="Mudunga Musa"/>
    <s v="UBE 678K"/>
    <s v="Ntemenro Enterprises"/>
    <n v="156"/>
    <s v="A21636"/>
    <s v="OM"/>
    <n v="560"/>
    <n v="558"/>
    <n v="-2"/>
    <m/>
    <d v="2024-03-14T18:17:00"/>
    <d v="2024-03-14T19:30:00"/>
    <d v="2024-03-14T18:43:00"/>
    <n v="-46.782407403467609"/>
    <n v="25.879629630556639"/>
    <x v="0"/>
    <d v="2024-03-15T12:01:00"/>
    <d v="2024-03-16T12:14:00"/>
    <n v="1422.7291666671226"/>
    <s v="slept at the RD and offloaded the next day"/>
    <d v="2024-03-17T07:23:00"/>
    <d v="2024-03-17T08:21:00"/>
    <n v="56.791666667122627"/>
    <x v="0"/>
    <n v="2.5277777777737356"/>
    <n v="2"/>
    <n v="-0.52777777777373558"/>
    <n v="60.666666666569654"/>
    <n v="24"/>
    <n v="36.666666666569654"/>
    <n v="4.2545454545567116"/>
    <m/>
    <m/>
    <m/>
    <m/>
    <m/>
  </r>
  <r>
    <d v="2025-03-25T00:00:00"/>
    <x v="2"/>
    <s v="KESH"/>
    <s v="F16134"/>
    <s v="Manual"/>
    <s v="Nakalya John"/>
    <s v="UBM 648D"/>
    <s v="Boniface Harera"/>
    <n v="148.80000000000001"/>
    <s v="F16134"/>
    <s v="OM"/>
    <n v="448"/>
    <n v="446"/>
    <n v="-2"/>
    <m/>
    <d v="2024-03-16T08:30:00"/>
    <d v="2024-03-15T01:59:00"/>
    <d v="2024-03-16T08:58:00"/>
    <n v="1850.3935185222265"/>
    <n v="27.870370367357584"/>
    <x v="0"/>
    <d v="2024-03-16T14:00:00"/>
    <d v="2024-03-16T19:58:00"/>
    <n v="350.54166666028323"/>
    <s v="Reached late and offloaded the next day"/>
    <d v="2024-03-17T12:52:00"/>
    <d v="2024-03-17T14:04:00"/>
    <n v="70.50000000410364"/>
    <x v="7"/>
    <n v="1.1624999999985448"/>
    <n v="2"/>
    <n v="0.83750000000145519"/>
    <n v="27.899999999965075"/>
    <n v="12"/>
    <n v="15.899999999965075"/>
    <n v="9.3584905660582933"/>
    <m/>
    <m/>
    <m/>
    <m/>
    <m/>
  </r>
  <r>
    <d v="2025-03-25T00:00:00"/>
    <x v="2"/>
    <s v="KESH"/>
    <s v="Z83226"/>
    <s v="Manual"/>
    <m/>
    <s v="UBJ 421C"/>
    <s v="Bates Enterprises U Ltd"/>
    <n v="156"/>
    <s v="Z83226"/>
    <s v="OM"/>
    <n v="464"/>
    <n v="461"/>
    <n v="-3"/>
    <m/>
    <d v="2024-03-15T08:33:02"/>
    <d v="2024-03-15T07:52:02"/>
    <d v="2024-03-15T09:00:02"/>
    <n v="67.685185186807459"/>
    <n v="26.87500000417155"/>
    <x v="0"/>
    <d v="2024-03-15T03:30:02"/>
    <d v="2024-03-15T14:36:02"/>
    <n v="652.12500000205182"/>
    <s v="found another truck to be offloaded"/>
    <d v="2024-03-16T18:06:02"/>
    <d v="2024-03-16T19:02:02"/>
    <n v="54.833333337664953"/>
    <x v="0"/>
    <n v="1.3791666666656965"/>
    <n v="3"/>
    <n v="1.6208333333343035"/>
    <n v="33.099999999976717"/>
    <n v="12"/>
    <n v="21.099999999976717"/>
    <n v="7.3933649289181105"/>
    <m/>
    <m/>
    <m/>
    <m/>
    <m/>
  </r>
  <r>
    <d v="2025-03-25T00:00:00"/>
    <x v="2"/>
    <s v="KESH"/>
    <s v="A21639"/>
    <s v="Manual"/>
    <s v="Byanshala Stoney"/>
    <s v="UBP 312H"/>
    <s v="Kato Investment Ltd -Mubende"/>
    <n v="148.80000000000001"/>
    <s v="A21639"/>
    <s v="OM"/>
    <n v="680"/>
    <n v="679"/>
    <n v="-1"/>
    <m/>
    <d v="2024-03-15T08:16:00"/>
    <d v="2024-03-15T07:30:00"/>
    <d v="2024-03-15T08:42:00"/>
    <n v="71.666666670838211"/>
    <n v="25.879629630556639"/>
    <x v="0"/>
    <d v="2024-03-15T14:42:00"/>
    <d v="2024-03-15T19:12:00"/>
    <n v="264.375"/>
    <s v="Waited for empties from trade"/>
    <d v="2024-03-16T09:07:12"/>
    <d v="2024-03-16T09:48:12"/>
    <n v="40.145833330825553"/>
    <x v="0"/>
    <n v="1.0174999999944703"/>
    <n v="3"/>
    <n v="1.9825000000055297"/>
    <n v="24.419999999867287"/>
    <n v="12"/>
    <n v="12.419999999867287"/>
    <n v="11.980676328630436"/>
    <m/>
    <m/>
    <m/>
    <m/>
    <m/>
  </r>
  <r>
    <d v="2025-03-25T00:00:00"/>
    <x v="2"/>
    <s v="KESH"/>
    <s v="A21640"/>
    <s v="Manual"/>
    <s v="Eriku Alipa"/>
    <s v="UBK 858R"/>
    <s v="Kato Investments Ltd- Kakumiro"/>
    <n v="156"/>
    <s v="A21640"/>
    <s v="OM"/>
    <n v="790"/>
    <n v="787"/>
    <n v="-3"/>
    <m/>
    <d v="2024-03-15T14:34:00"/>
    <d v="2024-03-16T02:22:00"/>
    <d v="2024-03-15T15:01:00"/>
    <n v="-677.84722222083167"/>
    <n v="26.87500000417155"/>
    <x v="0"/>
    <d v="2024-03-16T03:13:00"/>
    <d v="2024-03-16T14:41:00"/>
    <n v="673.66666666712263"/>
    <s v="Waited for empties from trade"/>
    <d v="2024-03-16T19:44:00"/>
    <d v="2024-03-16T20:40:00"/>
    <n v="54.833333337664953"/>
    <x v="0"/>
    <n v="1.1965277777781012"/>
    <n v="3"/>
    <n v="1.8034722222218988"/>
    <n v="28.716666666674428"/>
    <n v="12"/>
    <n v="16.716666666674428"/>
    <n v="9.3320039880315591"/>
    <m/>
    <m/>
    <m/>
    <m/>
    <m/>
  </r>
  <r>
    <d v="2025-03-25T00:00:00"/>
    <x v="2"/>
    <s v="KESH"/>
    <s v="A21637"/>
    <s v="Manual"/>
    <m/>
    <s v="UBR 880Y"/>
    <s v="Kato Investment Ltd -Mityana"/>
    <n v="156"/>
    <s v="A21637"/>
    <s v="OM"/>
    <n v="690"/>
    <n v="689"/>
    <n v="-1"/>
    <m/>
    <d v="2024-03-15T22:04:00"/>
    <d v="2024-03-16T02:22:00"/>
    <d v="2024-03-15T22:33:00"/>
    <n v="-227.93981481736409"/>
    <n v="28.865740740972495"/>
    <x v="0"/>
    <d v="2024-03-16T12:52:00"/>
    <d v="2024-03-16T18:38:00"/>
    <n v="338.79166666301899"/>
    <s v="Waited for empties from trade"/>
    <d v="2024-03-17T10:22:00"/>
    <d v="2024-03-17T11:19:00"/>
    <n v="55.81249999726424"/>
    <x v="0"/>
    <n v="1.492361111108039"/>
    <n v="3"/>
    <n v="1.507638888891961"/>
    <n v="35.816666666592937"/>
    <n v="12"/>
    <n v="23.816666666592937"/>
    <n v="6.550034989523426"/>
    <m/>
    <m/>
    <m/>
    <m/>
    <m/>
  </r>
  <r>
    <d v="2025-03-25T00:00:00"/>
    <x v="2"/>
    <s v="KESH"/>
    <s v="A21657"/>
    <s v="Manual"/>
    <s v="Ikwalikwa Yusuf"/>
    <s v="UBP 311H"/>
    <s v="Kato Investment Ltd -Mubende"/>
    <n v="156"/>
    <s v="A21657"/>
    <s v="OM"/>
    <n v="680"/>
    <n v="677"/>
    <n v="-3"/>
    <m/>
    <d v="2024-03-15T22:09:00"/>
    <d v="2024-03-16T07:42:00"/>
    <d v="2024-03-15T22:35:00"/>
    <n v="-544.46759259444661"/>
    <n v="25.879629630556639"/>
    <x v="0"/>
    <d v="2024-03-16T09:52:00"/>
    <d v="2024-03-16T14:07:00"/>
    <n v="249.6874999931606"/>
    <s v="found another truck to be offloaded"/>
    <d v="2024-03-17T17:03:00"/>
    <d v="2024-03-17T18:18:00"/>
    <n v="73.4375000034197"/>
    <x v="5"/>
    <n v="1.7694444444496185"/>
    <n v="3"/>
    <n v="1.2305555555503815"/>
    <n v="42.466666666790843"/>
    <n v="12"/>
    <n v="30.466666666790843"/>
    <n v="5.1203501093883208"/>
    <m/>
    <m/>
    <m/>
    <m/>
    <m/>
  </r>
  <r>
    <d v="2025-03-25T00:00:00"/>
    <x v="2"/>
    <s v="KESH"/>
    <s v="A21638"/>
    <s v="Manual"/>
    <s v="Mulumba Kasim"/>
    <s v="UBE 680K"/>
    <s v="Kato Investment Ltd -Mityana"/>
    <n v="156"/>
    <s v="A21638"/>
    <s v="OM"/>
    <n v="690"/>
    <n v="688"/>
    <n v="-2"/>
    <m/>
    <d v="2024-03-17T09:33:00"/>
    <d v="2024-03-17T02:22:00"/>
    <d v="2024-03-17T10:01:00"/>
    <n v="456.87499999791424"/>
    <n v="27.870370367357584"/>
    <x v="0"/>
    <d v="2024-03-17T03:58:00"/>
    <d v="2024-03-17T20:54:00"/>
    <n v="994.83333333424525"/>
    <s v="truck faulty"/>
    <d v="2024-03-18T18:43:00"/>
    <d v="2024-03-18T19:39:00"/>
    <n v="54.833333337664953"/>
    <x v="0"/>
    <n v="1.3625000000029104"/>
    <n v="3"/>
    <n v="1.6374999999970896"/>
    <n v="32.700000000069849"/>
    <n v="12"/>
    <n v="20.700000000069849"/>
    <n v="7.5362318840325413"/>
    <m/>
    <m/>
    <m/>
    <m/>
    <m/>
  </r>
  <r>
    <d v="2025-03-25T00:00:00"/>
    <x v="2"/>
    <s v="KESH"/>
    <s v="Z83238"/>
    <s v="Manual"/>
    <m/>
    <s v="UBR 538W"/>
    <s v="Kabaco U Ltd"/>
    <n v="156"/>
    <s v="Z83238"/>
    <s v="OM"/>
    <n v="320"/>
    <n v="319"/>
    <n v="-1"/>
    <m/>
    <d v="2024-03-18T08:30:18"/>
    <d v="2024-03-18T07:30:18"/>
    <d v="2024-03-18T08:58:18"/>
    <n v="87.592592596532384"/>
    <n v="27.870370367357584"/>
    <x v="0"/>
    <d v="2024-03-18T09:40:18"/>
    <d v="2024-03-18T13:17:18"/>
    <n v="212.47916666165111"/>
    <s v="Not enough casuals to offload"/>
    <d v="2024-03-19T13:45:18"/>
    <d v="2024-03-19T14:26:18"/>
    <n v="40.145833330825553"/>
    <x v="0"/>
    <n v="1.1993055555576575"/>
    <n v="2"/>
    <n v="0.8006944444423425"/>
    <n v="28.78333333338378"/>
    <n v="12"/>
    <n v="16.78333333338378"/>
    <n v="9.2949354518092022"/>
    <m/>
    <m/>
    <m/>
    <m/>
    <m/>
  </r>
  <r>
    <d v="2025-03-25T00:00:00"/>
    <x v="2"/>
    <s v="KESH"/>
    <s v="Z83233"/>
    <s v="Manual"/>
    <s v="Tsaale Hassan"/>
    <s v="UBJ 703D"/>
    <s v="Kobusinge Steven-FPortal"/>
    <n v="156"/>
    <s v="Z83233"/>
    <s v="OM"/>
    <n v="304"/>
    <n v="303"/>
    <n v="-1"/>
    <m/>
    <d v="2024-03-19T09:01:00"/>
    <d v="2024-03-18T08:00:00"/>
    <d v="2024-03-19T09:27:00"/>
    <n v="1519.9305555562507"/>
    <n v="25.879629630556639"/>
    <x v="0"/>
    <d v="2024-03-19T20:30:00"/>
    <d v="2024-03-20T03:40:00"/>
    <n v="421.04166667464597"/>
    <s v="Waited for empties from trade"/>
    <d v="2024-03-21T10:52:00"/>
    <d v="2024-03-21T11:46:00"/>
    <n v="52.87499999794818"/>
    <x v="0"/>
    <n v="2.0590277777737356"/>
    <n v="2"/>
    <n v="-5.9027777773735579E-2"/>
    <n v="49.416666666569654"/>
    <n v="24"/>
    <n v="25.416666666569654"/>
    <n v="6.1377049180562135"/>
    <m/>
    <m/>
    <m/>
    <m/>
    <m/>
  </r>
  <r>
    <d v="2025-03-25T00:00:00"/>
    <x v="2"/>
    <s v="NBL"/>
    <s v="F16139"/>
    <s v="Manual"/>
    <m/>
    <s v="UBE 419T"/>
    <s v="KATO INVESTMENTS LIMITED-MASAK"/>
    <n v="153.6"/>
    <s v="F16139"/>
    <s v="OM"/>
    <n v="298"/>
    <n v="295"/>
    <n v="-3"/>
    <m/>
    <d v="2024-03-19T06:36:00"/>
    <d v="2024-03-18T08:00:00"/>
    <d v="2024-03-19T07:03:00"/>
    <n v="1376.5972222145745"/>
    <n v="26.87500000417155"/>
    <x v="0"/>
    <d v="2024-03-19T15:07:00"/>
    <d v="2024-03-19T21:15:00"/>
    <n v="360.33333332808979"/>
    <s v="Reached late and offloaded the next day"/>
    <d v="2024-03-20T19:37:00"/>
    <d v="2024-03-20T20:20:00"/>
    <n v="42.104166670542327"/>
    <x v="5"/>
    <n v="1.523611111115315"/>
    <n v="2"/>
    <n v="0.476388888884685"/>
    <n v="36.56666666676756"/>
    <n v="12"/>
    <n v="24.56666666676756"/>
    <n v="6.2523744911547832"/>
    <m/>
    <m/>
    <m/>
    <m/>
    <m/>
  </r>
  <r>
    <d v="2025-03-25T00:00:00"/>
    <x v="2"/>
    <s v="KESH"/>
    <s v="A21656"/>
    <s v="Manual"/>
    <s v="Bwanga Gilbert"/>
    <s v="UBK 862R"/>
    <s v="KATO INVESTMENTS LTD-KATIKARA"/>
    <n v="156"/>
    <s v="A21656"/>
    <s v="OM"/>
    <n v="790"/>
    <n v="789"/>
    <n v="-1"/>
    <m/>
    <d v="2024-03-19T08:37:00"/>
    <d v="2024-03-18T21:55:00"/>
    <d v="2024-03-19T09:05:00"/>
    <n v="666.89814814235433"/>
    <n v="27.870370367357584"/>
    <x v="0"/>
    <d v="2024-03-19T21:43:00"/>
    <d v="2024-03-20T19:20:00"/>
    <n v="1269.9791666616511"/>
    <s v="Waited for empties from trade"/>
    <d v="2024-03-20T18:27:00"/>
    <d v="2024-03-20T19:23:00"/>
    <n v="54.833333337664953"/>
    <x v="0"/>
    <n v="1.3902777777839219"/>
    <n v="3"/>
    <n v="1.6097222222160781"/>
    <n v="33.366666666814126"/>
    <n v="12"/>
    <n v="21.366666666814126"/>
    <n v="7.3010920436313596"/>
    <m/>
    <m/>
    <m/>
    <m/>
    <m/>
  </r>
  <r>
    <d v="2025-03-25T00:00:00"/>
    <x v="2"/>
    <s v="KESH"/>
    <s v="A21658"/>
    <s v="Manual"/>
    <m/>
    <s v="UBJ 423C"/>
    <s v="Kato Investment Ltd -Mityana"/>
    <n v="156"/>
    <s v="A21658"/>
    <s v="OM"/>
    <n v="690"/>
    <n v="689"/>
    <n v="-1"/>
    <m/>
    <d v="2024-03-18T15:29:00"/>
    <d v="2024-03-18T21:45:00"/>
    <d v="2024-03-18T15:57:00"/>
    <n v="-346.38888889166992"/>
    <n v="27.870370367357584"/>
    <x v="0"/>
    <d v="2024-03-20T09:17:00"/>
    <d v="2024-03-20T13:35:00"/>
    <n v="252.62499999247666"/>
    <s v="space consquents"/>
    <d v="2024-03-19T18:18:00"/>
    <d v="2024-03-19T19:40:00"/>
    <n v="80.291666661651107"/>
    <x v="9"/>
    <n v="1.0979166666656965"/>
    <n v="3"/>
    <n v="1.9020833333343035"/>
    <n v="26.349999999976717"/>
    <n v="12"/>
    <n v="14.349999999976717"/>
    <n v="10.871080139390461"/>
    <m/>
    <m/>
    <m/>
    <m/>
    <m/>
  </r>
  <r>
    <d v="2025-03-25T00:00:00"/>
    <x v="2"/>
    <s v="KESH"/>
    <s v="F16141"/>
    <s v="Manual"/>
    <m/>
    <s v="UBR 864Y"/>
    <s v="Boniface Harera"/>
    <n v="156"/>
    <s v="F16141"/>
    <s v="OM"/>
    <n v="448"/>
    <n v="445"/>
    <n v="-3"/>
    <m/>
    <d v="2024-03-19T07:13:00"/>
    <d v="2024-03-19T15:48:00"/>
    <d v="2024-03-19T07:39:00"/>
    <n v="-486.73611111250165"/>
    <n v="25.879629630556639"/>
    <x v="0"/>
    <d v="2024-03-19T21:46:00"/>
    <d v="2024-03-20T14:15:00"/>
    <n v="968.39583333014161"/>
    <s v="Reached late and offloaded the next day"/>
    <d v="2024-03-21T06:26:00"/>
    <d v="2024-03-21T07:09:00"/>
    <n v="42.104166670542327"/>
    <x v="5"/>
    <n v="1.9493055555576575"/>
    <n v="2"/>
    <n v="5.0694444442342501E-2"/>
    <n v="46.78333333338378"/>
    <n v="12"/>
    <n v="34.78333333338378"/>
    <n v="4.4849065644400694"/>
    <m/>
    <m/>
    <m/>
    <m/>
    <m/>
  </r>
  <r>
    <d v="2025-03-26T00:00:00"/>
    <x v="2"/>
    <s v="KESH"/>
    <s v="A21678"/>
    <s v="Manual"/>
    <s v="Muzamiru"/>
    <s v="UBJ 417C"/>
    <s v="Kato Investment Ltd -Kagadi"/>
    <n v="78"/>
    <s v="A21678"/>
    <s v="OM"/>
    <n v="670"/>
    <n v="667"/>
    <n v="-3"/>
    <m/>
    <d v="2024-03-19T09:05:00"/>
    <d v="2024-03-18T20:13:00"/>
    <d v="2024-03-19T09:29:00"/>
    <n v="792.31481481110677"/>
    <n v="23.888888893755695"/>
    <x v="0"/>
    <d v="2024-03-19T18:56:00"/>
    <d v="2024-03-20T15:23:00"/>
    <n v="1201.4374999972642"/>
    <s v="slept at the RD and offloaded the next day"/>
    <d v="2024-03-21T14:17:00"/>
    <d v="2024-03-21T15:13:00"/>
    <n v="54.833333337664953"/>
    <x v="0"/>
    <n v="2.1999999999970896"/>
    <n v="2"/>
    <n v="-0.19999999999708962"/>
    <n v="52.799999999930151"/>
    <n v="24"/>
    <n v="28.799999999930151"/>
    <n v="2.708333333339902"/>
    <m/>
    <m/>
    <m/>
    <m/>
    <m/>
  </r>
  <r>
    <d v="2025-03-26T00:00:00"/>
    <x v="2"/>
    <s v="NBL"/>
    <s v="Z83259"/>
    <s v="Manual"/>
    <m/>
    <s v="UBJ 988D"/>
    <s v="Kabaco U Ltd"/>
    <n v="153.6"/>
    <s v="Z83259"/>
    <s v="OM"/>
    <n v="320"/>
    <n v="160"/>
    <n v="-160"/>
    <m/>
    <d v="2024-03-19T06:36:00"/>
    <d v="2024-03-18T20:13:00"/>
    <d v="2024-03-19T07:03:00"/>
    <n v="646.99074073262943"/>
    <n v="26.87500000417155"/>
    <x v="0"/>
    <d v="2024-03-20T13:41:00"/>
    <d v="2024-03-20T16:30:00"/>
    <n v="165.47916666233505"/>
    <m/>
    <d v="2024-03-21T03:52:00"/>
    <d v="2024-03-21T04:42:00"/>
    <n v="48.958333328773733"/>
    <x v="0"/>
    <n v="1.867361111115315"/>
    <n v="2"/>
    <n v="0.132638888884685"/>
    <n v="44.81666666676756"/>
    <n v="12"/>
    <n v="32.81666666676756"/>
    <n v="4.6805485017631616"/>
    <m/>
    <m/>
    <m/>
    <m/>
    <m/>
  </r>
  <r>
    <d v="2025-03-26T00:00:00"/>
    <x v="2"/>
    <s v="NBL"/>
    <s v="A21672"/>
    <s v="Manual"/>
    <m/>
    <s v="UBE 422T"/>
    <s v="Ntale and Sons Ltd-Kakiri"/>
    <n v="153.6"/>
    <s v="A21672"/>
    <s v="OM"/>
    <n v="620"/>
    <n v="617"/>
    <n v="-3"/>
    <m/>
    <d v="2024-03-19T09:39:00"/>
    <d v="2024-03-18T08:00:00"/>
    <d v="2024-03-19T10:08:00"/>
    <n v="1560.7407407388866"/>
    <n v="28.865740740972495"/>
    <x v="0"/>
    <d v="2024-03-19T10:48:00"/>
    <d v="2024-03-19T15:55:00"/>
    <n v="300.60416667191021"/>
    <s v="Waited for empties from trade"/>
    <d v="2024-03-20T15:22:00"/>
    <d v="2024-03-20T16:05:00"/>
    <n v="42.104166670542327"/>
    <x v="0"/>
    <n v="1.2180555555532919"/>
    <n v="3"/>
    <n v="1.7819444444467081"/>
    <n v="29.233333333279006"/>
    <n v="12"/>
    <n v="17.233333333279006"/>
    <n v="8.912959381072584"/>
    <m/>
    <m/>
    <m/>
    <m/>
    <m/>
  </r>
  <r>
    <d v="2025-03-26T00:00:00"/>
    <x v="2"/>
    <s v="KESH"/>
    <s v="F16144"/>
    <s v="Manual"/>
    <s v="kakembo Masudi"/>
    <s v="UBM 644D"/>
    <s v="Boniface Harera"/>
    <n v="156"/>
    <s v="F16144"/>
    <s v="OM"/>
    <n v="448"/>
    <n v="445"/>
    <n v="-3"/>
    <m/>
    <d v="2024-03-19T08:21:06"/>
    <d v="2024-03-19T07:30:06"/>
    <d v="2024-03-19T08:47:06"/>
    <n v="76.643518518055018"/>
    <n v="25.879629630556639"/>
    <x v="0"/>
    <d v="2024-03-19T12:00:06"/>
    <d v="2024-03-19T17:09:06"/>
    <n v="302.56250000136788"/>
    <s v="found another truck at the RD and offloaded the next day"/>
    <d v="2024-03-20T19:49:06"/>
    <d v="2024-03-20T20:45:06"/>
    <n v="54.833333337664953"/>
    <x v="11"/>
    <n v="1.4597222222218988"/>
    <n v="2"/>
    <n v="0.54027777777810115"/>
    <n v="35.033333333325572"/>
    <n v="12"/>
    <n v="23.033333333325572"/>
    <n v="6.7727930535478684"/>
    <m/>
    <m/>
    <m/>
    <m/>
    <m/>
  </r>
  <r>
    <d v="2025-03-26T00:00:00"/>
    <x v="2"/>
    <s v="KESH"/>
    <s v="Z83257"/>
    <s v="Manual"/>
    <s v="Nminya Siraje"/>
    <s v="UBP 301H"/>
    <s v="Kobusinge Acaali- Kyenjojo"/>
    <n v="156"/>
    <s v="Z83257"/>
    <s v="OM"/>
    <n v="580"/>
    <n v="577"/>
    <n v="-3"/>
    <m/>
    <d v="2024-03-19T08:11:05"/>
    <d v="2024-03-19T07:30:05"/>
    <d v="2024-03-19T08:38:05"/>
    <n v="67.685185186807459"/>
    <n v="26.87500000417155"/>
    <x v="0"/>
    <d v="2024-03-19T03:51:05"/>
    <d v="2024-03-19T17:43:05"/>
    <n v="814.66666666507081"/>
    <s v="Waited for empties from trade"/>
    <d v="2024-03-21T08:07:05"/>
    <d v="2024-03-21T09:22:05"/>
    <n v="73.4375000034197"/>
    <x v="8"/>
    <n v="1.9784722222248092"/>
    <n v="2"/>
    <n v="2.1527777775190771E-2"/>
    <n v="47.483333333395422"/>
    <n v="12"/>
    <n v="35.483333333395422"/>
    <n v="4.3964302489354727"/>
    <m/>
    <m/>
    <m/>
    <m/>
    <m/>
  </r>
  <r>
    <d v="2025-03-27T00:00:00"/>
    <x v="2"/>
    <s v="KESH"/>
    <s v="Z83263"/>
    <s v="Manual"/>
    <s v="Awali Malinzi"/>
    <s v="UBR 860Y"/>
    <s v="Kobusinge Steven-Kamwenge"/>
    <n v="156"/>
    <s v="Z83263"/>
    <s v="OM"/>
    <n v="288"/>
    <n v="286"/>
    <n v="-2"/>
    <m/>
    <d v="2024-03-19T15:22:00"/>
    <d v="2024-03-18T20:13:00"/>
    <d v="2024-03-19T15:48:00"/>
    <n v="1169.5601851805502"/>
    <n v="25.879629630556639"/>
    <x v="0"/>
    <d v="2024-03-21T09:48:00"/>
    <d v="2024-03-21T15:21:00"/>
    <n v="326.06249999589636"/>
    <s v="space consquents"/>
    <d v="2024-03-21T07:56:00"/>
    <d v="2024-03-21T09:08:00"/>
    <n v="70.50000000410364"/>
    <x v="5"/>
    <n v="1.672222222223354"/>
    <n v="2"/>
    <n v="0.32777777777664596"/>
    <n v="40.133333333360497"/>
    <n v="12"/>
    <n v="28.133333333360497"/>
    <n v="5.5450236966771103"/>
    <m/>
    <m/>
    <m/>
    <m/>
    <m/>
  </r>
  <r>
    <d v="2025-03-27T00:00:00"/>
    <x v="2"/>
    <s v="KESH"/>
    <s v="Z83274"/>
    <s v="Manual"/>
    <s v="Awali Malinzi"/>
    <s v="UBR 860Y"/>
    <s v="Kobusinge Steven-Kamwenge"/>
    <n v="156"/>
    <s v="Z83274"/>
    <s v="OM"/>
    <n v="288"/>
    <n v="287"/>
    <n v="-1"/>
    <m/>
    <d v="2024-03-19T08:12:00"/>
    <d v="2024-03-19T07:30:00"/>
    <d v="2024-03-19T08:38:00"/>
    <n v="67.685185186807459"/>
    <n v="25.879629630556639"/>
    <x v="0"/>
    <d v="2024-03-20T10:53:00"/>
    <d v="2024-03-20T15:39:00"/>
    <n v="280.04166666643869"/>
    <s v="Waited for empties from trade"/>
    <d v="2024-03-21T20:27:00"/>
    <d v="2024-03-21T21:10:00"/>
    <n v="42.104166670542327"/>
    <x v="0"/>
    <n v="2.492361111108039"/>
    <n v="2"/>
    <n v="-0.49236111110803904"/>
    <n v="59.816666666592937"/>
    <n v="24"/>
    <n v="35.816666666592937"/>
    <n v="4.3555141926567087"/>
    <m/>
    <m/>
    <m/>
    <m/>
    <m/>
  </r>
  <r>
    <d v="2025-03-27T00:00:00"/>
    <x v="2"/>
    <s v="KESH"/>
    <s v="Z83268"/>
    <s v="Manual"/>
    <s v="Faruk Abel"/>
    <s v="UBR 539W"/>
    <s v="Kobusinge Steven-FPortal"/>
    <n v="156"/>
    <s v="Z83268"/>
    <s v="OM"/>
    <n v="304"/>
    <n v="303"/>
    <n v="-1"/>
    <m/>
    <d v="2024-03-21T07:02:00"/>
    <d v="2024-03-19T20:00:00"/>
    <d v="2024-03-21T07:30:00"/>
    <n v="2120.1388888854126"/>
    <n v="27.870370367357584"/>
    <x v="0"/>
    <d v="2024-03-21T19:13:00"/>
    <d v="2024-03-22T16:07:00"/>
    <n v="1227.8750000013679"/>
    <s v="Waited for empties from trade"/>
    <d v="2024-03-23T19:37:00"/>
    <d v="2024-03-23T20:52:00"/>
    <n v="73.4375000034197"/>
    <x v="7"/>
    <n v="2.5048611111124046"/>
    <n v="2"/>
    <n v="-0.50486111111240461"/>
    <n v="60.116666666697711"/>
    <n v="24"/>
    <n v="36.116666666697711"/>
    <n v="4.3193354868444649"/>
    <m/>
    <m/>
    <m/>
    <m/>
    <m/>
  </r>
  <r>
    <d v="2025-03-27T00:00:00"/>
    <x v="2"/>
    <s v="KESH"/>
    <s v="Z83270"/>
    <s v="Manual"/>
    <s v="Kyakulaga James"/>
    <s v="UBJ 419C"/>
    <s v="Rugoma Traders-Rukungiri"/>
    <n v="156"/>
    <s v="Z83270"/>
    <s v="OM"/>
    <n v="256"/>
    <n v="253"/>
    <n v="-3"/>
    <m/>
    <d v="2024-03-20T17:15:00"/>
    <d v="2024-03-19T19:00:00"/>
    <d v="2024-03-20T17:39:00"/>
    <n v="1352.7083333416765"/>
    <n v="23.888888893755695"/>
    <x v="0"/>
    <d v="2024-03-21T13:18:00"/>
    <d v="2024-03-21T19:05:00"/>
    <n v="339.77083333287737"/>
    <s v="less casuals and offloaded the next day"/>
    <d v="2024-03-22T18:47:00"/>
    <d v="2024-03-22T19:43:00"/>
    <n v="54.833333337664953"/>
    <x v="12"/>
    <n v="2.0472222222160781"/>
    <n v="2"/>
    <n v="-4.722222221607808E-2"/>
    <n v="49.133333333185874"/>
    <n v="24"/>
    <n v="25.133333333185874"/>
    <n v="6.2068965517605541"/>
    <m/>
    <m/>
    <m/>
    <m/>
    <m/>
  </r>
  <r>
    <d v="2025-03-27T00:00:00"/>
    <x v="2"/>
    <s v="KESH"/>
    <s v="A21691"/>
    <s v="Manual"/>
    <s v="Kabanda Ronald"/>
    <s v="UBE 684K"/>
    <s v="KATO INVESTMENTS LTD-KATIKARA"/>
    <n v="156"/>
    <s v="A21691"/>
    <s v="OM"/>
    <n v="790"/>
    <n v="787"/>
    <n v="-3"/>
    <m/>
    <d v="2024-03-20T16:55:00"/>
    <d v="2024-03-19T08:00:00"/>
    <d v="2024-03-20T17:23:00"/>
    <n v="1993.726851853474"/>
    <n v="27.870370367357584"/>
    <x v="0"/>
    <d v="2024-03-21T08:24:00"/>
    <d v="2024-03-21T12:15:00"/>
    <n v="226.18749999863212"/>
    <s v="Waited for empties from trade"/>
    <d v="2024-03-22T15:38:00"/>
    <d v="2024-03-22T16:53:00"/>
    <n v="73.4375000034197"/>
    <x v="8"/>
    <n v="1.9270833333284827"/>
    <n v="3"/>
    <n v="1.0729166666715173"/>
    <n v="46.249999999883585"/>
    <n v="12"/>
    <n v="34.249999999883585"/>
    <n v="4.5547445255629269"/>
    <m/>
    <m/>
    <m/>
    <m/>
    <m/>
  </r>
  <r>
    <d v="2025-03-27T00:00:00"/>
    <x v="2"/>
    <s v="KESH"/>
    <s v="A21688"/>
    <s v="Manual"/>
    <m/>
    <s v="UBR 903Y"/>
    <s v="KATO INVESTMENTS LTD-KATIKARA"/>
    <n v="156"/>
    <s v="A21688"/>
    <s v="OM"/>
    <n v="790"/>
    <n v="787"/>
    <n v="-3"/>
    <m/>
    <d v="2024-03-19T21:27:00"/>
    <d v="2024-03-20T22:00:00"/>
    <d v="2024-03-19T21:54:00"/>
    <n v="-1439.305555554165"/>
    <n v="26.87500000417155"/>
    <x v="0"/>
    <d v="2024-03-20T03:29:00"/>
    <d v="2024-03-20T15:59:00"/>
    <n v="734.3750000034197"/>
    <s v="Waited for empties from trade"/>
    <d v="2024-03-21T10:15:00"/>
    <d v="2024-03-21T10:58:00"/>
    <n v="42.104166670542327"/>
    <x v="0"/>
    <n v="1.5145833333372138"/>
    <n v="3"/>
    <n v="1.4854166666627862"/>
    <n v="36.350000000093132"/>
    <n v="12"/>
    <n v="24.350000000093132"/>
    <n v="6.4065708418646139"/>
    <m/>
    <m/>
    <m/>
    <m/>
    <m/>
  </r>
  <r>
    <d v="2025-03-27T00:00:00"/>
    <x v="2"/>
    <s v="KESH"/>
    <s v="A21698"/>
    <s v="Manual"/>
    <m/>
    <s v="UBR 538W"/>
    <s v="Ntale and Sons Ltd-Kakiri"/>
    <n v="78"/>
    <s v="A21698"/>
    <s v="OM"/>
    <n v="620"/>
    <n v="621"/>
    <n v="1"/>
    <m/>
    <d v="2024-03-19T21:53:00"/>
    <d v="2024-03-20T15:48:00"/>
    <d v="2024-03-19T22:19:00"/>
    <n v="-1044.1435185222265"/>
    <n v="25.879629630556639"/>
    <x v="0"/>
    <d v="2024-03-20T22:56:00"/>
    <d v="2024-03-21T01:54:00"/>
    <n v="174.29166667054233"/>
    <m/>
    <d v="2024-03-21T15:30:00"/>
    <d v="2024-03-21T16:45:00"/>
    <n v="73.4375000034197"/>
    <x v="8"/>
    <n v="1.7159722222277196"/>
    <n v="3"/>
    <n v="1.2840277777722804"/>
    <n v="41.183333333465271"/>
    <n v="12"/>
    <n v="29.183333333465271"/>
    <n v="2.6727584237457691"/>
    <m/>
    <m/>
    <m/>
    <m/>
    <m/>
  </r>
  <r>
    <d v="2025-03-27T00:00:00"/>
    <x v="2"/>
    <s v="KESH"/>
    <s v="A21689"/>
    <s v="Manual"/>
    <m/>
    <s v="UBP 304H"/>
    <s v="Kato Investment Ltd -Mityana"/>
    <n v="156"/>
    <s v="A21689"/>
    <s v="OM"/>
    <n v="690"/>
    <n v="687"/>
    <n v="-3"/>
    <m/>
    <d v="2024-03-19T22:05:00"/>
    <d v="2024-03-19T17:46:00"/>
    <d v="2024-03-19T22:33:00"/>
    <n v="285.67129629930906"/>
    <n v="27.870370367357584"/>
    <x v="0"/>
    <d v="2024-03-20T10:42:00"/>
    <d v="2024-03-20T18:50:00"/>
    <n v="477.83333333150949"/>
    <s v="Reached late and offloaded the next day"/>
    <d v="2024-03-21T16:26:00"/>
    <d v="2024-03-21T17:46:00"/>
    <n v="78.333333332193433"/>
    <x v="4"/>
    <n v="1.7451388888875954"/>
    <n v="3"/>
    <n v="1.2548611111124046"/>
    <n v="41.883333333302289"/>
    <n v="12"/>
    <n v="29.883333333302289"/>
    <n v="5.2203011712268399"/>
    <m/>
    <m/>
    <m/>
    <m/>
    <m/>
  </r>
  <r>
    <d v="2025-03-27T00:00:00"/>
    <x v="2"/>
    <s v="NBL"/>
    <s v="A21687"/>
    <s v="Manual"/>
    <m/>
    <s v="UBE 419T"/>
    <s v="Sawan Distributors Ltd-Kayabwe"/>
    <n v="153.6"/>
    <s v="A21687"/>
    <s v="OM"/>
    <n v="382"/>
    <n v="379"/>
    <n v="-3"/>
    <m/>
    <d v="2024-03-20T08:17:00"/>
    <d v="2024-03-20T07:30:00"/>
    <d v="2024-03-20T08:42:00"/>
    <n v="71.666666670838211"/>
    <n v="24.884259256941732"/>
    <x v="0"/>
    <d v="2024-03-20T14:42:00"/>
    <d v="2024-03-20T19:02:00"/>
    <n v="254.58333333219343"/>
    <s v="found another truck to be offloaded"/>
    <d v="2024-03-21T08:57:12"/>
    <d v="2024-03-21T09:40:12"/>
    <n v="42.104166670542327"/>
    <x v="0"/>
    <n v="1.0105555555492174"/>
    <n v="2"/>
    <n v="0.98944444445078261"/>
    <n v="24.253333333181217"/>
    <n v="12"/>
    <n v="12.253333333181217"/>
    <n v="12.535364526815028"/>
    <m/>
    <m/>
    <m/>
    <m/>
    <m/>
  </r>
  <r>
    <d v="2025-03-27T00:00:00"/>
    <x v="2"/>
    <s v="KESH"/>
    <s v="F16150"/>
    <s v="Manual"/>
    <m/>
    <s v="UBR 880Y"/>
    <s v="Boniface Harera"/>
    <n v="156"/>
    <s v="F16150"/>
    <s v="OM"/>
    <n v="448"/>
    <n v="446"/>
    <n v="-2"/>
    <m/>
    <d v="2024-03-21T10:07:03"/>
    <d v="2024-03-21T09:06:03"/>
    <d v="2024-03-21T10:34:03"/>
    <n v="87.592592596532384"/>
    <n v="26.87500000417155"/>
    <x v="0"/>
    <d v="2024-03-22T08:24:03"/>
    <d v="2024-03-22T14:41:03"/>
    <n v="369.14583333629707"/>
    <s v="Waited for empties from trade"/>
    <d v="2024-03-23T10:29:03"/>
    <d v="2024-03-23T11:20:03"/>
    <n v="49.93749999863212"/>
    <x v="5"/>
    <n v="1.9965277777737356"/>
    <n v="2"/>
    <n v="3.4722222262644209E-3"/>
    <n v="47.916666666569654"/>
    <n v="12"/>
    <n v="35.916666666569654"/>
    <n v="4.3433874710094118"/>
    <m/>
    <m/>
    <m/>
    <m/>
    <m/>
  </r>
  <r>
    <d v="2025-03-27T00:00:00"/>
    <x v="2"/>
    <s v="KESH"/>
    <s v="Z83264"/>
    <s v="Manual"/>
    <m/>
    <s v="UBR 863Y"/>
    <s v="Kobusinge Steven-FPortal"/>
    <n v="156"/>
    <s v="Z83264"/>
    <s v="OM"/>
    <n v="304"/>
    <n v="301"/>
    <n v="-3"/>
    <m/>
    <d v="2024-03-21T09:17:00"/>
    <d v="2024-03-20T09:00:00"/>
    <d v="2024-03-21T09:45:00"/>
    <n v="1478.125"/>
    <n v="27.870370367357584"/>
    <x v="0"/>
    <d v="2024-03-21T12:14:00"/>
    <d v="2024-03-21T18:17:00"/>
    <n v="355.43749999931606"/>
    <s v="Waited for empties from trade"/>
    <d v="2024-03-22T14:45:00"/>
    <d v="2024-03-22T15:43:00"/>
    <n v="56.791666667122627"/>
    <x v="13"/>
    <n v="1.2083333333357587"/>
    <n v="2"/>
    <n v="0.79166666666424135"/>
    <n v="29.000000000058208"/>
    <n v="12"/>
    <n v="17.000000000058208"/>
    <n v="9.1764705882038733"/>
    <m/>
    <m/>
    <m/>
    <m/>
    <m/>
  </r>
  <r>
    <d v="2025-03-27T00:00:00"/>
    <x v="2"/>
    <s v="KESH"/>
    <s v="A21692"/>
    <s v="Manual"/>
    <s v="Nakalya John"/>
    <s v="UBM 648D"/>
    <s v="Sawan Distributors Ltd-Nabingo"/>
    <n v="156"/>
    <s v="A21692"/>
    <s v="OM"/>
    <n v="560"/>
    <n v="558"/>
    <n v="-2"/>
    <m/>
    <d v="2024-03-21T14:42:00"/>
    <d v="2024-03-20T08:00:00"/>
    <d v="2024-03-21T15:08:00"/>
    <n v="1859.351851853474"/>
    <n v="25.879629630556639"/>
    <x v="0"/>
    <d v="2024-03-22T08:46:00"/>
    <d v="2024-03-22T12:13:00"/>
    <n v="202.68750000410364"/>
    <s v="found another truck to be offloaded"/>
    <d v="2024-03-24T16:01:00"/>
    <d v="2024-03-24T17:23:00"/>
    <n v="80.291666661651107"/>
    <x v="14"/>
    <n v="3.0368055555518367"/>
    <n v="2"/>
    <n v="-1.0368055555518367"/>
    <n v="72.883333333244082"/>
    <n v="36"/>
    <n v="36.883333333244082"/>
    <n v="4.2295526434806368"/>
    <m/>
    <m/>
    <m/>
    <m/>
    <m/>
  </r>
  <r>
    <d v="2025-03-27T00:00:00"/>
    <x v="2"/>
    <s v="KESH"/>
    <s v="Z83273"/>
    <s v="Manual"/>
    <s v="Taimwa Alex"/>
    <s v="UBJ 705D"/>
    <s v="Bates Enterprises U Ltd"/>
    <n v="78"/>
    <s v="Z83273"/>
    <s v="OM"/>
    <n v="464"/>
    <n v="461"/>
    <n v="-3"/>
    <m/>
    <d v="2024-03-22T06:49:00"/>
    <d v="2024-03-20T08:00:00"/>
    <d v="2024-03-22T07:17:00"/>
    <n v="2823.8657407368009"/>
    <n v="27.870370367357584"/>
    <x v="0"/>
    <d v="2024-03-23T09:35:00"/>
    <d v="2024-03-23T13:20:00"/>
    <n v="220.3125"/>
    <s v="Waited for empties from trade"/>
    <d v="2024-03-24T08:23:00"/>
    <d v="2024-03-24T09:32:00"/>
    <n v="67.56250000478758"/>
    <x v="5"/>
    <n v="2.0458333333372138"/>
    <n v="3"/>
    <n v="0.95416666666278616"/>
    <n v="49.100000000093132"/>
    <n v="24"/>
    <n v="25.100000000093132"/>
    <n v="3.1075697211040074"/>
    <m/>
    <m/>
    <m/>
    <m/>
    <m/>
  </r>
  <r>
    <d v="2025-03-27T00:00:00"/>
    <x v="2"/>
    <s v="KESH"/>
    <s v="A21702"/>
    <s v="Manual"/>
    <s v="kayanja Sam"/>
    <s v="UBF 379L"/>
    <s v="Kato Investment Ltd -Mityana"/>
    <n v="156"/>
    <s v="A21702"/>
    <s v="OM"/>
    <n v="690"/>
    <n v="688"/>
    <n v="-2"/>
    <m/>
    <d v="2024-03-21T03:25:00"/>
    <d v="2024-03-21T07:00:00"/>
    <d v="2024-03-21T03:52:00"/>
    <n v="-187.12962962429933"/>
    <n v="26.87500000417155"/>
    <x v="0"/>
    <d v="2024-03-21T15:35:00"/>
    <d v="2024-03-21T18:18:00"/>
    <n v="159.60416666370293"/>
    <m/>
    <d v="2024-03-22T18:00:00"/>
    <d v="2024-03-22T18:40:00"/>
    <n v="39.166666671226267"/>
    <x v="4"/>
    <n v="1.5888888888875954"/>
    <n v="3"/>
    <n v="1.4111111111124046"/>
    <n v="38.133333333302289"/>
    <n v="12"/>
    <n v="26.133333333302289"/>
    <n v="5.9693877551091319"/>
    <m/>
    <m/>
    <m/>
    <m/>
    <m/>
  </r>
  <r>
    <d v="2025-03-27T00:00:00"/>
    <x v="2"/>
    <s v="KESH"/>
    <s v="A21700"/>
    <s v="Manual"/>
    <s v="Sentongo paul"/>
    <s v="UBR 541W"/>
    <s v="Sawan Distributors Ltd-Nabingo"/>
    <n v="156"/>
    <s v="A21700"/>
    <s v="OM"/>
    <n v="560"/>
    <n v="558"/>
    <n v="-2"/>
    <m/>
    <d v="2024-03-21T08:13:00"/>
    <d v="2024-03-21T07:30:00"/>
    <d v="2024-03-21T08:42:00"/>
    <n v="71.666666670838211"/>
    <n v="28.865740740972495"/>
    <x v="0"/>
    <d v="2024-03-21T17:12:00"/>
    <d v="2024-03-22T13:08:38"/>
    <n v="1171.7034722244716"/>
    <s v="truck faulty"/>
    <d v="2024-03-23T07:27:22"/>
    <d v="2024-03-23T08:26:22"/>
    <n v="57.770833336981013"/>
    <x v="15"/>
    <n v="1.948171296295186"/>
    <n v="2"/>
    <n v="5.1828703704813961E-2"/>
    <n v="46.756111111084465"/>
    <n v="12"/>
    <n v="34.756111111084465"/>
    <n v="4.4884193027639467"/>
    <m/>
    <m/>
    <m/>
    <m/>
    <m/>
  </r>
  <r>
    <d v="2025-03-27T00:00:00"/>
    <x v="2"/>
    <s v="KESH"/>
    <s v="A21701"/>
    <s v="Manual"/>
    <s v="Ikwalikwa Yusuf"/>
    <s v="UBP 311H"/>
    <s v="Sawan Distributors Ltd-Nabingo"/>
    <n v="156"/>
    <s v="A21701"/>
    <s v="OM"/>
    <n v="560"/>
    <n v="556"/>
    <n v="-4"/>
    <m/>
    <d v="2024-03-21T08:19:00"/>
    <d v="2024-03-21T07:30:00"/>
    <d v="2024-03-21T08:46:00"/>
    <n v="75.6481481444401"/>
    <n v="26.87500000417155"/>
    <x v="0"/>
    <d v="2024-03-21T03:16:00"/>
    <d v="2024-03-21T17:16:00"/>
    <n v="822.5000000034197"/>
    <s v="less casuals and offloaded the next day"/>
    <d v="2024-03-22T20:46:00"/>
    <d v="2024-03-22T21:26:00"/>
    <n v="39.166666671226267"/>
    <x v="0"/>
    <n v="1.5"/>
    <n v="2"/>
    <n v="0.5"/>
    <n v="36"/>
    <n v="12"/>
    <n v="24"/>
    <n v="6.5"/>
    <m/>
    <m/>
    <m/>
    <m/>
    <m/>
  </r>
  <r>
    <d v="2025-03-28T00:00:00"/>
    <x v="2"/>
    <s v="KESH"/>
    <s v="Z83279"/>
    <s v="Manual"/>
    <m/>
    <s v="UBJ 423C"/>
    <s v="Kobusinge Steven-FPortal"/>
    <n v="78"/>
    <s v="Z83279"/>
    <s v="OM"/>
    <n v="304"/>
    <n v="303"/>
    <n v="-1"/>
    <m/>
    <d v="2024-03-21T08:34:00"/>
    <d v="2024-03-21T07:30:00"/>
    <d v="2024-03-21T09:02:00"/>
    <n v="91.574074070134273"/>
    <n v="27.870370367357584"/>
    <x v="0"/>
    <d v="2024-03-21T16:02:00"/>
    <d v="2024-03-22T13:52:24"/>
    <n v="1283.0999999946653"/>
    <s v="Waited for empties from trade"/>
    <d v="2024-03-22T16:52:24"/>
    <d v="2024-03-22T17:42:24"/>
    <n v="48.958333328773733"/>
    <x v="16"/>
    <n v="1.3266666666677338"/>
    <n v="2"/>
    <n v="0.67333333333226619"/>
    <n v="31.840000000025611"/>
    <n v="12"/>
    <n v="19.840000000025611"/>
    <n v="3.9314516128981509"/>
    <m/>
    <m/>
    <m/>
    <m/>
    <m/>
  </r>
  <r>
    <d v="2025-03-28T00:00:00"/>
    <x v="2"/>
    <s v="KESH"/>
    <s v="F16152"/>
    <s v="Manual"/>
    <s v="Bwanga Gilbert"/>
    <s v="UBK 862R"/>
    <s v="Boniface Harera"/>
    <n v="156"/>
    <s v="F16152"/>
    <s v="OM"/>
    <n v="448"/>
    <n v="447"/>
    <n v="-1"/>
    <m/>
    <d v="2024-03-21T07:55:00"/>
    <d v="2024-03-21T07:30:00"/>
    <d v="2024-03-21T08:47:00"/>
    <n v="76.643518518055018"/>
    <n v="51.759259261113279"/>
    <x v="2"/>
    <d v="2024-03-22T07:17:00"/>
    <d v="2024-03-22T12:01:00"/>
    <n v="278.08333333698101"/>
    <s v="Not enough casuals to offload"/>
    <d v="2024-03-23T08:00:12"/>
    <d v="2024-03-23T08:54:12"/>
    <n v="52.87499999794818"/>
    <x v="9"/>
    <n v="1.9674999999988358"/>
    <n v="2"/>
    <n v="3.2500000001164153E-2"/>
    <n v="47.21999999997206"/>
    <n v="12"/>
    <n v="35.21999999997206"/>
    <n v="4.429301533223275"/>
    <m/>
    <m/>
    <m/>
    <m/>
    <m/>
  </r>
  <r>
    <d v="2025-03-28T00:00:00"/>
    <x v="2"/>
    <s v="KESH"/>
    <s v="F16153"/>
    <s v="Manual"/>
    <m/>
    <s v="UBP 998T"/>
    <s v="Boniface Harera"/>
    <n v="78"/>
    <s v="F16153"/>
    <s v="OM"/>
    <n v="448"/>
    <n v="445"/>
    <n v="-3"/>
    <m/>
    <d v="2024-03-22T03:26:00"/>
    <d v="2024-03-21T20:25:00"/>
    <d v="2024-03-22T03:54:00"/>
    <n v="446.92129629305174"/>
    <n v="27.870370367357584"/>
    <x v="0"/>
    <d v="2024-03-24T07:57:00"/>
    <d v="2024-03-24T13:09:00"/>
    <n v="305.50000000068394"/>
    <s v="Waited for empties from trade"/>
    <d v="2024-03-24T19:03:00"/>
    <d v="2024-03-24T19:43:00"/>
    <n v="39.166666671226267"/>
    <x v="0"/>
    <n v="2.6312499999985448"/>
    <n v="2"/>
    <n v="-0.63124999999854481"/>
    <n v="63.149999999965075"/>
    <n v="24"/>
    <n v="39.149999999965075"/>
    <n v="1.9923371647527353"/>
    <m/>
    <m/>
    <m/>
    <m/>
    <m/>
  </r>
  <r>
    <d v="2025-03-28T00:00:00"/>
    <x v="2"/>
    <s v="KESH"/>
    <s v="Z83281"/>
    <s v="Manual"/>
    <s v="SENTONG DAVID"/>
    <s v="UBP 298H"/>
    <s v="Kabaco U Ltd"/>
    <n v="156"/>
    <s v="Z83281"/>
    <s v="OM"/>
    <n v="320"/>
    <n v="317"/>
    <n v="-3"/>
    <m/>
    <d v="2024-03-21T22:22:00"/>
    <d v="2024-03-21T20:25:00"/>
    <d v="2024-03-21T22:49:00"/>
    <n v="143.33333333124756"/>
    <n v="26.87500000417155"/>
    <x v="0"/>
    <d v="2024-03-23T12:27:00"/>
    <d v="2024-03-23T17:41:00"/>
    <n v="307.45833333014161"/>
    <s v="Reached late and offloaded the next day"/>
    <d v="2024-03-23T20:53:00"/>
    <d v="2024-03-23T21:52:00"/>
    <n v="57.770833336981013"/>
    <x v="0"/>
    <n v="1.9194444444437977"/>
    <n v="2"/>
    <n v="8.0555555556202307E-2"/>
    <n v="46.066666666651145"/>
    <n v="12"/>
    <n v="34.066666666651145"/>
    <n v="4.5792563600803646"/>
    <m/>
    <m/>
    <m/>
    <m/>
    <m/>
  </r>
  <r>
    <d v="2025-03-28T00:00:00"/>
    <x v="2"/>
    <s v="KESH"/>
    <s v="Z83285"/>
    <s v="Manual"/>
    <s v="Mulumba Kasim"/>
    <s v="UBE 680K"/>
    <s v="Kobusinge Acaali- Kyenjojo"/>
    <n v="39"/>
    <s v="Z83285"/>
    <s v="OM"/>
    <n v="580"/>
    <n v="579"/>
    <n v="-1"/>
    <m/>
    <d v="2024-03-22T16:18:00"/>
    <d v="2024-03-21T08:00:00"/>
    <d v="2024-03-22T16:45:00"/>
    <n v="1955.9027777708252"/>
    <n v="26.87500000417155"/>
    <x v="0"/>
    <d v="2024-03-23T03:33:00"/>
    <d v="2024-03-23T17:19:00"/>
    <n v="808.79166666643869"/>
    <s v="found another truck to be offloaded"/>
    <d v="2024-03-24T18:25:00"/>
    <d v="2024-03-24T19:47:00"/>
    <n v="80.291666661651107"/>
    <x v="4"/>
    <n v="2.0694444444452529"/>
    <n v="2"/>
    <n v="-6.9444444445252884E-2"/>
    <n v="49.666666666686069"/>
    <n v="24"/>
    <n v="25.666666666686069"/>
    <n v="1.5194805194793708"/>
    <m/>
    <m/>
    <m/>
    <m/>
    <m/>
  </r>
  <r>
    <d v="2025-03-28T00:00:00"/>
    <x v="2"/>
    <s v="KESH"/>
    <s v="Z83287"/>
    <s v="Manual"/>
    <s v="Eriku Alipa"/>
    <s v="UBK 858R"/>
    <s v="Kobusinge Steven-FPortal"/>
    <n v="156"/>
    <s v="Z83287"/>
    <s v="OM"/>
    <n v="304"/>
    <n v="301"/>
    <n v="-3"/>
    <m/>
    <d v="2024-03-22T11:56:34"/>
    <d v="2024-03-22T03:15:34"/>
    <d v="2024-03-22T12:23:34"/>
    <n v="545.46296295763261"/>
    <n v="26.87500000417155"/>
    <x v="0"/>
    <d v="2024-03-22T18:23:34"/>
    <d v="2024-03-22T21:11:34"/>
    <n v="164.50000000273576"/>
    <m/>
    <d v="2024-03-23T17:43:34"/>
    <d v="2024-03-23T18:26:34"/>
    <n v="42.104166670542327"/>
    <x v="0"/>
    <n v="1.2222222222262644"/>
    <n v="2"/>
    <n v="0.77777777777373558"/>
    <n v="29.333333333430346"/>
    <n v="12"/>
    <n v="17.333333333430346"/>
    <n v="8.9999999999496278"/>
    <m/>
    <m/>
    <m/>
    <m/>
    <m/>
  </r>
  <r>
    <d v="2025-03-28T00:00:00"/>
    <x v="2"/>
    <s v="KESH"/>
    <s v="Z83289"/>
    <s v="Manual"/>
    <s v="Kyakulaga James"/>
    <s v="UBJ 419C"/>
    <s v="Bates Enterprises U Ltd"/>
    <n v="78"/>
    <s v="Z83289"/>
    <s v="OM"/>
    <n v="464"/>
    <n v="461"/>
    <n v="-3"/>
    <m/>
    <d v="2024-03-24T10:04:00"/>
    <d v="2024-03-21T09:00:00"/>
    <d v="2024-03-24T10:28:00"/>
    <n v="4387.5925925965321"/>
    <n v="23.888888893755695"/>
    <x v="0"/>
    <d v="2024-03-24T17:47:00"/>
    <d v="2024-03-24T20:32:00"/>
    <n v="161.5625000034197"/>
    <m/>
    <d v="2024-03-26T10:58:00"/>
    <d v="2024-03-26T11:56:00"/>
    <n v="56.791666667122627"/>
    <x v="0"/>
    <n v="2.0208333333284827"/>
    <n v="3"/>
    <n v="0.97916666667151731"/>
    <n v="48.499999999883585"/>
    <n v="24"/>
    <n v="24.499999999883585"/>
    <n v="3.183673469402883"/>
    <m/>
    <m/>
    <m/>
    <m/>
    <m/>
  </r>
  <r>
    <d v="2025-03-28T00:00:00"/>
    <x v="2"/>
    <s v="KESH"/>
    <s v="A21718"/>
    <s v="Manual"/>
    <s v="Byanshala Stoney"/>
    <s v="UBP 312H"/>
    <s v="KATO INVESTMENTS LTD-KATIKARA"/>
    <n v="156"/>
    <s v="A21718"/>
    <s v="OM"/>
    <n v="790"/>
    <n v="789"/>
    <n v="-1"/>
    <m/>
    <d v="2024-03-22T12:40:00"/>
    <d v="2024-03-21T09:00:00"/>
    <d v="2024-03-22T13:07:00"/>
    <n v="1679.1898148131925"/>
    <n v="26.87500000417155"/>
    <x v="0"/>
    <d v="2024-03-23T08:56:00"/>
    <d v="2024-03-23T16:47:00"/>
    <n v="461.18750000547152"/>
    <s v="Waited for empties from trade"/>
    <d v="2024-03-24T10:06:00"/>
    <d v="2024-03-24T11:05:00"/>
    <n v="57.770833336981013"/>
    <x v="0"/>
    <n v="1.8743055555532919"/>
    <n v="3"/>
    <n v="1.1256944444467081"/>
    <n v="44.983333333279006"/>
    <n v="12"/>
    <n v="32.983333333279006"/>
    <n v="4.7296614451821206"/>
    <m/>
    <m/>
    <m/>
    <m/>
    <m/>
  </r>
  <r>
    <d v="2025-03-28T00:00:00"/>
    <x v="2"/>
    <s v="KESH"/>
    <s v="Z83280"/>
    <s v="Manual"/>
    <s v="ZIWA ABASI"/>
    <s v="UBJ 420C"/>
    <s v="Bates Enterprises Ltd-Ntoroko"/>
    <n v="78"/>
    <s v="Z83280"/>
    <s v="OM"/>
    <n v="464"/>
    <n v="461"/>
    <n v="-3"/>
    <m/>
    <d v="2024-03-23T19:05:00"/>
    <d v="2024-03-23T16:40:00"/>
    <d v="2024-03-23T19:59:00"/>
    <n v="198.07870370277669"/>
    <n v="53.749999997914223"/>
    <x v="1"/>
    <d v="2024-03-24T17:57:00"/>
    <d v="2024-03-25T14:43:00"/>
    <n v="1220.041666663019"/>
    <s v="Waited for empties from trade"/>
    <d v="2024-03-26T19:35:00"/>
    <d v="2024-03-26T20:47:00"/>
    <n v="70.50000000410364"/>
    <x v="4"/>
    <n v="2.9833333333299379"/>
    <n v="3"/>
    <n v="1.6666666670062114E-2"/>
    <n v="71.599999999918509"/>
    <n v="24"/>
    <n v="47.599999999918509"/>
    <n v="1.6386554621876792"/>
    <m/>
    <m/>
    <m/>
    <m/>
    <m/>
  </r>
  <r>
    <d v="2025-03-28T00:00:00"/>
    <x v="2"/>
    <s v="KESH"/>
    <s v="Z83282"/>
    <s v="Manual"/>
    <m/>
    <s v="UBJ 421C"/>
    <s v="Kobusinge Steven-Kamwenge"/>
    <n v="156"/>
    <s v="Z83282"/>
    <s v="OM"/>
    <n v="288"/>
    <n v="286"/>
    <n v="-2"/>
    <m/>
    <d v="2024-03-23T01:22:44"/>
    <d v="2024-03-23T00:41:44"/>
    <d v="2024-03-23T01:49:44"/>
    <n v="67.685185186807459"/>
    <n v="26.87500000417155"/>
    <x v="0"/>
    <d v="2024-03-24T03:19:44"/>
    <d v="2024-03-25T12:46:08"/>
    <n v="1964.6000000001368"/>
    <s v="space consquents"/>
    <d v="2024-03-25T10:42:18"/>
    <d v="2024-03-25T11:32:18"/>
    <n v="48.958333328773733"/>
    <x v="0"/>
    <n v="2.369837962964084"/>
    <n v="2"/>
    <n v="-0.369837962964084"/>
    <n v="56.876111111138016"/>
    <n v="24"/>
    <n v="32.876111111138016"/>
    <n v="4.7450867735736892"/>
    <m/>
    <m/>
    <m/>
    <m/>
    <m/>
  </r>
  <r>
    <d v="2025-03-28T00:00:00"/>
    <x v="2"/>
    <s v="KESH"/>
    <s v="Z83288"/>
    <s v="Manual"/>
    <s v="Ntumwa Solomon"/>
    <s v="UBR 540W"/>
    <s v="Bates Enterprises U Ltd"/>
    <n v="78"/>
    <s v="Z83288"/>
    <s v="OM"/>
    <n v="464"/>
    <n v="461"/>
    <n v="-3"/>
    <m/>
    <d v="2024-03-23T08:49:45"/>
    <d v="2024-03-23T07:48:45"/>
    <d v="2024-03-23T09:16:45"/>
    <n v="87.592592586103521"/>
    <n v="26.87500000417155"/>
    <x v="0"/>
    <d v="2024-03-24T09:16:45"/>
    <d v="2024-03-24T12:47:45"/>
    <n v="206.60416667327809"/>
    <s v="Reached late and offloaded the next day"/>
    <d v="2024-03-25T09:16:45"/>
    <d v="2024-03-25T09:59:45"/>
    <n v="42.104166670542327"/>
    <x v="0"/>
    <n v="2"/>
    <n v="3"/>
    <n v="1"/>
    <n v="48"/>
    <n v="24"/>
    <n v="24"/>
    <n v="3.25"/>
    <m/>
    <m/>
    <m/>
    <m/>
    <m/>
  </r>
  <r>
    <d v="2025-03-28T00:00:00"/>
    <x v="2"/>
    <s v="KESH"/>
    <s v="A21719"/>
    <s v="Manual"/>
    <m/>
    <s v="UBR 864Y"/>
    <s v="Kato Investment Ltd -Mityana"/>
    <n v="156"/>
    <s v="A21719"/>
    <s v="OM"/>
    <n v="690"/>
    <n v="688"/>
    <n v="-2"/>
    <m/>
    <d v="2024-03-22T20:41:00"/>
    <d v="2024-03-23T03:17:00"/>
    <d v="2024-03-22T21:09:00"/>
    <n v="-366.29629630139488"/>
    <n v="27.870370367357584"/>
    <x v="0"/>
    <d v="2024-03-23T14:07:00"/>
    <d v="2024-03-23T16:40:00"/>
    <n v="149.81250000615546"/>
    <m/>
    <d v="2024-03-24T19:14:00"/>
    <d v="2024-03-24T20:06:00"/>
    <n v="50.916666668490507"/>
    <x v="0"/>
    <n v="1.9201388888905058"/>
    <n v="3"/>
    <n v="1.0798611111094942"/>
    <n v="46.083333333372138"/>
    <n v="12"/>
    <n v="34.083333333372138"/>
    <n v="4.5770171149092143"/>
    <m/>
    <m/>
    <m/>
    <m/>
    <m/>
  </r>
  <r>
    <d v="2025-03-28T00:00:00"/>
    <x v="2"/>
    <s v="KESH"/>
    <s v="A21713"/>
    <s v="Manual"/>
    <m/>
    <s v="UBR 900Y"/>
    <s v="Sawan Distributors Ltd-Kayabwe"/>
    <n v="156"/>
    <s v="A21713"/>
    <s v="OM"/>
    <n v="382"/>
    <n v="381"/>
    <n v="-1"/>
    <m/>
    <d v="2024-03-23T08:48:00"/>
    <d v="2024-03-23T02:30:00"/>
    <d v="2024-03-23T09:17:00"/>
    <n v="405.11574074722984"/>
    <n v="28.865740740972495"/>
    <x v="0"/>
    <d v="2024-03-25T09:32:00"/>
    <d v="2024-03-25T12:15:00"/>
    <n v="159.60416666370293"/>
    <m/>
    <d v="2024-03-25T20:42:00"/>
    <d v="2024-03-25T21:32:00"/>
    <n v="48.958333328773733"/>
    <x v="0"/>
    <n v="2.4756944444452529"/>
    <n v="2"/>
    <n v="-0.47569444444525288"/>
    <n v="59.416666666686069"/>
    <n v="24"/>
    <n v="35.416666666686069"/>
    <n v="4.4047058823505285"/>
    <m/>
    <m/>
    <m/>
    <m/>
    <m/>
  </r>
  <r>
    <d v="2025-03-28T00:00:00"/>
    <x v="2"/>
    <s v="KESH"/>
    <s v="A21715"/>
    <s v="Manual"/>
    <s v="Nminya Siraje"/>
    <s v="UBP 301H"/>
    <s v="Sawan Distributors Ltd-Nabingo"/>
    <n v="156"/>
    <s v="A21715"/>
    <s v="OM"/>
    <n v="560"/>
    <n v="558"/>
    <n v="-2"/>
    <m/>
    <d v="2024-03-23T14:21:00"/>
    <d v="2024-03-24T02:22:00"/>
    <d v="2024-03-23T14:48:00"/>
    <n v="-690.78703703611006"/>
    <n v="26.87500000417155"/>
    <x v="0"/>
    <d v="2024-03-24T09:12:00"/>
    <d v="2024-03-24T15:02:00"/>
    <n v="342.70833333219343"/>
    <s v="space consquents"/>
    <d v="2024-03-24T17:46:00"/>
    <d v="2024-03-24T18:29:00"/>
    <n v="42.104166670542327"/>
    <x v="0"/>
    <n v="1.1236111111065838"/>
    <n v="2"/>
    <n v="0.87638888889341615"/>
    <n v="26.966666666558012"/>
    <n v="12"/>
    <n v="14.966666666558012"/>
    <n v="10.4231625835946"/>
    <m/>
    <m/>
    <m/>
    <m/>
    <m/>
  </r>
  <r>
    <d v="2025-03-29T00:00:00"/>
    <x v="2"/>
    <s v="KESH"/>
    <s v="Z83304"/>
    <s v="Manual"/>
    <s v="SENTONG DAVID"/>
    <s v="UBP 298H"/>
    <s v="Kobusinge Acaali- Kyenjojo"/>
    <n v="156"/>
    <s v="Z83304"/>
    <s v="OM"/>
    <n v="580"/>
    <n v="577"/>
    <n v="-3"/>
    <m/>
    <d v="2024-03-24T03:08:00"/>
    <d v="2024-03-23T17:30:00"/>
    <d v="2024-03-24T03:36:00"/>
    <n v="603.19444445000647"/>
    <n v="27.870370367357584"/>
    <x v="0"/>
    <d v="2024-03-25T07:04:00"/>
    <d v="2024-03-25T19:03:00"/>
    <n v="704.02083333014161"/>
    <s v="space consquents"/>
    <d v="2024-03-26T06:54:00"/>
    <d v="2024-03-26T07:52:00"/>
    <n v="56.791666667122627"/>
    <x v="0"/>
    <n v="2.1374999999970896"/>
    <n v="2"/>
    <n v="-0.13749999999708962"/>
    <n v="51.299999999930151"/>
    <n v="24"/>
    <n v="27.299999999930151"/>
    <n v="5.7142857143003347"/>
    <m/>
    <m/>
    <m/>
    <m/>
    <m/>
  </r>
  <r>
    <d v="2025-03-29T00:00:00"/>
    <x v="2"/>
    <s v="KESH"/>
    <s v="F16155"/>
    <s v="Manual"/>
    <s v="Taimwa Alex"/>
    <s v="UBJ 705D"/>
    <s v="Boniface Harera"/>
    <n v="156"/>
    <s v="F16155"/>
    <s v="OM"/>
    <n v="448"/>
    <n v="445"/>
    <n v="-3"/>
    <m/>
    <d v="2024-03-25T15:39:00"/>
    <d v="2024-03-23T20:13:00"/>
    <d v="2024-03-25T16:29:00"/>
    <n v="2643.7037036965194"/>
    <n v="49.768518513883464"/>
    <x v="5"/>
    <d v="2024-03-26T09:35:00"/>
    <d v="2024-03-26T15:12:00"/>
    <n v="329.97916666507081"/>
    <s v="Waited for empties from trade"/>
    <d v="2024-03-27T06:07:00"/>
    <d v="2024-03-27T07:22:00"/>
    <n v="73.4375000034197"/>
    <x v="4"/>
    <n v="1.5680555555591127"/>
    <n v="2"/>
    <n v="0.43194444444088731"/>
    <n v="37.633333333418705"/>
    <n v="12"/>
    <n v="25.633333333418705"/>
    <n v="6.0858257477040487"/>
    <m/>
    <m/>
    <m/>
    <m/>
    <m/>
  </r>
  <r>
    <d v="2025-03-29T00:00:00"/>
    <x v="2"/>
    <s v="KESH"/>
    <s v="F16158"/>
    <s v="Manual"/>
    <s v="Nakalya John"/>
    <s v="UBM 648D"/>
    <s v="Boniface Harera"/>
    <n v="156"/>
    <s v="F16158"/>
    <s v="OM"/>
    <n v="448"/>
    <n v="447"/>
    <n v="-1"/>
    <m/>
    <d v="2024-03-24T09:35:00"/>
    <d v="2024-03-24T04:14:00"/>
    <d v="2024-03-24T10:01:00"/>
    <n v="345.39351851805503"/>
    <n v="25.879629630556639"/>
    <x v="0"/>
    <d v="2024-03-24T14:09:00"/>
    <d v="2024-03-24T16:43:00"/>
    <n v="150.79166666575475"/>
    <m/>
    <d v="2024-03-26T09:06:00"/>
    <d v="2024-03-26T10:15:00"/>
    <n v="67.56250000478758"/>
    <x v="5"/>
    <n v="1.9618055555547471"/>
    <n v="2"/>
    <n v="3.8194444445252884E-2"/>
    <n v="47.083333333313931"/>
    <n v="12"/>
    <n v="35.083333333313931"/>
    <n v="4.4465558194798938"/>
    <m/>
    <m/>
    <m/>
    <m/>
    <m/>
  </r>
  <r>
    <d v="2025-03-29T00:00:00"/>
    <x v="2"/>
    <s v="KESH"/>
    <s v="Z83302"/>
    <s v="Manual"/>
    <m/>
    <s v="UBG 084B"/>
    <s v="Kobusinge Steven-Kamwenge"/>
    <n v="156"/>
    <s v="Z83302"/>
    <s v="OM"/>
    <n v="288"/>
    <n v="287"/>
    <n v="-1"/>
    <m/>
    <d v="2024-03-24T04:14:54"/>
    <d v="2024-03-24T03:30:54"/>
    <d v="2024-03-24T04:42:54"/>
    <n v="71.666666660409348"/>
    <n v="27.870370367357584"/>
    <x v="0"/>
    <d v="2024-03-24T03:42:54"/>
    <d v="2024-03-24T16:42:54"/>
    <n v="763.7499999965803"/>
    <s v="less casuals and offloaded the next day"/>
    <d v="2024-03-25T16:42:54"/>
    <d v="2024-03-25T17:22:54"/>
    <n v="39.166666671226267"/>
    <x v="0"/>
    <n v="1.5"/>
    <n v="2"/>
    <n v="0.5"/>
    <n v="36"/>
    <n v="12"/>
    <n v="24"/>
    <n v="6.5"/>
    <m/>
    <m/>
    <m/>
    <m/>
    <m/>
  </r>
  <r>
    <d v="2025-03-29T00:00:00"/>
    <x v="2"/>
    <s v="KESH"/>
    <s v="Z83305"/>
    <s v="Manual"/>
    <m/>
    <s v="UBR 903Y"/>
    <s v="Kobusinge Steven-Kamwenge"/>
    <n v="156"/>
    <s v="Z83305"/>
    <s v="OM"/>
    <n v="288"/>
    <n v="287"/>
    <n v="-1"/>
    <m/>
    <d v="2025-03-24T04:24:39"/>
    <d v="2025-03-24T03:42:39"/>
    <d v="2025-03-24T04:50:39"/>
    <n v="67.685185186807459"/>
    <n v="25.879629630556639"/>
    <x v="0"/>
    <d v="2025-03-25T06:35:39"/>
    <d v="2025-03-25T10:56:39"/>
    <n v="255.56249999179272"/>
    <s v="Waited for empties from trade"/>
    <d v="2025-03-26T20:03:00"/>
    <d v="2025-03-26T21:02:00"/>
    <n v="57.770833336981013"/>
    <x v="0"/>
    <n v="2.6335763888928341"/>
    <n v="2"/>
    <n v="-0.63357638889283407"/>
    <n v="63.205833333428018"/>
    <n v="24"/>
    <n v="39.205833333428018"/>
    <n v="3.9789997236709653"/>
    <m/>
    <m/>
    <m/>
    <m/>
    <m/>
  </r>
  <r>
    <d v="2025-03-29T00:00:00"/>
    <x v="2"/>
    <s v="KESH"/>
    <s v="A21743"/>
    <s v="Manual"/>
    <s v="Bwanga Gilbert"/>
    <s v="UBK 862R"/>
    <s v="Kato Investments Ltd- Kakumiro"/>
    <n v="70.8"/>
    <s v="A21743"/>
    <s v="OM"/>
    <n v="790"/>
    <n v="788"/>
    <n v="-2"/>
    <m/>
    <d v="2024-03-23T14:33:00"/>
    <d v="2024-03-23T21:00:00"/>
    <d v="2024-03-23T15:00:00"/>
    <n v="-358.33333333333331"/>
    <n v="26.87500000417155"/>
    <x v="0"/>
    <d v="2024-03-26T08:44:00"/>
    <d v="2024-03-26T14:17:00"/>
    <n v="326.06249999589636"/>
    <s v="Waited for empties from trade"/>
    <d v="2024-03-24T19:42:00"/>
    <d v="2024-03-24T20:33:00"/>
    <n v="49.93749999863212"/>
    <x v="0"/>
    <n v="1.1958333333313931"/>
    <n v="3"/>
    <n v="1.8041666666686069"/>
    <n v="28.699999999953434"/>
    <n v="12"/>
    <n v="16.699999999953434"/>
    <n v="4.2395209580956532"/>
    <m/>
    <m/>
    <m/>
    <m/>
    <m/>
  </r>
  <r>
    <d v="2025-03-29T00:00:00"/>
    <x v="2"/>
    <s v="KESH"/>
    <s v="Z83301"/>
    <s v="Manual"/>
    <m/>
    <s v="UBR 863Y"/>
    <s v="Rugoma Traders-Rukungiri"/>
    <n v="148.80000000000001"/>
    <s v="Z83301"/>
    <s v="OM"/>
    <n v="256"/>
    <n v="255"/>
    <n v="-1"/>
    <m/>
    <d v="2024-03-24T13:52:00"/>
    <d v="2024-03-23T09:00:00"/>
    <d v="2024-03-24T14:19:00"/>
    <n v="1750.8564814840308"/>
    <n v="26.87500000417155"/>
    <x v="0"/>
    <d v="2024-03-25T03:40:00"/>
    <d v="2024-03-25T13:45:00"/>
    <n v="592.39583332535403"/>
    <s v="found another truck to be offloaded"/>
    <d v="2024-03-25T18:43:00"/>
    <d v="2024-03-25T19:23:00"/>
    <n v="39.166666671226267"/>
    <x v="0"/>
    <n v="1.1833333333343035"/>
    <n v="2"/>
    <n v="0.81666666666569654"/>
    <n v="28.400000000023283"/>
    <n v="12"/>
    <n v="16.400000000023283"/>
    <n v="9.0731707316944359"/>
    <m/>
    <m/>
    <m/>
    <m/>
    <m/>
  </r>
  <r>
    <d v="2025-03-29T00:00:00"/>
    <x v="2"/>
    <s v="KESH"/>
    <s v="A21741"/>
    <s v="Manual"/>
    <m/>
    <s v="UBJ 421C"/>
    <s v="KATO INVESTMENTS LTD-KATIKARA"/>
    <n v="141.6"/>
    <s v="A21741"/>
    <s v="OM"/>
    <n v="790"/>
    <n v="789"/>
    <n v="-1"/>
    <m/>
    <d v="2025-03-24T19:08:00"/>
    <d v="2025-03-24T19:30:00"/>
    <d v="2025-03-24T19:35:00"/>
    <n v="4.9768518472167971"/>
    <n v="26.87500000417155"/>
    <x v="0"/>
    <d v="2025-03-25T14:10:00"/>
    <d v="2025-03-25T17:00:00"/>
    <n v="166.45833333219343"/>
    <m/>
    <d v="2025-03-25T20:03:00"/>
    <d v="2025-03-25T21:02:00"/>
    <n v="57.770833336981013"/>
    <x v="0"/>
    <n v="1.0194444444496185"/>
    <n v="3"/>
    <n v="1.9805555555503815"/>
    <n v="24.466666666790843"/>
    <n v="12"/>
    <n v="12.466666666790843"/>
    <n v="11.358288769940339"/>
    <m/>
    <m/>
    <m/>
    <m/>
    <m/>
  </r>
  <r>
    <d v="2025-03-29T00:00:00"/>
    <x v="2"/>
    <s v="KESH"/>
    <s v="A21747"/>
    <s v="Manual"/>
    <s v="Sentongo paul"/>
    <s v="UBR 541W"/>
    <s v="Kato Investment Ltd -Mityana"/>
    <n v="141.6"/>
    <s v="A21747"/>
    <s v="OM"/>
    <n v="690"/>
    <n v="689"/>
    <n v="-1"/>
    <m/>
    <d v="2024-03-25T18:55:00"/>
    <d v="2024-03-25T03:43:00"/>
    <d v="2024-03-25T19:22:00"/>
    <n v="934.65277776873938"/>
    <n v="26.87500000417155"/>
    <x v="0"/>
    <d v="2024-03-26T20:35:00"/>
    <d v="2024-03-27T14:20:00"/>
    <n v="1042.8124999931606"/>
    <s v="Waited for empties from trade"/>
    <d v="2024-03-28T03:26:00"/>
    <d v="2024-03-28T04:16:00"/>
    <n v="48.958333328773733"/>
    <x v="0"/>
    <n v="2.336111111115315"/>
    <n v="3"/>
    <n v="0.663888888884685"/>
    <n v="56.06666666676756"/>
    <n v="24"/>
    <n v="32.06666666676756"/>
    <n v="4.4158004157865216"/>
    <m/>
    <m/>
    <m/>
    <m/>
    <m/>
  </r>
  <r>
    <d v="2025-03-29T00:00:00"/>
    <x v="2"/>
    <s v="KESH"/>
    <s v="Z83303"/>
    <s v="Manual"/>
    <s v="Muzamiru"/>
    <s v="UBJ 417C"/>
    <s v="Kobusinge Steven-FPortal"/>
    <n v="156"/>
    <s v="Z83303"/>
    <s v="OM"/>
    <n v="304"/>
    <n v="303"/>
    <n v="-1"/>
    <m/>
    <d v="2025-03-25T08:12:00"/>
    <d v="2025-03-25T07:30:00"/>
    <d v="2025-03-25T08:38:00"/>
    <n v="67.685185186807459"/>
    <n v="25.879629630556639"/>
    <x v="0"/>
    <d v="2025-03-26T09:53:00"/>
    <d v="2025-03-26T14:39:00"/>
    <n v="280.04166666643869"/>
    <s v="Waited for empties from trade"/>
    <d v="2025-03-27T20:03:00"/>
    <d v="2025-03-27T20:46:00"/>
    <n v="42.104166670542327"/>
    <x v="0"/>
    <n v="2.4756944444452529"/>
    <n v="2"/>
    <n v="-0.47569444444525288"/>
    <n v="59.416666666686069"/>
    <n v="24"/>
    <n v="35.416666666686069"/>
    <n v="4.4047058823505285"/>
    <m/>
    <m/>
    <m/>
    <m/>
    <m/>
  </r>
  <r>
    <d v="2025-03-29T00:00:00"/>
    <x v="2"/>
    <s v="KESH"/>
    <s v="A21738"/>
    <s v="Manual"/>
    <s v="kakembo Masudi"/>
    <s v="UBM 644D"/>
    <s v="Sawan Distributors Ltd-Nabingo"/>
    <n v="78"/>
    <s v="A21738"/>
    <s v="OM"/>
    <n v="560"/>
    <n v="557"/>
    <n v="-3"/>
    <m/>
    <d v="2024-03-25T21:32:00"/>
    <d v="2024-03-26T04:14:00"/>
    <d v="2024-03-25T21:58:00"/>
    <n v="-374.25925925902749"/>
    <n v="25.879629630556639"/>
    <x v="0"/>
    <d v="2024-03-26T13:25:00"/>
    <d v="2024-03-26T18:52:00"/>
    <n v="320.18749999726424"/>
    <s v="Waited for empties from trade"/>
    <d v="2024-03-28T03:14:00"/>
    <d v="2024-03-28T04:12:00"/>
    <n v="56.791666667122627"/>
    <x v="0"/>
    <n v="2.2194444444467081"/>
    <n v="2"/>
    <n v="-0.21944444444670808"/>
    <n v="53.266666666720994"/>
    <n v="24"/>
    <n v="29.266666666720994"/>
    <n v="2.6651480637763738"/>
    <m/>
    <m/>
    <m/>
    <m/>
    <m/>
  </r>
  <r>
    <d v="2025-03-29T00:00:00"/>
    <x v="2"/>
    <s v="KESH"/>
    <s v="Z83306"/>
    <s v="Manual"/>
    <s v="Kabanda Ronald"/>
    <s v="UBE 684K"/>
    <s v="Kobusinge Steven-FPortal"/>
    <n v="156"/>
    <s v="Z83306"/>
    <s v="OM"/>
    <n v="304"/>
    <n v="301"/>
    <n v="-3"/>
    <m/>
    <d v="2024-03-25T15:10:00"/>
    <d v="2024-03-26T06:15:00"/>
    <d v="2024-03-25T16:04:00"/>
    <n v="-847.06018518263591"/>
    <n v="53.749999997914223"/>
    <x v="13"/>
    <d v="2024-03-25T17:51:00"/>
    <d v="2024-03-26T03:46:00"/>
    <n v="582.60416666780657"/>
    <s v="Waited for empties from trade"/>
    <d v="2024-03-27T13:25:00"/>
    <d v="2024-03-27T14:25:00"/>
    <n v="58.7499999965803"/>
    <x v="0"/>
    <n v="1.8895833333372138"/>
    <n v="2"/>
    <n v="0.11041666666278616"/>
    <n v="45.350000000093132"/>
    <n v="12"/>
    <n v="33.350000000093132"/>
    <n v="4.6776611694022296"/>
    <m/>
    <m/>
    <m/>
    <m/>
    <m/>
  </r>
  <r>
    <d v="2025-03-29T00:00:00"/>
    <x v="2"/>
    <s v="KESH"/>
    <s v="A21742"/>
    <s v="Manual"/>
    <m/>
    <s v="UBR 880Y"/>
    <s v="Kato Investment Ltd -Kagadi"/>
    <n v="148.80000000000001"/>
    <s v="A21742"/>
    <s v="OM"/>
    <n v="670"/>
    <n v="671"/>
    <n v="1"/>
    <m/>
    <d v="2024-03-26T10:21:00"/>
    <d v="2024-03-26T04:14:00"/>
    <d v="2024-03-26T10:48:00"/>
    <n v="392.17592592152261"/>
    <n v="26.87500000417155"/>
    <x v="0"/>
    <d v="2024-03-26T16:29:00"/>
    <d v="2024-03-27T03:56:00"/>
    <n v="672.68750000752334"/>
    <s v="truck faulty"/>
    <d v="2024-03-27T16:20:00"/>
    <d v="2024-03-27T17:00:00"/>
    <n v="39.166666671226267"/>
    <x v="12"/>
    <n v="1.2305555555576575"/>
    <n v="2"/>
    <n v="0.7694444444423425"/>
    <n v="29.53333333338378"/>
    <n v="12"/>
    <n v="17.53333333338378"/>
    <n v="8.4866920151847083"/>
    <m/>
    <m/>
    <m/>
    <m/>
    <m/>
  </r>
  <r>
    <d v="2025-03-29T00:00:00"/>
    <x v="2"/>
    <s v="KESH"/>
    <s v="Z83308"/>
    <s v="Manual"/>
    <m/>
    <s v="UBP 304H"/>
    <s v="Kobusinge Acaali- Kyenjojo"/>
    <n v="156"/>
    <s v="Z83308"/>
    <s v="OM"/>
    <n v="580"/>
    <n v="579"/>
    <n v="-1"/>
    <m/>
    <d v="2025-03-27T18:54:00"/>
    <d v="2025-03-27T02:22:00"/>
    <d v="2025-03-27T19:21:00"/>
    <n v="1014.2824074076392"/>
    <n v="26.87500000417155"/>
    <x v="0"/>
    <d v="2025-03-30T14:34:00"/>
    <d v="2025-03-30T19:38:00"/>
    <n v="297.66666667259415"/>
    <s v="less casuals and offloaded the next day"/>
    <d v="2025-03-28T20:03:00"/>
    <d v="2025-03-28T20:54:00"/>
    <n v="49.93749999863212"/>
    <x v="0"/>
    <n v="1.0291666666671517"/>
    <n v="2"/>
    <n v="0.97083333333284827"/>
    <n v="24.700000000011642"/>
    <n v="12"/>
    <n v="12.700000000011642"/>
    <n v="12.283464566917875"/>
    <m/>
    <m/>
    <m/>
    <m/>
    <m/>
  </r>
  <r>
    <d v="2025-03-29T00:00:00"/>
    <x v="2"/>
    <s v="NBL"/>
    <s v="Z83299"/>
    <s v="Manual"/>
    <m/>
    <s v="UBE 422T"/>
    <s v="Kabaco U Ltd"/>
    <n v="153.6"/>
    <s v="Z83299"/>
    <s v="OM"/>
    <n v="320"/>
    <n v="319"/>
    <n v="-1"/>
    <m/>
    <d v="2025-03-28T17:27:00"/>
    <d v="2025-03-27T02:22:00"/>
    <d v="2025-03-28T17:53:00"/>
    <n v="2360.0231481444403"/>
    <n v="25.879629630556639"/>
    <x v="0"/>
    <d v="2025-03-29T15:59:00"/>
    <d v="2025-03-29T18:03:00"/>
    <n v="121.41666666233505"/>
    <m/>
    <d v="2025-03-30T20:03:00"/>
    <d v="2025-03-30T20:59:00"/>
    <n v="54.833333337664953"/>
    <x v="0"/>
    <n v="2.0902777777810115"/>
    <n v="2"/>
    <n v="-9.0277777781011537E-2"/>
    <n v="50.166666666744277"/>
    <n v="24"/>
    <n v="26.166666666744277"/>
    <n v="5.8700636942501054"/>
    <m/>
    <m/>
    <m/>
    <m/>
    <m/>
  </r>
  <r>
    <d v="2025-03-29T00:00:00"/>
    <x v="2"/>
    <s v="NBL"/>
    <s v="Z83300"/>
    <s v="Manual"/>
    <m/>
    <s v="UBE 419T"/>
    <s v="Kabaco U Ltd"/>
    <n v="153.6"/>
    <s v="Z83300"/>
    <s v="OM"/>
    <n v="320"/>
    <n v="317"/>
    <n v="-3"/>
    <m/>
    <d v="2024-03-27T17:23:00"/>
    <d v="2024-03-27T07:42:00"/>
    <d v="2024-03-27T17:51:00"/>
    <n v="606.18055556042236"/>
    <n v="27.870370367357584"/>
    <x v="0"/>
    <d v="2024-03-28T13:56:00"/>
    <d v="2024-03-28T17:57:00"/>
    <n v="235.97916666643869"/>
    <s v="Not enough casuals to offload"/>
    <d v="2024-03-29T16:59:00"/>
    <d v="2024-03-29T17:39:00"/>
    <n v="39.166666671226267"/>
    <x v="0"/>
    <n v="1.9638888888875954"/>
    <n v="2"/>
    <n v="3.6111111112404615E-2"/>
    <n v="47.133333333302289"/>
    <n v="12"/>
    <n v="35.133333333302289"/>
    <n v="4.3719165085427623"/>
    <m/>
    <m/>
    <m/>
    <m/>
    <m/>
  </r>
  <r>
    <d v="2025-03-29T00:00:00"/>
    <x v="2"/>
    <s v="KESH"/>
    <s v="Z83307"/>
    <s v="Manual"/>
    <s v="Tsaale Hassan"/>
    <s v="UBJ 703D"/>
    <s v="Kobusinge Steven-FPortal"/>
    <n v="10.08"/>
    <s v="Z83307"/>
    <s v="OM"/>
    <n v="304"/>
    <n v="303"/>
    <n v="-1"/>
    <m/>
    <d v="2024-03-27T18:56:00"/>
    <d v="2024-03-26T22:30:00"/>
    <d v="2024-03-27T19:22:00"/>
    <n v="1246.2037036986051"/>
    <n v="25.879629630556639"/>
    <x v="0"/>
    <d v="2024-03-28T14:37:00"/>
    <d v="2024-03-28T19:39:00"/>
    <n v="295.70833333287737"/>
    <s v="Waited for empties from trade"/>
    <d v="2024-03-30T18:51:00"/>
    <d v="2024-03-30T19:43:00"/>
    <n v="50.916666668490507"/>
    <x v="0"/>
    <n v="2.9784722222248092"/>
    <n v="2"/>
    <n v="-0.97847222222480923"/>
    <n v="71.483333333395422"/>
    <n v="24"/>
    <n v="47.483333333395422"/>
    <n v="0.2122850122847347"/>
    <m/>
    <m/>
    <m/>
    <m/>
    <m/>
  </r>
  <r>
    <d v="2025-03-29T00:00:00"/>
    <x v="2"/>
    <s v="NBL"/>
    <s v="Z83298"/>
    <s v="Manual"/>
    <m/>
    <s v="UBJ 988D"/>
    <s v="Kabaco U Ltd"/>
    <n v="153.6"/>
    <s v="Z83298"/>
    <s v="OM"/>
    <n v="320"/>
    <n v="319"/>
    <n v="-1"/>
    <m/>
    <d v="2024-03-27T15:47:00"/>
    <d v="2024-03-26T08:30:00"/>
    <d v="2024-03-27T16:13:00"/>
    <n v="1894.1898148152784"/>
    <n v="25.879629630556639"/>
    <x v="0"/>
    <d v="2024-03-28T12:21:00"/>
    <d v="2024-03-28T16:22:00"/>
    <n v="235.97916666643869"/>
    <s v="found another truck to be offloaded"/>
    <d v="2024-03-29T16:26:00"/>
    <d v="2024-03-29T17:24:00"/>
    <n v="56.791666667122627"/>
    <x v="0"/>
    <n v="2.0090277777781012"/>
    <n v="2"/>
    <n v="-9.0277777781011537E-3"/>
    <n v="48.216666666674428"/>
    <n v="24"/>
    <n v="24.216666666674428"/>
    <n v="6.3427391603558476"/>
    <m/>
    <m/>
    <m/>
    <m/>
    <m/>
  </r>
  <r>
    <d v="2025-03-30T00:00:00"/>
    <x v="2"/>
    <s v="KESH"/>
    <s v="Z83316"/>
    <s v="Manual"/>
    <s v="Awali Malinzi"/>
    <s v="UBR 860Y"/>
    <s v="Kobusinge Steven-FPortal"/>
    <n v="78"/>
    <s v="Z83316"/>
    <s v="OM"/>
    <n v="304"/>
    <n v="303"/>
    <n v="-1"/>
    <m/>
    <d v="2025-03-29T09:18:00"/>
    <d v="2025-03-28T19:30:00"/>
    <d v="2025-03-29T09:45:00"/>
    <n v="851.04166666666663"/>
    <n v="26.87500000417155"/>
    <x v="0"/>
    <d v="2025-03-29T18:18:00"/>
    <d v="2025-03-29T21:06:00"/>
    <n v="164.50000000273576"/>
    <m/>
    <d v="2025-03-31T08:02:00"/>
    <d v="2025-03-31T08:42:00"/>
    <n v="39.166666671226267"/>
    <x v="12"/>
    <n v="1.9284722222218988"/>
    <n v="2"/>
    <n v="7.1527777778101154E-2"/>
    <n v="46.283333333325572"/>
    <n v="12"/>
    <n v="34.283333333325572"/>
    <n v="2.275157997083646"/>
    <m/>
    <m/>
    <m/>
    <m/>
    <m/>
  </r>
  <r>
    <d v="2025-03-30T00:00:00"/>
    <x v="2"/>
    <s v="NBL"/>
    <s v="Z83324"/>
    <s v="Manual"/>
    <m/>
    <s v="UBE 419T"/>
    <s v="Rugoma Traders-Rukungiri"/>
    <n v="50.4"/>
    <s v="Z83324"/>
    <s v="OM"/>
    <n v="256"/>
    <n v="255"/>
    <n v="-1"/>
    <m/>
    <d v="2025-03-29T08:31:00"/>
    <d v="2025-03-29T07:30:00"/>
    <d v="2025-03-29T08:58:00"/>
    <n v="87.592592596532384"/>
    <n v="26.87500000417155"/>
    <x v="0"/>
    <d v="2025-03-30T08:58:00"/>
    <d v="2025-03-30T15:19:00"/>
    <n v="373.06249999521242"/>
    <s v="Waited for empties from trade"/>
    <d v="2025-03-31T20:03:00"/>
    <d v="2025-03-31T20:55:00"/>
    <n v="50.916666668490507"/>
    <x v="0"/>
    <n v="2.4618055555547471"/>
    <n v="2"/>
    <n v="-0.46180555555474712"/>
    <n v="59.083333333313931"/>
    <n v="24"/>
    <n v="35.083333333313931"/>
    <n v="1.4365795724473502"/>
    <m/>
    <m/>
    <m/>
    <m/>
    <m/>
  </r>
  <r>
    <d v="2025-03-30T00:00:00"/>
    <x v="2"/>
    <s v="KESH"/>
    <s v="A21753"/>
    <s v="Manual"/>
    <m/>
    <s v="UBR 538W"/>
    <s v="KATO INVESTMENTS LTD-KATIKARA"/>
    <n v="156"/>
    <s v="A21753"/>
    <s v="OM"/>
    <n v="790"/>
    <n v="789"/>
    <n v="-1"/>
    <m/>
    <d v="2024-03-29T08:11:00"/>
    <d v="2024-03-29T07:30:00"/>
    <d v="2024-03-29T08:38:00"/>
    <n v="67.685185186807459"/>
    <n v="26.87500000417155"/>
    <x v="0"/>
    <d v="2024-03-30T08:38:00"/>
    <d v="2024-03-31T13:53:00"/>
    <n v="1718.4375"/>
    <s v="truck faulty"/>
    <d v="2024-03-31T12:41:00"/>
    <d v="2024-03-31T13:40:00"/>
    <n v="57.770833336981013"/>
    <x v="0"/>
    <n v="2.1687499999970896"/>
    <n v="3"/>
    <n v="0.83125000000291038"/>
    <n v="52.049999999930151"/>
    <n v="24"/>
    <n v="28.049999999930151"/>
    <n v="5.5614973262170579"/>
    <m/>
    <m/>
    <m/>
    <m/>
    <m/>
  </r>
  <r>
    <d v="2025-03-30T00:00:00"/>
    <x v="2"/>
    <s v="KESH"/>
    <s v="F16160"/>
    <s v="Manual"/>
    <s v="Faruk Abel"/>
    <s v="UBR 539W"/>
    <s v="Boniface Harera"/>
    <n v="156"/>
    <s v="F16160"/>
    <s v="OM"/>
    <n v="448"/>
    <n v="447"/>
    <n v="-1"/>
    <m/>
    <d v="2025-03-30T06:22:00"/>
    <d v="2025-03-30T06:15:00"/>
    <d v="2025-03-30T06:49:00"/>
    <n v="33.842592598618161"/>
    <n v="26.87500000417155"/>
    <x v="0"/>
    <d v="2025-03-30T09:28:00"/>
    <d v="2025-03-30T12:13:00"/>
    <n v="161.5625000034197"/>
    <m/>
    <d v="2025-03-31T20:43:00"/>
    <d v="2025-03-31T21:23:00"/>
    <n v="39.166666671226267"/>
    <x v="0"/>
    <n v="1.5791666666627862"/>
    <n v="2"/>
    <n v="0.42083333333721384"/>
    <n v="37.899999999906868"/>
    <n v="12"/>
    <n v="25.899999999906868"/>
    <n v="6.0231660231876818"/>
    <m/>
    <m/>
    <m/>
    <m/>
    <m/>
  </r>
  <r>
    <d v="2025-03-30T00:00:00"/>
    <x v="2"/>
    <s v="KESH"/>
    <s v="A21754"/>
    <s v="Manual"/>
    <m/>
    <s v="UBR 899Y"/>
    <s v="KATO INVESTMENTS LTD-KATIKARA"/>
    <n v="156"/>
    <s v="A21754"/>
    <s v="OM"/>
    <n v="790"/>
    <n v="787"/>
    <n v="-3"/>
    <m/>
    <d v="2024-03-30T08:40:23"/>
    <d v="2024-03-30T07:50:23"/>
    <d v="2024-03-30T09:07:23"/>
    <n v="76.643518518055018"/>
    <n v="26.87500000417155"/>
    <x v="0"/>
    <d v="2024-03-30T12:20:23"/>
    <d v="2024-03-30T17:12:23"/>
    <n v="285.91666666507081"/>
    <s v="Not enough casuals to offload"/>
    <d v="2024-03-31T19:52:23"/>
    <d v="2024-03-31T20:50:23"/>
    <n v="56.791666667122627"/>
    <x v="0"/>
    <n v="1.4479166666715173"/>
    <n v="3"/>
    <n v="1.5520833333284827"/>
    <n v="34.750000000116415"/>
    <n v="12"/>
    <n v="22.750000000116415"/>
    <n v="6.8571428571077684"/>
    <m/>
    <m/>
    <m/>
    <m/>
    <m/>
  </r>
  <r>
    <d v="2025-03-30T00:00:00"/>
    <x v="2"/>
    <s v="KESH"/>
    <s v="Z83338"/>
    <s v="Manual"/>
    <m/>
    <s v="UBR 864Y"/>
    <s v="Kobusinge Steven-Kamwenge"/>
    <n v="156"/>
    <s v="Z83338"/>
    <s v="OM"/>
    <n v="288"/>
    <n v="285"/>
    <n v="-3"/>
    <m/>
    <d v="2025-03-30T08:24:46"/>
    <d v="2025-03-30T07:55:46"/>
    <d v="2025-03-30T09:03:46"/>
    <n v="67.685185186807459"/>
    <n v="38.819444445834961"/>
    <x v="9"/>
    <d v="2025-03-30T15:16:46"/>
    <d v="2025-03-30T17:24:46"/>
    <n v="125.33333333150949"/>
    <m/>
    <d v="2025-03-31T20:23:00"/>
    <d v="2025-03-31T21:21:00"/>
    <n v="56.791666667122627"/>
    <x v="0"/>
    <n v="1.4716898148180917"/>
    <n v="2"/>
    <n v="0.52831018518190831"/>
    <n v="35.320555555634201"/>
    <n v="12"/>
    <n v="23.320555555634201"/>
    <n v="6.6893775162363447"/>
    <m/>
    <m/>
    <m/>
    <m/>
    <m/>
  </r>
  <r>
    <d v="2025-03-30T00:00:00"/>
    <x v="2"/>
    <s v="KESH"/>
    <s v="Z83344"/>
    <s v="Manual"/>
    <s v="Muzamiru"/>
    <s v="UBJ 417C"/>
    <s v="Kabaco U Ltd"/>
    <n v="156"/>
    <s v="Z83344"/>
    <s v="OM"/>
    <n v="320"/>
    <n v="318"/>
    <n v="-2"/>
    <m/>
    <d v="2025-03-30T09:48:00"/>
    <d v="2025-03-29T20:30:00"/>
    <d v="2025-03-30T10:14:00"/>
    <n v="820.18518518889323"/>
    <n v="25.879629630556639"/>
    <x v="0"/>
    <d v="2025-03-31T09:52:00"/>
    <d v="2025-03-31T12:46:00"/>
    <n v="170.37500000136788"/>
    <m/>
    <d v="2025-03-31T20:03:00"/>
    <d v="2025-03-31T20:57:00"/>
    <n v="52.87499999794818"/>
    <x v="0"/>
    <n v="1.4090277777795563"/>
    <n v="2"/>
    <n v="0.59097222222044365"/>
    <n v="33.816666666709352"/>
    <n v="12"/>
    <n v="21.816666666709352"/>
    <n v="7.1504965622472776"/>
    <m/>
    <m/>
    <m/>
    <m/>
    <m/>
  </r>
  <r>
    <d v="2025-03-30T00:00:00"/>
    <x v="2"/>
    <s v="KESH"/>
    <s v="F16166"/>
    <s v="Manual"/>
    <m/>
    <s v="UBP 998T"/>
    <s v="Boniface Harera"/>
    <n v="156"/>
    <s v="F16166"/>
    <s v="OM"/>
    <n v="448"/>
    <n v="445"/>
    <n v="-3"/>
    <m/>
    <d v="2025-03-30T09:38:58"/>
    <d v="2025-03-30T08:57:58"/>
    <d v="2025-03-30T10:05:58"/>
    <n v="67.685185186807459"/>
    <n v="26.87500000417155"/>
    <x v="0"/>
    <d v="2025-03-31T08:35:58"/>
    <d v="2025-03-31T15:03:58"/>
    <n v="379.91666666370293"/>
    <s v="Waited for empties from trade"/>
    <d v="2025-03-31T20:33:00"/>
    <d v="2025-03-31T21:13:00"/>
    <n v="39.166666671226267"/>
    <x v="0"/>
    <n v="1.4354398148134351"/>
    <n v="2"/>
    <n v="0.56456018518656492"/>
    <n v="34.450555555522442"/>
    <n v="12"/>
    <n v="22.450555555522442"/>
    <n v="6.9486031031257376"/>
    <m/>
    <m/>
    <m/>
    <m/>
    <m/>
  </r>
  <r>
    <d v="2025-03-30T00:00:00"/>
    <x v="2"/>
    <s v="KESH"/>
    <s v="A21784"/>
    <s v="Manual"/>
    <m/>
    <s v="UBJ 423C"/>
    <s v="Kato Investments Ltd-Bulenga"/>
    <n v="156"/>
    <s v="A21784"/>
    <s v="OM"/>
    <n v="560"/>
    <n v="559"/>
    <n v="-1"/>
    <m/>
    <d v="2024-03-30T08:10:00"/>
    <d v="2024-03-30T07:30:00"/>
    <d v="2024-03-30T08:38:00"/>
    <n v="67.685185186807459"/>
    <n v="27.870370367357584"/>
    <x v="0"/>
    <d v="2024-12-01T14:38:00"/>
    <d v="2024-12-01T18:30:00"/>
    <n v="227.16666666849051"/>
    <s v="Waited for empties from trade"/>
    <d v="2024-03-31T18:01:12"/>
    <d v="2024-03-31T18:53:12"/>
    <n v="50.916666668490507"/>
    <x v="0"/>
    <n v="1.3911111111083301"/>
    <n v="3"/>
    <n v="1.6088888888916699"/>
    <n v="33.386666666599922"/>
    <n v="12"/>
    <n v="21.386666666599922"/>
    <n v="7.2942643391748838"/>
    <m/>
    <m/>
    <m/>
    <m/>
    <m/>
  </r>
  <r>
    <d v="2025-03-30T00:00:00"/>
    <x v="2"/>
    <s v="KESH"/>
    <s v="A21786"/>
    <s v="Manual"/>
    <s v="Ntumwa Solomon"/>
    <s v="UBR 540W"/>
    <s v="Kato Investment Ltd -Mubende"/>
    <n v="156"/>
    <s v="A21786"/>
    <s v="OM"/>
    <n v="680"/>
    <n v="679"/>
    <n v="-1"/>
    <m/>
    <d v="2024-03-30T08:16:00"/>
    <d v="2024-03-30T07:30:00"/>
    <d v="2024-03-30T08:42:00"/>
    <n v="71.666666670838211"/>
    <n v="25.879629630556639"/>
    <x v="0"/>
    <d v="2024-03-30T03:55:00"/>
    <d v="2024-03-30T16:18:00"/>
    <n v="727.52083333492919"/>
    <s v="Reached late and offloaded the next day"/>
    <d v="2024-04-01T18:58:00"/>
    <d v="2024-04-01T19:38:00"/>
    <n v="39.166666671226267"/>
    <x v="12"/>
    <n v="2.4277777777751908"/>
    <n v="3"/>
    <n v="0.57222222222480923"/>
    <n v="58.266666666604578"/>
    <n v="24"/>
    <n v="34.266666666604578"/>
    <n v="4.5525291828876266"/>
    <m/>
    <m/>
    <m/>
    <m/>
    <m/>
  </r>
  <r>
    <d v="2025-03-30T00:00:00"/>
    <x v="2"/>
    <s v="KESH"/>
    <s v="A21776"/>
    <s v="Manual"/>
    <m/>
    <s v="UBR 880Y"/>
    <s v="Kato Investments Ltd- Kakumiro"/>
    <n v="156"/>
    <s v="A21776"/>
    <s v="OM"/>
    <n v="790"/>
    <n v="788"/>
    <n v="-2"/>
    <m/>
    <d v="2025-03-30T14:40:00"/>
    <d v="2025-03-30T21:55:00"/>
    <d v="2025-03-30T15:07:00"/>
    <n v="-406.11111111041583"/>
    <n v="26.87500000417155"/>
    <x v="0"/>
    <d v="2025-03-31T10:03:00"/>
    <d v="2025-03-31T16:21:00"/>
    <n v="370.12500000615546"/>
    <s v="found another truck to be offloaded"/>
    <d v="2025-04-01T20:03:00"/>
    <d v="2025-04-01T21:02:00"/>
    <n v="57.770833336981013"/>
    <x v="0"/>
    <n v="2.2055555555562023"/>
    <n v="3"/>
    <n v="0.79444444444379769"/>
    <n v="52.933333333348855"/>
    <n v="24"/>
    <n v="28.933333333348855"/>
    <n v="5.3917050691215316"/>
    <m/>
    <m/>
    <m/>
    <m/>
    <m/>
  </r>
  <r>
    <d v="2025-03-30T00:00:00"/>
    <x v="2"/>
    <s v="KESH"/>
    <s v="A21798"/>
    <s v="Manual"/>
    <s v="Eriku Alipa"/>
    <s v="UBK 858R"/>
    <s v="Sawan Distributors Ltd-Nabingo"/>
    <n v="156"/>
    <s v="A21798"/>
    <s v="OM"/>
    <n v="560"/>
    <n v="558"/>
    <n v="-2"/>
    <m/>
    <d v="2025-03-30T22:24:00"/>
    <d v="2025-03-30T13:59:00"/>
    <d v="2025-03-30T22:51:00"/>
    <n v="529.53703703193844"/>
    <n v="26.87500000417155"/>
    <x v="0"/>
    <d v="2025-03-30T05:58:00"/>
    <d v="2025-03-30T08:46:00"/>
    <n v="164.50000000273576"/>
    <m/>
    <d v="2025-04-01T20:13:00"/>
    <d v="2025-04-01T20:53:00"/>
    <n v="39.166666671226267"/>
    <x v="0"/>
    <n v="1.8902777777839219"/>
    <n v="2"/>
    <n v="0.10972222221607808"/>
    <n v="45.366666666814126"/>
    <n v="12"/>
    <n v="33.366666666814126"/>
    <n v="4.6753246753040134"/>
    <m/>
    <m/>
    <m/>
    <m/>
    <m/>
  </r>
  <r>
    <d v="2025-03-30T00:00:00"/>
    <x v="2"/>
    <s v="KESH"/>
    <s v="A21777"/>
    <s v="Manual"/>
    <s v="Sentongo paul"/>
    <s v="UBR 541W"/>
    <s v="Kato Investments Ltd- Kyegegwa"/>
    <n v="156"/>
    <s v="A21777"/>
    <s v="OM"/>
    <n v="600"/>
    <n v="599"/>
    <n v="-1"/>
    <m/>
    <d v="2024-03-30T22:10:00"/>
    <d v="2024-03-30T15:48:00"/>
    <d v="2024-03-30T22:36:00"/>
    <n v="406.11111111041583"/>
    <n v="25.879629630556639"/>
    <x v="0"/>
    <d v="2024-12-02T00:20:00"/>
    <d v="2024-12-02T03:03:00"/>
    <n v="159.60416666370293"/>
    <m/>
    <d v="2024-04-02T16:39:00"/>
    <d v="2024-04-02T17:37:00"/>
    <n v="56.791666667122627"/>
    <x v="0"/>
    <n v="2.7520833333328483"/>
    <n v="2"/>
    <n v="-0.75208333333284827"/>
    <n v="66.049999999988358"/>
    <n v="24"/>
    <n v="42.049999999988358"/>
    <n v="3.7098692033303968"/>
    <m/>
    <m/>
    <m/>
    <m/>
    <m/>
  </r>
  <r>
    <d v="2025-04-02T00:00:00"/>
    <x v="3"/>
    <s v="KESH"/>
    <s v="OMHQ6LSRR"/>
    <s v="DJ"/>
    <s v="SENTONG DAVID"/>
    <s v="UBP 298H"/>
    <s v="Kato Investment Ltd -Mubende Tax No.: 1000098824"/>
    <n v="156"/>
    <s v="OMHQ6LSRR"/>
    <s v="OM"/>
    <n v="680"/>
    <n v="679"/>
    <n v="-1"/>
    <m/>
    <d v="2025-04-03T12:35:00"/>
    <d v="2025-04-01T22:30:00"/>
    <d v="2025-04-03T13:01:00"/>
    <n v="2300.3009259256942"/>
    <n v="25.879629630556639"/>
    <x v="0"/>
    <d v="2025-04-04T06:56:00"/>
    <d v="2025-04-04T13:57:00"/>
    <n v="412.22916666643869"/>
    <s v="Reached late and offloaded the next day"/>
    <d v="2025-04-05T08:25:00"/>
    <d v="2025-04-05T09:06:00"/>
    <n v="40.145833330825553"/>
    <x v="0"/>
    <n v="1.8083333333343035"/>
    <n v="3"/>
    <n v="1.1916666666656965"/>
    <n v="43.400000000023283"/>
    <n v="12"/>
    <n v="31.400000000023283"/>
    <n v="4.9681528662383547"/>
    <m/>
    <m/>
    <m/>
    <m/>
    <m/>
  </r>
  <r>
    <d v="2025-04-02T00:00:00"/>
    <x v="3"/>
    <s v="NBL"/>
    <s v="OMXFMKJRR"/>
    <m/>
    <s v="Abel Mark naffa"/>
    <s v="UBJ 415C"/>
    <s v="Kabaco U Ltd Tax No.: 1000025425"/>
    <n v="156"/>
    <s v="OMXFMKJRR"/>
    <s v="OM"/>
    <n v="304"/>
    <n v="302"/>
    <n v="-2"/>
    <m/>
    <d v="2025-04-03T13:53:00"/>
    <d v="2025-04-02T02:22:00"/>
    <d v="2025-04-03T14:19:00"/>
    <n v="2147.013888889584"/>
    <n v="25.879629630556639"/>
    <x v="0"/>
    <d v="2025-04-05T13:24:00"/>
    <d v="2025-04-05T15:29:00"/>
    <n v="122.39583333219343"/>
    <m/>
    <d v="2025-04-06T10:45:00"/>
    <d v="2025-04-06T11:34:00"/>
    <n v="47.979166669174447"/>
    <x v="11"/>
    <n v="2.851388888884685"/>
    <n v="2"/>
    <n v="-0.851388888884685"/>
    <n v="68.43333333323244"/>
    <n v="24"/>
    <n v="44.43333333323244"/>
    <n v="3.5108777194378296"/>
    <m/>
    <m/>
    <m/>
    <m/>
    <m/>
  </r>
  <r>
    <d v="2025-04-02T00:00:00"/>
    <x v="3"/>
    <s v="NBL"/>
    <s v="OMTAMNERR"/>
    <m/>
    <s v="Kabene John"/>
    <s v="UBA 523T"/>
    <s v="Kabaco U Ltd-Mbarara Tax No.: 1000025425"/>
    <n v="153.6"/>
    <s v="OMTAMNERR"/>
    <s v="OM"/>
    <n v="20"/>
    <n v="21"/>
    <n v="1"/>
    <m/>
    <d v="2025-04-03T13:26:00"/>
    <d v="2025-04-02T07:42:00"/>
    <d v="2025-04-03T13:53:00"/>
    <n v="1802.615740745144"/>
    <n v="26.87500000417155"/>
    <x v="0"/>
    <d v="2025-04-02T19:16:00"/>
    <d v="2025-04-03T10:16:00"/>
    <n v="881.25"/>
    <s v="Waited for empties from trade"/>
    <d v="2025-04-03T11:13:00"/>
    <d v="2025-04-03T11:51:00"/>
    <n v="37.208333331509493"/>
    <x v="0"/>
    <n v="-0.11111111110949423"/>
    <n v="1"/>
    <n v="1.1111111111094942"/>
    <n v="-2.6666666666278616"/>
    <n v="-12"/>
    <n v="9.3333333333721384"/>
    <n v="16.457142857074434"/>
    <m/>
    <m/>
    <m/>
    <m/>
    <m/>
  </r>
  <r>
    <d v="2025-04-02T00:00:00"/>
    <x v="3"/>
    <s v="NBL"/>
    <s v="OMQQLOIRR"/>
    <m/>
    <s v="Kabene John"/>
    <s v="UBA 523T"/>
    <s v="Kabaco U Ltd-Mbarara Tax No.: 1000025425"/>
    <n v="153.6"/>
    <s v="OMQQLOIRR"/>
    <s v="OM"/>
    <n v="20"/>
    <n v="19"/>
    <n v="-1"/>
    <m/>
    <d v="2025-04-02T18:21:00"/>
    <d v="2025-04-02T11:52:00"/>
    <d v="2025-04-02T18:45:00"/>
    <n v="411.0879629680615"/>
    <n v="23.888888893755695"/>
    <x v="0"/>
    <d v="2025-04-03T14:37:00"/>
    <d v="2025-04-04T09:53:00"/>
    <n v="1131.9166666732781"/>
    <s v="truck faulty"/>
    <d v="2025-04-04T11:23:00"/>
    <d v="2025-04-04T12:04:00"/>
    <n v="40.145833330825553"/>
    <x v="0"/>
    <n v="1.6930555555591127"/>
    <n v="1"/>
    <n v="-0.69305555555911269"/>
    <n v="40.633333333418705"/>
    <n v="12"/>
    <n v="28.633333333418705"/>
    <n v="5.3643771827546693"/>
    <m/>
    <m/>
    <m/>
    <m/>
    <m/>
  </r>
  <r>
    <d v="2025-04-03T00:00:00"/>
    <x v="3"/>
    <s v="NBL"/>
    <s v="OMTMCRZRR"/>
    <m/>
    <s v="James  Kironde"/>
    <s v="UBK 881R"/>
    <s v="KATO INVESTMENTS LIMITED-MASAK Tax No.: 1000098824"/>
    <n v="153.6"/>
    <s v="OMTMCRZRR"/>
    <s v="OM"/>
    <n v="596"/>
    <n v="595"/>
    <n v="-1"/>
    <m/>
    <d v="2025-04-05T12:51:00"/>
    <d v="2025-04-03T04:14:00"/>
    <d v="2025-04-05T13:15:00"/>
    <n v="3405.1620370402816"/>
    <n v="23.888888893755695"/>
    <x v="0"/>
    <d v="2025-04-05T18:54:00"/>
    <d v="2025-04-06T09:40:00"/>
    <n v="867.54166667327809"/>
    <s v="Reached late and offloaded the next day"/>
    <d v="2025-04-06T19:20:00"/>
    <d v="2025-04-06T20:11:00"/>
    <n v="49.93749999863212"/>
    <x v="7"/>
    <n v="1.2534722222189885"/>
    <n v="2"/>
    <n v="0.74652777778101154"/>
    <n v="30.083333333255723"/>
    <n v="12"/>
    <n v="18.083333333255723"/>
    <n v="8.4940092166263153"/>
    <m/>
    <m/>
    <m/>
    <m/>
    <m/>
  </r>
  <r>
    <d v="2025-04-03T00:00:00"/>
    <x v="3"/>
    <s v="NBL"/>
    <s v="OM8WX4FRR"/>
    <m/>
    <s v="Tumusiime Robert"/>
    <s v="UBJ 988D"/>
    <s v="RUGOMA TRADERS CO. LTD NTUNGAM Tax No.: 1000249350"/>
    <n v="153.6"/>
    <s v="OM8WX4FRR"/>
    <s v="OM"/>
    <n v="150"/>
    <n v="149"/>
    <n v="-1"/>
    <m/>
    <d v="2025-04-04T08:50:00"/>
    <d v="2025-04-03T06:15:00"/>
    <d v="2025-04-04T09:32:00"/>
    <n v="1629.421296299309"/>
    <n v="41.805555556250816"/>
    <x v="9"/>
    <d v="2025-04-04T12:18:00"/>
    <d v="2025-04-04T17:31:00"/>
    <n v="306.47916667054233"/>
    <s v="found another truck to be offloaded"/>
    <d v="2025-04-04T20:14:00"/>
    <d v="2025-04-04T21:04:00"/>
    <n v="48.958333328773733"/>
    <x v="12"/>
    <n v="0.44583333333139308"/>
    <n v="1"/>
    <n v="0.55416666666860692"/>
    <n v="10.699999999953434"/>
    <n v="0"/>
    <n v="10.699999999953434"/>
    <n v="14.35514018697836"/>
    <m/>
    <m/>
    <m/>
    <m/>
    <m/>
  </r>
  <r>
    <d v="2025-04-03T00:00:00"/>
    <x v="3"/>
    <s v="NBL"/>
    <s v="OMYA2X2RR"/>
    <m/>
    <s v="Luyaga Isaac"/>
    <s v="UAY 265V"/>
    <s v="Rugoma Traders-Kanungu/Kihihi Tax No.: 1000249350"/>
    <n v="153.6"/>
    <s v="OMYA2X2RR"/>
    <s v="OM"/>
    <n v="272"/>
    <n v="271"/>
    <n v="-1"/>
    <m/>
    <d v="2025-04-03T14:24:00"/>
    <d v="2025-04-03T01:59:00"/>
    <d v="2025-04-03T14:51:00"/>
    <n v="768.42592592777999"/>
    <n v="26.87500000417155"/>
    <x v="0"/>
    <d v="2025-04-04T08:48:00"/>
    <d v="2025-04-04T14:03:00"/>
    <n v="308.4375"/>
    <s v="Waited for empties from trade"/>
    <d v="2025-04-05T08:13:00"/>
    <d v="2025-04-05T09:05:00"/>
    <n v="50.916666668490507"/>
    <x v="11"/>
    <n v="1.7236111111124046"/>
    <n v="2"/>
    <n v="0.27638888888759539"/>
    <n v="41.366666666697711"/>
    <n v="12"/>
    <n v="29.366666666697711"/>
    <n v="5.2304199772929953"/>
    <m/>
    <m/>
    <m/>
    <m/>
    <m/>
  </r>
  <r>
    <d v="2025-04-03T00:00:00"/>
    <x v="3"/>
    <s v="NBL"/>
    <s v="OMC2LQYRR"/>
    <m/>
    <s v="Jacob Oneka"/>
    <s v="UBE 422T"/>
    <s v="KATO INVESTMENTS LTD- KALISIZO Tax No.: 1000098824"/>
    <n v="153.6"/>
    <s v="OMC2LQYRR"/>
    <s v="OM"/>
    <n v="288"/>
    <n v="287"/>
    <n v="-1"/>
    <m/>
    <d v="2025-04-03T10:37:00"/>
    <d v="2025-04-03T03:43:00"/>
    <d v="2025-04-03T11:03:00"/>
    <n v="437.96296296180418"/>
    <n v="25.879629630556639"/>
    <x v="0"/>
    <d v="2025-04-03T16:12:00"/>
    <d v="2025-04-04T15:38:00"/>
    <n v="1376.7083333274059"/>
    <s v="Waited for empties from trade"/>
    <d v="2025-04-05T10:33:00"/>
    <d v="2025-04-05T11:11:00"/>
    <n v="37.208333331509493"/>
    <x v="0"/>
    <n v="1.9791666666642413"/>
    <n v="2"/>
    <n v="2.0833333335758653E-2"/>
    <n v="47.499999999941792"/>
    <n v="12"/>
    <n v="35.499999999941792"/>
    <n v="4.326760563387376"/>
    <m/>
    <m/>
    <m/>
    <m/>
    <m/>
  </r>
  <r>
    <d v="2025-04-03T00:00:00"/>
    <x v="3"/>
    <s v="NBL"/>
    <s v="OMD66ITRR"/>
    <m/>
    <s v="Kilabila Ismail"/>
    <s v="UBE 419T"/>
    <s v="Kabaco U Ltd-Mbarara Tax No.: 1000025425"/>
    <n v="153.6"/>
    <s v="OMD66ITRR"/>
    <s v="OM"/>
    <n v="20"/>
    <n v="21"/>
    <n v="1"/>
    <m/>
    <d v="2025-04-03T08:51:00"/>
    <d v="2025-04-03T07:42:00"/>
    <d v="2025-04-03T09:18:00"/>
    <n v="95.555555554165039"/>
    <n v="26.87500000417155"/>
    <x v="0"/>
    <d v="2025-04-03T09:50:00"/>
    <d v="2025-04-03T13:34:00"/>
    <n v="219.33333334040071"/>
    <s v="Waited for empties from trade"/>
    <d v="2025-04-03T14:05:00"/>
    <d v="2025-04-03T14:46:00"/>
    <n v="40.145833330825553"/>
    <x v="0"/>
    <n v="0.1993055555576575"/>
    <n v="1"/>
    <n v="0.8006944444423425"/>
    <n v="4.78333333338378"/>
    <n v="0"/>
    <n v="4.78333333338378"/>
    <n v="32.111498257501061"/>
    <m/>
    <m/>
    <m/>
    <m/>
    <m/>
  </r>
  <r>
    <d v="2025-04-03T00:00:00"/>
    <x v="3"/>
    <s v="NBL"/>
    <s v="OMFFD7DRR"/>
    <m/>
    <s v="Kilabila Ismail"/>
    <s v="UBE 419T"/>
    <s v="KATO INVESTMENTS LIMITED-MASAK Tax No.: 1000098824"/>
    <n v="153.6"/>
    <s v="OMFFD7DRR"/>
    <s v="OM"/>
    <n v="596"/>
    <n v="595"/>
    <n v="-1"/>
    <m/>
    <d v="2025-04-03T20:07:00"/>
    <d v="2025-04-04T04:14:00"/>
    <d v="2025-04-03T20:29:00"/>
    <n v="-462.84722221874591"/>
    <n v="21.89814814652588"/>
    <x v="0"/>
    <d v="2025-04-04T10:01:00"/>
    <d v="2025-04-04T14:38:00"/>
    <n v="271.22916666849051"/>
    <s v="truck faulty"/>
    <d v="2025-04-04T18:57:00"/>
    <d v="2025-04-04T19:47:00"/>
    <n v="48.958333328773733"/>
    <x v="7"/>
    <n v="0.93611111110658385"/>
    <n v="2"/>
    <n v="1.0638888888934162"/>
    <n v="22.466666666558012"/>
    <n v="0"/>
    <n v="22.466666666558012"/>
    <n v="6.8367952522585833"/>
    <m/>
    <m/>
    <m/>
    <m/>
    <m/>
  </r>
  <r>
    <d v="2025-04-04T00:00:00"/>
    <x v="3"/>
    <s v="NBL"/>
    <s v="OMX7XSORR"/>
    <m/>
    <s v="Kabene John"/>
    <s v="UBA 523T"/>
    <s v="KATO INVESTMENTS LIMITED-MASAK Tax No.: 1000098824"/>
    <n v="153.6"/>
    <s v="OMX7XSORR"/>
    <s v="OM"/>
    <n v="596"/>
    <n v="593"/>
    <n v="-3"/>
    <m/>
    <d v="2025-04-06T13:54:00"/>
    <d v="2025-04-04T04:14:00"/>
    <d v="2025-04-06T14:18:00"/>
    <n v="3467.8703703694432"/>
    <n v="23.888888893755695"/>
    <x v="0"/>
    <d v="2025-04-07T08:20:00"/>
    <d v="2025-04-07T12:05:00"/>
    <n v="220.3125"/>
    <s v="Reached late and offloaded the next day"/>
    <d v="2025-04-07T16:13:00"/>
    <d v="2025-04-07T17:02:00"/>
    <n v="47.979166669174447"/>
    <x v="12"/>
    <n v="1.0798611111094942"/>
    <n v="2"/>
    <n v="0.92013888889050577"/>
    <n v="25.916666666627862"/>
    <n v="12"/>
    <n v="13.916666666627862"/>
    <n v="11.03712574853377"/>
    <m/>
    <m/>
    <m/>
    <m/>
    <m/>
  </r>
  <r>
    <d v="2025-04-04T00:00:00"/>
    <x v="3"/>
    <s v="KESH"/>
    <s v="OMFFDP4RR"/>
    <s v="DJ"/>
    <s v="MUKOSE MUZAMIRU"/>
    <s v="UBJ 417C"/>
    <s v="Kato Investment Ltd -Mubende Tax No.: 1000098824"/>
    <n v="156"/>
    <s v="OMFFDP4RR"/>
    <s v="OM"/>
    <n v="680"/>
    <n v="677"/>
    <n v="-3"/>
    <m/>
    <d v="2025-04-03T21:49:00"/>
    <d v="2025-04-03T21:30:00"/>
    <d v="2025-04-03T22:11:00"/>
    <n v="40.810185182635905"/>
    <n v="21.89814814652588"/>
    <x v="0"/>
    <d v="2025-04-04T18:37:00"/>
    <d v="2025-04-05T12:28:00"/>
    <n v="1048.6875000020518"/>
    <s v="less casuals and offloaded the next day"/>
    <d v="2025-04-06T08:08:00"/>
    <d v="2025-04-06T08:53:00"/>
    <n v="44.0625"/>
    <x v="0"/>
    <n v="2.4145833333313931"/>
    <n v="3"/>
    <n v="0.58541666666860692"/>
    <n v="57.949999999953434"/>
    <n v="24"/>
    <n v="33.949999999953434"/>
    <n v="4.5949926362360518"/>
    <m/>
    <m/>
    <m/>
    <m/>
    <m/>
  </r>
  <r>
    <d v="2025-04-04T00:00:00"/>
    <x v="3"/>
    <s v="NBL"/>
    <s v="OMVI4UJRR"/>
    <m/>
    <s v="Isaac Tumuhimbise"/>
    <s v="UBE 287X"/>
    <s v="KATO INVESTMENTS LTD- KALISIZO Tax No.: 1000098824"/>
    <n v="153.6"/>
    <s v="OMVI4UJRR"/>
    <s v="OM"/>
    <n v="288"/>
    <n v="286"/>
    <n v="-2"/>
    <m/>
    <d v="2025-04-03T20:58:00"/>
    <d v="2025-04-04T03:43:00"/>
    <d v="2025-04-03T21:22:00"/>
    <n v="-379.23611111667316"/>
    <n v="23.888888893755695"/>
    <x v="0"/>
    <d v="2025-04-04T12:54:00"/>
    <d v="2025-04-04T19:25:00"/>
    <n v="382.85416667327809"/>
    <s v="found another truck to be offloaded"/>
    <d v="2025-04-05T10:36:00"/>
    <d v="2025-04-05T11:17:00"/>
    <n v="40.145833330825553"/>
    <x v="0"/>
    <n v="1.5513888888890506"/>
    <n v="2"/>
    <n v="0.44861111111094942"/>
    <n v="37.233333333337214"/>
    <n v="12"/>
    <n v="25.233333333337214"/>
    <n v="6.0871862615578483"/>
    <m/>
    <m/>
    <m/>
    <m/>
    <m/>
  </r>
  <r>
    <d v="2025-04-05T00:00:00"/>
    <x v="3"/>
    <s v="NBL"/>
    <s v="OMP5SC4RR"/>
    <m/>
    <s v="GODWIN  NIWENSIIMA"/>
    <s v="UAR 731Q"/>
    <s v="Kabaco U Ltd-Mbarara Tax No.: 1000025425"/>
    <n v="153.6"/>
    <s v="OMP5SC4RR"/>
    <s v="OM"/>
    <n v="20"/>
    <n v="19"/>
    <n v="-1"/>
    <m/>
    <d v="2025-04-06T07:42:00"/>
    <d v="2025-04-05T11:52:00"/>
    <d v="2025-04-06T08:08:00"/>
    <n v="1210.3703703736148"/>
    <n v="25.879629630556639"/>
    <x v="0"/>
    <d v="2025-04-06T14:06:00"/>
    <d v="2025-04-07T11:35:00"/>
    <n v="1262.1458333335613"/>
    <s v="Waited for empties from trade"/>
    <d v="2025-04-07T17:40:00"/>
    <d v="2025-04-07T18:18:00"/>
    <n v="37.208333331509493"/>
    <x v="0"/>
    <n v="1.3972222222218988"/>
    <n v="1"/>
    <n v="-0.39722222222189885"/>
    <n v="33.533333333325572"/>
    <n v="12"/>
    <n v="21.533333333325572"/>
    <n v="7.1331269349870912"/>
    <m/>
    <m/>
    <m/>
    <m/>
    <m/>
  </r>
  <r>
    <d v="2025-04-05T00:00:00"/>
    <x v="3"/>
    <s v="NBL"/>
    <s v="OMQWIN8RR"/>
    <m/>
    <s v="Konge Husein"/>
    <s v="UBJ 707D"/>
    <s v="Ntale &amp; Sons Tax No.: 1001371381"/>
    <n v="153.6"/>
    <s v="OMQWIN8RR"/>
    <s v="OM"/>
    <n v="810"/>
    <n v="809"/>
    <n v="-1"/>
    <m/>
    <d v="2025-04-05T05:48:00"/>
    <d v="2025-04-04T20:00:00"/>
    <d v="2025-04-05T06:30:00"/>
    <n v="627.08333333333337"/>
    <n v="41.805555556250816"/>
    <x v="13"/>
    <d v="2025-04-06T09:37:00"/>
    <d v="2025-04-06T14:37:00"/>
    <n v="293.7500000034197"/>
    <s v="Waited for empties from trade"/>
    <d v="2025-04-07T17:51:00"/>
    <d v="2025-04-07T18:42:00"/>
    <n v="49.93749999863212"/>
    <x v="5"/>
    <n v="2.4729166666656965"/>
    <n v="3"/>
    <n v="0.52708333333430346"/>
    <n v="59.349999999976717"/>
    <n v="24"/>
    <n v="35.349999999976717"/>
    <n v="4.3451202263112068"/>
    <m/>
    <m/>
    <m/>
    <m/>
    <m/>
  </r>
  <r>
    <d v="2025-04-05T00:00:00"/>
    <x v="3"/>
    <s v="NBL"/>
    <s v="OMEWFYHRR"/>
    <m/>
    <s v="Kilabila Ismail"/>
    <s v="UBE 419T"/>
    <s v="KATO INVESTMENTS LIMITED-MASAK Tax No.: 1000098824"/>
    <n v="153.6"/>
    <s v="OMEWFYHRR"/>
    <s v="OM"/>
    <n v="596"/>
    <n v="595"/>
    <n v="-1"/>
    <m/>
    <d v="2025-04-05T10:34:00"/>
    <d v="2025-04-05T04:14:00"/>
    <d v="2025-04-05T11:13:00"/>
    <n v="417.06018518889323"/>
    <n v="38.819444445834961"/>
    <x v="9"/>
    <d v="2025-04-05T13:13:00"/>
    <d v="2025-04-05T15:51:00"/>
    <n v="154.70833333492919"/>
    <m/>
    <d v="2025-04-06T11:00:00"/>
    <d v="2025-04-06T11:50:00"/>
    <n v="48.958333328773733"/>
    <x v="13"/>
    <n v="0.99097222222189885"/>
    <n v="2"/>
    <n v="1.0090277777781012"/>
    <n v="23.783333333325572"/>
    <n v="0"/>
    <n v="23.783333333325572"/>
    <n v="6.4583041345501098"/>
    <m/>
    <m/>
    <m/>
    <m/>
    <m/>
  </r>
  <r>
    <d v="2025-04-05T00:00:00"/>
    <x v="3"/>
    <s v="NBL"/>
    <s v="OMXPJ8URR"/>
    <m/>
    <s v="Mugisha  George"/>
    <s v="UAV 203T"/>
    <s v="Rugoma Traders-Kanungu/Kihihi Tax No.: 1000249350"/>
    <n v="153.6"/>
    <s v="OMXPJ8URR"/>
    <s v="OM"/>
    <n v="272"/>
    <n v="271"/>
    <n v="-1"/>
    <m/>
    <d v="2025-04-05T08:00:00"/>
    <d v="2025-04-05T01:59:00"/>
    <d v="2025-04-05T08:39:00"/>
    <n v="398.14814815278322"/>
    <n v="38.819444445834961"/>
    <x v="13"/>
    <d v="2025-04-05T13:50:00"/>
    <d v="2025-04-06T13:02:00"/>
    <n v="1363.0000000006839"/>
    <s v="Reached late and offloaded the next day"/>
    <d v="2025-04-06T18:06:00"/>
    <d v="2025-04-06T18:55:00"/>
    <n v="47.979166669174447"/>
    <x v="14"/>
    <n v="1.3937499999956344"/>
    <n v="2"/>
    <n v="0.60625000000436557"/>
    <n v="33.449999999895226"/>
    <n v="12"/>
    <n v="21.449999999895226"/>
    <n v="7.1608391608741382"/>
    <m/>
    <m/>
    <m/>
    <m/>
    <m/>
  </r>
  <r>
    <d v="2025-04-05T00:00:00"/>
    <x v="3"/>
    <s v="NBL"/>
    <s v="OM65TV2RR"/>
    <m/>
    <s v="Bisaso  Ronald"/>
    <s v="UBK 875R"/>
    <s v="Kabaco U Ltd-Mbarara Tax No.: 1000025425"/>
    <n v="153.6"/>
    <s v="OM65TV2RR"/>
    <s v="OM"/>
    <n v="20"/>
    <n v="18"/>
    <n v="-2"/>
    <m/>
    <d v="2025-04-05T11:28:00"/>
    <d v="2025-04-05T07:42:00"/>
    <d v="2025-04-05T11:54:00"/>
    <n v="250.83333333750488"/>
    <n v="25.879629630556639"/>
    <x v="0"/>
    <d v="2025-04-05T12:33:00"/>
    <d v="2025-04-05T17:02:00"/>
    <n v="263.39583333014161"/>
    <s v="Waited for empties from trade"/>
    <d v="2025-04-05T17:48:00"/>
    <d v="2025-04-05T18:29:00"/>
    <n v="40.145833330825553"/>
    <x v="0"/>
    <n v="0.24583333333430346"/>
    <n v="1"/>
    <n v="0.75416666666569654"/>
    <n v="5.9000000000232831"/>
    <n v="0"/>
    <n v="5.9000000000232831"/>
    <n v="26.033898304982007"/>
    <m/>
    <m/>
    <m/>
    <m/>
    <m/>
  </r>
  <r>
    <d v="2025-04-06T00:00:00"/>
    <x v="3"/>
    <s v="NBL"/>
    <s v="OMF7YJSRR"/>
    <m/>
    <s v="Abel Mark naffa"/>
    <s v="UBJ 415C"/>
    <s v="KATO INVESTMENTS LTD- KALISIZO Tax No.: 1000098824"/>
    <n v="153.6"/>
    <s v="OMF7YJSRR"/>
    <s v="OM"/>
    <n v="288"/>
    <n v="287"/>
    <n v="-1"/>
    <m/>
    <d v="2025-04-07T09:23:00"/>
    <d v="2025-04-06T10:00:00"/>
    <d v="2025-04-07T10:17:00"/>
    <n v="1450.2546296326425"/>
    <n v="53.749999997914223"/>
    <x v="11"/>
    <d v="2025-04-08T21:04:00"/>
    <d v="2025-04-08T23:21:00"/>
    <n v="134.14583332945767"/>
    <m/>
    <d v="2025-04-10T14:35:00"/>
    <d v="2025-04-10T15:27:00"/>
    <n v="50.916666668490507"/>
    <x v="15"/>
    <n v="3.1791666666686069"/>
    <n v="2"/>
    <n v="-1.1791666666686069"/>
    <n v="76.300000000046566"/>
    <n v="36"/>
    <n v="40.300000000046566"/>
    <n v="3.8114143920551493"/>
    <m/>
    <m/>
    <m/>
    <m/>
    <m/>
  </r>
  <r>
    <d v="2025-04-06T00:00:00"/>
    <x v="3"/>
    <s v="NBL"/>
    <s v="OM2EAMURR"/>
    <m/>
    <s v="Tumusiime Robert"/>
    <s v="UBJ 988D"/>
    <s v="Kabaco U Ltd-Mbarara Tax No.: 1000025425"/>
    <n v="153.6"/>
    <s v="OM2EAMURR"/>
    <s v="OM"/>
    <n v="20"/>
    <n v="21"/>
    <n v="1"/>
    <m/>
    <d v="2025-04-06T07:23:00"/>
    <d v="2025-04-06T07:42:00"/>
    <d v="2025-04-06T08:05:00"/>
    <n v="22.893518520140788"/>
    <n v="41.805555556250816"/>
    <x v="2"/>
    <d v="2025-04-06T15:39:00"/>
    <d v="2025-04-07T14:23:00"/>
    <n v="1335.583333336981"/>
    <s v="Waited for empties from trade"/>
    <d v="2025-04-09T08:34:00"/>
    <d v="2025-04-09T09:15:00"/>
    <n v="40.145833330825553"/>
    <x v="0"/>
    <n v="3.0201388888890506"/>
    <n v="1"/>
    <n v="-2.0201388888890506"/>
    <n v="72.483333333337214"/>
    <n v="36"/>
    <n v="36.483333333337214"/>
    <n v="4.2101416171763448"/>
    <m/>
    <m/>
    <m/>
    <m/>
    <m/>
  </r>
  <r>
    <d v="2025-04-06T00:00:00"/>
    <x v="3"/>
    <s v="NBL"/>
    <s v="OMAQ2Y8RR"/>
    <m/>
    <s v="Isaac Tumuhimbise"/>
    <s v="UBE 287X"/>
    <s v="Kabaco U Ltd Tax No.: 1000025425"/>
    <n v="156"/>
    <s v="OMAQ2Y8RR"/>
    <s v="OM"/>
    <n v="304"/>
    <n v="303"/>
    <n v="-1"/>
    <m/>
    <d v="2025-04-05T13:47:00"/>
    <d v="2025-04-06T02:22:00"/>
    <d v="2025-04-05T14:26:00"/>
    <n v="-712.68518518263591"/>
    <n v="38.819444445834961"/>
    <x v="1"/>
    <d v="2025-04-05T16:58:00"/>
    <d v="2025-04-06T09:38:00"/>
    <n v="979.16666666780657"/>
    <s v="Reached late and offloaded the next day"/>
    <d v="2025-04-06T12:39:00"/>
    <d v="2025-04-06T13:30:00"/>
    <n v="49.93749999863212"/>
    <x v="11"/>
    <n v="0.9256944444423425"/>
    <n v="2"/>
    <n v="1.0743055555576575"/>
    <n v="22.21666666661622"/>
    <n v="0"/>
    <n v="22.21666666661622"/>
    <n v="7.0217554388756591"/>
    <m/>
    <m/>
    <m/>
    <m/>
    <m/>
  </r>
  <r>
    <d v="2025-04-07T00:00:00"/>
    <x v="3"/>
    <s v="NBL"/>
    <s v="OM4MKX4RR"/>
    <m/>
    <s v="Stephen Musoke "/>
    <s v="UBJ 375N"/>
    <s v="Ntale &amp; Sons Tax No.: 1001371381"/>
    <n v="153.6"/>
    <s v="OM4MKX4RR"/>
    <s v="OM"/>
    <n v="810"/>
    <n v="809"/>
    <n v="-1"/>
    <m/>
    <d v="2025-04-07T10:43:00"/>
    <d v="2025-04-06T21:00:00"/>
    <d v="2025-04-07T11:11:00"/>
    <n v="847.06018518263591"/>
    <n v="27.870370367357584"/>
    <x v="0"/>
    <d v="2025-04-08T09:51:00"/>
    <d v="2025-04-08T14:59:00"/>
    <n v="301.58333333150949"/>
    <s v="Waited for empties from trade"/>
    <d v="2025-04-09T19:00:00"/>
    <d v="2025-04-09T19:38:00"/>
    <n v="37.208333331509493"/>
    <x v="0"/>
    <n v="2.3256944444437977"/>
    <n v="3"/>
    <n v="0.67430555555620231"/>
    <n v="55.816666666651145"/>
    <n v="24"/>
    <n v="31.816666666651145"/>
    <n v="4.827658459929018"/>
    <m/>
    <m/>
    <m/>
    <m/>
    <m/>
  </r>
  <r>
    <d v="2025-04-07T00:00:00"/>
    <x v="3"/>
    <s v="NBL"/>
    <s v="OM4RCL0RR"/>
    <m/>
    <s v="Mugisha  George"/>
    <s v="UAV 203T"/>
    <s v="Ntale &amp; Sons -Kakiri Tax No.: 1001371381"/>
    <n v="156"/>
    <s v="OM4RCL0RR"/>
    <s v="OM"/>
    <n v="620"/>
    <n v="617"/>
    <n v="-3"/>
    <m/>
    <d v="2025-04-06T22:35:00"/>
    <d v="2025-04-07T01:59:00"/>
    <d v="2025-04-06T22:59:00"/>
    <n v="-179.16666666666666"/>
    <n v="23.888888893755695"/>
    <x v="0"/>
    <d v="2025-04-07T15:45:00"/>
    <d v="2025-04-07T20:12:00"/>
    <n v="261.43750000068394"/>
    <s v="Waited for empties from trade"/>
    <d v="2025-04-08T12:56:00"/>
    <d v="2025-04-08T13:37:00"/>
    <n v="40.145833330825553"/>
    <x v="0"/>
    <n v="1.5812500000029104"/>
    <n v="3"/>
    <n v="1.4187499999970896"/>
    <n v="37.950000000069849"/>
    <n v="12"/>
    <n v="25.950000000069849"/>
    <n v="6.0115606936254373"/>
    <m/>
    <m/>
    <m/>
    <m/>
    <m/>
  </r>
  <r>
    <d v="2025-04-07T00:00:00"/>
    <x v="3"/>
    <s v="NBL"/>
    <s v="OMWJEXPRR"/>
    <m/>
    <s v="Isaac Tumuhimbise"/>
    <s v="UBE 287X"/>
    <s v="Kabaco U Ltd-Mbarara Tax No.: 1000025425"/>
    <n v="153.6"/>
    <s v="OMWJEXPRR"/>
    <s v="OM"/>
    <n v="20"/>
    <n v="19"/>
    <n v="-1"/>
    <m/>
    <d v="2025-04-06T20:40:00"/>
    <d v="2025-04-07T07:42:00"/>
    <d v="2025-04-06T21:04:00"/>
    <n v="-635.04629629096598"/>
    <n v="23.888888893755695"/>
    <x v="0"/>
    <d v="2025-04-07T12:29:00"/>
    <d v="2025-04-07T17:48:00"/>
    <n v="312.35416666917445"/>
    <m/>
    <d v="2025-04-08T09:45:00"/>
    <d v="2025-04-08T10:23:00"/>
    <n v="37.208333331509493"/>
    <x v="0"/>
    <n v="1.5284722222204437"/>
    <n v="1"/>
    <n v="-0.52847222222044365"/>
    <n v="36.683333333290648"/>
    <n v="12"/>
    <n v="24.683333333290648"/>
    <n v="6.2228224172963786"/>
    <m/>
    <m/>
    <m/>
    <m/>
    <m/>
  </r>
  <r>
    <d v="2025-04-08T00:00:00"/>
    <x v="3"/>
    <s v="NBL"/>
    <s v="OM5437GRR"/>
    <m/>
    <s v="Isaac Tumuhimbise"/>
    <s v="UBE 287X"/>
    <s v="KATO INVESTMENTS LIMITED-MASAK Tax No.: 1000098824"/>
    <n v="153.6"/>
    <s v="OM5437GRR"/>
    <s v="OM"/>
    <n v="596"/>
    <n v="595"/>
    <n v="-1"/>
    <m/>
    <d v="2025-04-08T12:59:00"/>
    <d v="2025-04-08T08:00:00"/>
    <d v="2025-04-08T13:25:00"/>
    <n v="323.49537037152913"/>
    <n v="25.879629630556639"/>
    <x v="0"/>
    <d v="2025-04-09T08:28:00"/>
    <d v="2025-04-09T11:39:00"/>
    <n v="187.02083333766495"/>
    <s v="Reached late and offloaded the next day"/>
    <d v="2025-04-09T17:01:00"/>
    <d v="2025-04-09T17:42:00"/>
    <n v="40.145833330825553"/>
    <x v="0"/>
    <n v="1.1499999999941792"/>
    <n v="2"/>
    <n v="0.85000000000582077"/>
    <n v="27.599999999860302"/>
    <n v="12"/>
    <n v="15.599999999860302"/>
    <n v="9.8461538462420179"/>
    <m/>
    <m/>
    <m/>
    <m/>
    <m/>
  </r>
  <r>
    <d v="2025-04-08T00:00:00"/>
    <x v="3"/>
    <s v="NBL"/>
    <s v="OMGF8R5RR"/>
    <m/>
    <s v="GODWIN  NIWENSIIMA"/>
    <s v="UAR 731Q"/>
    <s v="KATO INVESTMENTS LIMITED-MASAK Tax No.: 1000098824"/>
    <n v="153.6"/>
    <s v="OMGF8R5RR"/>
    <s v="OM"/>
    <n v="596"/>
    <n v="595"/>
    <n v="-1"/>
    <m/>
    <d v="2025-04-08T09:37:00"/>
    <d v="2025-04-08T08:00:00"/>
    <d v="2025-04-08T10:05:00"/>
    <n v="124.42129629513754"/>
    <n v="27.870370367357584"/>
    <x v="0"/>
    <d v="2025-04-08T13:08:00"/>
    <d v="2025-04-08T17:32:00"/>
    <n v="258.50000000136788"/>
    <s v="found another truck to be offloaded"/>
    <d v="2025-04-08T20:10:00"/>
    <d v="2025-04-08T21:00:00"/>
    <n v="48.958333328773733"/>
    <x v="8"/>
    <n v="0.42013888889050577"/>
    <n v="2"/>
    <n v="1.5798611111094942"/>
    <n v="10.083333333372138"/>
    <n v="0"/>
    <n v="10.083333333372138"/>
    <n v="15.233057851181046"/>
    <m/>
    <m/>
    <m/>
    <m/>
    <m/>
  </r>
  <r>
    <d v="2025-04-08T00:00:00"/>
    <x v="3"/>
    <s v="NBL"/>
    <s v="OMWC5MPRR"/>
    <m/>
    <s v="Benon Ssempijja"/>
    <s v="UAY 526V"/>
    <s v="RUGOMA TRADERS CO. LTD NTUNGAM Tax No.: 1000249350"/>
    <n v="153.6"/>
    <s v="OMWC5MPRR"/>
    <s v="OM"/>
    <n v="150"/>
    <n v="149"/>
    <n v="-1"/>
    <m/>
    <d v="2025-04-08T09:17:00"/>
    <d v="2025-04-08T08:08:00"/>
    <d v="2025-04-08T09:41:00"/>
    <n v="92.569444443749191"/>
    <n v="23.888888893755695"/>
    <x v="0"/>
    <d v="2025-04-09T13:10:00"/>
    <d v="2025-04-09T17:22:00"/>
    <n v="246.75000000410364"/>
    <s v="Waited for empties from trade"/>
    <d v="2025-04-08T16:12:00"/>
    <d v="2025-04-08T16:50:00"/>
    <n v="37.208333331509493"/>
    <x v="0"/>
    <n v="0.27152777778246673"/>
    <n v="1"/>
    <n v="0.72847222221753327"/>
    <n v="6.5166666667792015"/>
    <n v="0"/>
    <n v="6.5166666667792015"/>
    <n v="23.570332480411384"/>
    <m/>
    <m/>
    <m/>
    <m/>
    <m/>
  </r>
  <r>
    <d v="2025-04-08T00:00:00"/>
    <x v="3"/>
    <s v="KESH"/>
    <s v="OM6OBRWRR"/>
    <s v="DJ"/>
    <s v="MUKOSE MUZAMIRU"/>
    <s v="UBJ 417C"/>
    <s v="Sawan Distributors Ltd-Nabingo Tax No.: 1000186379"/>
    <n v="156"/>
    <s v="OM6OBRWRR"/>
    <s v="OM"/>
    <n v="560"/>
    <n v="559"/>
    <n v="-1"/>
    <m/>
    <d v="2025-04-07T20:59:00"/>
    <d v="2025-04-08T08:00:00"/>
    <d v="2025-04-07T21:23:00"/>
    <n v="-634.05092592777999"/>
    <n v="23.888888893755695"/>
    <x v="0"/>
    <d v="2025-04-08T14:56:00"/>
    <d v="2025-04-08T17:10:00"/>
    <n v="131.20833334040071"/>
    <m/>
    <d v="2025-04-10T19:19:00"/>
    <d v="2025-04-10T20:04:00"/>
    <n v="44.0625"/>
    <x v="0"/>
    <n v="2.913888888884685"/>
    <n v="2"/>
    <n v="-0.913888888884685"/>
    <n v="69.93333333323244"/>
    <n v="24"/>
    <n v="45.93333333323244"/>
    <n v="3.3962264151017996"/>
    <m/>
    <m/>
    <m/>
    <m/>
    <m/>
  </r>
  <r>
    <d v="2025-04-09T00:00:00"/>
    <x v="3"/>
    <s v="NBL"/>
    <s v="OMQ68G1RR"/>
    <m/>
    <s v="Abel Mark naffa"/>
    <s v="UBJ 415C"/>
    <s v="Rugoma Traders-Kanungu/Kihihi Tax No.: 1000249350"/>
    <n v="153.6"/>
    <s v="OMQ68G1RR"/>
    <s v="OM"/>
    <n v="272"/>
    <n v="270"/>
    <n v="-2"/>
    <m/>
    <d v="2025-04-10T18:43:00"/>
    <d v="2025-04-09T01:59:00"/>
    <d v="2025-04-10T19:09:00"/>
    <n v="2458.56481481945"/>
    <n v="25.879629630556639"/>
    <x v="0"/>
    <d v="2025-04-11T14:32:00"/>
    <d v="2025-04-11T16:39:00"/>
    <n v="124.35416666165111"/>
    <m/>
    <d v="2025-04-12T09:45:00"/>
    <d v="2025-04-12T10:26:00"/>
    <n v="40.145833330825553"/>
    <x v="0"/>
    <n v="1.6083333333299379"/>
    <n v="2"/>
    <n v="0.39166666667006211"/>
    <n v="38.599999999918509"/>
    <n v="12"/>
    <n v="26.599999999918509"/>
    <n v="5.7744360902432543"/>
    <m/>
    <m/>
    <m/>
    <m/>
    <m/>
  </r>
  <r>
    <d v="2025-04-09T00:00:00"/>
    <x v="3"/>
    <s v="NBL"/>
    <s v="OMDXV7BRR"/>
    <m/>
    <s v="ANGELO KYOSIGA "/>
    <s v="UAV 051U"/>
    <s v="Kabaco U Ltd Tax No.: 1000025425"/>
    <n v="156"/>
    <s v="OMDXV7BRR"/>
    <s v="OM"/>
    <n v="304"/>
    <n v="303"/>
    <n v="-1"/>
    <m/>
    <d v="2025-04-09T13:38:00"/>
    <d v="2025-04-09T02:22:00"/>
    <d v="2025-04-09T14:06:00"/>
    <n v="700.74074074097246"/>
    <n v="27.870370367357584"/>
    <x v="0"/>
    <d v="2025-04-09T18:04:00"/>
    <d v="2025-04-10T12:43:00"/>
    <n v="1095.6875000013679"/>
    <s v="truck faulty"/>
    <d v="2025-04-10T15:27:00"/>
    <d v="2025-04-10T16:08:00"/>
    <n v="40.145833330825553"/>
    <x v="0"/>
    <n v="1.0562500000014552"/>
    <n v="2"/>
    <n v="0.94374999999854481"/>
    <n v="25.350000000034925"/>
    <n v="12"/>
    <n v="13.350000000034925"/>
    <n v="11.685393258396397"/>
    <m/>
    <m/>
    <m/>
    <m/>
    <m/>
  </r>
  <r>
    <d v="2025-04-09T00:00:00"/>
    <x v="3"/>
    <s v="NBL"/>
    <s v="OM4C6O2RR"/>
    <m/>
    <s v="Bisaso  Ronald"/>
    <s v="UBK 875R"/>
    <s v="Ntale &amp; Sons Tax No.: 1001371381"/>
    <n v="153.6"/>
    <s v="OM4C6O2RR"/>
    <s v="OM"/>
    <n v="810"/>
    <n v="807"/>
    <n v="-3"/>
    <m/>
    <d v="2025-04-09T09:08:00"/>
    <d v="2025-04-08T22:00:00"/>
    <d v="2025-04-09T09:34:00"/>
    <n v="690.78703703611006"/>
    <n v="25.879629630556639"/>
    <x v="0"/>
    <d v="2025-04-10T15:15:00"/>
    <d v="2025-04-10T20:20:00"/>
    <n v="298.64583333219343"/>
    <s v="Reached late and offloaded the next day"/>
    <d v="2025-04-12T18:26:00"/>
    <d v="2025-04-12T19:15:00"/>
    <n v="47.979166669174447"/>
    <x v="14"/>
    <n v="3.3694444444481633"/>
    <n v="3"/>
    <n v="-0.36944444444816327"/>
    <n v="80.866666666755918"/>
    <n v="36"/>
    <n v="44.866666666755918"/>
    <n v="3.4234769687896236"/>
    <m/>
    <m/>
    <m/>
    <m/>
    <m/>
  </r>
  <r>
    <d v="2025-04-09T00:00:00"/>
    <x v="3"/>
    <s v="NBL"/>
    <s v="OMRWYG5RR"/>
    <m/>
    <s v="Konge Husein"/>
    <s v="UBJ 707D"/>
    <s v="KATO INVESTMENTS LIMITED-MASAK Tax No.: 1000098824"/>
    <n v="153.6"/>
    <s v="OMRWYG5RR"/>
    <s v="OM"/>
    <n v="596"/>
    <n v="593"/>
    <n v="-3"/>
    <m/>
    <d v="2025-04-09T13:55:00"/>
    <d v="2025-04-09T04:14:00"/>
    <d v="2025-04-09T14:45:00"/>
    <n v="628.0787037069482"/>
    <n v="49.768518513883464"/>
    <x v="1"/>
    <d v="2025-04-10T10:53:00"/>
    <d v="2025-04-10T15:50:00"/>
    <n v="290.81249999384454"/>
    <s v="less casuals and offloaded the next day"/>
    <d v="2025-04-11T13:01:00"/>
    <d v="2025-04-11T13:39:00"/>
    <n v="37.208333331509493"/>
    <x v="0"/>
    <n v="1.9277777777751908"/>
    <n v="2"/>
    <n v="7.2222222224809229E-2"/>
    <n v="46.266666666604578"/>
    <n v="12"/>
    <n v="34.266666666604578"/>
    <n v="4.4824902723816624"/>
    <m/>
    <m/>
    <m/>
    <m/>
    <m/>
  </r>
  <r>
    <d v="2025-04-09T00:00:00"/>
    <x v="3"/>
    <s v="NBL"/>
    <s v="OM4639BRR"/>
    <m/>
    <s v="Tumusiime Robert"/>
    <s v="UBJ 988D"/>
    <s v="RUGOMA TRADERS CO. LTD NTUNGAM Tax No.: 1000249350"/>
    <n v="153.6"/>
    <s v="OM4639BRR"/>
    <s v="OM"/>
    <n v="150"/>
    <n v="148"/>
    <n v="-2"/>
    <m/>
    <d v="2025-04-09T12:51:00"/>
    <d v="2025-04-09T06:15:00"/>
    <d v="2025-04-09T13:33:00"/>
    <n v="435.97222222500324"/>
    <n v="41.805555556250816"/>
    <x v="12"/>
    <d v="2025-04-10T12:37:00"/>
    <d v="2025-04-10T14:49:00"/>
    <n v="129.25000000068394"/>
    <m/>
    <d v="2025-04-10T16:23:00"/>
    <d v="2025-04-10T17:14:00"/>
    <n v="49.93749999863212"/>
    <x v="11"/>
    <n v="1.1180555555547471"/>
    <n v="1"/>
    <n v="-0.11805555555474712"/>
    <n v="26.833333333313931"/>
    <n v="12"/>
    <n v="14.833333333313931"/>
    <n v="10.355056179788825"/>
    <m/>
    <m/>
    <m/>
    <m/>
    <m/>
  </r>
  <r>
    <d v="2025-04-09T00:00:00"/>
    <x v="3"/>
    <s v="NBL"/>
    <s v="OMZ4IR6RR"/>
    <m/>
    <s v="Benon Ssempijja"/>
    <s v="UAY 526V"/>
    <s v="Kabaco U Ltd-Mbarara Tax No.: 1000025425"/>
    <n v="153.6"/>
    <s v="OMZ4IR6RR"/>
    <s v="OM"/>
    <n v="20"/>
    <n v="19"/>
    <n v="-1"/>
    <m/>
    <d v="2025-04-09T09:08:00"/>
    <d v="2025-04-09T06:15:00"/>
    <d v="2025-04-09T09:36:00"/>
    <n v="200.0694444500065"/>
    <n v="27.870370367357584"/>
    <x v="0"/>
    <d v="2025-04-08T10:20:00"/>
    <d v="2025-04-08T15:21:00"/>
    <n v="294.72916666301899"/>
    <s v="Waited for empties from trade"/>
    <d v="2025-04-09T20:02:00"/>
    <d v="2025-04-09T20:40:00"/>
    <n v="37.208333331509493"/>
    <x v="0"/>
    <n v="0.43472222222044365"/>
    <n v="1"/>
    <n v="0.56527777777955635"/>
    <n v="10.433333333290648"/>
    <n v="0"/>
    <n v="10.433333333290648"/>
    <n v="14.722044728494737"/>
    <m/>
    <m/>
    <m/>
    <m/>
    <m/>
  </r>
  <r>
    <d v="2025-04-09T00:00:00"/>
    <x v="3"/>
    <s v="NBL"/>
    <s v="OM0JKWQRR"/>
    <m/>
    <s v="Mugisha  George"/>
    <s v="UAV 203T"/>
    <s v="Kabaco U Ltd-Mbarara Tax No.: 1000025425"/>
    <n v="153.6"/>
    <s v="OM0JKWQRR"/>
    <s v="OM"/>
    <n v="20"/>
    <n v="19"/>
    <n v="-1"/>
    <m/>
    <d v="2025-04-09T09:39:00"/>
    <d v="2025-04-09T07:42:00"/>
    <d v="2025-04-09T10:05:00"/>
    <n v="142.33796296806153"/>
    <n v="25.879629630556639"/>
    <x v="0"/>
    <d v="2025-04-09T10:55:00"/>
    <d v="2025-04-09T16:00:00"/>
    <n v="298.64583333219343"/>
    <s v="Waited for empties from trade"/>
    <d v="2025-04-09T17:01:00"/>
    <d v="2025-04-09T17:53:00"/>
    <n v="50.916666668490507"/>
    <x v="5"/>
    <n v="0.288888888884685"/>
    <n v="1"/>
    <n v="0.711111111115315"/>
    <n v="6.9333333332324401"/>
    <n v="0"/>
    <n v="6.9333333332324401"/>
    <n v="22.153846154168534"/>
    <m/>
    <m/>
    <m/>
    <m/>
    <m/>
  </r>
  <r>
    <d v="2025-04-09T00:00:00"/>
    <x v="3"/>
    <s v="NBL"/>
    <s v="OMCRG1XRR"/>
    <m/>
    <s v="Kilabila Ismail"/>
    <s v="UBE 419T"/>
    <s v="KATO INVESTMENTS LIMITED-MASAK Tax No.: 1000098824"/>
    <n v="153.6"/>
    <s v="OMCRG1XRR"/>
    <s v="OM"/>
    <n v="596"/>
    <n v="595"/>
    <n v="-1"/>
    <m/>
    <d v="2025-04-08T20:32:00"/>
    <d v="2025-04-09T04:14:00"/>
    <d v="2025-04-08T20:58:00"/>
    <n v="-433.98148147777346"/>
    <n v="25.879629630556639"/>
    <x v="0"/>
    <d v="2025-04-09T10:16:00"/>
    <d v="2025-04-09T18:11:00"/>
    <n v="465.10416667464597"/>
    <s v="space consquents"/>
    <d v="2025-04-10T12:32:00"/>
    <d v="2025-04-10T13:24:00"/>
    <n v="50.916666668490507"/>
    <x v="7"/>
    <n v="1.648611111108039"/>
    <n v="2"/>
    <n v="0.35138888889196096"/>
    <n v="39.566666666592937"/>
    <n v="12"/>
    <n v="27.566666666592937"/>
    <n v="5.5719467956618187"/>
    <m/>
    <m/>
    <m/>
    <m/>
    <m/>
  </r>
  <r>
    <d v="2025-04-09T00:00:00"/>
    <x v="3"/>
    <s v="NBL"/>
    <s v="OMC9Q76RR"/>
    <m/>
    <s v="Luyaga Isaac"/>
    <s v="UAY 265V"/>
    <s v="KATO INVESTMENTS LIMITED-MASAK Tax No.: 1000098824"/>
    <n v="153.6"/>
    <s v="OMC9Q76RR"/>
    <s v="OM"/>
    <n v="596"/>
    <n v="595"/>
    <n v="-1"/>
    <m/>
    <d v="2025-04-08T19:43:00"/>
    <d v="2025-04-09T04:14:00"/>
    <d v="2025-04-08T20:37:00"/>
    <n v="-454.8842592611133"/>
    <n v="53.749999997914223"/>
    <x v="10"/>
    <d v="2025-04-09T08:51:00"/>
    <d v="2025-04-09T15:03:00"/>
    <n v="364.24999999726424"/>
    <s v="Reached late and offloaded the next day"/>
    <d v="2025-04-10T10:00:00"/>
    <d v="2025-04-10T10:38:00"/>
    <n v="37.208333331509493"/>
    <x v="0"/>
    <n v="1.5576388888875954"/>
    <n v="2"/>
    <n v="0.44236111111240461"/>
    <n v="37.383333333302289"/>
    <n v="12"/>
    <n v="25.383333333302289"/>
    <n v="6.0512147078209262"/>
    <m/>
    <m/>
    <m/>
    <m/>
    <m/>
  </r>
  <r>
    <d v="2025-04-10T00:00:00"/>
    <x v="3"/>
    <s v="NBL"/>
    <s v="OMY9837RR"/>
    <m/>
    <s v="ANGELO KYOSIGA "/>
    <s v="UAV 051U"/>
    <s v="Ntale &amp; Sons Tax No.: 1001371381"/>
    <n v="153.6"/>
    <s v="OMY9837RR"/>
    <s v="OM"/>
    <n v="810"/>
    <n v="809"/>
    <n v="-1"/>
    <m/>
    <d v="2025-04-11T06:33:00"/>
    <d v="2025-04-10T16:40:00"/>
    <d v="2025-04-11T07:01:00"/>
    <n v="857.01388888749841"/>
    <n v="27.870370367357584"/>
    <x v="0"/>
    <d v="2025-04-11T19:04:00"/>
    <d v="2025-04-12T14:06:00"/>
    <n v="1118.2083333362971"/>
    <s v="Waited for empties from trade"/>
    <d v="2025-04-13T14:20:00"/>
    <d v="2025-04-13T14:58:00"/>
    <n v="37.208333331509493"/>
    <x v="0"/>
    <n v="2.304861111108039"/>
    <n v="3"/>
    <n v="0.69513888889196096"/>
    <n v="55.316666666592937"/>
    <n v="24"/>
    <n v="31.316666666592937"/>
    <n v="4.9047365620126113"/>
    <m/>
    <m/>
    <m/>
    <m/>
    <m/>
  </r>
  <r>
    <d v="2025-04-10T00:00:00"/>
    <x v="3"/>
    <s v="NBL"/>
    <s v="OM4BBA2RR"/>
    <m/>
    <s v="Stephen Musoke "/>
    <s v="UBJ 375N"/>
    <s v="Kabaco U Ltd-Mbarara Tax No.: 1000025425"/>
    <n v="153.6"/>
    <s v="OM4BBA2RR"/>
    <s v="OM"/>
    <n v="20"/>
    <n v="19"/>
    <n v="-1"/>
    <m/>
    <d v="2025-04-10T14:13:00"/>
    <d v="2025-04-10T08:00:00"/>
    <d v="2025-04-10T14:39:00"/>
    <n v="397.15277777916828"/>
    <n v="25.879629630556639"/>
    <x v="0"/>
    <d v="2025-04-10T19:11:00"/>
    <d v="2025-04-11T14:41:00"/>
    <n v="1145.625"/>
    <s v="Waited for empties from trade"/>
    <d v="2025-04-11T19:33:00"/>
    <d v="2025-04-11T20:13:00"/>
    <n v="39.166666671226267"/>
    <x v="0"/>
    <n v="1.2041666666627862"/>
    <n v="1"/>
    <n v="-0.20416666666278616"/>
    <n v="28.899999999906868"/>
    <n v="12"/>
    <n v="16.899999999906868"/>
    <n v="9.0887573964997905"/>
    <m/>
    <m/>
    <m/>
    <m/>
    <m/>
  </r>
  <r>
    <d v="2025-04-10T00:00:00"/>
    <x v="3"/>
    <s v="NBL"/>
    <s v="OMUDJKKRR"/>
    <m/>
    <s v="Kabene John"/>
    <s v="UBA 523T"/>
    <s v="Kabaco U Ltd Tax No.: 1000025425"/>
    <n v="156"/>
    <s v="OMUDJKKRR"/>
    <s v="OM"/>
    <n v="304"/>
    <n v="302"/>
    <n v="-2"/>
    <m/>
    <d v="2025-04-10T12:07:00"/>
    <d v="2025-04-10T08:00:00"/>
    <d v="2025-04-10T12:33:00"/>
    <n v="271.73611111041583"/>
    <n v="25.879629630556639"/>
    <x v="0"/>
    <d v="2025-04-11T08:01:00"/>
    <d v="2025-04-11T12:26:00"/>
    <n v="259.47916667122627"/>
    <s v="truck faulty"/>
    <d v="2025-04-11T17:17:00"/>
    <d v="2025-04-11T18:06:00"/>
    <n v="47.979166669174447"/>
    <x v="4"/>
    <n v="1.1972222222175333"/>
    <n v="2"/>
    <n v="0.80277777778246673"/>
    <n v="28.733333333220799"/>
    <n v="12"/>
    <n v="16.733333333220799"/>
    <n v="9.3227091634093107"/>
    <m/>
    <m/>
    <m/>
    <m/>
    <m/>
  </r>
  <r>
    <d v="2025-04-10T00:00:00"/>
    <x v="3"/>
    <s v="NBL"/>
    <s v="OM3S7MFRR"/>
    <m/>
    <s v="Isaac Tumuhimbise"/>
    <s v="UBE 287X"/>
    <s v="KATO INVESTMENTS LIMITED-MASAK Tax No.: 1000098824"/>
    <n v="153.6"/>
    <s v="OM3S7MFRR"/>
    <s v="OM"/>
    <n v="596"/>
    <n v="595"/>
    <n v="-1"/>
    <m/>
    <d v="2025-04-09T21:43:00"/>
    <d v="2025-04-10T09:00:00"/>
    <d v="2025-04-09T22:11:00"/>
    <n v="-645.99537036944332"/>
    <n v="27.870370367357584"/>
    <x v="0"/>
    <d v="2025-04-10T14:22:00"/>
    <d v="2025-04-10T16:28:00"/>
    <n v="123.37500000205182"/>
    <m/>
    <d v="2025-04-11T11:53:00"/>
    <d v="2025-04-11T12:43:00"/>
    <n v="48.958333328773733"/>
    <x v="11"/>
    <n v="1.5708333333313931"/>
    <n v="2"/>
    <n v="0.42916666666860692"/>
    <n v="37.699999999953434"/>
    <n v="12"/>
    <n v="25.699999999953434"/>
    <n v="5.9766536965088832"/>
    <m/>
    <m/>
    <m/>
    <m/>
    <m/>
  </r>
  <r>
    <d v="2025-04-10T00:00:00"/>
    <x v="3"/>
    <s v="NBL"/>
    <s v="OMSM5ZMRR"/>
    <m/>
    <s v="GODWIN  NIWENSIIMA"/>
    <s v="UAR 731Q"/>
    <s v="Kabaco U Ltd Tax No.: 1000025425"/>
    <n v="156"/>
    <s v="OMSM5ZMRR"/>
    <s v="OM"/>
    <n v="304"/>
    <n v="303"/>
    <n v="-1"/>
    <m/>
    <d v="2025-04-09T19:00:00"/>
    <d v="2025-04-10T08:00:00"/>
    <d v="2025-04-09T19:26:00"/>
    <n v="-750.50925926528487"/>
    <n v="25.879629630556639"/>
    <x v="0"/>
    <d v="2025-04-10T09:38:00"/>
    <d v="2025-04-10T17:41:00"/>
    <n v="472.93750000273576"/>
    <s v="found another truck to be offloaded"/>
    <d v="2025-04-10T19:49:00"/>
    <d v="2025-04-10T20:39:00"/>
    <n v="48.958333328773733"/>
    <x v="8"/>
    <n v="1.015972222223354"/>
    <n v="2"/>
    <n v="0.98402777777664596"/>
    <n v="24.383333333360497"/>
    <n v="12"/>
    <n v="12.383333333360497"/>
    <n v="12.597577388936028"/>
    <m/>
    <m/>
    <m/>
    <m/>
    <m/>
  </r>
  <r>
    <d v="2025-04-10T00:00:00"/>
    <x v="3"/>
    <s v="NBL"/>
    <s v="OMBPTEPRR"/>
    <m/>
    <s v="James  Kironde"/>
    <s v="UBK 881R"/>
    <s v="KATO INVESTMENTS LIMITED-MASAK Tax No.: 1000098824"/>
    <n v="153.6"/>
    <s v="OMBPTEPRR"/>
    <s v="OM"/>
    <n v="596"/>
    <n v="595"/>
    <n v="-1"/>
    <m/>
    <d v="2025-04-09T19:33:00"/>
    <d v="2025-04-10T09:00:00"/>
    <d v="2025-04-09T19:59:00"/>
    <n v="-777.38425925902754"/>
    <n v="25.879629630556639"/>
    <x v="0"/>
    <d v="2025-04-10T09:41:00"/>
    <d v="2025-04-10T12:39:00"/>
    <n v="174.29166667054233"/>
    <m/>
    <d v="2025-04-10T19:07:00"/>
    <d v="2025-04-10T19:47:00"/>
    <n v="39.166666671226267"/>
    <x v="0"/>
    <n v="0.96388888888759539"/>
    <n v="2"/>
    <n v="1.0361111111124046"/>
    <n v="23.133333333302289"/>
    <n v="0"/>
    <n v="23.133333333302289"/>
    <n v="6.639769452458478"/>
    <m/>
    <m/>
    <m/>
    <m/>
    <m/>
  </r>
  <r>
    <d v="2025-04-11T00:00:00"/>
    <x v="3"/>
    <s v="NBL"/>
    <s v="OMEUP5CRR"/>
    <m/>
    <s v="Konge Husein"/>
    <s v="UBJ 707D"/>
    <s v="Ntale &amp; Sons -Kakiri Tax No.: 1001371381"/>
    <n v="156"/>
    <s v="OMEUP5CRR"/>
    <s v="OM"/>
    <n v="620"/>
    <n v="617"/>
    <n v="-3"/>
    <m/>
    <d v="2025-04-11T18:11:00"/>
    <d v="2025-04-11T01:59:00"/>
    <d v="2025-04-11T18:39:00"/>
    <n v="995.37037037152913"/>
    <n v="27.870370367357584"/>
    <x v="0"/>
    <d v="2025-04-13T08:33:00"/>
    <d v="2025-04-13T12:36:00"/>
    <n v="237.93750000615546"/>
    <s v="Waited for empties from trade"/>
    <d v="2025-04-15T09:24:00"/>
    <d v="2025-04-15T10:16:00"/>
    <n v="50.916666668490507"/>
    <x v="7"/>
    <n v="3.6145833333357587"/>
    <n v="3"/>
    <n v="-0.61458333333575865"/>
    <n v="86.750000000058208"/>
    <n v="36"/>
    <n v="50.750000000058208"/>
    <n v="3.0738916256122382"/>
    <m/>
    <m/>
    <m/>
    <m/>
    <m/>
  </r>
  <r>
    <d v="2025-04-11T00:00:00"/>
    <x v="3"/>
    <s v="NBL"/>
    <s v="OMFOGCTRR"/>
    <m/>
    <s v="James  Kironde"/>
    <s v="UBK 881R"/>
    <s v="Kato Investment Ltd -Mityana Tax No.: 1000098824"/>
    <n v="156"/>
    <s v="OMFOGCTRR"/>
    <s v="OM"/>
    <n v="690"/>
    <n v="689"/>
    <n v="-1"/>
    <m/>
    <d v="2025-04-11T08:02:00"/>
    <d v="2025-04-10T20:01:00"/>
    <d v="2025-04-11T08:56:00"/>
    <n v="771.41203703819576"/>
    <n v="53.749999997914223"/>
    <x v="1"/>
    <d v="2025-04-11T18:40:00"/>
    <d v="2025-04-12T15:18:00"/>
    <n v="1212.2083333246701"/>
    <s v="Waited for empties from trade"/>
    <d v="2025-04-14T21:30:00"/>
    <d v="2025-04-14T22:10:00"/>
    <n v="39.166666671226267"/>
    <x v="0"/>
    <n v="3.523611111115315"/>
    <n v="3"/>
    <n v="-0.523611111115315"/>
    <n v="84.56666666676756"/>
    <n v="36"/>
    <n v="48.56666666676756"/>
    <n v="3.2120796156419202"/>
    <m/>
    <m/>
    <m/>
    <m/>
    <m/>
  </r>
  <r>
    <d v="2025-04-11T00:00:00"/>
    <x v="3"/>
    <s v="NBL"/>
    <s v="OM9E0QKRR"/>
    <m/>
    <s v="Isaac Tumuhimbise"/>
    <s v="UBE 287X"/>
    <s v="Kabaco U Ltd Tax No.: 1000025425"/>
    <n v="156"/>
    <s v="OM9E0QKRR"/>
    <s v="OM"/>
    <n v="304"/>
    <n v="303"/>
    <n v="-1"/>
    <m/>
    <d v="2025-04-11T13:56:00"/>
    <d v="2025-04-11T02:22:00"/>
    <d v="2025-04-11T14:49:00"/>
    <n v="743.54166666040931"/>
    <n v="52.75462963472819"/>
    <x v="12"/>
    <d v="2025-04-12T09:50:00"/>
    <d v="2025-04-12T13:08:00"/>
    <n v="193.87500000615546"/>
    <s v="truck faulty"/>
    <d v="2025-04-12T19:22:00"/>
    <d v="2025-04-12T20:07:00"/>
    <n v="44.0625"/>
    <x v="0"/>
    <n v="1.1895833333328483"/>
    <n v="2"/>
    <n v="0.81041666666715173"/>
    <n v="28.549999999988358"/>
    <n v="12"/>
    <n v="16.549999999988358"/>
    <n v="9.4259818731184133"/>
    <m/>
    <m/>
    <m/>
    <m/>
    <m/>
  </r>
  <r>
    <d v="2025-04-11T00:00:00"/>
    <x v="3"/>
    <s v="NBL"/>
    <s v="OMDYYTVRR"/>
    <m/>
    <s v="Kilabila Ismail"/>
    <s v="UBE 419T"/>
    <s v="KATO INVESTMENTS LTD- KALISIZO Tax No.: 1000098824"/>
    <n v="153.6"/>
    <s v="OMDYYTVRR"/>
    <s v="OM"/>
    <n v="288"/>
    <n v="287"/>
    <n v="-1"/>
    <m/>
    <d v="2025-04-11T06:39:00"/>
    <d v="2025-04-11T03:43:00"/>
    <d v="2025-04-11T07:00:00"/>
    <n v="196.08796295554689"/>
    <n v="20.902777772910969"/>
    <x v="0"/>
    <d v="2025-04-11T13:10:00"/>
    <d v="2025-04-11T18:09:00"/>
    <n v="292.77083333356131"/>
    <s v="Reached late and offloaded the next day"/>
    <d v="2025-04-12T14:02:00"/>
    <d v="2025-04-12T14:40:00"/>
    <n v="37.208333331509493"/>
    <x v="0"/>
    <n v="1.2930555555576575"/>
    <n v="2"/>
    <n v="0.7069444444423425"/>
    <n v="31.03333333338378"/>
    <n v="12"/>
    <n v="19.03333333338378"/>
    <n v="8.0700525393831644"/>
    <m/>
    <m/>
    <m/>
    <m/>
    <m/>
  </r>
  <r>
    <d v="2025-04-11T00:00:00"/>
    <x v="3"/>
    <s v="NBL"/>
    <s v="OMXXPJNRR"/>
    <m/>
    <s v="Tumusiime Robert"/>
    <s v="UBJ 988D"/>
    <s v="Kabaco U Ltd-Mbarara Tax No.: 1000025425"/>
    <n v="153.6"/>
    <s v="OMXXPJNRR"/>
    <s v="OM"/>
    <n v="20"/>
    <n v="19"/>
    <n v="-1"/>
    <m/>
    <d v="2025-04-11T07:50:00"/>
    <d v="2025-04-11T07:42:00"/>
    <d v="2025-04-11T08:16:00"/>
    <n v="33.842592598618161"/>
    <n v="25.879629630556639"/>
    <x v="0"/>
    <d v="2025-04-11T09:16:00"/>
    <d v="2025-04-11T11:16:00"/>
    <n v="117.5000000034197"/>
    <m/>
    <d v="2025-04-11T13:05:00"/>
    <d v="2025-04-11T13:56:00"/>
    <n v="49.93749999863212"/>
    <x v="4"/>
    <n v="0.20069444444379769"/>
    <n v="1"/>
    <n v="0.79930555555620231"/>
    <n v="4.8166666666511446"/>
    <n v="0"/>
    <n v="4.8166666666511446"/>
    <n v="31.889273356504148"/>
    <m/>
    <m/>
    <m/>
    <m/>
    <m/>
  </r>
  <r>
    <d v="2025-04-11T00:00:00"/>
    <x v="3"/>
    <s v="NBL"/>
    <s v="OMZU2Z9RR"/>
    <m/>
    <s v="Jacob Oneka"/>
    <s v="UBE 422T"/>
    <s v="KATO INVESTMENTS LTD-KATIKARA Tax No.: 1000098824"/>
    <n v="156"/>
    <s v="OMZU2Z9RR"/>
    <s v="OM"/>
    <n v="790"/>
    <n v="789"/>
    <n v="-1"/>
    <m/>
    <d v="2025-04-10T18:03:00"/>
    <d v="2025-04-10T20:00:00"/>
    <d v="2025-04-10T18:45:00"/>
    <n v="-74.652777781254073"/>
    <n v="41.805555556250816"/>
    <x v="11"/>
    <d v="2025-04-11T15:12:00"/>
    <d v="2025-04-12T13:53:00"/>
    <n v="1332.645833337665"/>
    <s v="Waited for empties from trade"/>
    <d v="2025-04-13T13:35:00"/>
    <d v="2025-04-13T14:15:00"/>
    <n v="39.166666671226267"/>
    <x v="0"/>
    <n v="2.7847222222189885"/>
    <n v="3"/>
    <n v="0.21527777778101154"/>
    <n v="66.833333333255723"/>
    <n v="24"/>
    <n v="42.833333333255723"/>
    <n v="3.6420233463101011"/>
    <m/>
    <m/>
    <m/>
    <m/>
    <m/>
  </r>
  <r>
    <d v="2025-04-11T00:00:00"/>
    <x v="3"/>
    <s v="NBL"/>
    <s v="OMIBKZ2RR"/>
    <m/>
    <s v="Benon Ssempijja"/>
    <s v="UAY 526V"/>
    <s v="KATO INVESTMENTS LIMITED-MASAK Tax No.: 1000098824"/>
    <n v="153.6"/>
    <s v="OMIBKZ2RR"/>
    <s v="OM"/>
    <n v="596"/>
    <n v="593"/>
    <n v="-3"/>
    <m/>
    <d v="2025-04-10T18:47:00"/>
    <d v="2025-04-11T04:14:00"/>
    <d v="2025-04-10T19:37:00"/>
    <n v="-514.60648147985921"/>
    <n v="49.768518513883464"/>
    <x v="10"/>
    <d v="2025-04-11T08:43:00"/>
    <d v="2025-04-11T12:55:00"/>
    <n v="246.75000000410364"/>
    <s v="Waited for empties from trade"/>
    <d v="2025-04-12T13:30:00"/>
    <d v="2025-04-12T14:20:00"/>
    <n v="48.958333328773733"/>
    <x v="13"/>
    <n v="1.7451388888875954"/>
    <n v="2"/>
    <n v="0.25486111111240461"/>
    <n v="41.883333333302289"/>
    <n v="12"/>
    <n v="29.883333333302289"/>
    <n v="5.1399888455156573"/>
    <m/>
    <m/>
    <m/>
    <m/>
    <m/>
  </r>
  <r>
    <d v="2025-04-12T00:00:00"/>
    <x v="3"/>
    <s v="NBL"/>
    <s v="OMB4NO9RR"/>
    <m/>
    <s v="Kabene John"/>
    <s v="UBA 523T"/>
    <s v="Kabaco U Ltd-Mbarara Tax No.: 1000025425"/>
    <n v="153.6"/>
    <s v="OMB4NO9RR"/>
    <s v="OM"/>
    <n v="20"/>
    <n v="19"/>
    <n v="-1"/>
    <m/>
    <d v="2025-04-12T11:35:00"/>
    <d v="2025-04-12T07:42:00"/>
    <d v="2025-04-12T12:03:00"/>
    <n v="259.79166666875244"/>
    <n v="27.870370367357584"/>
    <x v="0"/>
    <d v="2025-04-12T12:33:00"/>
    <d v="2025-04-12T16:59:00"/>
    <n v="260.45833333082555"/>
    <s v="Waited for empties from trade"/>
    <d v="2025-04-12T17:45:00"/>
    <d v="2025-04-12T18:25:00"/>
    <n v="39.166666671226267"/>
    <x v="0"/>
    <n v="0.23750000000291038"/>
    <n v="1"/>
    <n v="0.76249999999708962"/>
    <n v="5.7000000000698492"/>
    <n v="0"/>
    <n v="5.7000000000698492"/>
    <n v="26.947368420722412"/>
    <m/>
    <m/>
    <m/>
    <m/>
    <m/>
  </r>
  <r>
    <d v="2025-04-12T00:00:00"/>
    <x v="3"/>
    <s v="NBL"/>
    <s v="OMVC0I5RR"/>
    <m/>
    <s v="Tumusiime Robert"/>
    <s v="UBJ 988D"/>
    <s v="KATO INVESTMENTS LIMITED-MASAK Tax No.: 1000098824"/>
    <n v="153.6"/>
    <s v="OMVC0I5RR"/>
    <s v="OM"/>
    <n v="596"/>
    <n v="595"/>
    <n v="-1"/>
    <m/>
    <d v="2025-04-12T06:36:00"/>
    <d v="2025-04-12T04:14:00"/>
    <d v="2025-04-12T07:30:00"/>
    <n v="195.09259259236083"/>
    <n v="53.749999997914223"/>
    <x v="1"/>
    <d v="2025-04-12T12:54:00"/>
    <d v="2025-04-13T09:42:00"/>
    <n v="1222.0000000027358"/>
    <s v="truck faulty"/>
    <d v="2025-04-13T15:53:00"/>
    <d v="2025-04-13T16:38:00"/>
    <n v="44.0625"/>
    <x v="0"/>
    <n v="1.3493055555591127"/>
    <n v="2"/>
    <n v="0.65069444444088731"/>
    <n v="32.383333333418705"/>
    <n v="12"/>
    <n v="20.383333333418705"/>
    <n v="7.5355682747026984"/>
    <m/>
    <m/>
    <m/>
    <m/>
    <m/>
  </r>
  <r>
    <d v="2025-04-12T00:00:00"/>
    <x v="3"/>
    <s v="NBL"/>
    <s v="OM2JM1BRR"/>
    <m/>
    <s v="Mugisha  George"/>
    <s v="UAV 203T"/>
    <s v="Ntale &amp; Sons -Kakiri Tax No.: 1001371381"/>
    <n v="156"/>
    <s v="OM2JM1BRR"/>
    <s v="OM"/>
    <n v="620"/>
    <n v="619"/>
    <n v="-1"/>
    <m/>
    <d v="2025-04-11T19:23:00"/>
    <d v="2025-04-12T01:59:00"/>
    <d v="2025-04-11T20:02:00"/>
    <n v="-355.34722222291748"/>
    <n v="38.819444445834961"/>
    <x v="5"/>
    <d v="2025-04-12T18:30:00"/>
    <d v="2025-04-13T08:58:00"/>
    <n v="849.91666666712263"/>
    <s v="Reached late and offloaded the next day"/>
    <d v="2025-04-14T12:33:00"/>
    <d v="2025-04-14T13:11:00"/>
    <n v="37.208333331509493"/>
    <x v="0"/>
    <n v="2.6881944444467081"/>
    <n v="3"/>
    <n v="0.31180555555329192"/>
    <n v="64.516666666720994"/>
    <n v="24"/>
    <n v="40.516666666720994"/>
    <n v="3.8502673796739817"/>
    <m/>
    <m/>
    <m/>
    <m/>
    <m/>
  </r>
  <r>
    <d v="2025-04-12T00:00:00"/>
    <x v="3"/>
    <s v="NBL"/>
    <s v="OM36BOPRR"/>
    <m/>
    <s v="Luyaga Isaac"/>
    <s v="UAY 265V"/>
    <s v="Sawan Distributors Ltd-Nabingo Tax No.: 1000186379"/>
    <n v="156"/>
    <s v="OM36BOPRR"/>
    <s v="OM"/>
    <n v="560"/>
    <n v="559"/>
    <n v="-1"/>
    <m/>
    <d v="2025-04-11T19:22:00"/>
    <d v="2025-04-12T02:30:00"/>
    <d v="2025-04-11T19:50:00"/>
    <n v="-398.14814814235433"/>
    <n v="27.870370367357584"/>
    <x v="0"/>
    <d v="2025-04-12T13:43:00"/>
    <d v="2025-04-12T17:28:00"/>
    <n v="220.3125"/>
    <s v="Waited for empties from trade"/>
    <d v="2025-04-13T18:23:00"/>
    <d v="2025-04-13T19:14:00"/>
    <n v="49.93749999863212"/>
    <x v="11"/>
    <n v="1.9395833333328483"/>
    <n v="2"/>
    <n v="6.0416666667151731E-2"/>
    <n v="46.549999999988358"/>
    <n v="12"/>
    <n v="34.549999999988358"/>
    <n v="4.515195369031912"/>
    <m/>
    <m/>
    <m/>
    <m/>
    <m/>
  </r>
  <r>
    <d v="2025-04-13T00:00:00"/>
    <x v="3"/>
    <s v="NBL"/>
    <s v="OM6IVKZRR"/>
    <m/>
    <s v="Abel Mark naffa"/>
    <s v="UBJ 415C"/>
    <s v="Kabaco U Ltd-Mbarara Tax No.: 1000025425"/>
    <n v="153.6"/>
    <s v="OM6IVKZRR"/>
    <s v="OM"/>
    <n v="20"/>
    <n v="21"/>
    <n v="1"/>
    <m/>
    <d v="2025-04-13T07:04:00"/>
    <d v="2025-04-13T07:42:00"/>
    <d v="2025-04-13T07:30:00"/>
    <n v="-11.944444441663412"/>
    <n v="25.879629630556639"/>
    <x v="0"/>
    <d v="2025-04-13T15:37:00"/>
    <d v="2025-04-13T18:36:00"/>
    <n v="175.27083334040071"/>
    <m/>
    <d v="2025-04-14T08:34:00"/>
    <d v="2025-04-14T09:25:00"/>
    <n v="49.93749999863212"/>
    <x v="8"/>
    <n v="1.0444444444437977"/>
    <n v="1"/>
    <n v="-4.4444444443797693E-2"/>
    <n v="25.066666666651145"/>
    <n v="12"/>
    <n v="13.066666666651145"/>
    <n v="11.755102040830289"/>
    <m/>
    <m/>
    <m/>
    <m/>
    <m/>
  </r>
  <r>
    <d v="2025-04-13T00:00:00"/>
    <x v="3"/>
    <s v="NBL"/>
    <s v="OMYMRNDRR"/>
    <m/>
    <s v="Stephen Musoke "/>
    <s v="UBJ 375N"/>
    <s v="Kobusinge Steven-FPortal Tax No.: 1000977837"/>
    <n v="156"/>
    <s v="OMYMRNDRR"/>
    <s v="OM"/>
    <n v="304"/>
    <n v="303"/>
    <n v="-1"/>
    <m/>
    <d v="2025-04-12T18:21:00"/>
    <d v="2025-04-12T20:25:00"/>
    <d v="2025-04-12T18:49:00"/>
    <n v="-95.555555554165039"/>
    <n v="27.870370367357584"/>
    <x v="0"/>
    <d v="2025-04-13T11:51:00"/>
    <d v="2025-04-14T15:41:00"/>
    <n v="1635.2083333287737"/>
    <s v="truck faulty"/>
    <d v="2025-04-15T10:41:00"/>
    <d v="2025-04-15T11:23:00"/>
    <n v="41.12500000068394"/>
    <x v="0"/>
    <n v="2.6611111111124046"/>
    <n v="2"/>
    <n v="-0.66111111111240461"/>
    <n v="63.866666666697711"/>
    <n v="24"/>
    <n v="39.866666666697711"/>
    <n v="3.9130434782578223"/>
    <m/>
    <m/>
    <m/>
    <m/>
    <m/>
  </r>
  <r>
    <d v="2025-04-13T00:00:00"/>
    <x v="3"/>
    <s v="NBL"/>
    <s v="OM006PBRR"/>
    <m/>
    <s v="Kilabila Ismail"/>
    <s v="UBE 419T"/>
    <s v="Kabaco U Ltd Tax No.: 1000025425"/>
    <n v="156"/>
    <s v="OM006PBRR"/>
    <s v="OM"/>
    <n v="304"/>
    <n v="301"/>
    <n v="-3"/>
    <m/>
    <d v="2025-04-12T17:46:00"/>
    <d v="2025-04-13T02:22:00"/>
    <d v="2025-04-12T18:14:00"/>
    <n v="-485.7407407388867"/>
    <n v="27.870370367357584"/>
    <x v="0"/>
    <d v="2025-04-13T10:32:00"/>
    <d v="2025-04-13T16:15:00"/>
    <n v="335.85416667396203"/>
    <s v="Reached late and offloaded the next day"/>
    <d v="2025-04-14T12:20:00"/>
    <d v="2025-04-14T13:01:00"/>
    <n v="40.145833330825553"/>
    <x v="0"/>
    <n v="1.7541666666656965"/>
    <n v="2"/>
    <n v="0.24583333333430346"/>
    <n v="42.099999999976717"/>
    <n v="12"/>
    <n v="30.099999999976717"/>
    <n v="5.1827242524957029"/>
    <m/>
    <m/>
    <m/>
    <m/>
    <m/>
  </r>
  <r>
    <d v="2025-04-14T00:00:00"/>
    <x v="3"/>
    <s v="NBL"/>
    <s v="OMPHJ0CRR"/>
    <m/>
    <s v="ANGELO KYOSIGA "/>
    <s v="UAV 051U"/>
    <s v="Kato Investment Ltd -Mityana Tax No.: 1000098824"/>
    <n v="156"/>
    <s v="OMPHJ0CRR"/>
    <s v="OM"/>
    <n v="690"/>
    <n v="689"/>
    <n v="-1"/>
    <m/>
    <d v="2025-04-14T15:11:00"/>
    <d v="2025-04-14T19:35:00"/>
    <d v="2025-04-14T15:39:00"/>
    <n v="-234.90740740138185"/>
    <n v="27.870370367357584"/>
    <x v="0"/>
    <d v="2025-04-15T08:31:00"/>
    <d v="2025-04-15T15:21:00"/>
    <n v="401.45833332877373"/>
    <s v="Waited for empties from trade"/>
    <d v="2025-04-16T15:44:00"/>
    <d v="2025-04-16T16:26:00"/>
    <n v="41.12500000068394"/>
    <x v="0"/>
    <n v="2.0034722222189885"/>
    <n v="3"/>
    <n v="0.99652777778101154"/>
    <n v="48.083333333255723"/>
    <n v="24"/>
    <n v="24.083333333255723"/>
    <n v="6.4775086505399058"/>
    <m/>
    <m/>
    <m/>
    <m/>
    <m/>
  </r>
  <r>
    <d v="2025-04-14T00:00:00"/>
    <x v="3"/>
    <s v="NBL"/>
    <s v="OMULNXXRR"/>
    <m/>
    <s v="Jacob Oneka"/>
    <s v="UBE 422T"/>
    <s v="Ntale &amp; Sons Tax No.: 1001371381"/>
    <n v="153.6"/>
    <s v="OMULNXXRR"/>
    <s v="OM"/>
    <n v="810"/>
    <n v="809"/>
    <n v="-1"/>
    <m/>
    <d v="2025-04-14T08:50:00"/>
    <d v="2025-04-14T16:40:00"/>
    <d v="2025-04-14T09:16:00"/>
    <n v="-441.94444444583496"/>
    <n v="25.879629630556639"/>
    <x v="0"/>
    <d v="2025-04-14T19:44:00"/>
    <d v="2025-04-15T17:37:00"/>
    <n v="1285.6458333280898"/>
    <s v="Waited for empties from trade"/>
    <d v="2025-04-16T19:02:00"/>
    <d v="2025-04-16T19:52:00"/>
    <n v="48.958333328773733"/>
    <x v="8"/>
    <n v="2.4069444444467081"/>
    <n v="3"/>
    <n v="0.59305555555329192"/>
    <n v="57.766666666720994"/>
    <n v="24"/>
    <n v="33.766666666720994"/>
    <n v="4.5488647581368076"/>
    <m/>
    <m/>
    <m/>
    <m/>
    <m/>
  </r>
  <r>
    <d v="2025-04-14T00:00:00"/>
    <x v="3"/>
    <s v="NBL"/>
    <s v="OM5V83IRR"/>
    <m/>
    <s v="Bisaso  Ronald"/>
    <s v="UBK 875R"/>
    <s v="Kabaco U Ltd Tax No.: 1000025425"/>
    <n v="156"/>
    <s v="OM5V83IRR"/>
    <s v="OM"/>
    <n v="304"/>
    <n v="303"/>
    <n v="-1"/>
    <m/>
    <d v="2025-04-13T18:56:00"/>
    <d v="2025-04-14T08:00:00"/>
    <d v="2025-04-13T19:22:00"/>
    <n v="-754.49074074931559"/>
    <n v="25.879629630556639"/>
    <x v="0"/>
    <d v="2025-04-14T11:15:00"/>
    <d v="2025-04-14T15:21:00"/>
    <n v="240.87499999521242"/>
    <s v="Waited for empties from trade"/>
    <d v="2025-04-15T10:14:00"/>
    <d v="2025-04-15T10:55:00"/>
    <n v="40.145833330825553"/>
    <x v="0"/>
    <n v="1.6194444444481633"/>
    <n v="2"/>
    <n v="0.38055555555183673"/>
    <n v="38.866666666755918"/>
    <n v="12"/>
    <n v="26.866666666755918"/>
    <n v="5.8064516128839365"/>
    <m/>
    <m/>
    <m/>
    <m/>
    <m/>
  </r>
  <r>
    <d v="2025-04-14T00:00:00"/>
    <x v="3"/>
    <s v="NBL"/>
    <s v="OMAI56GRR"/>
    <m/>
    <s v="Benon Ssempijja"/>
    <s v="UAY 526V"/>
    <s v="Rugoma Traders-Rukungiri Tax No.: 1000249350"/>
    <n v="156"/>
    <s v="OMAI56GRR"/>
    <s v="OM"/>
    <n v="256"/>
    <n v="255"/>
    <n v="-1"/>
    <m/>
    <d v="2025-04-13T18:02:00"/>
    <d v="2025-04-14T08:00:00"/>
    <d v="2025-04-13T18:56:00"/>
    <n v="-780.37037036944332"/>
    <n v="53.749999997914223"/>
    <x v="11"/>
    <d v="2025-04-14T09:34:00"/>
    <d v="2025-04-14T14:42:00"/>
    <n v="301.58333334176859"/>
    <s v="truck faulty"/>
    <d v="2025-04-14T18:55:00"/>
    <d v="2025-04-14T19:37:00"/>
    <n v="41.12500000068394"/>
    <x v="0"/>
    <n v="0.99930555555329192"/>
    <n v="2"/>
    <n v="1.0006944444467081"/>
    <n v="23.983333333279006"/>
    <n v="0"/>
    <n v="23.983333333279006"/>
    <n v="6.5045170257270346"/>
    <m/>
    <m/>
    <m/>
    <m/>
    <m/>
  </r>
  <r>
    <d v="2025-04-14T00:00:00"/>
    <x v="3"/>
    <s v="NBL"/>
    <s v="OMT3S9HRR"/>
    <m/>
    <s v="Kabene John"/>
    <s v="UBA 523T"/>
    <s v="Ntale &amp; Sons Tax No.: 1001371381"/>
    <n v="153.6"/>
    <s v="OMT3S9HRR"/>
    <s v="OM"/>
    <n v="810"/>
    <n v="809"/>
    <n v="-1"/>
    <m/>
    <d v="2025-04-13T18:54:00"/>
    <d v="2025-04-14T16:40:00"/>
    <d v="2025-04-13T19:18:00"/>
    <n v="-1276.0648148131925"/>
    <n v="23.888888893755695"/>
    <x v="0"/>
    <d v="2025-04-14T17:53:00"/>
    <d v="2025-04-15T13:00:00"/>
    <n v="1123.1041666650708"/>
    <s v="Reached late and offloaded the next day"/>
    <d v="2025-04-16T14:21:00"/>
    <d v="2025-04-16T15:06:00"/>
    <n v="44.0625"/>
    <x v="0"/>
    <n v="2.7937499999970896"/>
    <n v="3"/>
    <n v="0.20625000000291038"/>
    <n v="67.049999999930151"/>
    <n v="24"/>
    <n v="43.049999999930151"/>
    <n v="3.5679442508768688"/>
    <m/>
    <m/>
    <m/>
    <m/>
    <m/>
  </r>
  <r>
    <d v="2025-04-14T00:00:00"/>
    <x v="3"/>
    <s v="NBL"/>
    <s v="OMMUSBERR"/>
    <m/>
    <s v="Isaac Tumuhimbise"/>
    <s v="UBE 287X"/>
    <s v="Kobusinge Steven-FPortal Tax No.: 1000977837"/>
    <n v="156"/>
    <s v="OMMUSBERR"/>
    <s v="OM"/>
    <n v="304"/>
    <n v="307"/>
    <n v="3"/>
    <m/>
    <d v="2025-04-13T18:16:00"/>
    <d v="2025-04-14T20:25:00"/>
    <d v="2025-04-13T18:58:00"/>
    <n v="-1519.9305555562507"/>
    <n v="41.805555556250816"/>
    <x v="2"/>
    <d v="2025-04-14T15:53:00"/>
    <d v="2025-04-15T11:28:00"/>
    <n v="1150.5208333287737"/>
    <s v="less casuals and offloaded the next day"/>
    <d v="2025-04-16T11:07:00"/>
    <d v="2025-04-16T11:48:00"/>
    <n v="40.145833330825553"/>
    <x v="0"/>
    <n v="2.6729166666627862"/>
    <n v="2"/>
    <n v="-0.67291666666278616"/>
    <n v="64.149999999906868"/>
    <n v="24"/>
    <n v="40.149999999906868"/>
    <n v="3.8854296388633092"/>
    <m/>
    <m/>
    <m/>
    <m/>
    <m/>
  </r>
  <r>
    <d v="2025-04-15T00:00:00"/>
    <x v="3"/>
    <s v="NBL"/>
    <s v="OMHQOVMRR"/>
    <m/>
    <s v="Bisaso  Ronald"/>
    <s v="UBK 875R"/>
    <s v="KATO INVESTMENTS LTD- KALISIZO Tax No.: 1000098824"/>
    <n v="153.6"/>
    <s v="OMHQOVMRR"/>
    <s v="OM"/>
    <n v="288"/>
    <n v="287"/>
    <n v="-1"/>
    <m/>
    <d v="2025-04-16T19:35:00"/>
    <d v="2025-04-15T03:43:00"/>
    <d v="2025-04-16T20:01:00"/>
    <n v="2406.8055555479077"/>
    <n v="25.879629630556639"/>
    <x v="0"/>
    <d v="2025-04-17T11:48:00"/>
    <d v="2025-04-17T17:27:00"/>
    <n v="331.93749999452848"/>
    <s v="found another truck to be offloaded"/>
    <d v="2025-04-18T13:10:00"/>
    <d v="2025-04-18T14:02:00"/>
    <n v="50.916666668490507"/>
    <x v="11"/>
    <n v="1.7145833333343035"/>
    <n v="2"/>
    <n v="0.28541666666569654"/>
    <n v="41.150000000023283"/>
    <n v="12"/>
    <n v="29.150000000023283"/>
    <n v="5.2692967409906455"/>
    <m/>
    <m/>
    <m/>
    <m/>
    <m/>
  </r>
  <r>
    <d v="2025-04-15T00:00:00"/>
    <x v="3"/>
    <s v="NBL"/>
    <s v="OMY9LNNRR"/>
    <m/>
    <s v="Konge Husein"/>
    <s v="UBJ 707D"/>
    <s v="Rugoma Traders-Kanungu/Kihihi Tax No.: 1000249350"/>
    <n v="153.6"/>
    <s v="OMY9LNNRR"/>
    <s v="OM"/>
    <n v="272"/>
    <n v="271"/>
    <n v="-1"/>
    <m/>
    <d v="2025-04-17T09:27:00"/>
    <d v="2025-04-16T01:59:00"/>
    <d v="2025-04-17T09:53:00"/>
    <n v="1905.1388888937556"/>
    <n v="25.879629630556639"/>
    <x v="0"/>
    <d v="2025-04-17T19:32:00"/>
    <d v="2025-04-18T13:19:00"/>
    <n v="1044.7708333328774"/>
    <s v="Waited for empties from trade"/>
    <d v="2025-04-18T19:23:00"/>
    <d v="2025-04-18T20:01:00"/>
    <n v="37.208333331509493"/>
    <x v="0"/>
    <n v="1.3958333333284827"/>
    <n v="2"/>
    <n v="0.60416666667151731"/>
    <n v="33.499999999883585"/>
    <n v="12"/>
    <n v="21.499999999883585"/>
    <n v="7.1441860465503106"/>
    <m/>
    <m/>
    <m/>
    <m/>
    <m/>
  </r>
  <r>
    <d v="2025-04-15T00:00:00"/>
    <x v="3"/>
    <s v="NBL"/>
    <s v="OMW92Y7RR"/>
    <m/>
    <s v="Stephen Musoke "/>
    <s v="UBJ 375N"/>
    <s v="Ntale &amp; Sons Tax No.: 1001371381"/>
    <n v="153.6"/>
    <s v="OMW92Y7RR"/>
    <s v="OM"/>
    <n v="810"/>
    <n v="807"/>
    <n v="-3"/>
    <m/>
    <d v="2025-04-15T19:10:00"/>
    <d v="2025-04-14T21:00:00"/>
    <d v="2025-04-15T19:34:00"/>
    <n v="1347.7314814840308"/>
    <n v="23.888888893755695"/>
    <x v="0"/>
    <d v="2025-04-16T18:45:00"/>
    <d v="2025-04-17T16:02:00"/>
    <n v="1250.3958333362971"/>
    <s v="Waited for empties from trade"/>
    <d v="2025-04-18T17:52:00"/>
    <d v="2025-04-18T18:41:00"/>
    <n v="47.979166669174447"/>
    <x v="5"/>
    <n v="2.929166666661331"/>
    <n v="3"/>
    <n v="7.0833333338669036E-2"/>
    <n v="70.299999999871943"/>
    <n v="24"/>
    <n v="46.299999999871943"/>
    <n v="3.3174946004411408"/>
    <m/>
    <m/>
    <m/>
    <m/>
    <m/>
  </r>
  <r>
    <d v="2025-04-15T00:00:00"/>
    <x v="3"/>
    <s v="NBL"/>
    <s v="OMK7BMWRR"/>
    <m/>
    <s v="Isaac Tumuhimbise"/>
    <s v="UBE 287X"/>
    <s v="Rugoma Traders-Kanungu/Kihihi Tax No.: 1000249350"/>
    <n v="153.6"/>
    <s v="OMK7BMWRR"/>
    <s v="OM"/>
    <n v="272"/>
    <n v="271"/>
    <n v="-1"/>
    <m/>
    <d v="2025-04-16T15:29:00"/>
    <d v="2025-04-16T01:59:00"/>
    <d v="2025-04-16T16:19:00"/>
    <n v="856.01851851388346"/>
    <n v="49.768518513883464"/>
    <x v="1"/>
    <d v="2025-04-17T10:12:00"/>
    <d v="2025-04-17T14:55:00"/>
    <n v="277.10416666712263"/>
    <s v="space consquents"/>
    <d v="2025-04-18T09:13:00"/>
    <d v="2025-04-18T09:54:00"/>
    <n v="40.145833330825553"/>
    <x v="0"/>
    <n v="1.7041666666700621"/>
    <n v="2"/>
    <n v="0.29583333332993789"/>
    <n v="40.900000000081491"/>
    <n v="12"/>
    <n v="28.900000000081491"/>
    <n v="5.3148788927185775"/>
    <m/>
    <m/>
    <m/>
    <m/>
    <m/>
  </r>
  <r>
    <d v="2025-04-15T00:00:00"/>
    <x v="3"/>
    <s v="NBL"/>
    <s v="OMQ88K5RR"/>
    <m/>
    <s v="Abel Mark naffa"/>
    <s v="UBJ 415C"/>
    <s v="KATO INVESTMENTS LTD- KALISIZO Tax No.: 1000098824"/>
    <n v="153.6"/>
    <s v="OMQ88K5RR"/>
    <s v="OM"/>
    <n v="288"/>
    <n v="286"/>
    <n v="-2"/>
    <m/>
    <d v="2025-04-15T11:37:00"/>
    <d v="2025-04-15T03:43:00"/>
    <d v="2025-04-15T12:01:00"/>
    <n v="495.69444444374921"/>
    <n v="23.888888893755695"/>
    <x v="0"/>
    <d v="2025-04-16T12:59:00"/>
    <d v="2025-04-16T15:08:00"/>
    <n v="126.31250000136788"/>
    <m/>
    <d v="2025-04-16T18:12:00"/>
    <d v="2025-04-16T18:54:00"/>
    <n v="41.12500000068394"/>
    <x v="0"/>
    <n v="1.257638888884685"/>
    <n v="2"/>
    <n v="0.742361111115315"/>
    <n v="30.18333333323244"/>
    <n v="12"/>
    <n v="18.18333333323244"/>
    <n v="8.4472960587086483"/>
    <m/>
    <m/>
    <m/>
    <m/>
    <m/>
  </r>
  <r>
    <d v="2025-04-15T00:00:00"/>
    <x v="3"/>
    <s v="NBL"/>
    <s v="OMS6KKIRR"/>
    <m/>
    <s v="Benon Ssempijja"/>
    <s v="UAY 526V"/>
    <s v="KATO INVESTMENTS LIMITED-MASAK Tax No.: 1000098824"/>
    <n v="153.6"/>
    <s v="OMS6KKIRR"/>
    <s v="OM"/>
    <n v="596"/>
    <n v="595"/>
    <n v="-1"/>
    <m/>
    <d v="2025-04-15T11:38:00"/>
    <d v="2025-04-15T04:14:00"/>
    <d v="2025-04-15T12:02:00"/>
    <n v="465.8333333291618"/>
    <n v="23.888888893755695"/>
    <x v="0"/>
    <d v="2025-04-15T19:19:00"/>
    <d v="2025-04-16T13:22:00"/>
    <n v="1060.4374999993161"/>
    <s v="Reached late and offloaded the next day"/>
    <d v="2025-04-16T19:26:00"/>
    <d v="2025-04-16T20:18:00"/>
    <n v="50.916666668490507"/>
    <x v="11"/>
    <n v="1.3083333333343035"/>
    <n v="2"/>
    <n v="0.69166666666569654"/>
    <n v="31.400000000023283"/>
    <n v="12"/>
    <n v="19.400000000023283"/>
    <n v="7.917525773186374"/>
    <m/>
    <m/>
    <m/>
    <m/>
    <m/>
  </r>
  <r>
    <d v="2025-04-15T00:00:00"/>
    <x v="3"/>
    <s v="NBL"/>
    <s v="OMQWSBARR"/>
    <m/>
    <s v="James  Kironde"/>
    <s v="UBK 881R"/>
    <s v="KATO INVESTMENTS LIMITED-MASAK Tax No.: 1000098824"/>
    <n v="153.6"/>
    <s v="OMQWSBARR"/>
    <s v="OM"/>
    <n v="596"/>
    <n v="595"/>
    <n v="-1"/>
    <m/>
    <d v="2025-04-15T10:30:00"/>
    <d v="2025-04-15T07:42:00"/>
    <d v="2025-04-15T10:56:00"/>
    <n v="193.10185185555989"/>
    <n v="25.879629630556639"/>
    <x v="0"/>
    <d v="2025-04-15T21:36:00"/>
    <d v="2025-04-16T11:34:00"/>
    <n v="820.54166666370293"/>
    <s v="Waited for empties from trade"/>
    <d v="2025-04-16T16:01:00"/>
    <d v="2025-04-16T16:46:00"/>
    <n v="44.0625"/>
    <x v="0"/>
    <n v="1.2118055555547471"/>
    <n v="2"/>
    <n v="0.78819444444525288"/>
    <n v="29.083333333313931"/>
    <n v="12"/>
    <n v="17.083333333313931"/>
    <n v="8.9912195122053333"/>
    <m/>
    <m/>
    <m/>
    <m/>
    <m/>
  </r>
  <r>
    <d v="2025-04-15T00:00:00"/>
    <x v="3"/>
    <s v="NBL"/>
    <s v="OMADN1KRR"/>
    <m/>
    <s v="GODWIN  NIWENSIIMA"/>
    <s v="UAR 731Q"/>
    <s v="KATO INVESTMENTS LIMITED-MASAK Tax No.: 1000098824"/>
    <n v="153.6"/>
    <s v="OMADN1KRR"/>
    <s v="OM"/>
    <n v="596"/>
    <n v="595"/>
    <n v="-1"/>
    <m/>
    <d v="2025-04-14T14:19:00"/>
    <d v="2025-04-14T15:00:00"/>
    <d v="2025-04-14T15:13:00"/>
    <n v="12.93981481527832"/>
    <n v="53.749999997914223"/>
    <x v="1"/>
    <d v="2025-04-15T10:03:00"/>
    <d v="2025-04-15T16:08:00"/>
    <n v="357.39583333903283"/>
    <s v="Waited for empties from trade"/>
    <d v="2025-04-16T12:39:00"/>
    <d v="2025-04-16T13:21:00"/>
    <n v="41.12500000068394"/>
    <x v="0"/>
    <n v="1.8930555555562023"/>
    <n v="2"/>
    <n v="0.10694444444379769"/>
    <n v="45.433333333348855"/>
    <n v="12"/>
    <n v="33.433333333348855"/>
    <n v="4.5942173479539985"/>
    <m/>
    <m/>
    <m/>
    <m/>
    <m/>
  </r>
  <r>
    <d v="2025-04-15T00:00:00"/>
    <x v="3"/>
    <s v="NBL"/>
    <s v="OMB5DYDRR"/>
    <m/>
    <s v="Mugisha  George"/>
    <s v="UAV 203T"/>
    <s v="Kato Investment Ltd -Kagadi Tax No.: 1000098824"/>
    <n v="156"/>
    <s v="OMB5DYDRR"/>
    <s v="OM"/>
    <n v="670"/>
    <n v="669"/>
    <n v="-1"/>
    <m/>
    <d v="2025-04-14T16:24:00"/>
    <d v="2025-04-14T17:46:00"/>
    <d v="2025-04-14T17:14:00"/>
    <n v="-31.851851851388346"/>
    <n v="49.768518513883464"/>
    <x v="12"/>
    <d v="2025-04-15T12:03:00"/>
    <d v="2025-04-15T17:23:00"/>
    <n v="313.33333333903283"/>
    <s v="truck faulty"/>
    <d v="2025-04-16T18:39:00"/>
    <d v="2025-04-16T19:21:00"/>
    <n v="41.12500000068394"/>
    <x v="0"/>
    <n v="2.0590277777810115"/>
    <n v="2"/>
    <n v="-5.9027777781011537E-2"/>
    <n v="49.416666666744277"/>
    <n v="24"/>
    <n v="25.416666666744277"/>
    <n v="6.1377049180140455"/>
    <m/>
    <m/>
    <m/>
    <m/>
    <m/>
  </r>
  <r>
    <d v="2025-04-15T00:00:00"/>
    <x v="3"/>
    <s v="KESH"/>
    <s v="OM1QSM2RR"/>
    <s v="DJ"/>
    <s v="MUKOSE MUZAMIRU"/>
    <s v="UBJ 417C"/>
    <s v="Kobusinge Acaali- Kyenjojo Tax No.: 1000977837"/>
    <n v="156"/>
    <s v="OM1QSM2RR"/>
    <s v="OM"/>
    <n v="580"/>
    <n v="579"/>
    <n v="-1"/>
    <m/>
    <d v="2025-04-14T22:10:00"/>
    <d v="2025-04-15T03:17:00"/>
    <d v="2025-04-14T22:34:00"/>
    <n v="-281.68981481527834"/>
    <n v="23.888888893755695"/>
    <x v="0"/>
    <d v="2025-04-15T10:17:00"/>
    <d v="2025-04-15T15:58:00"/>
    <n v="333.89583333424525"/>
    <s v="Reached late and offloaded the next day"/>
    <d v="2025-04-15T22:20:00"/>
    <d v="2025-04-15T23:01:00"/>
    <n v="40.145833330825553"/>
    <x v="0"/>
    <n v="0.99027777777519077"/>
    <n v="2"/>
    <n v="1.0097222222248092"/>
    <n v="23.766666666604578"/>
    <n v="0"/>
    <n v="23.766666666604578"/>
    <n v="6.5638148667773155"/>
    <m/>
    <m/>
    <m/>
    <m/>
    <m/>
  </r>
  <r>
    <d v="2025-04-15T00:00:00"/>
    <x v="3"/>
    <s v="NBL"/>
    <s v="OMRDJTARR"/>
    <m/>
    <s v="Luyaga Isaac"/>
    <s v="UAY 265V"/>
    <s v="Kato Investments Ltd- Kyegegwa Tax No.: 1000098824"/>
    <n v="156"/>
    <s v="OMRDJTARR"/>
    <s v="OM"/>
    <n v="600"/>
    <n v="599"/>
    <n v="-1"/>
    <m/>
    <d v="2025-04-14T12:32:00"/>
    <d v="2025-04-14T20:24:00"/>
    <d v="2025-04-14T12:56:00"/>
    <n v="-445.92592591943685"/>
    <n v="23.888888893755695"/>
    <x v="0"/>
    <d v="2025-04-15T07:32:00"/>
    <d v="2025-04-15T11:44:00"/>
    <n v="246.75000000410364"/>
    <s v="found another truck to be offloaded"/>
    <d v="2025-04-16T08:28:00"/>
    <d v="2025-04-16T09:13:00"/>
    <n v="44.0625"/>
    <x v="0"/>
    <n v="1.8138888888861402"/>
    <n v="2"/>
    <n v="0.18611111111385981"/>
    <n v="43.533333333267365"/>
    <n v="12"/>
    <n v="31.533333333267365"/>
    <n v="4.9471458773887855"/>
    <m/>
    <m/>
    <m/>
    <m/>
    <m/>
  </r>
  <r>
    <d v="2025-04-15T00:00:00"/>
    <x v="3"/>
    <s v="NBL"/>
    <s v="OMPC74IRR"/>
    <m/>
    <s v="James  Kironde"/>
    <s v="UBK 881R"/>
    <s v="Kabaco U Ltd-Mbarara Tax No.: 1000025425"/>
    <n v="153.6"/>
    <s v="OMPC74IRR"/>
    <s v="OM"/>
    <n v="20"/>
    <n v="18"/>
    <n v="-2"/>
    <m/>
    <d v="2025-04-15T18:33:00"/>
    <d v="2025-04-16T04:14:00"/>
    <d v="2025-04-15T19:26:00"/>
    <n v="-525.55555555833655"/>
    <n v="52.75462963472819"/>
    <x v="11"/>
    <d v="2025-04-15T12:27:00"/>
    <d v="2025-04-15T16:26:00"/>
    <n v="234.02083332672191"/>
    <s v="Waited for empties from trade"/>
    <d v="2025-04-15T17:00:00"/>
    <d v="2025-04-15T17:50:00"/>
    <n v="48.958333328773733"/>
    <x v="8"/>
    <n v="-0.101388888884685"/>
    <n v="1"/>
    <n v="1.101388888884685"/>
    <n v="-2.4333333332324401"/>
    <n v="-12"/>
    <n v="9.5666666667675599"/>
    <n v="16.055749128750531"/>
    <m/>
    <m/>
    <m/>
    <m/>
    <m/>
  </r>
  <r>
    <d v="2025-04-15T00:00:00"/>
    <x v="3"/>
    <s v="NBL"/>
    <s v="OMDHRHTRR"/>
    <m/>
    <s v="Kilabila Ismail"/>
    <s v="UBE 419T"/>
    <s v="Sawan Distributors Ltd-Kayabwe Tax No.: 1000186379"/>
    <n v="156"/>
    <s v="OMDHRHTRR"/>
    <s v="OM"/>
    <n v="382"/>
    <n v="381"/>
    <n v="-1"/>
    <m/>
    <d v="2025-04-14T16:34:00"/>
    <d v="2025-04-15T04:19:00"/>
    <d v="2025-04-14T17:00:00"/>
    <n v="-675.85648147360189"/>
    <n v="25.879629630556639"/>
    <x v="0"/>
    <d v="2025-04-15T10:34:00"/>
    <d v="2025-04-15T12:36:00"/>
    <n v="119.45833333287737"/>
    <m/>
    <d v="2025-04-16T11:03:00"/>
    <d v="2025-04-16T11:48:00"/>
    <n v="44.0625"/>
    <x v="0"/>
    <n v="1.7520833333328483"/>
    <n v="2"/>
    <n v="0.24791666666715173"/>
    <n v="42.049999999988358"/>
    <n v="12"/>
    <n v="30.049999999988358"/>
    <n v="5.191347753745772"/>
    <m/>
    <m/>
    <m/>
    <m/>
    <m/>
  </r>
  <r>
    <d v="2025-04-15T00:00:00"/>
    <x v="3"/>
    <s v="NBL"/>
    <s v="OMSEDWTRR"/>
    <m/>
    <s v="Bisaso  Ronald"/>
    <s v="UBK 875R"/>
    <s v="RUGOMA TRADERS CO. LTD NTUNGAM Tax No.: 1000249350"/>
    <n v="153.6"/>
    <s v="OMSEDWTRR"/>
    <s v="OM"/>
    <n v="150"/>
    <n v="149"/>
    <n v="-1"/>
    <m/>
    <d v="2025-04-15T17:40:00"/>
    <d v="2025-04-16T06:15:00"/>
    <d v="2025-04-15T18:04:00"/>
    <n v="-727.61574073471513"/>
    <n v="23.888888893755695"/>
    <x v="0"/>
    <d v="2025-04-16T09:43:00"/>
    <d v="2025-04-16T14:22:00"/>
    <n v="273.18749999794818"/>
    <s v="Waited for empties from trade"/>
    <d v="2025-04-16T16:49:00"/>
    <d v="2025-04-16T17:30:00"/>
    <n v="40.145833330825553"/>
    <x v="0"/>
    <n v="0.94791666666424135"/>
    <n v="1"/>
    <n v="5.2083333335758653E-2"/>
    <n v="22.749999999941792"/>
    <n v="0"/>
    <n v="22.749999999941792"/>
    <n v="6.7516483516656258"/>
    <m/>
    <m/>
    <m/>
    <m/>
    <m/>
  </r>
  <r>
    <d v="2025-04-16T00:00:00"/>
    <x v="3"/>
    <s v="NBL"/>
    <s v="OMVHCQMRR"/>
    <m/>
    <s v="GODWIN  NIWENSIIMA"/>
    <s v="UAR 731Q"/>
    <s v="Kabaco U Ltd Tax No.: 1000025425"/>
    <n v="156"/>
    <s v="OMVHCQMRR"/>
    <s v="OM"/>
    <n v="304"/>
    <n v="301"/>
    <n v="-3"/>
    <m/>
    <d v="2025-04-16T17:05:00"/>
    <d v="2025-04-16T02:22:00"/>
    <d v="2025-04-16T17:32:00"/>
    <n v="905.78703703819576"/>
    <n v="26.87500000417155"/>
    <x v="0"/>
    <d v="2025-04-17T12:06:00"/>
    <d v="2025-04-17T16:52:00"/>
    <n v="280.04166666643869"/>
    <s v="truck faulty"/>
    <d v="2025-04-18T11:48:00"/>
    <d v="2025-04-18T12:30:00"/>
    <n v="41.12500000068394"/>
    <x v="0"/>
    <n v="1.7611111111109494"/>
    <n v="2"/>
    <n v="0.23888888888905058"/>
    <n v="42.266666666662786"/>
    <n v="12"/>
    <n v="30.266666666662786"/>
    <n v="5.1541850220270922"/>
    <m/>
    <m/>
    <m/>
    <m/>
    <m/>
  </r>
  <r>
    <d v="2025-04-16T00:00:00"/>
    <x v="3"/>
    <s v="NBL"/>
    <s v="OMM41O1RR"/>
    <m/>
    <s v="Kilabila Ismail"/>
    <s v="UBE 419T"/>
    <s v="KATO INVESTMENTS LIMITED-MASAK Tax No.: 1000098824"/>
    <n v="153.6"/>
    <s v="OMM41O1RR"/>
    <s v="OM"/>
    <n v="596"/>
    <n v="595"/>
    <n v="-1"/>
    <m/>
    <d v="2025-04-17T16:48:00"/>
    <d v="2025-04-17T04:14:00"/>
    <d v="2025-04-17T17:14:00"/>
    <n v="776.3888888854126"/>
    <n v="25.879629630556639"/>
    <x v="0"/>
    <d v="2025-04-17T21:45:00"/>
    <d v="2025-04-18T13:46:00"/>
    <n v="940.97916666643869"/>
    <s v="Reached late and offloaded the next day"/>
    <d v="2025-04-18T18:29:00"/>
    <d v="2025-04-18T19:11:00"/>
    <n v="41.12500000068394"/>
    <x v="0"/>
    <n v="1.0520833333357587"/>
    <n v="2"/>
    <n v="0.94791666666424135"/>
    <n v="25.250000000058208"/>
    <n v="12"/>
    <n v="13.250000000058208"/>
    <n v="11.592452830137752"/>
    <m/>
    <m/>
    <m/>
    <m/>
    <m/>
  </r>
  <r>
    <d v="2025-04-16T00:00:00"/>
    <x v="3"/>
    <s v="NBL"/>
    <s v="OMM3RS8RR"/>
    <m/>
    <s v="Luyaga Isaac"/>
    <s v="UAY 265V"/>
    <s v="KATO INVESTMENTS LIMITED-MASAK Tax No.: 1000098824"/>
    <n v="153.6"/>
    <s v="OMM3RS8RR"/>
    <s v="OM"/>
    <n v="596"/>
    <n v="595"/>
    <n v="-1"/>
    <m/>
    <d v="2025-04-16T16:01:00"/>
    <d v="2025-04-16T04:14:00"/>
    <d v="2025-04-16T16:55:00"/>
    <n v="757.47685184930253"/>
    <n v="53.749999997914223"/>
    <x v="13"/>
    <d v="2025-04-17T11:34:00"/>
    <d v="2025-04-17T13:54:00"/>
    <n v="137.08333333903283"/>
    <m/>
    <d v="2025-04-18T09:21:00"/>
    <d v="2025-04-18T10:03:00"/>
    <n v="41.12500000068394"/>
    <x v="0"/>
    <n v="1.6847222222204437"/>
    <n v="2"/>
    <n v="0.31527777777955635"/>
    <n v="40.433333333290648"/>
    <n v="12"/>
    <n v="28.433333333290648"/>
    <n v="5.40211019930471"/>
    <m/>
    <m/>
    <m/>
    <m/>
    <m/>
  </r>
  <r>
    <d v="2025-04-16T00:00:00"/>
    <x v="3"/>
    <s v="NBL"/>
    <s v="OMNJM9ARR"/>
    <m/>
    <s v="Kabene John"/>
    <s v="UBA 523T"/>
    <s v="RUGOMA TRADERS CO. LTD NTUNGAM Tax No.: 1000249350"/>
    <n v="153.6"/>
    <s v="OMNJM9ARR"/>
    <s v="OM"/>
    <n v="150"/>
    <n v="149"/>
    <n v="-1"/>
    <m/>
    <d v="2025-04-16T18:29:00"/>
    <d v="2025-04-16T06:15:00"/>
    <d v="2025-04-16T18:53:00"/>
    <n v="754.49074074931559"/>
    <n v="23.888888893755695"/>
    <x v="0"/>
    <d v="2025-04-17T09:35:00"/>
    <d v="2025-04-17T15:11:00"/>
    <n v="329.00000000547152"/>
    <s v="found another truck to be offloaded"/>
    <d v="2025-04-17T17:30:00"/>
    <d v="2025-04-17T18:22:00"/>
    <n v="50.916666668490507"/>
    <x v="15"/>
    <n v="0.94236111110512866"/>
    <n v="1"/>
    <n v="5.7638888894871343E-2"/>
    <n v="22.616666666523088"/>
    <n v="0"/>
    <n v="22.616666666523088"/>
    <n v="6.7914517318043526"/>
    <m/>
    <m/>
    <m/>
    <m/>
    <m/>
  </r>
  <r>
    <d v="2025-04-16T00:00:00"/>
    <x v="3"/>
    <s v="NBL"/>
    <s v="OMR5MLBRR"/>
    <m/>
    <s v="Kilabila Ismail"/>
    <s v="UBE 419T"/>
    <s v="Kabaco U Ltd-Mbarara Tax No.: 1000025425"/>
    <n v="153.6"/>
    <s v="OMR5MLBRR"/>
    <s v="OM"/>
    <n v="20"/>
    <n v="21"/>
    <n v="1"/>
    <m/>
    <d v="2025-04-16T17:02:00"/>
    <d v="2025-04-16T07:42:00"/>
    <d v="2025-04-16T17:52:00"/>
    <n v="607.17592592360836"/>
    <n v="49.768518513883464"/>
    <x v="9"/>
    <d v="2025-04-16T18:39:00"/>
    <d v="2025-04-17T12:23:00"/>
    <n v="1041.8333333335613"/>
    <s v="Waited for empties from trade"/>
    <d v="2025-04-17T13:04:00"/>
    <d v="2025-04-17T13:53:00"/>
    <n v="47.979166669174447"/>
    <x v="11"/>
    <n v="0.80000000000291038"/>
    <n v="1"/>
    <n v="0.19999999999708962"/>
    <n v="19.200000000069849"/>
    <n v="0"/>
    <n v="19.200000000069849"/>
    <n v="7.9999999999708962"/>
    <m/>
    <m/>
    <m/>
    <m/>
    <m/>
  </r>
  <r>
    <d v="2025-04-16T00:00:00"/>
    <x v="3"/>
    <s v="KESH"/>
    <s v="OMG8VA0RR"/>
    <s v="DJ"/>
    <s v="ALLEX TAIMWA"/>
    <s v="UBJ 705D"/>
    <s v="Kato Investment Ltd -Mubende Tax No.: 1000098824"/>
    <n v="156"/>
    <s v="OMG8VA0RR"/>
    <s v="OM"/>
    <n v="680"/>
    <n v="677"/>
    <n v="-3"/>
    <m/>
    <d v="2025-04-16T06:21:00"/>
    <d v="2025-04-15T22:00:00"/>
    <d v="2025-04-16T06:47:00"/>
    <n v="524.56018518472172"/>
    <n v="25.879629630556639"/>
    <x v="0"/>
    <d v="2025-04-16T19:42:00"/>
    <d v="2025-04-17T12:38:00"/>
    <n v="994.83333333424525"/>
    <s v="Waited for empties from trade"/>
    <d v="2025-04-18T06:08:00"/>
    <d v="2025-04-18T06:53:00"/>
    <n v="44.0625"/>
    <x v="0"/>
    <n v="1.9729166666729725"/>
    <n v="3"/>
    <n v="1.0270833333270275"/>
    <n v="47.35000000015134"/>
    <n v="12"/>
    <n v="35.35000000015134"/>
    <n v="4.4130127298255202"/>
    <m/>
    <m/>
    <m/>
    <m/>
    <m/>
  </r>
  <r>
    <d v="2025-04-16T00:00:00"/>
    <x v="3"/>
    <s v="KESH"/>
    <s v="OM01H1MRR"/>
    <s v="DJ"/>
    <s v="SENTONG DAVID"/>
    <s v="UBP 298H"/>
    <s v="Boniface Harera Tax No.: 1000317747"/>
    <n v="156"/>
    <s v="OM01H1MRR"/>
    <s v="OM"/>
    <n v="448"/>
    <n v="447"/>
    <n v="-1"/>
    <m/>
    <d v="2025-04-15T12:17:00"/>
    <d v="2025-04-16T01:30:00"/>
    <d v="2025-04-15T12:41:00"/>
    <n v="-765.43981481736409"/>
    <n v="23.888888893755695"/>
    <x v="0"/>
    <d v="2025-04-16T08:32:00"/>
    <d v="2025-04-16T17:26:00"/>
    <n v="522.87500000136788"/>
    <s v="space consquents"/>
    <d v="2025-04-17T08:20:00"/>
    <d v="2025-04-17T09:02:00"/>
    <n v="41.12500000068394"/>
    <x v="0"/>
    <n v="1.8187499999985448"/>
    <n v="2"/>
    <n v="0.18125000000145519"/>
    <n v="43.649999999965075"/>
    <n v="12"/>
    <n v="31.649999999965075"/>
    <n v="4.9289099526120737"/>
    <m/>
    <m/>
    <m/>
    <m/>
    <m/>
  </r>
  <r>
    <d v="2025-04-17T00:00:00"/>
    <x v="3"/>
    <s v="NBL"/>
    <s v="OMGG1SURR"/>
    <m/>
    <s v="Mugisha  George"/>
    <s v="UAV 203T"/>
    <s v="Kato Investment Ltd -Kagadi Tax No.: 1000098824"/>
    <n v="156"/>
    <s v="OMGG1SURR"/>
    <s v="OM"/>
    <n v="670"/>
    <n v="671"/>
    <n v="1"/>
    <m/>
    <d v="2025-04-17T14:10:00"/>
    <d v="2025-04-16T21:00:00"/>
    <d v="2025-04-17T14:36:00"/>
    <n v="1051.1111111062444"/>
    <n v="25.879629630556639"/>
    <x v="0"/>
    <d v="2025-04-18T12:03:00"/>
    <d v="2025-04-18T17:47:00"/>
    <n v="336.83333333356131"/>
    <s v="Reached late and offloaded the next day"/>
    <d v="2025-04-21T09:08:00"/>
    <d v="2025-04-21T09:50:00"/>
    <n v="41.12500000068394"/>
    <x v="0"/>
    <n v="3.7722222222291748"/>
    <n v="2"/>
    <n v="-1.7722222222291748"/>
    <n v="90.533333333500195"/>
    <n v="36"/>
    <n v="54.533333333500195"/>
    <n v="2.8606356968127629"/>
    <m/>
    <m/>
    <m/>
    <m/>
    <m/>
  </r>
  <r>
    <d v="2025-04-17T00:00:00"/>
    <x v="3"/>
    <s v="NBL"/>
    <s v="OMV8ARVRR"/>
    <m/>
    <s v="Jacob Oneka"/>
    <s v="UBE 422T"/>
    <s v="Rugoma Traders-Kanungu/Kihihi Tax No.: 1000249350"/>
    <n v="153.6"/>
    <s v="OMV8ARVRR"/>
    <s v="OM"/>
    <n v="272"/>
    <n v="271"/>
    <n v="-1"/>
    <m/>
    <d v="2025-04-17T17:13:00"/>
    <d v="2025-04-17T01:59:00"/>
    <d v="2025-04-17T17:52:00"/>
    <n v="948.58796295763261"/>
    <n v="38.819444445834961"/>
    <x v="11"/>
    <d v="2025-04-18T10:57:00"/>
    <d v="2025-04-18T17:48:00"/>
    <n v="402.43749999863212"/>
    <s v="Waited for empties from trade"/>
    <d v="2025-04-19T10:52:00"/>
    <d v="2025-04-19T11:34:00"/>
    <n v="41.12500000068394"/>
    <x v="0"/>
    <n v="1.7083333333357587"/>
    <n v="2"/>
    <n v="0.29166666666424135"/>
    <n v="41.000000000058208"/>
    <n v="12"/>
    <n v="29.000000000058208"/>
    <n v="5.2965517241272995"/>
    <m/>
    <m/>
    <m/>
    <m/>
    <m/>
  </r>
  <r>
    <d v="2025-04-17T00:00:00"/>
    <x v="3"/>
    <s v="NBL"/>
    <s v="OMWNC5GRR"/>
    <m/>
    <s v="Benon Ssempijja"/>
    <s v="UAY 526V"/>
    <s v="KATO INVESTMENTS LTD- KALISIZO Tax No.: 1000098824"/>
    <n v="153.6"/>
    <s v="OMWNC5GRR"/>
    <s v="OM"/>
    <n v="288"/>
    <n v="286"/>
    <n v="-2"/>
    <m/>
    <d v="2025-04-17T09:33:00"/>
    <d v="2025-04-17T03:43:00"/>
    <d v="2025-04-17T09:57:00"/>
    <n v="372.26851851179771"/>
    <n v="23.888888893755695"/>
    <x v="0"/>
    <d v="2025-04-17T14:46:00"/>
    <d v="2025-04-17T21:33:00"/>
    <n v="398.52083333971677"/>
    <s v="Waited for empties from trade"/>
    <d v="2025-04-18T13:24:00"/>
    <d v="2025-04-18T14:02:00"/>
    <n v="37.208333331509493"/>
    <x v="0"/>
    <n v="1.1437500000029104"/>
    <n v="2"/>
    <n v="0.85624999999708962"/>
    <n v="27.450000000069849"/>
    <n v="12"/>
    <n v="15.450000000069849"/>
    <n v="9.9417475727705877"/>
    <m/>
    <m/>
    <m/>
    <m/>
    <m/>
  </r>
  <r>
    <d v="2025-04-17T00:00:00"/>
    <x v="3"/>
    <s v="NBL"/>
    <s v="OMZAGCBRR"/>
    <m/>
    <s v="Tumusiime Robert"/>
    <s v="UBJ 988D"/>
    <s v="RUGOMA TRADERS CO. LTD NTUNGAM Tax No.: 1000249350"/>
    <n v="153.6"/>
    <s v="OMZAGCBRR"/>
    <s v="OM"/>
    <n v="150"/>
    <n v="148"/>
    <n v="-2"/>
    <m/>
    <d v="2025-04-17T11:28:00"/>
    <d v="2025-04-17T06:15:00"/>
    <d v="2025-04-17T11:52:00"/>
    <n v="335.43981481319253"/>
    <n v="23.888888893755695"/>
    <x v="0"/>
    <d v="2025-04-17T14:01:00"/>
    <d v="2025-04-17T20:09:00"/>
    <n v="360.33333333834889"/>
    <s v="truck faulty"/>
    <d v="2025-04-18T10:32:00"/>
    <d v="2025-04-18T11:14:00"/>
    <n v="41.12500000068394"/>
    <x v="0"/>
    <n v="0.94444444444525288"/>
    <n v="1"/>
    <n v="5.5555555554747116E-2"/>
    <n v="22.666666666686069"/>
    <n v="0"/>
    <n v="22.666666666686069"/>
    <n v="6.7764705882294933"/>
    <m/>
    <m/>
    <m/>
    <m/>
    <m/>
  </r>
  <r>
    <d v="2025-04-17T00:00:00"/>
    <x v="3"/>
    <s v="KESH"/>
    <s v="OM2RNADRR"/>
    <s v="DJ"/>
    <s v="MUKOSE MUZAMIRU"/>
    <s v="UBJ 417C"/>
    <s v="Boniface Harera Tax No.: 1000317747"/>
    <n v="156"/>
    <s v="OM2RNADRR"/>
    <s v="OM"/>
    <n v="448"/>
    <n v="447"/>
    <n v="-1"/>
    <m/>
    <d v="2025-04-16T22:13:00"/>
    <d v="2025-04-17T01:30:00"/>
    <d v="2025-04-16T22:37:00"/>
    <n v="-172.19907407222004"/>
    <n v="23.888888893755695"/>
    <x v="0"/>
    <d v="2025-04-17T17:04:00"/>
    <d v="2025-04-18T12:53:00"/>
    <n v="1164.2291666760138"/>
    <s v="Reached late and offloaded the next day"/>
    <d v="2025-04-18T20:33:00"/>
    <d v="2025-04-18T21:25:00"/>
    <n v="50.916666668490507"/>
    <x v="4"/>
    <n v="1.913888888884685"/>
    <n v="2"/>
    <n v="8.6111111115314998E-2"/>
    <n v="45.93333333323244"/>
    <n v="12"/>
    <n v="33.93333333323244"/>
    <n v="4.5972495088545333"/>
    <m/>
    <m/>
    <m/>
    <m/>
    <m/>
  </r>
  <r>
    <d v="2025-04-17T00:00:00"/>
    <x v="3"/>
    <s v="NBL"/>
    <s v="OMBDVRIRR"/>
    <m/>
    <s v="Abel Mark naffa"/>
    <s v="UBJ 415C"/>
    <s v="KATO INVESTMENTS LIMITED-MASAK Tax No.: 1000098824"/>
    <n v="153.6"/>
    <s v="OMBDVRIRR"/>
    <s v="OM"/>
    <n v="596"/>
    <n v="593"/>
    <n v="-3"/>
    <m/>
    <d v="2025-04-16T21:17:00"/>
    <d v="2025-04-17T04:14:00"/>
    <d v="2025-04-16T21:43:00"/>
    <n v="-389.18981481110677"/>
    <n v="25.879629630556639"/>
    <x v="0"/>
    <d v="2025-04-17T14:14:00"/>
    <d v="2025-04-17T16:41:00"/>
    <n v="143.93750000752334"/>
    <m/>
    <d v="2025-04-18T07:28:00"/>
    <d v="2025-04-18T08:06:00"/>
    <n v="37.208333331509493"/>
    <x v="0"/>
    <n v="1.40625"/>
    <n v="2"/>
    <n v="0.59375"/>
    <n v="33.75"/>
    <n v="12"/>
    <n v="21.75"/>
    <n v="7.0620689655172413"/>
    <m/>
    <m/>
    <m/>
    <m/>
    <m/>
  </r>
  <r>
    <d v="2025-04-18T00:00:00"/>
    <x v="3"/>
    <s v="NBL"/>
    <s v="OM5C607RR"/>
    <m/>
    <s v="ANGELO KYOSIGA "/>
    <s v="UAV 051U"/>
    <s v="KATO INVESTMENTS LTD- KALISIZO Tax No.: 1000098824"/>
    <n v="153.6"/>
    <s v="OM5C607RR"/>
    <s v="OM"/>
    <n v="288"/>
    <n v="287"/>
    <n v="-1"/>
    <m/>
    <d v="2025-04-19T10:15:00"/>
    <d v="2025-04-18T03:43:00"/>
    <d v="2025-04-19T10:43:00"/>
    <n v="1851.3888888854126"/>
    <n v="27.870370367357584"/>
    <x v="0"/>
    <d v="2025-04-19T19:53:00"/>
    <d v="2025-04-20T12:10:00"/>
    <n v="956.64583333287737"/>
    <s v="Waited for empties from trade"/>
    <d v="2025-04-20T17:14:00"/>
    <d v="2025-04-20T18:04:00"/>
    <n v="48.958333328773733"/>
    <x v="13"/>
    <n v="1.2715277777751908"/>
    <n v="2"/>
    <n v="0.72847222222480923"/>
    <n v="30.516666666604578"/>
    <n v="12"/>
    <n v="18.516666666604578"/>
    <n v="8.2952295229801098"/>
    <m/>
    <m/>
    <m/>
    <m/>
    <m/>
  </r>
  <r>
    <d v="2025-04-18T00:00:00"/>
    <x v="3"/>
    <s v="NBL"/>
    <s v="OMTN5Q3RR"/>
    <m/>
    <s v="Benon Ssempijja"/>
    <s v="UAY 526V"/>
    <s v="Sawan Distributors Ltd-Nabingo Tax No.: 1000186379"/>
    <n v="156"/>
    <s v="OMTN5Q3RR"/>
    <s v="OM"/>
    <n v="560"/>
    <n v="559"/>
    <n v="-1"/>
    <m/>
    <d v="2025-04-19T09:01:00"/>
    <d v="2025-04-18T02:30:00"/>
    <d v="2025-04-19T09:26:00"/>
    <n v="1847.4074074118107"/>
    <n v="24.884259256941732"/>
    <x v="0"/>
    <d v="2025-04-18T17:30:00"/>
    <d v="2025-04-18T20:29:00"/>
    <n v="175.27083334040071"/>
    <m/>
    <d v="2025-04-21T18:17:00"/>
    <d v="2025-04-21T18:59:00"/>
    <n v="41.12500000068394"/>
    <x v="0"/>
    <n v="2.3687500000014552"/>
    <n v="2"/>
    <n v="-0.36875000000145519"/>
    <n v="56.850000000034925"/>
    <n v="24"/>
    <n v="32.850000000034925"/>
    <n v="4.7488584474835358"/>
    <m/>
    <m/>
    <m/>
    <m/>
    <m/>
  </r>
  <r>
    <d v="2025-04-18T00:00:00"/>
    <x v="3"/>
    <s v="NBL"/>
    <s v="OMEFD9TRR"/>
    <m/>
    <s v="Bisaso  Ronald"/>
    <s v="UBK 875R"/>
    <s v="Ntale &amp; Sons -Kakiri Tax No.: 1001371381"/>
    <n v="156"/>
    <s v="OMEFD9TRR"/>
    <s v="OM"/>
    <n v="620"/>
    <n v="617"/>
    <n v="-3"/>
    <m/>
    <d v="2025-04-19T06:11:00"/>
    <d v="2025-04-18T01:59:00"/>
    <d v="2025-04-19T06:53:00"/>
    <n v="1725.9722222270891"/>
    <n v="41.805555556250816"/>
    <x v="9"/>
    <d v="2025-04-19T15:30:00"/>
    <d v="2025-04-19T20:56:00"/>
    <n v="319.20833332740585"/>
    <s v="Reached late and offloaded the next day"/>
    <d v="2025-04-21T20:04:00"/>
    <d v="2025-04-21T20:46:00"/>
    <n v="41.12500000068394"/>
    <x v="0"/>
    <n v="2.5493055555489263"/>
    <n v="3"/>
    <n v="0.45069444445107365"/>
    <n v="61.183333333174232"/>
    <n v="24"/>
    <n v="37.183333333174232"/>
    <n v="4.1954280591842448"/>
    <m/>
    <m/>
    <m/>
    <m/>
    <m/>
  </r>
  <r>
    <d v="2025-04-18T00:00:00"/>
    <x v="3"/>
    <s v="KESH"/>
    <s v="OMKDJQPRR"/>
    <s v="DJ"/>
    <s v="ALLEX TAIMWA"/>
    <s v="UBJ 705D"/>
    <s v="Kato Investment Ltd -Mityana Tax No.: 1000098824"/>
    <n v="156"/>
    <s v="OMKDJQPRR"/>
    <s v="OM"/>
    <n v="690"/>
    <n v="688"/>
    <n v="-2"/>
    <m/>
    <d v="2025-04-18T09:18:00"/>
    <d v="2025-04-17T21:00:00"/>
    <d v="2025-04-18T10:12:00"/>
    <n v="788.33333333750488"/>
    <n v="53.749999997914223"/>
    <x v="12"/>
    <d v="2025-04-19T09:49:00"/>
    <d v="2025-04-19T17:38:00"/>
    <n v="459.22916666575475"/>
    <s v="found another truck to be offloaded"/>
    <d v="2025-04-20T17:46:00"/>
    <d v="2025-04-20T18:38:00"/>
    <n v="50.916666668490507"/>
    <x v="11"/>
    <n v="2.3152777777722804"/>
    <n v="3"/>
    <n v="0.68472222222771961"/>
    <n v="55.566666666534729"/>
    <n v="24"/>
    <n v="31.566666666534729"/>
    <n v="4.9419218585211837"/>
    <m/>
    <m/>
    <m/>
    <m/>
    <m/>
  </r>
  <r>
    <d v="2025-04-18T00:00:00"/>
    <x v="3"/>
    <s v="NBL"/>
    <s v="OMWD15ERR"/>
    <m/>
    <s v="Isaac Tumuhimbise"/>
    <s v="UBE 287X"/>
    <s v="KATO INVESTMENTS LTD- KALISIZO Tax No.: 1000098824"/>
    <n v="153.6"/>
    <s v="OMWD15ERR"/>
    <s v="OM"/>
    <n v="288"/>
    <n v="286"/>
    <n v="-2"/>
    <m/>
    <d v="2025-04-18T15:46:00"/>
    <d v="2025-04-18T03:43:00"/>
    <d v="2025-04-18T16:14:00"/>
    <n v="747.52314814444014"/>
    <n v="27.870370367357584"/>
    <x v="0"/>
    <d v="2025-04-19T09:58:00"/>
    <d v="2025-04-19T13:27:00"/>
    <n v="204.64583333356131"/>
    <s v="Waited for empties from trade"/>
    <d v="2025-04-20T10:17:00"/>
    <d v="2025-04-20T10:55:00"/>
    <n v="37.208333331509493"/>
    <x v="0"/>
    <n v="1.7520833333328483"/>
    <n v="2"/>
    <n v="0.24791666666715173"/>
    <n v="42.049999999988358"/>
    <n v="12"/>
    <n v="30.049999999988358"/>
    <n v="5.1114808652266053"/>
    <m/>
    <m/>
    <m/>
    <m/>
    <m/>
  </r>
  <r>
    <d v="2025-04-18T00:00:00"/>
    <x v="3"/>
    <s v="NBL"/>
    <s v="OMVSA1TRR"/>
    <m/>
    <s v="Abel Mark naffa"/>
    <s v="UBJ 415C"/>
    <s v="Kabaco U Ltd Tax No.: 1000025425"/>
    <n v="156"/>
    <s v="OMVSA1TRR"/>
    <s v="OM"/>
    <n v="304"/>
    <n v="302"/>
    <n v="-2"/>
    <m/>
    <d v="2025-04-18T12:59:00"/>
    <d v="2025-04-18T02:22:00"/>
    <d v="2025-04-18T13:27:00"/>
    <n v="661.92129629513749"/>
    <n v="27.870370367357584"/>
    <x v="0"/>
    <d v="2025-04-19T08:11:00"/>
    <d v="2025-04-19T10:58:00"/>
    <n v="163.52083333287737"/>
    <m/>
    <d v="2025-04-19T11:31:00"/>
    <d v="2025-04-19T12:20:00"/>
    <n v="47.979166669174447"/>
    <x v="5"/>
    <n v="0.91944444444379769"/>
    <n v="2"/>
    <n v="1.0805555555562023"/>
    <n v="22.066666666651145"/>
    <n v="0"/>
    <n v="22.066666666651145"/>
    <n v="7.06948640483881"/>
    <m/>
    <m/>
    <m/>
    <m/>
    <m/>
  </r>
  <r>
    <d v="2025-04-18T00:00:00"/>
    <x v="3"/>
    <s v="NBL"/>
    <s v="OMDLVFYRR"/>
    <m/>
    <s v="Luyaga Isaac"/>
    <s v="UAY 265V"/>
    <s v="KATO INVESTMENTS LIMITED-MASAK Tax No.: 1000098824"/>
    <n v="153.6"/>
    <s v="OMDLVFYRR"/>
    <s v="OM"/>
    <n v="596"/>
    <n v="595"/>
    <n v="-1"/>
    <m/>
    <d v="2025-04-18T14:30:00"/>
    <d v="2025-04-18T04:14:00"/>
    <d v="2025-04-18T14:58:00"/>
    <n v="641.0185185222266"/>
    <n v="27.870370367357584"/>
    <x v="0"/>
    <d v="2025-04-18T20:45:00"/>
    <d v="2025-04-18T22:59:00"/>
    <n v="131.20833333014161"/>
    <m/>
    <d v="2025-04-19T07:53:00"/>
    <d v="2025-04-19T08:35:00"/>
    <n v="41.12500000068394"/>
    <x v="0"/>
    <n v="0.70486111110949423"/>
    <n v="2"/>
    <n v="1.2951388888905058"/>
    <n v="16.916666666627862"/>
    <n v="0"/>
    <n v="16.916666666627862"/>
    <n v="9.079802955685853"/>
    <m/>
    <m/>
    <m/>
    <m/>
    <m/>
  </r>
  <r>
    <d v="2025-04-18T00:00:00"/>
    <x v="3"/>
    <s v="NBL"/>
    <s v="OMCAO90RR"/>
    <m/>
    <s v="Tumusiime Robert"/>
    <s v="UBJ 988D"/>
    <s v="Kabaco U Ltd-Mbarara Tax No.: 1000025425"/>
    <n v="153.6"/>
    <s v="OMCAO90RR"/>
    <s v="OM"/>
    <n v="20"/>
    <n v="19"/>
    <n v="-1"/>
    <m/>
    <d v="2025-04-18T14:56:00"/>
    <d v="2025-04-18T07:42:00"/>
    <d v="2025-04-18T15:22:00"/>
    <n v="457.87037037152913"/>
    <n v="25.879629630556639"/>
    <x v="0"/>
    <d v="2025-04-19T19:34:00"/>
    <d v="2025-04-20T13:39:00"/>
    <n v="1062.3958333287737"/>
    <s v="truck faulty"/>
    <d v="2025-04-21T09:55:00"/>
    <d v="2025-04-21T10:44:00"/>
    <n v="47.979166669174447"/>
    <x v="12"/>
    <n v="2.7729166666686069"/>
    <n v="1"/>
    <n v="-1.7729166666686069"/>
    <n v="66.550000000046566"/>
    <n v="24"/>
    <n v="42.550000000046566"/>
    <n v="3.6098707403015724"/>
    <m/>
    <m/>
    <m/>
    <m/>
    <m/>
  </r>
  <r>
    <d v="2025-04-18T00:00:00"/>
    <x v="3"/>
    <s v="NBL"/>
    <s v="OMBB5YORR"/>
    <m/>
    <s v="Kabene John"/>
    <s v="UBA 523T"/>
    <s v="RUGOMA TRADERS CO. LTD NTUNGAM Tax No.: 1000249350"/>
    <n v="153.6"/>
    <s v="OMBB5YORR"/>
    <s v="OM"/>
    <n v="150"/>
    <n v="149"/>
    <n v="-1"/>
    <m/>
    <d v="2025-04-18T09:28:00"/>
    <d v="2025-04-18T04:14:00"/>
    <d v="2025-04-18T09:54:00"/>
    <n v="338.42592592360842"/>
    <n v="25.879629630556639"/>
    <x v="0"/>
    <d v="2025-04-20T10:53:00"/>
    <d v="2025-04-20T14:59:00"/>
    <n v="240.87499999521242"/>
    <s v="Reached late and offloaded the next day"/>
    <d v="2025-04-19T12:21:00"/>
    <d v="2025-04-19T13:03:00"/>
    <n v="41.12500000068394"/>
    <x v="0"/>
    <n v="1.1020833333313931"/>
    <n v="1"/>
    <n v="-0.10208333333139308"/>
    <n v="26.449999999953434"/>
    <n v="12"/>
    <n v="14.449999999953434"/>
    <n v="10.629757785501383"/>
    <m/>
    <m/>
    <m/>
    <m/>
    <m/>
  </r>
  <r>
    <d v="2025-04-18T00:00:00"/>
    <x v="3"/>
    <s v="KESH"/>
    <s v="OM2B6ZERR"/>
    <s v="DJ"/>
    <s v="SENTONG DAVID"/>
    <s v="UBP 298H"/>
    <s v="Kabaco U Ltd Tax No.: 1000025425"/>
    <n v="156"/>
    <s v="OM2B6ZERR"/>
    <s v="OM"/>
    <n v="304"/>
    <n v="303"/>
    <n v="-1"/>
    <m/>
    <d v="2025-04-17T21:27:00"/>
    <d v="2025-04-18T02:22:00"/>
    <d v="2025-04-17T21:55:00"/>
    <n v="-265.76388888958417"/>
    <n v="27.870370367357584"/>
    <x v="0"/>
    <d v="2025-04-18T07:58:00"/>
    <d v="2025-04-18T16:54:00"/>
    <n v="524.83333334108465"/>
    <s v="less casuals and offloaded the next day"/>
    <d v="2025-04-19T10:21:00"/>
    <d v="2025-04-19T10:59:00"/>
    <n v="37.208333331509493"/>
    <x v="0"/>
    <n v="1.5180555555562023"/>
    <n v="2"/>
    <n v="0.48194444444379769"/>
    <n v="36.433333333348855"/>
    <n v="12"/>
    <n v="24.433333333348855"/>
    <n v="6.3847203274174991"/>
    <m/>
    <m/>
    <m/>
    <m/>
    <m/>
  </r>
  <r>
    <d v="2025-04-18T00:00:00"/>
    <x v="3"/>
    <s v="NBL"/>
    <s v="OMXH4DRRR"/>
    <m/>
    <s v="Benon Ssempijja"/>
    <s v="UAY 526V"/>
    <s v="Kabaco U Ltd-Mbarara Tax No.: 1000025425"/>
    <n v="153.6"/>
    <s v="OMXH4DRRR"/>
    <s v="OM"/>
    <n v="20"/>
    <n v="21"/>
    <n v="1"/>
    <m/>
    <d v="2025-04-18T16:22:00"/>
    <d v="2025-04-19T07:42:00"/>
    <d v="2025-04-18T17:01:00"/>
    <n v="-876.92129629722331"/>
    <n v="38.819444445834961"/>
    <x v="5"/>
    <d v="2025-04-19T16:35:00"/>
    <d v="2025-04-19T19:57:00"/>
    <n v="197.79166667532991"/>
    <s v="found another truck to be offloaded"/>
    <d v="2025-04-18T20:58:00"/>
    <d v="2025-04-18T21:47:00"/>
    <n v="47.979166669174447"/>
    <x v="11"/>
    <n v="0.16458333333866904"/>
    <n v="1"/>
    <n v="0.83541666666133096"/>
    <n v="3.9500000001280569"/>
    <n v="0"/>
    <n v="3.9500000001280569"/>
    <n v="38.886075948106424"/>
    <m/>
    <m/>
    <m/>
    <m/>
    <m/>
  </r>
  <r>
    <d v="2025-04-18T00:00:00"/>
    <x v="3"/>
    <s v="NBL"/>
    <s v="OMRSQ20RR"/>
    <m/>
    <s v="Bisaso  Ronald"/>
    <s v="UBK 875R"/>
    <s v="Kabaco U Ltd-Mbarara Tax No.: 1000025425"/>
    <n v="153.6"/>
    <s v="OMRSQ20RR"/>
    <s v="OM"/>
    <n v="20"/>
    <n v="18"/>
    <n v="-2"/>
    <m/>
    <d v="2025-04-18T15:57:00"/>
    <d v="2025-04-19T07:42:00"/>
    <d v="2025-04-18T16:23:00"/>
    <n v="-914.74537036944332"/>
    <n v="25.879629630556639"/>
    <x v="0"/>
    <d v="2025-04-18T16:54:00"/>
    <d v="2025-04-18T18:47:00"/>
    <n v="110.64583332467009"/>
    <m/>
    <d v="2025-04-18T19:14:00"/>
    <d v="2025-04-18T19:59:00"/>
    <n v="44.0625"/>
    <x v="0"/>
    <n v="0.11875000000145519"/>
    <n v="1"/>
    <n v="0.88124999999854481"/>
    <n v="2.8500000000349246"/>
    <n v="0"/>
    <n v="2.8500000000349246"/>
    <n v="53.894736841444825"/>
    <m/>
    <m/>
    <m/>
    <m/>
    <m/>
  </r>
  <r>
    <d v="2025-04-19T00:00:00"/>
    <x v="3"/>
    <s v="NBL"/>
    <s v="OM5UP8WRR"/>
    <m/>
    <s v="Kabene John"/>
    <s v="UBA 523T"/>
    <s v="KATO INVESTMENTS LIMITED-MASAK Tax No.: 1000098824"/>
    <n v="153.6"/>
    <s v="OM5UP8WRR"/>
    <s v="OM"/>
    <n v="596"/>
    <n v="595"/>
    <n v="-1"/>
    <m/>
    <d v="2025-04-19T18:04:00"/>
    <d v="2025-04-19T10:00:00"/>
    <d v="2025-04-19T18:42:00"/>
    <n v="519.58333333750488"/>
    <n v="37.82407407222005"/>
    <x v="9"/>
    <d v="2025-04-18T14:49:00"/>
    <d v="2025-04-18T18:47:00"/>
    <n v="233.04166666712263"/>
    <s v="Waited for empties from trade"/>
    <d v="2025-04-20T17:12:00"/>
    <d v="2025-04-20T17:54:00"/>
    <n v="41.12500000068394"/>
    <x v="0"/>
    <n v="0.9375"/>
    <n v="2"/>
    <n v="1.0625"/>
    <n v="22.5"/>
    <n v="0"/>
    <n v="22.5"/>
    <n v="6.8266666666666662"/>
    <m/>
    <m/>
    <m/>
    <m/>
    <m/>
  </r>
  <r>
    <d v="2025-04-19T00:00:00"/>
    <x v="3"/>
    <s v="NBL"/>
    <s v="OM7TJ2URR"/>
    <m/>
    <s v="Konge Husein"/>
    <s v="UBJ 707D"/>
    <s v="KATO INVESTMENTS LIMITED-MASAK Tax No.: 1000098824"/>
    <n v="153.6"/>
    <s v="OM7TJ2URR"/>
    <s v="OM"/>
    <n v="596"/>
    <n v="593"/>
    <n v="-3"/>
    <m/>
    <d v="2025-04-19T06:18:00"/>
    <d v="2025-04-19T10:00:00"/>
    <d v="2025-04-19T06:57:00"/>
    <n v="-182.15277777708252"/>
    <n v="38.819444445834961"/>
    <x v="9"/>
    <d v="2025-04-19T16:05:00"/>
    <d v="2025-04-20T11:51:00"/>
    <n v="1161.2916666664387"/>
    <s v="space consquents"/>
    <d v="2025-04-21T16:35:00"/>
    <d v="2025-04-21T17:16:00"/>
    <n v="40.145833330825553"/>
    <x v="0"/>
    <n v="2.4013888888875954"/>
    <n v="2"/>
    <n v="-0.40138888888759539"/>
    <n v="57.633333333302289"/>
    <n v="24"/>
    <n v="33.633333333302289"/>
    <n v="4.5668979187356324"/>
    <m/>
    <m/>
    <m/>
    <m/>
    <m/>
  </r>
  <r>
    <d v="2025-04-19T00:00:00"/>
    <x v="3"/>
    <s v="KESH"/>
    <s v="OM6PID7RR"/>
    <s v="DJ"/>
    <s v="ZIWA ABASI"/>
    <s v="UBJ 420C"/>
    <s v="Kato Investment Ltd -Kagadi Tax No.: 1000098824"/>
    <n v="156"/>
    <s v="OM6PID7RR"/>
    <s v="OM"/>
    <n v="670"/>
    <n v="669"/>
    <n v="-1"/>
    <m/>
    <d v="2025-04-18T16:49:00"/>
    <d v="2025-04-18T22:00:00"/>
    <d v="2025-04-18T17:27:00"/>
    <n v="-271.73611111041583"/>
    <n v="37.82407407222005"/>
    <x v="12"/>
    <d v="2025-04-19T14:53:00"/>
    <d v="2025-04-19T20:05:00"/>
    <n v="305.50000000068394"/>
    <s v="Reached late and offloaded the next day"/>
    <d v="2025-04-20T17:31:00"/>
    <d v="2025-04-20T18:16:00"/>
    <n v="44.0625"/>
    <x v="0"/>
    <n v="2.0027777777795563"/>
    <n v="2"/>
    <n v="-2.7777777795563452E-3"/>
    <n v="48.066666666709352"/>
    <n v="24"/>
    <n v="24.066666666709352"/>
    <n v="6.4819944598222987"/>
    <m/>
    <m/>
    <m/>
    <m/>
    <m/>
  </r>
  <r>
    <d v="2025-04-19T00:00:00"/>
    <x v="3"/>
    <s v="NBL"/>
    <s v="OMB7MRURR"/>
    <m/>
    <s v="Jacob Oneka"/>
    <s v="UBE 422T"/>
    <s v="Boniface Harera Tax No.: 1000317747"/>
    <n v="156"/>
    <s v="OMB7MRURR"/>
    <s v="OM"/>
    <n v="448"/>
    <n v="446"/>
    <n v="-2"/>
    <m/>
    <d v="2025-04-19T17:55:00"/>
    <d v="2025-04-20T01:30:00"/>
    <d v="2025-04-19T18:23:00"/>
    <n v="-425.0231481465259"/>
    <n v="27.870370367357584"/>
    <x v="0"/>
    <d v="2025-04-24T15:23:00"/>
    <d v="2025-04-25T16:40:00"/>
    <n v="1485.3958333328774"/>
    <s v="Waited for empties from trade"/>
    <d v="2025-04-26T10:24:00"/>
    <d v="2025-04-26T11:14:00"/>
    <n v="48.958333328773733"/>
    <x v="8"/>
    <n v="6.6673611111109494"/>
    <n v="2"/>
    <n v="-4.6673611111109494"/>
    <n v="160.01666666666279"/>
    <n v="72"/>
    <n v="88.016666666662786"/>
    <n v="1.7723915925014984"/>
    <m/>
    <m/>
    <m/>
    <m/>
    <m/>
  </r>
  <r>
    <d v="2025-04-19T00:00:00"/>
    <x v="3"/>
    <s v="NBL"/>
    <s v="OMVZBUHRR"/>
    <m/>
    <s v="Stephen Musoke "/>
    <s v="UBJ 375N"/>
    <s v="Rugoma Traders-Kanungu/Kihihi Tax No.: 1000249350"/>
    <n v="153.6"/>
    <s v="OMVZBUHRR"/>
    <s v="OM"/>
    <n v="272"/>
    <n v="270"/>
    <n v="-2"/>
    <m/>
    <d v="2025-04-19T08:20:00"/>
    <d v="2025-04-20T01:59:00"/>
    <d v="2025-04-19T08:48:00"/>
    <n v="-1026.2268518493026"/>
    <n v="27.870370367357584"/>
    <x v="0"/>
    <d v="2025-04-19T17:14:00"/>
    <d v="2025-04-20T13:22:00"/>
    <n v="1182.8333333315095"/>
    <s v="Reached late and offloaded the next day"/>
    <d v="2025-04-20T18:44:00"/>
    <d v="2025-04-20T19:22:00"/>
    <n v="37.208333331509493"/>
    <x v="0"/>
    <n v="1.413888888884685"/>
    <n v="2"/>
    <n v="0.586111111115315"/>
    <n v="33.93333333323244"/>
    <n v="12"/>
    <n v="21.93333333323244"/>
    <n v="7.003039513710025"/>
    <m/>
    <m/>
    <m/>
    <m/>
    <m/>
  </r>
  <r>
    <d v="2025-04-20T00:00:00"/>
    <x v="3"/>
    <s v="NBL"/>
    <s v="OMF3MAWRR"/>
    <m/>
    <s v="Konge Husein"/>
    <s v="UBJ 707D"/>
    <s v="Kato Investments Ltd-Bulenga Tax No.: 1000098824"/>
    <n v="156"/>
    <s v="OMF3MAWRR"/>
    <s v="OM"/>
    <n v="514"/>
    <n v="513"/>
    <n v="-1"/>
    <m/>
    <d v="2025-04-22T06:55:00"/>
    <d v="2025-04-20T20:13:00"/>
    <d v="2025-04-22T07:23:00"/>
    <n v="2100.2314814756878"/>
    <n v="27.870370367357584"/>
    <x v="0"/>
    <d v="2025-04-22T17:40:00"/>
    <d v="2025-04-23T15:08:00"/>
    <n v="1261.166666673962"/>
    <s v="Waited for empties from trade"/>
    <d v="2025-04-24T10:36:00"/>
    <d v="2025-04-24T11:17:00"/>
    <n v="40.145833330825553"/>
    <x v="0"/>
    <n v="2.1340277777781012"/>
    <n v="3"/>
    <n v="0.86597222222189885"/>
    <n v="51.216666666674428"/>
    <n v="24"/>
    <n v="27.216666666674428"/>
    <n v="5.7317819963241465"/>
    <m/>
    <m/>
    <m/>
    <m/>
    <m/>
  </r>
  <r>
    <d v="2025-04-20T00:00:00"/>
    <x v="3"/>
    <s v="NBL"/>
    <s v="OMZ0XTFRR"/>
    <m/>
    <s v="Isaac Tumuhimbise"/>
    <s v="UBE 287X"/>
    <s v="KATO INVESTMENTS LIMITED-MASAK Tax No.: 1000098824"/>
    <n v="153.6"/>
    <s v="OMZ0XTFRR"/>
    <s v="OM"/>
    <n v="596"/>
    <n v="593"/>
    <n v="-3"/>
    <m/>
    <d v="2025-04-20T15:33:00"/>
    <d v="2025-04-20T10:00:00"/>
    <d v="2025-04-20T16:15:00"/>
    <n v="373.26388889584149"/>
    <n v="41.805555556250816"/>
    <x v="10"/>
    <d v="2025-04-21T12:42:00"/>
    <d v="2025-04-21T15:57:00"/>
    <n v="190.9374999965803"/>
    <s v="Waited for empties from trade"/>
    <d v="2025-04-22T10:17:00"/>
    <d v="2025-04-22T10:59:00"/>
    <n v="41.12500000068394"/>
    <x v="0"/>
    <n v="1.7513888888861402"/>
    <n v="2"/>
    <n v="0.24861111111385981"/>
    <n v="42.033333333267365"/>
    <n v="12"/>
    <n v="30.033333333267365"/>
    <n v="5.1143174250944741"/>
    <m/>
    <m/>
    <m/>
    <m/>
    <m/>
  </r>
  <r>
    <d v="2025-04-20T00:00:00"/>
    <x v="3"/>
    <s v="NBL"/>
    <s v="OM54FOHRR"/>
    <m/>
    <s v="Luyaga Isaac"/>
    <s v="UAY 265V"/>
    <s v="Kabaco U Ltd-Mbarara Tax No.: 1000025425"/>
    <n v="153.6"/>
    <s v="OM54FOHRR"/>
    <s v="OM"/>
    <n v="20"/>
    <n v="19"/>
    <n v="-1"/>
    <m/>
    <d v="2025-04-20T10:26:00"/>
    <d v="2025-04-20T08:00:00"/>
    <d v="2025-04-20T11:08:00"/>
    <n v="187.12962962429933"/>
    <n v="41.805555556250816"/>
    <x v="2"/>
    <d v="2025-04-20T11:35:00"/>
    <d v="2025-04-20T13:31:00"/>
    <n v="113.58333333424525"/>
    <m/>
    <d v="2025-04-20T14:05:00"/>
    <d v="2025-04-20T14:47:00"/>
    <n v="41.12500000068394"/>
    <x v="0"/>
    <n v="0.12291666666715173"/>
    <n v="1"/>
    <n v="0.87708333333284827"/>
    <n v="2.9500000000116415"/>
    <n v="0"/>
    <n v="2.9500000000116415"/>
    <n v="52.067796609964013"/>
    <m/>
    <m/>
    <m/>
    <m/>
    <m/>
  </r>
  <r>
    <d v="2025-04-20T00:00:00"/>
    <x v="3"/>
    <s v="NBL"/>
    <s v="OMDI5BMRR"/>
    <m/>
    <s v="Luyaga Isaac"/>
    <s v="UAY 265V"/>
    <s v="Ntale &amp; Sons Tax No.: 1001371381"/>
    <n v="153.6"/>
    <s v="OMDI5BMRR"/>
    <s v="OM"/>
    <n v="810"/>
    <n v="809"/>
    <n v="-1"/>
    <m/>
    <d v="2025-04-20T17:29:00"/>
    <d v="2025-04-20T16:40:00"/>
    <d v="2025-04-20T17:56:00"/>
    <n v="75.6481481444401"/>
    <n v="26.87500000417155"/>
    <x v="0"/>
    <d v="2025-04-22T09:28:00"/>
    <d v="2025-04-22T18:24:00"/>
    <n v="524.83333334108465"/>
    <s v="Reached late and offloaded the next day"/>
    <d v="2025-04-25T07:17:00"/>
    <d v="2025-04-25T08:07:00"/>
    <n v="48.958333328773733"/>
    <x v="14"/>
    <n v="4.5562500000014552"/>
    <n v="3"/>
    <n v="-1.5562500000014552"/>
    <n v="109.35000000003492"/>
    <n v="48"/>
    <n v="61.350000000034925"/>
    <n v="2.5036674816611661"/>
    <m/>
    <m/>
    <m/>
    <m/>
    <m/>
  </r>
  <r>
    <d v="2025-04-20T00:00:00"/>
    <x v="3"/>
    <s v="KESH"/>
    <s v="OMUF23RRR"/>
    <s v="DJ"/>
    <s v="MUKOSE MUZAMIRU"/>
    <s v="UBJ 417C"/>
    <s v="Kato Investment Ltd -Mityana Tax No.: 1000098824"/>
    <n v="156"/>
    <s v="OMUF23RRR"/>
    <s v="OM"/>
    <n v="690"/>
    <n v="689"/>
    <n v="-1"/>
    <m/>
    <d v="2025-04-19T16:03:00"/>
    <d v="2025-04-19T19:35:00"/>
    <d v="2025-04-19T16:31:00"/>
    <n v="-183.14814814026855"/>
    <n v="27.870370367357584"/>
    <x v="0"/>
    <d v="2025-04-20T11:56:00"/>
    <d v="2025-04-20T17:43:00"/>
    <n v="339.77083333287737"/>
    <s v="found another truck to be offloaded"/>
    <d v="2025-04-21T17:20:00"/>
    <d v="2025-04-21T18:01:00"/>
    <n v="40.145833330825553"/>
    <x v="0"/>
    <n v="2.0340277777722804"/>
    <n v="3"/>
    <n v="0.96597222222771961"/>
    <n v="48.816666666534729"/>
    <n v="24"/>
    <n v="24.816666666534729"/>
    <n v="6.2860980524175707"/>
    <m/>
    <m/>
    <m/>
    <m/>
    <m/>
  </r>
  <r>
    <d v="2025-04-20T00:00:00"/>
    <x v="3"/>
    <s v="NBL"/>
    <s v="OMLIPECRR"/>
    <m/>
    <s v="Kilabila Ismail"/>
    <s v="UBE 419T"/>
    <s v="Ntale &amp; Sons Tax No.: 1001371381"/>
    <n v="153.6"/>
    <s v="OMLIPECRR"/>
    <s v="OM"/>
    <n v="810"/>
    <n v="809"/>
    <n v="-1"/>
    <m/>
    <d v="2025-04-19T12:05:00"/>
    <d v="2025-04-19T16:40:00"/>
    <d v="2025-04-19T12:31:00"/>
    <n v="-247.84722222708902"/>
    <n v="25.879629630556639"/>
    <x v="0"/>
    <d v="2025-04-20T08:56:00"/>
    <d v="2025-04-20T15:27:00"/>
    <n v="382.85416667327809"/>
    <s v="Waited for empties from trade"/>
    <d v="2025-04-21T18:11:00"/>
    <d v="2025-04-21T18:52:00"/>
    <n v="40.145833330825553"/>
    <x v="0"/>
    <n v="2.2361111111167702"/>
    <n v="3"/>
    <n v="0.76388888888322981"/>
    <n v="53.666666666802485"/>
    <n v="24"/>
    <n v="29.666666666802485"/>
    <n v="5.1775280898639364"/>
    <m/>
    <m/>
    <m/>
    <m/>
    <m/>
  </r>
  <r>
    <d v="2025-04-20T00:00:00"/>
    <x v="3"/>
    <s v="NBL"/>
    <s v="OM5O3XSRR"/>
    <m/>
    <s v="Abel Mark naffa"/>
    <s v="UBJ 415C"/>
    <s v="KATO INVESTMENTS LIMITED-MASAK Tax No.: 1000098824"/>
    <n v="153.6"/>
    <s v="OM5O3XSRR"/>
    <s v="OM"/>
    <n v="596"/>
    <n v="595"/>
    <n v="-1"/>
    <m/>
    <d v="2025-04-19T18:32:00"/>
    <d v="2025-04-20T10:00:00"/>
    <d v="2025-04-19T19:22:00"/>
    <n v="-873.93518518680742"/>
    <n v="49.768518513883464"/>
    <x v="9"/>
    <d v="2025-04-20T13:39:00"/>
    <d v="2025-04-20T17:07:00"/>
    <n v="203.66666666370293"/>
    <m/>
    <d v="2025-04-22T13:25:00"/>
    <d v="2025-04-22T14:03:00"/>
    <n v="37.208333331509493"/>
    <x v="0"/>
    <n v="2.7520833333401242"/>
    <n v="2"/>
    <n v="-0.75208333334012423"/>
    <n v="66.050000000162981"/>
    <n v="24"/>
    <n v="42.050000000162981"/>
    <n v="3.6527942924947601"/>
    <m/>
    <m/>
    <m/>
    <m/>
    <m/>
  </r>
  <r>
    <d v="2025-04-21T00:00:00"/>
    <x v="3"/>
    <s v="NBL"/>
    <s v="OMJZ4D6RR"/>
    <m/>
    <s v="ANGELO KYOSIGA "/>
    <s v="UAV 051U"/>
    <s v="Ntale &amp; Sons Tax No.: 1001371381"/>
    <n v="153.6"/>
    <s v="OMJZ4D6RR"/>
    <s v="OM"/>
    <n v="810"/>
    <n v="807"/>
    <n v="-3"/>
    <m/>
    <d v="2025-04-21T20:31:00"/>
    <d v="2025-04-20T20:00:00"/>
    <d v="2025-04-21T21:10:00"/>
    <n v="1503.0092592569417"/>
    <n v="38.819444445834961"/>
    <x v="9"/>
    <d v="2025-04-22T19:04:00"/>
    <d v="2025-04-23T15:11:00"/>
    <n v="1181.8541666719102"/>
    <s v="truck faulty"/>
    <d v="2025-04-24T15:11:00"/>
    <d v="2025-04-24T15:53:00"/>
    <n v="41.12500000068394"/>
    <x v="0"/>
    <n v="2.7506944444467081"/>
    <n v="3"/>
    <n v="0.24930555555329192"/>
    <n v="66.016666666720994"/>
    <n v="24"/>
    <n v="42.016666666720994"/>
    <n v="3.6556921856358917"/>
    <m/>
    <m/>
    <m/>
    <m/>
    <m/>
  </r>
  <r>
    <d v="2025-04-21T00:00:00"/>
    <x v="3"/>
    <s v="NBL"/>
    <s v="OMQFKRLRR"/>
    <m/>
    <s v="Kabene John"/>
    <s v="UBA 523T"/>
    <s v="KATO INVESTMENTS LTD- KALISIZO Tax No.: 1000098824"/>
    <n v="153.6"/>
    <s v="OMQFKRLRR"/>
    <s v="OM"/>
    <n v="288"/>
    <n v="287"/>
    <n v="-1"/>
    <m/>
    <d v="2025-04-21T15:02:00"/>
    <d v="2025-04-22T03:43:00"/>
    <d v="2025-04-21T15:40:00"/>
    <n v="-719.65277777708252"/>
    <n v="37.82407407222005"/>
    <x v="12"/>
    <d v="2025-04-22T10:47:00"/>
    <d v="2025-04-22T16:28:00"/>
    <n v="333.89583333424525"/>
    <s v="Reached late and offloaded the next day"/>
    <d v="2025-04-23T11:16:00"/>
    <d v="2025-04-23T11:54:00"/>
    <n v="37.208333331509493"/>
    <x v="0"/>
    <n v="1.8166666666656965"/>
    <n v="2"/>
    <n v="0.18333333333430346"/>
    <n v="43.599999999976717"/>
    <n v="12"/>
    <n v="31.599999999976717"/>
    <n v="4.8607594936744674"/>
    <m/>
    <m/>
    <m/>
    <m/>
    <m/>
  </r>
  <r>
    <d v="2025-04-21T00:00:00"/>
    <x v="3"/>
    <s v="NBL"/>
    <s v="OMS8SICRR"/>
    <m/>
    <s v="Kabene John"/>
    <s v="UBA 523T"/>
    <s v="Kabaco U Ltd-Mbarara Tax No.: 1000025425"/>
    <n v="153.6"/>
    <s v="OMS8SICRR"/>
    <s v="OM"/>
    <n v="20"/>
    <n v="21"/>
    <n v="1"/>
    <m/>
    <d v="2025-04-20T18:35:00"/>
    <d v="2025-04-21T07:42:00"/>
    <d v="2025-04-20T19:03:00"/>
    <n v="-755.48611111250159"/>
    <n v="27.870370367357584"/>
    <x v="0"/>
    <d v="2025-04-20T19:45:00"/>
    <d v="2025-04-21T12:02:00"/>
    <n v="956.64583333287737"/>
    <s v="less casuals and offloaded the next day"/>
    <d v="2025-04-21T12:53:00"/>
    <d v="2025-04-21T13:35:00"/>
    <n v="41.12500000068394"/>
    <x v="0"/>
    <n v="0.74305555556202307"/>
    <n v="1"/>
    <n v="0.25694444443797693"/>
    <n v="17.833333333488554"/>
    <n v="0"/>
    <n v="17.833333333488554"/>
    <n v="8.6130841120745654"/>
    <m/>
    <m/>
    <m/>
    <m/>
    <m/>
  </r>
  <r>
    <d v="2025-04-22T00:00:00"/>
    <x v="3"/>
    <s v="NBL"/>
    <s v="OMR4630RR"/>
    <m/>
    <s v="Abel Mark naffa"/>
    <s v="UBJ 415C"/>
    <s v="KATO INVESTMENTS LIMITED-MASAK Tax No.: 1000098824"/>
    <n v="153.6"/>
    <s v="OMR4630RR"/>
    <s v="OM"/>
    <n v="596"/>
    <n v="595"/>
    <n v="-1"/>
    <m/>
    <d v="2025-04-22T19:49:00"/>
    <d v="2025-04-22T04:14:00"/>
    <d v="2025-04-22T20:17:00"/>
    <n v="958.54166666249512"/>
    <n v="27.870370367357584"/>
    <x v="0"/>
    <d v="2025-04-23T11:19:00"/>
    <d v="2025-04-23T13:58:00"/>
    <n v="155.68749999452848"/>
    <m/>
    <d v="2025-04-24T10:04:00"/>
    <d v="2025-04-24T10:45:00"/>
    <n v="40.145833330825553"/>
    <x v="0"/>
    <n v="1.5743055555576575"/>
    <n v="2"/>
    <n v="0.4256944444423425"/>
    <n v="37.78333333338378"/>
    <n v="12"/>
    <n v="25.78333333338378"/>
    <n v="5.9573367808545363"/>
    <m/>
    <m/>
    <m/>
    <m/>
    <m/>
  </r>
  <r>
    <d v="2025-04-22T00:00:00"/>
    <x v="3"/>
    <s v="NBL"/>
    <s v="OMHQ4ESRR"/>
    <m/>
    <s v="Kilabila Ismail"/>
    <s v="UBE 419T"/>
    <s v="Kabaco U Ltd-Mbarara Tax No.: 1000025425"/>
    <n v="153.6"/>
    <s v="OMHQ4ESRR"/>
    <s v="OM"/>
    <n v="20"/>
    <n v="19"/>
    <n v="-1"/>
    <m/>
    <d v="2025-04-22T12:10:00"/>
    <d v="2025-04-22T08:00:00"/>
    <d v="2025-04-22T12:36:00"/>
    <n v="274.72222222083172"/>
    <n v="25.879629630556639"/>
    <x v="0"/>
    <d v="2025-04-22T16:06:00"/>
    <d v="2025-04-22T18:14:00"/>
    <n v="125.33333334176859"/>
    <m/>
    <d v="2025-04-22T16:50:00"/>
    <d v="2025-04-22T17:28:00"/>
    <n v="37.208333331509493"/>
    <x v="0"/>
    <n v="0.17638888888905058"/>
    <n v="1"/>
    <n v="0.82361111111094942"/>
    <n v="4.2333333333372138"/>
    <n v="0"/>
    <n v="4.2333333333372138"/>
    <n v="36.283464566895873"/>
    <m/>
    <m/>
    <m/>
    <m/>
    <m/>
  </r>
  <r>
    <d v="2025-04-22T00:00:00"/>
    <x v="3"/>
    <s v="NBL"/>
    <s v="OMK8I03RR"/>
    <m/>
    <s v="Benon Ssempijja"/>
    <s v="UAY 526V"/>
    <s v="KATO INVESTMENTS LIMITED-MASAK Tax No.: 1000098824"/>
    <n v="153.6"/>
    <s v="OMK8I03RR"/>
    <s v="OM"/>
    <n v="596"/>
    <n v="595"/>
    <n v="-1"/>
    <m/>
    <d v="2025-04-22T06:40:00"/>
    <d v="2025-04-22T04:14:00"/>
    <d v="2025-04-22T07:34:00"/>
    <n v="199.07407407639161"/>
    <n v="53.749999997914223"/>
    <x v="10"/>
    <d v="2025-04-22T12:13:00"/>
    <d v="2025-04-22T16:49:00"/>
    <n v="270.24999999863212"/>
    <s v="Waited for empties from trade"/>
    <d v="2025-04-23T10:47:00"/>
    <d v="2025-04-23T11:25:00"/>
    <n v="37.208333331509493"/>
    <x v="0"/>
    <n v="1.1340277777781012"/>
    <n v="2"/>
    <n v="0.86597222222189885"/>
    <n v="27.216666666674428"/>
    <n v="12"/>
    <n v="15.216666666674428"/>
    <n v="10.094194961659692"/>
    <m/>
    <m/>
    <m/>
    <m/>
    <m/>
  </r>
  <r>
    <d v="2025-04-22T00:00:00"/>
    <x v="3"/>
    <s v="NBL"/>
    <s v="OMZS6CPRR"/>
    <m/>
    <s v="James  Kironde"/>
    <s v="UBK 881R"/>
    <s v="Kabaco U Ltd-Mbarara Tax No.: 1000025425"/>
    <n v="153.6"/>
    <s v="OMZS6CPRR"/>
    <s v="OM"/>
    <n v="20"/>
    <n v="19"/>
    <n v="-1"/>
    <m/>
    <d v="2025-04-21T13:59:00"/>
    <d v="2025-04-21T15:00:00"/>
    <d v="2025-04-21T14:41:00"/>
    <n v="-18.912037036110025"/>
    <n v="41.805555556250816"/>
    <x v="2"/>
    <d v="2025-04-22T11:45:00"/>
    <d v="2025-04-22T13:29:00"/>
    <n v="101.83333332672191"/>
    <m/>
    <d v="2025-04-22T17:47:00"/>
    <d v="2025-04-22T18:29:00"/>
    <n v="41.12500000068394"/>
    <x v="0"/>
    <n v="1.1291666666656965"/>
    <n v="1"/>
    <n v="-0.12916666666569654"/>
    <n v="27.099999999976717"/>
    <n v="12"/>
    <n v="15.099999999976717"/>
    <n v="10.17218543047926"/>
    <m/>
    <m/>
    <m/>
    <m/>
    <m/>
  </r>
  <r>
    <d v="2025-04-22T00:00:00"/>
    <x v="3"/>
    <s v="KESH"/>
    <s v="OMYIAO8RR"/>
    <s v="DJ"/>
    <s v="SENTONG DAVID"/>
    <s v="UBP 298H"/>
    <s v="Kobusinge Steven-FPortal Tax No.: 1000977837"/>
    <n v="156"/>
    <s v="OMYIAO8RR"/>
    <s v="OM"/>
    <n v="304"/>
    <n v="303"/>
    <n v="-1"/>
    <m/>
    <d v="2025-04-22T19:05:00"/>
    <d v="2025-04-22T20:25:00"/>
    <d v="2025-04-22T19:58:00"/>
    <n v="-26.87500000417155"/>
    <n v="52.75462963472819"/>
    <x v="1"/>
    <d v="2025-04-23T16:11:00"/>
    <d v="2025-04-24T16:23:00"/>
    <n v="1421.7499999972642"/>
    <s v="Reached late and offloaded the next day"/>
    <d v="2025-04-25T07:47:00"/>
    <d v="2025-04-25T08:28:00"/>
    <n v="40.145833330825553"/>
    <x v="0"/>
    <n v="2.492361111115315"/>
    <n v="2"/>
    <n v="-0.492361111115315"/>
    <n v="59.81666666676756"/>
    <n v="24"/>
    <n v="35.81666666676756"/>
    <n v="4.3555141926354741"/>
    <m/>
    <m/>
    <m/>
    <m/>
    <m/>
  </r>
  <r>
    <d v="2025-04-22T00:00:00"/>
    <x v="3"/>
    <s v="KESH"/>
    <s v="OMB4KHTRR"/>
    <s v="DJ"/>
    <s v="MUKOSE MUZAMIRU"/>
    <s v="UBJ 417C"/>
    <s v="Kobusinge Acaali- Kyenjojo Tax No.: 1000977837"/>
    <n v="156"/>
    <s v="OMB4KHTRR"/>
    <s v="OM"/>
    <n v="580"/>
    <n v="577"/>
    <n v="-3"/>
    <m/>
    <d v="2025-04-21T20:09:00"/>
    <d v="2025-04-22T03:17:00"/>
    <d v="2025-04-21T20:48:00"/>
    <n v="-387.19907407430583"/>
    <n v="38.819444445834961"/>
    <x v="5"/>
    <d v="2025-04-22T12:23:00"/>
    <d v="2025-04-22T17:44:00"/>
    <n v="314.31249999863212"/>
    <s v="Waited for empties from trade"/>
    <d v="2025-04-23T08:34:00"/>
    <d v="2025-04-23T09:19:00"/>
    <n v="44.0625"/>
    <x v="0"/>
    <n v="1.4902777777751908"/>
    <n v="2"/>
    <n v="0.50972222222480923"/>
    <n v="35.766666666604578"/>
    <n v="12"/>
    <n v="23.766666666604578"/>
    <n v="6.5638148667773155"/>
    <m/>
    <m/>
    <m/>
    <m/>
    <m/>
  </r>
  <r>
    <d v="2025-04-22T00:00:00"/>
    <x v="3"/>
    <s v="KESH"/>
    <s v="OMFTSA9RR"/>
    <s v="DJ"/>
    <s v="ALLEX TAIMWA"/>
    <s v="UBJ 705D"/>
    <s v="Kobusinge Steven-Kamwenge Tax No.: 1000977837"/>
    <n v="156"/>
    <s v="OMFTSA9RR"/>
    <s v="OM"/>
    <n v="228"/>
    <n v="227"/>
    <n v="-1"/>
    <m/>
    <d v="2025-04-21T20:22:00"/>
    <d v="2025-04-22T03:17:00"/>
    <d v="2025-04-21T20:48:00"/>
    <n v="-387.19907407430583"/>
    <n v="25.879629630556639"/>
    <x v="0"/>
    <d v="2025-04-22T13:20:00"/>
    <d v="2025-04-22T17:55:00"/>
    <n v="269.27083333903283"/>
    <m/>
    <d v="2025-04-22T18:51:00"/>
    <d v="2025-04-22T19:29:00"/>
    <n v="37.208333331509493"/>
    <x v="0"/>
    <n v="0.91874999999708962"/>
    <n v="2"/>
    <n v="1.0812500000029104"/>
    <n v="22.049999999930151"/>
    <n v="0"/>
    <n v="22.049999999930151"/>
    <n v="7.0748299319952004"/>
    <m/>
    <m/>
    <m/>
    <m/>
    <m/>
  </r>
  <r>
    <d v="2025-04-22T00:00:00"/>
    <x v="3"/>
    <s v="NBL"/>
    <s v="OMP86T1RR"/>
    <m/>
    <s v="Mugisha  George"/>
    <s v="UAV 203T"/>
    <s v="KATO INVESTMENTS LTD- KALISIZO Tax No.: 1000098824"/>
    <n v="153.6"/>
    <s v="OMP86T1RR"/>
    <s v="OM"/>
    <n v="288"/>
    <n v="287"/>
    <n v="-1"/>
    <m/>
    <d v="2025-04-21T15:26:00"/>
    <d v="2025-04-22T03:43:00"/>
    <d v="2025-04-21T16:20:00"/>
    <n v="-679.83796296806156"/>
    <n v="53.749999997914223"/>
    <x v="9"/>
    <d v="2025-04-22T08:15:00"/>
    <d v="2025-04-22T12:23:00"/>
    <n v="242.83333333492919"/>
    <s v="Waited for empties from trade"/>
    <d v="2025-04-23T09:42:00"/>
    <d v="2025-04-23T10:32:00"/>
    <n v="48.958333328773733"/>
    <x v="11"/>
    <n v="1.7236111111124046"/>
    <n v="2"/>
    <n v="0.27638888888759539"/>
    <n v="41.366666666697711"/>
    <n v="12"/>
    <n v="29.366666666697711"/>
    <n v="5.2304199772929953"/>
    <m/>
    <m/>
    <m/>
    <m/>
    <m/>
  </r>
  <r>
    <d v="2025-04-23T00:00:00"/>
    <x v="3"/>
    <s v="NBL"/>
    <s v="OMNI74URR"/>
    <m/>
    <s v="GODWIN  NIWENSIIMA"/>
    <s v="UAR 731Q"/>
    <s v="KATO INVESTMENTS LIMITED-MASAK Tax No.: 1000098824"/>
    <n v="153.6"/>
    <s v="OMNI74URR"/>
    <s v="OM"/>
    <n v="596"/>
    <n v="595"/>
    <n v="-1"/>
    <m/>
    <d v="2025-04-24T10:23:00"/>
    <d v="2025-04-23T04:14:00"/>
    <d v="2025-04-24T11:02:00"/>
    <n v="1839.4444444437493"/>
    <n v="38.819444445834961"/>
    <x v="9"/>
    <d v="2025-04-25T08:11:00"/>
    <d v="2025-04-25T11:51:00"/>
    <n v="215.41666667122627"/>
    <s v="Waited for empties from trade"/>
    <d v="2025-04-25T16:04:00"/>
    <d v="2025-04-25T16:44:00"/>
    <n v="39.166666671226267"/>
    <x v="0"/>
    <n v="1.2097222222218988"/>
    <n v="2"/>
    <n v="0.79027777777810115"/>
    <n v="29.033333333325572"/>
    <n v="12"/>
    <n v="17.033333333325572"/>
    <n v="9.0176125244659477"/>
    <m/>
    <m/>
    <m/>
    <m/>
    <m/>
  </r>
  <r>
    <d v="2025-04-23T00:00:00"/>
    <x v="3"/>
    <s v="NBL"/>
    <s v="OM0DYRERR"/>
    <m/>
    <s v="Isaac Tumuhimbise"/>
    <s v="UBE 287X"/>
    <s v="KATO INVESTMENTS LTD- KALISIZO Tax No.: 1000098824"/>
    <n v="153.6"/>
    <s v="OM0DYRERR"/>
    <s v="OM"/>
    <n v="288"/>
    <n v="286"/>
    <n v="-2"/>
    <m/>
    <d v="2025-04-23T19:19:00"/>
    <d v="2025-04-23T03:43:00"/>
    <d v="2025-04-23T20:01:00"/>
    <n v="973.47222221457434"/>
    <n v="41.805555556250816"/>
    <x v="9"/>
    <d v="2025-04-24T10:59:00"/>
    <d v="2025-04-24T13:13:00"/>
    <n v="131.20833333014161"/>
    <m/>
    <d v="2025-04-25T08:07:00"/>
    <d v="2025-04-25T08:59:00"/>
    <n v="50.916666668490507"/>
    <x v="5"/>
    <n v="1.5041666666656965"/>
    <n v="2"/>
    <n v="0.49583333333430346"/>
    <n v="36.099999999976717"/>
    <n v="12"/>
    <n v="24.099999999976717"/>
    <n v="6.3734439834086469"/>
    <m/>
    <m/>
    <m/>
    <m/>
    <m/>
  </r>
  <r>
    <d v="2025-04-23T00:00:00"/>
    <x v="3"/>
    <s v="NBL"/>
    <s v="OMXCT9ARR"/>
    <m/>
    <s v="Isaac Tumuhimbise"/>
    <s v="UBE 287X"/>
    <s v="RUGOMA TRADERS CO. LTD NTUNGAM Tax No.: 1000249350"/>
    <n v="153.6"/>
    <s v="OMXCT9ARR"/>
    <s v="OM"/>
    <n v="150"/>
    <n v="148"/>
    <n v="-2"/>
    <m/>
    <d v="2025-04-22T14:26:00"/>
    <d v="2025-04-22T12:00:00"/>
    <d v="2025-04-22T14:53:00"/>
    <n v="172.19907407222004"/>
    <n v="26.87500000417155"/>
    <x v="0"/>
    <d v="2025-04-22T17:59:00"/>
    <d v="2025-04-23T13:23:00"/>
    <n v="1139.7500000013679"/>
    <s v="Reached late and offloaded the next day"/>
    <d v="2025-04-23T17:00:00"/>
    <d v="2025-04-23T17:45:00"/>
    <n v="44.0625"/>
    <x v="0"/>
    <n v="1.0881944444481633"/>
    <n v="1"/>
    <n v="-8.8194444448163267E-2"/>
    <n v="26.116666666755918"/>
    <n v="12"/>
    <n v="14.116666666755918"/>
    <n v="10.880755607959543"/>
    <m/>
    <m/>
    <m/>
    <m/>
    <m/>
  </r>
  <r>
    <d v="2025-04-23T00:00:00"/>
    <x v="3"/>
    <s v="NBL"/>
    <s v="OML19JTRR"/>
    <m/>
    <s v="Kilabila Ismail"/>
    <s v="UBE 419T"/>
    <s v="Kato Investment Ltd -Mityana Tax No.: 1000098824"/>
    <n v="156"/>
    <s v="OML19JTRR"/>
    <s v="OM"/>
    <n v="690"/>
    <n v="688"/>
    <n v="-2"/>
    <m/>
    <d v="2025-04-22T20:27:00"/>
    <d v="2025-04-22T20:00:00"/>
    <d v="2025-04-22T20:53:00"/>
    <n v="52.754629624299319"/>
    <n v="25.879629630556639"/>
    <x v="0"/>
    <d v="2025-04-23T15:26:00"/>
    <d v="2025-04-24T13:06:00"/>
    <n v="1272.9166666609672"/>
    <s v="found another truck to be offloaded"/>
    <d v="2025-04-25T10:58:00"/>
    <d v="2025-04-25T11:50:00"/>
    <n v="50.916666668490507"/>
    <x v="12"/>
    <n v="2.5868055555547471"/>
    <n v="3"/>
    <n v="0.41319444444525288"/>
    <n v="62.083333333313931"/>
    <n v="24"/>
    <n v="38.083333333313931"/>
    <n v="4.096280087529439"/>
    <m/>
    <m/>
    <m/>
    <m/>
    <m/>
  </r>
  <r>
    <d v="2025-04-23T00:00:00"/>
    <x v="3"/>
    <s v="NBL"/>
    <s v="OMTSVUORR"/>
    <m/>
    <s v="Stephen Musoke "/>
    <s v="UBJ 375N"/>
    <s v="KATO INVESTMENTS LIMITED-MASAK Tax No.: 1000098824"/>
    <n v="153.6"/>
    <s v="OMTSVUORR"/>
    <s v="OM"/>
    <n v="596"/>
    <n v="595"/>
    <n v="-1"/>
    <m/>
    <d v="2025-04-22T19:15:00"/>
    <d v="2025-04-23T04:14:00"/>
    <d v="2025-04-22T19:41:00"/>
    <n v="-510.62499999582843"/>
    <n v="25.879629630556639"/>
    <x v="0"/>
    <d v="2025-04-23T13:22:00"/>
    <d v="2025-04-23T19:10:00"/>
    <n v="340.75000000273576"/>
    <s v="Waited for empties from trade"/>
    <d v="2025-04-24T13:58:00"/>
    <d v="2025-04-24T14:40:00"/>
    <n v="41.12500000068394"/>
    <x v="0"/>
    <n v="1.7618055555503815"/>
    <n v="2"/>
    <n v="0.23819444444961846"/>
    <n v="42.283333333209157"/>
    <n v="12"/>
    <n v="30.283333333209157"/>
    <n v="5.0720968629817227"/>
    <m/>
    <m/>
    <m/>
    <m/>
    <m/>
  </r>
  <r>
    <d v="2025-04-23T00:00:00"/>
    <x v="3"/>
    <s v="NBL"/>
    <s v="OM5JGJVRR"/>
    <m/>
    <s v="Bisaso  Ronald"/>
    <s v="UBK 875R"/>
    <s v="KATO INVESTMENTS LIMITED-MASAK Tax No.: 1000098824"/>
    <n v="153.6"/>
    <s v="OM5JGJVRR"/>
    <s v="OM"/>
    <n v="596"/>
    <n v="594"/>
    <n v="-2"/>
    <m/>
    <d v="2025-04-22T10:26:00"/>
    <d v="2025-04-23T04:14:00"/>
    <d v="2025-04-22T11:05:00"/>
    <n v="-1024.2361111125017"/>
    <n v="38.819444445834961"/>
    <x v="11"/>
    <d v="2025-04-22T13:06:00"/>
    <d v="2025-04-22T18:09:00"/>
    <n v="296.68750000273576"/>
    <s v="Waited for empties from trade"/>
    <d v="2025-04-23T11:02:00"/>
    <d v="2025-04-23T11:54:00"/>
    <n v="50.916666668490507"/>
    <x v="8"/>
    <n v="0.99791666666715173"/>
    <n v="2"/>
    <n v="1.0020833333328483"/>
    <n v="23.950000000011642"/>
    <n v="0"/>
    <n v="23.950000000011642"/>
    <n v="6.4133611690991792"/>
    <m/>
    <m/>
    <m/>
    <m/>
    <m/>
  </r>
  <r>
    <d v="2025-04-24T00:00:00"/>
    <x v="3"/>
    <s v="NBL"/>
    <s v="OMYW9FURR"/>
    <m/>
    <s v="Abel Mark naffa"/>
    <s v="UBJ 415C"/>
    <s v="Rugoma Traders-Kanungu/Kihihi Tax No.: 1000249350"/>
    <n v="153.6"/>
    <s v="OMYW9FURR"/>
    <s v="OM"/>
    <n v="272"/>
    <n v="270"/>
    <n v="-2"/>
    <m/>
    <d v="2025-04-24T17:05:00"/>
    <d v="2025-04-24T01:59:00"/>
    <d v="2025-04-24T17:31:00"/>
    <n v="927.68518518472172"/>
    <n v="25.879629630556639"/>
    <x v="0"/>
    <d v="2025-04-25T13:41:00"/>
    <d v="2025-04-25T15:46:00"/>
    <n v="122.39583333219343"/>
    <m/>
    <d v="2025-04-26T10:49:00"/>
    <d v="2025-04-26T11:34:00"/>
    <n v="44.0625"/>
    <x v="0"/>
    <n v="1.7208333333328483"/>
    <n v="2"/>
    <n v="0.27916666666715173"/>
    <n v="41.299999999988358"/>
    <n v="12"/>
    <n v="29.299999999988358"/>
    <n v="5.2423208191147106"/>
    <m/>
    <m/>
    <m/>
    <m/>
    <m/>
  </r>
  <r>
    <d v="2025-04-24T00:00:00"/>
    <x v="3"/>
    <s v="KESH"/>
    <s v="OM0UQ97RR"/>
    <s v="DJ"/>
    <s v="ALLEX TAIMWA"/>
    <s v="UBJ 705D"/>
    <s v="Kato Investment Ltd -Kagadi Tax No.: 1000098824"/>
    <n v="156"/>
    <s v="OM0UQ97RR"/>
    <s v="OM"/>
    <n v="670"/>
    <n v="668"/>
    <n v="-2"/>
    <m/>
    <d v="2025-04-23T21:07:00"/>
    <d v="2025-04-23T21:00:00"/>
    <d v="2025-04-23T21:45:00"/>
    <n v="44.791666666666664"/>
    <n v="37.82407407222005"/>
    <x v="2"/>
    <d v="2025-04-24T15:56:00"/>
    <d v="2025-04-24T19:52:00"/>
    <n v="231.08333332740585"/>
    <s v="truck faulty"/>
    <d v="2025-04-25T15:05:00"/>
    <d v="2025-04-25T15:56:00"/>
    <n v="49.93749999863212"/>
    <x v="5"/>
    <n v="1.7222222222189885"/>
    <n v="2"/>
    <n v="0.27777777778101154"/>
    <n v="41.333333333255723"/>
    <n v="12"/>
    <n v="29.333333333255723"/>
    <n v="5.3181818181958889"/>
    <m/>
    <m/>
    <m/>
    <m/>
    <m/>
  </r>
  <r>
    <d v="2025-04-24T00:00:00"/>
    <x v="3"/>
    <s v="NBL"/>
    <s v="OMDCZXARR"/>
    <m/>
    <s v="Bisaso  Ronald"/>
    <s v="UBK 875R"/>
    <s v="KATO INVESTMENTS LTD- KALISIZO Tax No.: 1000098824"/>
    <n v="153.6"/>
    <s v="OMDCZXARR"/>
    <s v="OM"/>
    <n v="288"/>
    <n v="286"/>
    <n v="-2"/>
    <m/>
    <d v="2025-04-23T19:29:00"/>
    <d v="2025-04-24T03:43:00"/>
    <d v="2025-04-23T19:53:00"/>
    <n v="-467.82407407639158"/>
    <n v="23.888888893755695"/>
    <x v="0"/>
    <d v="2025-04-24T12:49:00"/>
    <d v="2025-04-24T16:50:00"/>
    <n v="235.97916666643869"/>
    <s v="Reached late and offloaded the next day"/>
    <d v="2025-04-25T10:45:00"/>
    <d v="2025-04-25T11:35:00"/>
    <n v="48.958333328773733"/>
    <x v="13"/>
    <n v="1.6194444444408873"/>
    <n v="2"/>
    <n v="0.38055555555911269"/>
    <n v="38.866666666581295"/>
    <n v="12"/>
    <n v="26.866666666581295"/>
    <n v="5.7171215881074966"/>
    <m/>
    <m/>
    <m/>
    <m/>
    <m/>
  </r>
  <r>
    <d v="2025-04-24T00:00:00"/>
    <x v="3"/>
    <s v="NBL"/>
    <s v="OM872UZRR"/>
    <m/>
    <s v="Benon Ssempijja"/>
    <s v="UAY 526V"/>
    <s v="KATO INVESTMENTS LTD- KALISIZO Tax No.: 1000098824"/>
    <n v="153.6"/>
    <s v="OM872UZRR"/>
    <s v="OM"/>
    <n v="288"/>
    <n v="286"/>
    <n v="-2"/>
    <m/>
    <d v="2025-04-23T19:05:00"/>
    <d v="2025-04-24T03:43:00"/>
    <d v="2025-04-23T19:43:00"/>
    <n v="-477.77777778125409"/>
    <n v="37.82407407222005"/>
    <x v="5"/>
    <d v="2025-04-24T14:11:00"/>
    <d v="2025-04-24T19:14:00"/>
    <n v="296.68750000273576"/>
    <s v="less casuals and offloaded the next day"/>
    <d v="2025-04-25T15:30:00"/>
    <d v="2025-04-25T16:11:00"/>
    <n v="40.145833330825553"/>
    <x v="0"/>
    <n v="1.8243055555576575"/>
    <n v="2"/>
    <n v="0.1756944444423425"/>
    <n v="43.78333333338378"/>
    <n v="12"/>
    <n v="31.78333333338378"/>
    <n v="4.8327215521685218"/>
    <m/>
    <m/>
    <m/>
    <m/>
    <m/>
  </r>
  <r>
    <d v="2025-04-24T00:00:00"/>
    <x v="3"/>
    <s v="NBL"/>
    <s v="OM3QNLRRR"/>
    <m/>
    <s v="Mugisha  George"/>
    <s v="UAV 203T"/>
    <s v="KATO INVESTMENTS LIMITED-MASAK Tax No.: 1000098824"/>
    <n v="153.6"/>
    <s v="OM3QNLRRR"/>
    <s v="OM"/>
    <n v="596"/>
    <n v="594"/>
    <n v="-2"/>
    <m/>
    <d v="2025-04-24T16:02:00"/>
    <d v="2025-04-25T04:14:00"/>
    <d v="2025-04-24T16:28:00"/>
    <n v="-702.7314814777734"/>
    <n v="25.879629630556639"/>
    <x v="0"/>
    <d v="2025-04-24T19:22:00"/>
    <d v="2025-04-25T11:32:00"/>
    <n v="949.79166667464597"/>
    <s v="found another truck to be offloaded"/>
    <d v="2025-04-25T14:41:00"/>
    <d v="2025-04-25T15:23:00"/>
    <n v="41.12500000068394"/>
    <x v="0"/>
    <n v="0.9256944444423425"/>
    <n v="2"/>
    <n v="1.0743055555576575"/>
    <n v="22.21666666661622"/>
    <n v="0"/>
    <n v="22.21666666661622"/>
    <n v="6.9137284321237251"/>
    <m/>
    <m/>
    <m/>
    <m/>
    <m/>
  </r>
  <r>
    <d v="2025-04-24T00:00:00"/>
    <x v="3"/>
    <s v="NBL"/>
    <s v="OMZW3RNRR"/>
    <m/>
    <s v="Mugisha  George"/>
    <s v="UAV 203T"/>
    <s v="Kabaco U Ltd-Mbarara Tax No.: 1000025425"/>
    <n v="153.6"/>
    <s v="OMZW3RNRR"/>
    <s v="OM"/>
    <n v="20"/>
    <n v="19"/>
    <n v="-1"/>
    <m/>
    <d v="2025-04-23T19:16:00"/>
    <d v="2025-04-24T07:42:00"/>
    <d v="2025-04-23T19:40:00"/>
    <n v="-718.65740740346757"/>
    <n v="23.888888893755695"/>
    <x v="0"/>
    <d v="2025-04-23T20:10:00"/>
    <d v="2025-04-24T10:08:00"/>
    <n v="820.54166666370293"/>
    <s v="Waited for empties from trade"/>
    <d v="2025-04-24T10:57:00"/>
    <d v="2025-04-24T11:49:00"/>
    <n v="50.916666668490507"/>
    <x v="15"/>
    <n v="0.6368055555576575"/>
    <n v="1"/>
    <n v="0.3631944444423425"/>
    <n v="15.28333333338378"/>
    <n v="0"/>
    <n v="15.28333333338378"/>
    <n v="10.050163576847961"/>
    <m/>
    <m/>
    <m/>
    <m/>
    <m/>
  </r>
  <r>
    <d v="2025-04-24T00:00:00"/>
    <x v="3"/>
    <s v="NBL"/>
    <s v="OM6T75SRR"/>
    <m/>
    <s v="Konge Husein"/>
    <s v="UBJ 707D"/>
    <s v="RUGOMA TRADERS CO. LTD NTUNGAM Tax No.: 1000249350"/>
    <n v="153.6"/>
    <s v="OM6T75SRR"/>
    <s v="OM"/>
    <n v="150"/>
    <n v="148"/>
    <n v="-2"/>
    <m/>
    <d v="2025-04-24T16:29:00"/>
    <d v="2025-04-25T06:15:00"/>
    <d v="2025-04-24T16:52:00"/>
    <n v="-799.28240740555339"/>
    <n v="22.893518520140788"/>
    <x v="0"/>
    <d v="2025-04-25T07:38:00"/>
    <d v="2025-04-25T13:20:00"/>
    <n v="334.87499999384454"/>
    <s v="Waited for empties from trade"/>
    <d v="2025-04-25T15:37:00"/>
    <d v="2025-04-25T16:28:00"/>
    <n v="49.93749999863212"/>
    <x v="11"/>
    <n v="0.94791666666424135"/>
    <n v="1"/>
    <n v="5.2083333335758653E-2"/>
    <n v="22.749999999941792"/>
    <n v="0"/>
    <n v="22.749999999941792"/>
    <n v="6.7516483516656258"/>
    <m/>
    <m/>
    <m/>
    <m/>
    <m/>
  </r>
  <r>
    <d v="2025-04-25T00:00:00"/>
    <x v="3"/>
    <s v="NBL"/>
    <s v="OM1JDTIRR"/>
    <m/>
    <s v="Luyaga Isaac"/>
    <s v="UAY 265V"/>
    <s v="Rugoma Traders-Kanungu/Kihihi Tax No.: 1000249350"/>
    <n v="153.6"/>
    <s v="OM1JDTIRR"/>
    <s v="OM"/>
    <n v="272"/>
    <n v="270"/>
    <n v="-2"/>
    <m/>
    <d v="2025-04-26T18:13:00"/>
    <d v="2025-04-25T01:59:00"/>
    <d v="2025-04-26T19:03:00"/>
    <n v="2452.5925925881893"/>
    <n v="49.768518513883464"/>
    <x v="9"/>
    <d v="2025-04-27T09:56:00"/>
    <d v="2025-04-27T13:17:00"/>
    <n v="196.81249999521242"/>
    <s v="space consquents"/>
    <d v="2025-04-28T07:59:00"/>
    <d v="2025-04-28T08:41:00"/>
    <n v="41.12500000068394"/>
    <x v="0"/>
    <n v="1.538888888891961"/>
    <n v="2"/>
    <n v="0.46111111110803904"/>
    <n v="36.933333333407063"/>
    <n v="12"/>
    <n v="24.933333333407063"/>
    <n v="6.1604278074684142"/>
    <m/>
    <m/>
    <m/>
    <m/>
    <m/>
  </r>
  <r>
    <d v="2025-04-25T00:00:00"/>
    <x v="3"/>
    <s v="NBL"/>
    <s v="OMY4HF8RR"/>
    <m/>
    <s v="ANGELO KYOSIGA "/>
    <s v="UAV 051U"/>
    <s v="KATO INVESTMENTS LIMITED-MASAK Tax No.: 1000098824"/>
    <n v="153.6"/>
    <s v="OMY4HF8RR"/>
    <s v="OM"/>
    <n v="596"/>
    <n v="594"/>
    <n v="-2"/>
    <m/>
    <d v="2025-04-26T20:25:00"/>
    <d v="2025-04-25T04:14:00"/>
    <d v="2025-04-26T20:51:00"/>
    <n v="2425.7175925944466"/>
    <n v="25.879629630556639"/>
    <x v="0"/>
    <d v="2025-04-27T08:32:00"/>
    <d v="2025-04-27T15:17:00"/>
    <n v="396.5625"/>
    <s v="Reached late and offloaded the next day"/>
    <d v="2025-04-28T16:15:00"/>
    <d v="2025-04-28T17:07:00"/>
    <n v="50.916666668490507"/>
    <x v="5"/>
    <n v="1.8083333333343035"/>
    <n v="2"/>
    <n v="0.19166666666569654"/>
    <n v="43.400000000023283"/>
    <n v="12"/>
    <n v="31.400000000023283"/>
    <n v="4.8917197452193024"/>
    <m/>
    <m/>
    <m/>
    <m/>
    <m/>
  </r>
  <r>
    <d v="2025-04-25T00:00:00"/>
    <x v="3"/>
    <s v="NBL"/>
    <s v="OMXVJR6RR"/>
    <m/>
    <s v="James  Kironde"/>
    <s v="UBK 881R"/>
    <s v="KATO INVESTMENTS LTD- KALISIZO Tax No.: 1000098824"/>
    <n v="153.6"/>
    <s v="OMXVJR6RR"/>
    <s v="OM"/>
    <n v="288"/>
    <n v="287"/>
    <n v="-1"/>
    <m/>
    <d v="2025-04-26T16:19:00"/>
    <d v="2025-04-25T03:43:00"/>
    <d v="2025-04-26T16:43:00"/>
    <n v="2209.7222222187461"/>
    <n v="23.888888893755695"/>
    <x v="0"/>
    <d v="2025-04-26T21:39:00"/>
    <d v="2025-04-27T12:44:00"/>
    <n v="886.14583332877373"/>
    <s v="Waited for empties from trade"/>
    <d v="2025-04-28T10:58:00"/>
    <d v="2025-04-28T11:39:00"/>
    <n v="40.145833330825553"/>
    <x v="0"/>
    <n v="1.7604166666642413"/>
    <n v="2"/>
    <n v="0.23958333333575865"/>
    <n v="42.249999999941792"/>
    <n v="12"/>
    <n v="30.249999999941792"/>
    <n v="5.0776859504229934"/>
    <m/>
    <m/>
    <m/>
    <m/>
    <m/>
  </r>
  <r>
    <d v="2025-04-25T00:00:00"/>
    <x v="3"/>
    <s v="NBL"/>
    <s v="OM2NK6FRR"/>
    <m/>
    <s v="Kilabila Ismail"/>
    <s v="UBE 419T"/>
    <s v="RUGOMA TRADERS CO. LTD NTUNGAM Tax No.: 1000249350"/>
    <n v="153.6"/>
    <s v="OM2NK6FRR"/>
    <s v="OM"/>
    <n v="150"/>
    <n v="148"/>
    <n v="-2"/>
    <m/>
    <d v="2025-04-26T13:54:00"/>
    <d v="2025-04-25T06:15:00"/>
    <d v="2025-04-26T14:33:00"/>
    <n v="1929.0277777770825"/>
    <n v="38.819444445834961"/>
    <x v="9"/>
    <d v="2025-04-26T20:38:00"/>
    <d v="2025-04-27T12:19:00"/>
    <n v="921.39583333082555"/>
    <s v="Waited for empties from trade"/>
    <d v="2025-04-27T15:53:00"/>
    <d v="2025-04-27T16:45:00"/>
    <n v="50.916666668490507"/>
    <x v="12"/>
    <n v="1.0555555555620231"/>
    <n v="1"/>
    <n v="-5.5555555562023073E-2"/>
    <n v="25.333333333488554"/>
    <n v="12"/>
    <n v="13.333333333488554"/>
    <n v="11.51999999986589"/>
    <m/>
    <m/>
    <m/>
    <m/>
    <m/>
  </r>
  <r>
    <d v="2025-04-25T00:00:00"/>
    <x v="3"/>
    <s v="NBL"/>
    <s v="OMBKFUDRR"/>
    <m/>
    <s v="Isaac Tumuhimbise"/>
    <s v="UBE 287X"/>
    <s v="KATO INVESTMENTS LIMITED-MASAK Tax No.: 1000098824"/>
    <n v="153.6"/>
    <s v="OMBKFUDRR"/>
    <s v="OM"/>
    <n v="596"/>
    <n v="594"/>
    <n v="-2"/>
    <m/>
    <d v="2025-04-25T14:38:00"/>
    <d v="2025-04-25T04:14:00"/>
    <d v="2025-04-25T15:17:00"/>
    <n v="659.93055555833655"/>
    <n v="38.819444445834961"/>
    <x v="11"/>
    <d v="2025-04-26T07:53:00"/>
    <d v="2025-04-26T13:12:00"/>
    <n v="312.35416666917445"/>
    <s v="truck faulty"/>
    <d v="2025-04-27T09:47:00"/>
    <d v="2025-04-27T10:38:00"/>
    <n v="49.93749999863212"/>
    <x v="8"/>
    <n v="1.7708333333284827"/>
    <n v="2"/>
    <n v="0.22916666667151731"/>
    <n v="42.499999999883585"/>
    <n v="12"/>
    <n v="30.499999999883585"/>
    <n v="5.0360655737897133"/>
    <m/>
    <m/>
    <m/>
    <m/>
    <m/>
  </r>
  <r>
    <d v="2025-04-25T00:00:00"/>
    <x v="3"/>
    <s v="NBL"/>
    <s v="OMXQP30RR"/>
    <m/>
    <s v="Stephen Musoke "/>
    <s v="UBJ 375N"/>
    <s v="Kabaco U Ltd-Mbarara Tax No.: 1000025425"/>
    <n v="153.6"/>
    <s v="OMXQP30RR"/>
    <s v="OM"/>
    <n v="20"/>
    <n v="18"/>
    <n v="-2"/>
    <m/>
    <d v="2025-04-24T16:56:00"/>
    <d v="2025-04-24T14:00:00"/>
    <d v="2025-04-24T17:20:00"/>
    <n v="199.07407406596272"/>
    <n v="23.888888893755695"/>
    <x v="0"/>
    <d v="2025-04-25T10:07:00"/>
    <d v="2025-04-25T13:29:00"/>
    <n v="197.79166666507081"/>
    <s v="Reached late and offloaded the next day"/>
    <d v="2025-04-25T18:30:00"/>
    <d v="2025-04-25T19:08:00"/>
    <n v="37.208333331509493"/>
    <x v="0"/>
    <n v="1.0486111111167702"/>
    <n v="1"/>
    <n v="-4.8611111116770189E-2"/>
    <n v="25.166666666802485"/>
    <n v="12"/>
    <n v="13.166666666802485"/>
    <n v="11.665822784689789"/>
    <m/>
    <m/>
    <m/>
    <m/>
    <m/>
  </r>
  <r>
    <d v="2025-04-25T00:00:00"/>
    <x v="3"/>
    <s v="KESH"/>
    <s v="OM9DMDDRR"/>
    <s v="DJ"/>
    <s v="FRED LURE "/>
    <s v="UBP 310H"/>
    <s v="Kato Investment Ltd -Mityana Tax No.: 1000098824"/>
    <n v="156"/>
    <s v="OM9DMDDRR"/>
    <s v="OM"/>
    <n v="690"/>
    <n v="688"/>
    <n v="-2"/>
    <m/>
    <d v="2025-04-24T18:31:00"/>
    <d v="2025-04-24T19:35:00"/>
    <d v="2025-04-24T19:25:00"/>
    <n v="-9.9537036944335942"/>
    <n v="53.749999997914223"/>
    <x v="2"/>
    <d v="2025-04-26T17:06:00"/>
    <d v="2025-04-26T19:14:00"/>
    <n v="125.33333333150949"/>
    <m/>
    <d v="2025-04-28T19:24:00"/>
    <d v="2025-04-28T20:14:00"/>
    <n v="48.958333328773733"/>
    <x v="11"/>
    <n v="3.9993055555532919"/>
    <n v="3"/>
    <n v="-0.99930555555329192"/>
    <n v="95.983333333279006"/>
    <n v="36"/>
    <n v="59.983333333279006"/>
    <n v="2.6007224228976042"/>
    <m/>
    <m/>
    <m/>
    <m/>
    <m/>
  </r>
  <r>
    <d v="2025-04-25T00:00:00"/>
    <x v="3"/>
    <s v="KESH"/>
    <s v="OMZ42GXRR"/>
    <s v="DJ"/>
    <s v="ZIWA ABASI"/>
    <s v="UBJ 420C"/>
    <s v="Kato Investment Ltd -Kagadi Tax No.: 1000098824"/>
    <n v="156"/>
    <s v="OMZ42GXRR"/>
    <s v="OM"/>
    <n v="670"/>
    <n v="669"/>
    <n v="-1"/>
    <m/>
    <d v="2025-04-24T20:53:00"/>
    <d v="2025-04-24T22:00:00"/>
    <d v="2025-04-24T21:17:00"/>
    <n v="-42.80092591943685"/>
    <n v="23.888888893755695"/>
    <x v="0"/>
    <d v="2025-04-25T20:34:00"/>
    <d v="2025-04-26T13:10:00"/>
    <n v="975.24999999863212"/>
    <s v="Reached late and offloaded the next day"/>
    <d v="2025-04-27T07:03:00"/>
    <d v="2025-04-27T07:44:00"/>
    <n v="40.145833330825553"/>
    <x v="0"/>
    <n v="2.4069444444394321"/>
    <n v="2"/>
    <n v="-0.40694444443943212"/>
    <n v="57.766666666546371"/>
    <n v="24"/>
    <n v="33.766666666546371"/>
    <n v="4.6199407700065871"/>
    <m/>
    <m/>
    <m/>
    <m/>
    <m/>
  </r>
  <r>
    <d v="2025-04-25T00:00:00"/>
    <x v="3"/>
    <s v="KESH"/>
    <s v="OMSERSKRR"/>
    <s v="DJ"/>
    <s v="MUKOSE MUZAMIRU"/>
    <s v="UBJ 417C"/>
    <s v="Rugoma Traders-Rukungiri Tax No.: 1000249350"/>
    <n v="156"/>
    <s v="OMSERSKRR"/>
    <s v="OM"/>
    <n v="256"/>
    <n v="254"/>
    <n v="-2"/>
    <m/>
    <d v="2025-04-24T21:02:00"/>
    <d v="2025-04-25T04:04:00"/>
    <d v="2025-04-24T21:25:00"/>
    <n v="-397.15277777916828"/>
    <n v="22.893518520140788"/>
    <x v="0"/>
    <d v="2025-04-25T12:15:00"/>
    <d v="2025-04-25T18:36:00"/>
    <n v="373.06250000547152"/>
    <s v="Waited for empties from trade"/>
    <d v="2025-04-26T07:58:00"/>
    <d v="2025-04-26T08:42:00"/>
    <n v="43.083333330141613"/>
    <x v="0"/>
    <n v="1.4395833333328483"/>
    <n v="2"/>
    <n v="0.56041666666715173"/>
    <n v="34.549999999988358"/>
    <n v="12"/>
    <n v="22.549999999988358"/>
    <n v="6.9179600886953674"/>
    <m/>
    <m/>
    <m/>
    <m/>
    <m/>
  </r>
  <r>
    <d v="2025-04-26T00:00:00"/>
    <x v="3"/>
    <s v="NBL"/>
    <s v="OMH7O0FRR"/>
    <m/>
    <s v="Bisaso  Ronald"/>
    <s v="UBK 875R"/>
    <s v="Kabaco U Ltd Tax No.: 1000025425"/>
    <n v="156"/>
    <s v="OMH7O0FRR"/>
    <s v="OM"/>
    <n v="304"/>
    <n v="302"/>
    <n v="-2"/>
    <m/>
    <d v="2025-04-26T16:04:00"/>
    <d v="2025-04-26T02:22:00"/>
    <d v="2025-04-26T16:58:00"/>
    <n v="871.94444443957764"/>
    <n v="53.749999997914223"/>
    <x v="9"/>
    <d v="2025-04-27T10:58:00"/>
    <d v="2025-04-27T13:54:00"/>
    <n v="172.33333334108465"/>
    <m/>
    <d v="2025-04-28T13:04:00"/>
    <d v="2025-04-28T13:46:00"/>
    <n v="41.12500000068394"/>
    <x v="0"/>
    <n v="1.8375000000014552"/>
    <n v="2"/>
    <n v="0.16249999999854481"/>
    <n v="44.100000000034925"/>
    <n v="12"/>
    <n v="32.100000000034925"/>
    <n v="4.8598130841068619"/>
    <m/>
    <m/>
    <m/>
    <m/>
    <m/>
  </r>
  <r>
    <d v="2025-04-26T00:00:00"/>
    <x v="3"/>
    <s v="NBL"/>
    <s v="OMH4Y2YRR"/>
    <m/>
    <s v="Konge Husein"/>
    <s v="UBJ 707D"/>
    <s v="KATO INVESTMENTS LIMITED-MASAK Tax No.: 1000098824"/>
    <n v="153.6"/>
    <s v="OMH4Y2YRR"/>
    <s v="OM"/>
    <n v="596"/>
    <n v="595"/>
    <n v="-1"/>
    <m/>
    <d v="2025-04-26T13:47:00"/>
    <d v="2025-04-26T04:14:00"/>
    <d v="2025-04-26T14:11:00"/>
    <n v="594.23611110833008"/>
    <n v="23.888888893755695"/>
    <x v="0"/>
    <d v="2025-04-26T18:21:00"/>
    <d v="2025-04-27T12:19:00"/>
    <n v="1055.5416666705423"/>
    <s v="Reached late and offloaded the next day"/>
    <d v="2025-04-27T17:04:00"/>
    <d v="2025-04-27T17:48:00"/>
    <n v="43.083333330141613"/>
    <x v="0"/>
    <n v="1.1201388888875954"/>
    <n v="2"/>
    <n v="0.87986111111240461"/>
    <n v="26.883333333302289"/>
    <n v="12"/>
    <n v="14.883333333302289"/>
    <n v="10.320268757020406"/>
    <m/>
    <m/>
    <m/>
    <m/>
    <m/>
  </r>
  <r>
    <d v="2025-04-26T00:00:00"/>
    <x v="3"/>
    <s v="NBL"/>
    <s v="OM3DU4ZRR"/>
    <m/>
    <s v="GODWIN  NIWENSIIMA"/>
    <s v="UAR 731Q"/>
    <s v="Kabaco U Ltd-Mbarara Tax No.: 1000025425"/>
    <n v="153.6"/>
    <s v="OM3DU4ZRR"/>
    <s v="OM"/>
    <n v="20"/>
    <n v="18"/>
    <n v="-2"/>
    <m/>
    <d v="2025-04-26T19:08:00"/>
    <d v="2025-04-26T10:00:00"/>
    <d v="2025-04-26T19:31:00"/>
    <n v="568.35648148820235"/>
    <n v="22.893518520140788"/>
    <x v="0"/>
    <d v="2025-04-26T20:16:00"/>
    <d v="2025-04-27T20:47:00"/>
    <n v="1440.354166663019"/>
    <s v="found another truck to be offloaded"/>
    <d v="2025-04-28T12:18:00"/>
    <d v="2025-04-28T13:02:00"/>
    <n v="43.083333330141613"/>
    <x v="0"/>
    <n v="1.6993055555503815"/>
    <n v="1"/>
    <n v="-0.69930555555038154"/>
    <n v="40.783333333209157"/>
    <n v="12"/>
    <n v="28.783333333209157"/>
    <n v="5.3364215402662181"/>
    <m/>
    <m/>
    <m/>
    <m/>
    <m/>
  </r>
  <r>
    <d v="2025-04-26T00:00:00"/>
    <x v="3"/>
    <s v="KESH"/>
    <s v="OMTEYKBRR"/>
    <s v="DJ"/>
    <s v="SENTONG DAVID"/>
    <s v="UBP 298H"/>
    <s v="Kato Investments Ltd- Kakumiro Tax No.: 1000098824"/>
    <n v="156"/>
    <s v="OMTEYKBRR"/>
    <s v="OM"/>
    <n v="790"/>
    <n v="788"/>
    <n v="-2"/>
    <m/>
    <d v="2025-04-25T13:59:00"/>
    <d v="2025-04-25T18:06:00"/>
    <d v="2025-04-25T14:23:00"/>
    <n v="-221.96759258610351"/>
    <n v="23.888888893755695"/>
    <x v="0"/>
    <d v="2025-04-26T08:45:00"/>
    <d v="2025-04-26T13:43:00"/>
    <n v="291.79166666370293"/>
    <s v="Waited for empties from trade"/>
    <d v="2025-04-27T08:14:00"/>
    <d v="2025-04-27T08:58:00"/>
    <n v="43.083333330141613"/>
    <x v="0"/>
    <n v="1.7437499999941792"/>
    <n v="3"/>
    <n v="1.2562500000058208"/>
    <n v="41.849999999860302"/>
    <n v="12"/>
    <n v="29.849999999860302"/>
    <n v="5.2261306532907899"/>
    <m/>
    <m/>
    <m/>
    <m/>
    <m/>
  </r>
  <r>
    <d v="2025-04-26T00:00:00"/>
    <x v="3"/>
    <s v="KESH"/>
    <s v="OM8IELKRR"/>
    <s v="DJ"/>
    <s v="ALLEX TAIMWA"/>
    <s v="UBJ 705D"/>
    <s v="Kobusinge Acaali- Kyenjojo Tax No.: 1000977837"/>
    <n v="156"/>
    <s v="OM8IELKRR"/>
    <s v="OM"/>
    <n v="580"/>
    <n v="579"/>
    <n v="-1"/>
    <m/>
    <d v="2025-04-25T21:13:00"/>
    <d v="2025-04-26T03:17:00"/>
    <d v="2025-04-25T21:52:00"/>
    <n v="-323.49537037152913"/>
    <n v="38.819444445834961"/>
    <x v="11"/>
    <d v="2025-04-26T12:29:00"/>
    <d v="2025-04-26T18:55:00"/>
    <n v="377.95833333424525"/>
    <s v="Waited for empties from trade"/>
    <d v="2025-04-27T08:29:00"/>
    <d v="2025-04-27T09:10:00"/>
    <n v="40.145833330825553"/>
    <x v="0"/>
    <n v="1.4423611111124046"/>
    <n v="2"/>
    <n v="0.55763888888759539"/>
    <n v="34.616666666697711"/>
    <n v="12"/>
    <n v="22.616666666697711"/>
    <n v="6.89756816506054"/>
    <m/>
    <m/>
    <m/>
    <m/>
    <m/>
  </r>
  <r>
    <d v="2025-04-26T00:00:00"/>
    <x v="3"/>
    <s v="KESH"/>
    <s v="OM50HFORR"/>
    <s v="DJ"/>
    <s v="IKWALIKWA YUSUF"/>
    <s v="UBP 311H"/>
    <s v="Boniface Harera Tax No.: 1000317747"/>
    <n v="156"/>
    <s v="OM50HFORR"/>
    <s v="OM"/>
    <n v="448"/>
    <n v="447"/>
    <n v="-1"/>
    <m/>
    <d v="2025-04-25T17:23:00"/>
    <d v="2025-04-26T01:30:00"/>
    <d v="2025-04-25T17:51:00"/>
    <n v="-456.87499999791424"/>
    <n v="27.870370367357584"/>
    <x v="0"/>
    <d v="2025-04-26T13:59:00"/>
    <d v="2025-04-26T18:54:00"/>
    <n v="288.85416666438687"/>
    <s v="Waited for empties from trade"/>
    <d v="2025-04-27T17:33:00"/>
    <d v="2025-04-27T18:11:00"/>
    <n v="37.208333331509493"/>
    <x v="0"/>
    <n v="1.9874999999956344"/>
    <n v="2"/>
    <n v="1.2500000004365575E-2"/>
    <n v="47.699999999895226"/>
    <n v="12"/>
    <n v="35.699999999895226"/>
    <n v="4.3697478991724887"/>
    <m/>
    <m/>
    <m/>
    <m/>
    <m/>
  </r>
  <r>
    <d v="2025-04-27T00:00:00"/>
    <x v="3"/>
    <s v="NBL"/>
    <s v="OM1HV8FRR"/>
    <m/>
    <s v="GODWIN  NIWENSIIMA"/>
    <s v="UAR 731Q"/>
    <s v="Kabaco U Ltd-Mbarara Tax No.: 1000025425"/>
    <n v="153.6"/>
    <s v="OM1HV8FRR"/>
    <s v="OM"/>
    <n v="20"/>
    <n v="18"/>
    <n v="-2"/>
    <m/>
    <d v="2025-04-29T12:24:00"/>
    <d v="2025-04-27T07:42:00"/>
    <d v="2025-04-29T12:48:00"/>
    <n v="3171.2500000020859"/>
    <n v="23.888888893755695"/>
    <x v="0"/>
    <d v="2025-04-29T14:09:00"/>
    <d v="2025-04-29T18:16:00"/>
    <n v="241.85416666507081"/>
    <s v="truck faulty"/>
    <d v="2025-04-29T19:49:00"/>
    <d v="2025-04-29T20:40:00"/>
    <n v="49.93749999863212"/>
    <x v="14"/>
    <n v="0.29236111111094942"/>
    <n v="1"/>
    <n v="0.70763888888905058"/>
    <n v="7.0166666666627862"/>
    <n v="0"/>
    <n v="7.0166666666627862"/>
    <n v="21.890736342054861"/>
    <m/>
    <m/>
    <m/>
    <m/>
    <m/>
  </r>
  <r>
    <d v="2025-04-27T00:00:00"/>
    <x v="3"/>
    <s v="KESH"/>
    <s v="OMTKKX0RR"/>
    <s v="DJ"/>
    <s v="ALIPA EREKU"/>
    <s v="UBK 858R"/>
    <s v="Kobusinge Steven-FPortal Tax No.: 1000977837"/>
    <n v="156"/>
    <s v="OMTKKX0RR"/>
    <s v="OM"/>
    <n v="304"/>
    <n v="301"/>
    <n v="-3"/>
    <m/>
    <d v="2025-04-27T17:34:00"/>
    <d v="2025-04-26T21:00:00"/>
    <d v="2025-04-27T17:57:00"/>
    <n v="1251.1805555562507"/>
    <n v="22.893518520140788"/>
    <x v="0"/>
    <d v="2025-04-28T08:56:00"/>
    <d v="2025-04-28T17:17:00"/>
    <n v="490.56249999863212"/>
    <s v="Reached late and offloaded the next day"/>
    <d v="2025-04-29T09:28:00"/>
    <d v="2025-04-29T10:12:00"/>
    <n v="43.083333330141613"/>
    <x v="0"/>
    <n v="1.6465277777751908"/>
    <n v="2"/>
    <n v="0.35347222222480923"/>
    <n v="39.516666666604578"/>
    <n v="12"/>
    <n v="27.516666666604578"/>
    <n v="5.6692913385954693"/>
    <m/>
    <m/>
    <m/>
    <m/>
    <m/>
  </r>
  <r>
    <d v="2025-04-27T00:00:00"/>
    <x v="3"/>
    <s v="NBL"/>
    <s v="OM32FATRR"/>
    <m/>
    <s v="Kabene John"/>
    <s v="UBA 523T"/>
    <s v="KATO INVESTMENTS LIMITED-MASAK Tax No.: 1000098824"/>
    <n v="153.6"/>
    <s v="OM32FATRR"/>
    <s v="OM"/>
    <n v="596"/>
    <n v="594"/>
    <n v="-2"/>
    <m/>
    <d v="2025-04-27T21:00:00"/>
    <d v="2025-04-27T04:14:00"/>
    <d v="2025-04-27T21:27:00"/>
    <n v="1028.2175925965323"/>
    <n v="26.87500000417155"/>
    <x v="0"/>
    <d v="2025-04-28T14:46:00"/>
    <d v="2025-04-28T18:56:00"/>
    <n v="244.79166667464597"/>
    <s v="less casuals and offloaded the next day"/>
    <d v="2025-04-29T13:49:00"/>
    <d v="2025-04-29T14:31:00"/>
    <n v="41.12500000068394"/>
    <x v="0"/>
    <n v="1.6819444444408873"/>
    <n v="2"/>
    <n v="0.31805555555911269"/>
    <n v="40.366666666581295"/>
    <n v="12"/>
    <n v="28.366666666581295"/>
    <n v="5.4148061104745802"/>
    <m/>
    <m/>
    <m/>
    <m/>
    <m/>
  </r>
  <r>
    <d v="2025-04-27T00:00:00"/>
    <x v="3"/>
    <s v="KESH"/>
    <s v="OMR40NVRR"/>
    <s v="DJ"/>
    <s v="ZIWA ABASI"/>
    <s v="UBJ 420C"/>
    <s v="Boniface Harera Tax No.: 1000317747"/>
    <n v="156"/>
    <s v="OMR40NVRR"/>
    <s v="OM"/>
    <n v="448"/>
    <n v="447"/>
    <n v="-1"/>
    <m/>
    <d v="2025-04-27T14:12:00"/>
    <d v="2025-04-27T01:30:00"/>
    <d v="2025-04-27T14:40:00"/>
    <n v="786.3425925902751"/>
    <n v="27.870370367357584"/>
    <x v="0"/>
    <d v="2025-04-28T14:54:00"/>
    <d v="2025-04-28T21:19:00"/>
    <n v="376.97916666438687"/>
    <s v="found another truck to be offloaded"/>
    <d v="2025-04-29T17:07:00"/>
    <d v="2025-04-29T17:51:00"/>
    <n v="43.083333330141613"/>
    <x v="0"/>
    <n v="2.1020833333313931"/>
    <n v="2"/>
    <n v="-0.10208333333139308"/>
    <n v="50.449999999953434"/>
    <n v="24"/>
    <n v="26.449999999953434"/>
    <n v="5.897920604925317"/>
    <m/>
    <m/>
    <m/>
    <m/>
    <m/>
  </r>
  <r>
    <d v="2025-04-27T00:00:00"/>
    <x v="3"/>
    <s v="KESH"/>
    <s v="OM5W2YWRR"/>
    <s v="DJ"/>
    <s v="MUKOSE MUZAMIRU"/>
    <s v="UBJ 417C"/>
    <s v="Bates Enterprises Ltd-Ntoroko Tax No.: 1001193253"/>
    <n v="156"/>
    <s v="OM5W2YWRR"/>
    <s v="OM"/>
    <n v="510"/>
    <n v="508"/>
    <n v="-2"/>
    <m/>
    <d v="2025-04-27T09:43:00"/>
    <d v="2025-04-26T22:30:00"/>
    <d v="2025-04-27T10:33:00"/>
    <n v="719.65277777708252"/>
    <n v="49.768518513883464"/>
    <x v="9"/>
    <d v="2025-04-28T08:49:00"/>
    <d v="2025-04-28T21:07:00"/>
    <n v="722.62500000615546"/>
    <s v="Waited for empties from trade"/>
    <d v="2025-04-29T13:43:00"/>
    <d v="2025-04-29T14:25:00"/>
    <n v="41.12500000068394"/>
    <x v="0"/>
    <n v="2.1319444444452529"/>
    <n v="3"/>
    <n v="0.86805555555474712"/>
    <n v="51.166666666686069"/>
    <n v="24"/>
    <n v="27.166666666686069"/>
    <n v="5.7423312883394573"/>
    <m/>
    <m/>
    <m/>
    <m/>
    <m/>
  </r>
  <r>
    <d v="2025-04-27T00:00:00"/>
    <x v="3"/>
    <s v="NBL"/>
    <s v="OMZW81PRR"/>
    <m/>
    <s v="Abel Mark naffa"/>
    <s v="UBJ 415C"/>
    <s v="KATO INVESTMENTS LTD- KALISIZO Tax No.: 1000098824"/>
    <n v="153.6"/>
    <s v="OMZW81PRR"/>
    <s v="OM"/>
    <n v="288"/>
    <n v="286"/>
    <n v="-2"/>
    <m/>
    <d v="2025-04-27T09:41:00"/>
    <d v="2025-04-27T03:43:00"/>
    <d v="2025-04-27T10:04:00"/>
    <n v="379.23611110624432"/>
    <n v="22.893518520140788"/>
    <x v="0"/>
    <d v="2025-04-28T14:00:00"/>
    <d v="2025-04-28T16:11:00"/>
    <n v="128.27083333082555"/>
    <m/>
    <d v="2025-04-29T12:46:00"/>
    <d v="2025-04-29T13:26:00"/>
    <n v="39.166666671226267"/>
    <x v="0"/>
    <n v="2.1125000000029104"/>
    <n v="2"/>
    <n v="-0.11250000000291038"/>
    <n v="50.700000000069849"/>
    <n v="24"/>
    <n v="26.700000000069849"/>
    <n v="5.7528089887489946"/>
    <m/>
    <m/>
    <m/>
    <m/>
    <m/>
  </r>
  <r>
    <d v="2025-04-27T00:00:00"/>
    <x v="3"/>
    <s v="NBL"/>
    <s v="OMD1TBXRR"/>
    <m/>
    <s v="Stephen Musoke "/>
    <s v="UBJ 375N"/>
    <s v="KATO INVESTMENTS LIMITED-MASAK Tax No.: 1000098824"/>
    <n v="153.6"/>
    <s v="OMD1TBXRR"/>
    <s v="OM"/>
    <n v="596"/>
    <n v="594"/>
    <n v="-2"/>
    <m/>
    <d v="2025-04-27T09:39:00"/>
    <d v="2025-04-27T04:14:00"/>
    <d v="2025-04-27T10:07:00"/>
    <n v="351.3657407388867"/>
    <n v="27.870370367357584"/>
    <x v="0"/>
    <d v="2025-04-27T15:18:00"/>
    <d v="2025-04-28T12:07:00"/>
    <n v="1222.9791666725941"/>
    <s v="space consquents"/>
    <d v="2025-04-28T16:51:00"/>
    <d v="2025-04-28T17:29:00"/>
    <n v="37.208333331509493"/>
    <x v="0"/>
    <n v="1.2805555555532919"/>
    <n v="2"/>
    <n v="0.71944444444670808"/>
    <n v="30.733333333279006"/>
    <n v="12"/>
    <n v="18.733333333279006"/>
    <n v="8.1992882562515366"/>
    <m/>
    <m/>
    <m/>
    <m/>
    <m/>
  </r>
  <r>
    <d v="2025-04-27T00:00:00"/>
    <x v="3"/>
    <s v="NBL"/>
    <s v="OM47OYXRR"/>
    <m/>
    <s v="Benon Ssempijja"/>
    <s v="UAY 526V"/>
    <s v="KATO INVESTMENTS LIMITED-MASAK Tax No.: 1000098824"/>
    <n v="153.6"/>
    <s v="OM47OYXRR"/>
    <s v="OM"/>
    <n v="596"/>
    <n v="593"/>
    <n v="-3"/>
    <m/>
    <d v="2025-04-26T19:47:00"/>
    <d v="2025-04-27T04:14:00"/>
    <d v="2025-04-26T20:26:00"/>
    <n v="-465.8333333291618"/>
    <n v="38.819444445834961"/>
    <x v="9"/>
    <d v="2025-04-27T09:33:00"/>
    <d v="2025-04-27T16:32:00"/>
    <n v="410.27083332672191"/>
    <s v="Reached late and offloaded the next day"/>
    <d v="2025-04-28T11:36:00"/>
    <d v="2025-04-28T12:20:00"/>
    <n v="43.083333330141613"/>
    <x v="0"/>
    <n v="1.6319444444379769"/>
    <n v="2"/>
    <n v="0.36805555556202307"/>
    <n v="39.166666666511446"/>
    <n v="12"/>
    <n v="27.166666666511446"/>
    <n v="5.6539877300936547"/>
    <m/>
    <m/>
    <m/>
    <m/>
    <m/>
  </r>
  <r>
    <d v="2025-04-28T00:00:00"/>
    <x v="3"/>
    <s v="NBL"/>
    <s v="OM6WLEERR"/>
    <m/>
    <s v="ANGELO KYOSIGA "/>
    <s v="UAV 051U"/>
    <s v="RUGOMA TRADERS CO. LTD NTUNGAM Tax No.: 1000249350"/>
    <n v="153.6"/>
    <s v="OM6WLEERR"/>
    <s v="OM"/>
    <n v="150"/>
    <n v="148"/>
    <n v="-2"/>
    <m/>
    <d v="2025-04-29T06:39:00"/>
    <d v="2025-04-28T09:00:00"/>
    <d v="2025-04-29T07:02:00"/>
    <n v="1315.8796296326425"/>
    <n v="22.893518520140788"/>
    <x v="0"/>
    <d v="2025-04-29T08:49:00"/>
    <d v="2025-04-29T14:00:00"/>
    <n v="304.52083334108465"/>
    <s v="Waited for empties from trade"/>
    <d v="2025-04-29T15:44:00"/>
    <d v="2025-04-29T16:24:00"/>
    <n v="39.166666671226267"/>
    <x v="0"/>
    <n v="0.36249999999563443"/>
    <n v="1"/>
    <n v="0.63750000000436557"/>
    <n v="8.6999999998952262"/>
    <n v="0"/>
    <n v="8.6999999998952262"/>
    <n v="17.655172414005722"/>
    <m/>
    <m/>
    <m/>
    <m/>
    <m/>
  </r>
  <r>
    <d v="2025-04-28T00:00:00"/>
    <x v="3"/>
    <s v="NBL"/>
    <s v="OML2ERSRR"/>
    <m/>
    <s v="James  Kironde"/>
    <s v="UBK 881R"/>
    <s v="Kabaco U Ltd-Mbarara Tax No.: 1000025425"/>
    <n v="153.6"/>
    <s v="OML2ERSRR"/>
    <s v="OM"/>
    <n v="20"/>
    <n v="18"/>
    <n v="-2"/>
    <m/>
    <d v="2025-04-28T18:21:00"/>
    <d v="2025-04-28T09:00:00"/>
    <d v="2025-04-28T18:44:00"/>
    <n v="581.2962962930518"/>
    <n v="22.893518520140788"/>
    <x v="0"/>
    <d v="2025-04-28T19:26:00"/>
    <d v="2025-04-29T11:44:00"/>
    <n v="957.62500000273576"/>
    <s v="Waited for empties from trade"/>
    <d v="2025-04-29T12:32:00"/>
    <d v="2025-04-29T13:14:00"/>
    <n v="41.12500000068394"/>
    <x v="0"/>
    <n v="0.74166666666860692"/>
    <n v="1"/>
    <n v="0.25833333333139308"/>
    <n v="17.800000000046566"/>
    <n v="0"/>
    <n v="17.800000000046566"/>
    <n v="8.6292134831234932"/>
    <m/>
    <m/>
    <m/>
    <m/>
    <m/>
  </r>
  <r>
    <d v="2025-04-28T00:00:00"/>
    <x v="3"/>
    <s v="KESH"/>
    <s v="OMBXR3MRR"/>
    <s v="DJ"/>
    <s v="KAJUBI ISMA"/>
    <s v="UBR 538W"/>
    <s v="Kobusinge Steven-Kamwenge Tax No.: 1000977837"/>
    <n v="156"/>
    <s v="OMBXR3MRR"/>
    <s v="OM"/>
    <n v="228"/>
    <n v="226"/>
    <n v="-2"/>
    <m/>
    <d v="2025-04-28T16:18:00"/>
    <d v="2025-04-28T09:00:00"/>
    <d v="2025-04-28T16:46:00"/>
    <n v="463.84259259236086"/>
    <n v="27.870370367357584"/>
    <x v="0"/>
    <d v="2025-04-29T14:49:00"/>
    <d v="2025-04-29T16:55:00"/>
    <n v="123.37500000205182"/>
    <m/>
    <d v="2025-04-30T13:09:00"/>
    <d v="2025-04-30T13:53:00"/>
    <n v="43.083333330141613"/>
    <x v="0"/>
    <n v="1.8493055555591127"/>
    <n v="2"/>
    <n v="0.15069444444088731"/>
    <n v="44.383333333418705"/>
    <n v="12"/>
    <n v="32.383333333418705"/>
    <n v="4.8172928461015569"/>
    <m/>
    <m/>
    <m/>
    <m/>
    <m/>
  </r>
  <r>
    <d v="2025-04-28T00:00:00"/>
    <x v="3"/>
    <s v="KESH"/>
    <s v="OM6OHK3RR"/>
    <s v="DJ"/>
    <s v="SENTONG DAVID"/>
    <s v="UBP 298H"/>
    <s v="Kobusinge Steven-FPortal Tax No.: 1000977837"/>
    <n v="156"/>
    <s v="OM6OHK3RR"/>
    <s v="OM"/>
    <n v="304"/>
    <n v="302"/>
    <n v="-2"/>
    <m/>
    <d v="2025-04-28T13:57:00"/>
    <d v="2025-04-28T20:25:00"/>
    <d v="2025-04-28T14:23:00"/>
    <n v="-360.32407407013426"/>
    <n v="25.879629630556639"/>
    <x v="0"/>
    <d v="2025-04-29T07:54:00"/>
    <d v="2025-04-29T17:21:00"/>
    <n v="555.18749999384454"/>
    <s v="Reached late and offloaded the next day"/>
    <d v="2025-04-30T15:45:00"/>
    <d v="2025-04-30T16:23:00"/>
    <n v="37.208333331509493"/>
    <x v="0"/>
    <n v="2.0569444444408873"/>
    <n v="2"/>
    <n v="-5.694444444088731E-2"/>
    <n v="49.366666666581295"/>
    <n v="24"/>
    <n v="25.366666666581295"/>
    <n v="6.1498028909536799"/>
    <m/>
    <m/>
    <m/>
    <m/>
    <m/>
  </r>
  <r>
    <d v="2025-04-28T00:00:00"/>
    <x v="3"/>
    <s v="KESH"/>
    <s v="OM25R1ORR"/>
    <s v="DJ"/>
    <s v="IKWALIKWA YUSUF"/>
    <s v="UBP 311H"/>
    <s v="Rugoma Traders-Rukungiri Tax No.: 1000249350"/>
    <n v="156"/>
    <s v="OM25R1ORR"/>
    <s v="OM"/>
    <n v="256"/>
    <n v="254"/>
    <n v="-2"/>
    <m/>
    <d v="2025-04-27T21:55:00"/>
    <d v="2025-04-28T09:00:00"/>
    <d v="2025-04-27T22:49:00"/>
    <n v="-608.17129629722331"/>
    <n v="53.749999997914223"/>
    <x v="10"/>
    <d v="2025-04-29T11:43:00"/>
    <d v="2025-04-29T17:09:00"/>
    <n v="319.20833333766495"/>
    <s v="found another truck to be offloaded"/>
    <d v="2025-04-30T15:00:00"/>
    <d v="2025-04-30T15:38:00"/>
    <n v="37.208333331509493"/>
    <x v="0"/>
    <n v="2.6743055555562023"/>
    <n v="2"/>
    <n v="-0.67430555555620231"/>
    <n v="64.183333333348855"/>
    <n v="24"/>
    <n v="40.183333333348855"/>
    <n v="3.8822065532958874"/>
    <m/>
    <m/>
    <m/>
    <m/>
    <m/>
  </r>
  <r>
    <d v="2025-04-28T00:00:00"/>
    <x v="3"/>
    <s v="KESH"/>
    <s v="OMB34F1RR"/>
    <s v="DJ"/>
    <s v="ALLEX TAIMWA"/>
    <s v="UBJ 705D"/>
    <s v="Kabaco U Ltd Tax No.: 1000025425"/>
    <n v="156"/>
    <s v="OMB34F1RR"/>
    <s v="OM"/>
    <n v="304"/>
    <n v="302"/>
    <n v="-2"/>
    <m/>
    <d v="2025-04-27T21:51:00"/>
    <d v="2025-04-28T09:00:00"/>
    <d v="2025-04-27T22:17:00"/>
    <n v="-640.02314814861165"/>
    <n v="25.879629630556639"/>
    <x v="0"/>
    <d v="2025-04-28T07:17:00"/>
    <d v="2025-04-28T12:21:00"/>
    <n v="297.66666666233505"/>
    <s v="Waited for empties from trade"/>
    <d v="2025-04-28T19:17:00"/>
    <d v="2025-04-28T19:58:00"/>
    <n v="40.145833330825553"/>
    <x v="0"/>
    <n v="0.875"/>
    <n v="2"/>
    <n v="1.125"/>
    <n v="21"/>
    <n v="0"/>
    <n v="21"/>
    <n v="7.4285714285714288"/>
    <m/>
    <m/>
    <m/>
    <m/>
    <m/>
  </r>
  <r>
    <d v="2025-04-28T00:00:00"/>
    <x v="3"/>
    <s v="NBL"/>
    <s v="OM3ZL69RR"/>
    <m/>
    <s v="Kilabila Ismail"/>
    <s v="UBE 419T"/>
    <s v="KATO INVESTMENTS LIMITED-MASAK Tax No.: 1000098824"/>
    <n v="153.6"/>
    <s v="OM3ZL69RR"/>
    <s v="OM"/>
    <n v="596"/>
    <n v="594"/>
    <n v="-2"/>
    <m/>
    <d v="2025-04-27T21:03:00"/>
    <d v="2025-04-28T10:00:00"/>
    <d v="2025-04-27T21:26:00"/>
    <n v="-750.50925925485592"/>
    <n v="22.893518520140788"/>
    <x v="0"/>
    <d v="2025-04-28T09:14:00"/>
    <d v="2025-04-28T13:23:00"/>
    <n v="243.81249999452848"/>
    <s v="Waited for empties from trade"/>
    <d v="2025-04-28T17:10:00"/>
    <d v="2025-04-28T17:50:00"/>
    <n v="39.166666671226267"/>
    <x v="0"/>
    <n v="0.82222222222480923"/>
    <n v="2"/>
    <n v="1.1777777777751908"/>
    <n v="19.733333333395422"/>
    <n v="0"/>
    <n v="19.733333333395422"/>
    <n v="7.7837837837592927"/>
    <m/>
    <m/>
    <m/>
    <m/>
    <m/>
  </r>
  <r>
    <d v="2025-04-28T00:00:00"/>
    <x v="3"/>
    <s v="NBL"/>
    <s v="OMKA99URR"/>
    <m/>
    <s v="Isaac Tumuhimbise"/>
    <s v="UBE 287X"/>
    <s v="KATO INVESTMENTS LTD- KALISIZO Tax No.: 1000098824"/>
    <n v="153.6"/>
    <s v="OMKA99URR"/>
    <s v="OM"/>
    <n v="288"/>
    <n v="286"/>
    <n v="-2"/>
    <m/>
    <d v="2025-04-27T20:43:00"/>
    <d v="2025-04-28T10:00:00"/>
    <d v="2025-04-27T21:11:00"/>
    <n v="-765.43981480693526"/>
    <n v="27.870370367357584"/>
    <x v="0"/>
    <d v="2025-04-28T14:30:00"/>
    <d v="2025-04-28T19:46:00"/>
    <n v="309.41666666985839"/>
    <s v="Waited for empties from trade"/>
    <d v="2025-04-29T12:39:00"/>
    <d v="2025-04-29T13:24:00"/>
    <n v="44.0625"/>
    <x v="0"/>
    <n v="1.6444444444423425"/>
    <n v="2"/>
    <n v="0.3555555555576575"/>
    <n v="39.46666666661622"/>
    <n v="12"/>
    <n v="27.46666666661622"/>
    <n v="5.5922330097190089"/>
    <m/>
    <m/>
    <m/>
    <m/>
    <m/>
  </r>
  <r>
    <d v="2025-04-29T00:00:00"/>
    <x v="3"/>
    <s v="NBL"/>
    <s v="OMS00DZRR"/>
    <m/>
    <s v="Abel Mark naffa"/>
    <s v="UBJ 415C"/>
    <s v="Kabaco U Ltd Tax No.: 1000025425"/>
    <n v="156"/>
    <s v="OMS00DZRR"/>
    <s v="OM"/>
    <n v="304"/>
    <n v="302"/>
    <n v="-2"/>
    <m/>
    <d v="2025-04-29T18:53:00"/>
    <d v="2025-04-29T02:22:00"/>
    <d v="2025-04-29T19:32:00"/>
    <n v="1025.2314814756876"/>
    <n v="38.819444445834961"/>
    <x v="13"/>
    <d v="2025-04-30T12:45:00"/>
    <d v="2025-04-30T15:01:00"/>
    <n v="133.16666666985839"/>
    <m/>
    <d v="2025-04-30T15:38:00"/>
    <d v="2025-04-30T16:22:00"/>
    <n v="43.083333330141613"/>
    <x v="0"/>
    <n v="0.83750000000145519"/>
    <n v="2"/>
    <n v="1.1624999999985448"/>
    <n v="20.100000000034925"/>
    <n v="0"/>
    <n v="20.100000000034925"/>
    <n v="7.7611940298372613"/>
    <m/>
    <m/>
    <m/>
    <m/>
    <m/>
  </r>
  <r>
    <d v="2025-04-29T00:00:00"/>
    <x v="3"/>
    <s v="KESH"/>
    <s v="OM7ICJ0RR"/>
    <s v="DJ"/>
    <s v="Hassan Byashara"/>
    <s v="UBP 312H"/>
    <s v="Kobusinge Steven-FPortal Tax No.: 1000977837"/>
    <n v="156"/>
    <s v="OM7ICJ0RR"/>
    <s v="OM"/>
    <n v="304"/>
    <n v="302"/>
    <n v="-2"/>
    <m/>
    <d v="2025-04-29T12:42:00"/>
    <d v="2025-04-28T20:25:00"/>
    <d v="2025-04-29T13:24:00"/>
    <n v="1014.2824074076392"/>
    <n v="41.805555556250816"/>
    <x v="9"/>
    <d v="2025-04-30T08:04:00"/>
    <d v="2025-05-01T10:59:00"/>
    <n v="1581.3541666712263"/>
    <s v="Reached late and offloaded the next day"/>
    <d v="2025-05-02T07:19:00"/>
    <d v="2025-05-02T08:03:00"/>
    <n v="43.083333330141613"/>
    <x v="0"/>
    <n v="2.7465277777737356"/>
    <n v="2"/>
    <n v="-0.74652777777373558"/>
    <n v="65.916666666569654"/>
    <n v="24"/>
    <n v="41.916666666569654"/>
    <n v="3.7216699801278978"/>
    <m/>
    <m/>
    <m/>
    <m/>
    <m/>
  </r>
  <r>
    <d v="2025-04-29T00:00:00"/>
    <x v="3"/>
    <s v="NBL"/>
    <s v="OM2XMCMRR"/>
    <m/>
    <s v="Stephen Musoke "/>
    <s v="UBJ 375N"/>
    <s v="Ntale &amp; Sons Tax No.: 1001371381"/>
    <n v="153.6"/>
    <s v="OM2XMCMRR"/>
    <s v="OM"/>
    <n v="810"/>
    <n v="808"/>
    <n v="-2"/>
    <m/>
    <d v="2025-04-29T08:53:00"/>
    <d v="2025-04-28T21:00:00"/>
    <d v="2025-04-29T09:21:00"/>
    <n v="737.56944443957764"/>
    <n v="27.870370367357584"/>
    <x v="0"/>
    <d v="2025-04-29T20:34:00"/>
    <d v="2025-04-30T11:49:00"/>
    <n v="895.9374999965803"/>
    <s v="less casuals and offloaded the next day"/>
    <d v="2025-05-01T18:39:00"/>
    <d v="2025-05-01T19:23:00"/>
    <n v="43.083333330141613"/>
    <x v="0"/>
    <n v="2.3875000000043656"/>
    <n v="3"/>
    <n v="0.61249999999563443"/>
    <n v="57.300000000104774"/>
    <n v="24"/>
    <n v="33.300000000104774"/>
    <n v="4.6126126125980997"/>
    <m/>
    <m/>
    <m/>
    <m/>
    <m/>
  </r>
  <r>
    <d v="2025-04-29T00:00:00"/>
    <x v="3"/>
    <s v="NBL"/>
    <s v="OMFM5UARR"/>
    <m/>
    <s v="Bisaso  Ronald"/>
    <s v="UBK 875R"/>
    <s v="KATO INVESTMENTS LTD- KALISIZO Tax No.: 1000098824"/>
    <n v="153.6"/>
    <s v="OMFM5UARR"/>
    <s v="OM"/>
    <n v="288"/>
    <n v="285"/>
    <n v="-3"/>
    <m/>
    <d v="2025-04-30T15:31:00"/>
    <d v="2025-04-30T03:43:00"/>
    <d v="2025-04-30T15:59:00"/>
    <n v="732.5925925923608"/>
    <n v="27.870370367357584"/>
    <x v="0"/>
    <d v="2025-04-29T10:06:00"/>
    <d v="2025-04-29T17:49:00"/>
    <n v="453.35416666712263"/>
    <s v="found another truck to be offloaded"/>
    <d v="2025-04-29T18:38:00"/>
    <d v="2025-04-29T19:18:00"/>
    <n v="39.166666671226267"/>
    <x v="0"/>
    <n v="-0.88958333333721384"/>
    <n v="2"/>
    <n v="2.8895833333372138"/>
    <n v="-21.350000000093132"/>
    <n v="-12"/>
    <n v="-9.3500000000931323"/>
    <n v="-16.427807486467383"/>
    <m/>
    <m/>
    <m/>
    <m/>
    <m/>
  </r>
  <r>
    <d v="2025-04-29T00:00:00"/>
    <x v="3"/>
    <s v="NBL"/>
    <s v="OM057N3RR"/>
    <m/>
    <s v="Luyaga Isaac"/>
    <s v="UAY 265V"/>
    <s v="KATO INVESTMENTS LIMITED-MASAK Tax No.: 1000098824"/>
    <n v="153.6"/>
    <s v="OM057N3RR"/>
    <s v="OM"/>
    <n v="596"/>
    <n v="594"/>
    <n v="-2"/>
    <m/>
    <d v="2025-04-29T14:47:00"/>
    <d v="2025-04-29T04:14:00"/>
    <d v="2025-04-29T15:10:00"/>
    <n v="652.96296296388994"/>
    <n v="22.893518520140788"/>
    <x v="0"/>
    <d v="2025-04-30T11:13:00"/>
    <d v="2025-04-30T13:04:00"/>
    <n v="108.68749999521242"/>
    <m/>
    <d v="2025-04-30T17:09:00"/>
    <d v="2025-04-30T18:01:00"/>
    <n v="50.916666668490507"/>
    <x v="11"/>
    <n v="1.0826388888890506"/>
    <n v="2"/>
    <n v="0.91736111111094942"/>
    <n v="25.983333333337214"/>
    <n v="12"/>
    <n v="13.983333333337214"/>
    <n v="10.984505363524962"/>
    <m/>
    <m/>
    <m/>
    <m/>
    <m/>
  </r>
  <r>
    <d v="2025-04-29T00:00:00"/>
    <x v="3"/>
    <s v="NBL"/>
    <s v="OMX1BL3RR"/>
    <m/>
    <s v="Kilabila Ismail"/>
    <s v="UBE 419T"/>
    <s v="Ntale &amp; Sons -Kakiri Tax No.: 1001371381"/>
    <n v="156"/>
    <s v="OMX1BL3RR"/>
    <s v="OM"/>
    <n v="620"/>
    <n v="618"/>
    <n v="-2"/>
    <m/>
    <d v="2025-04-29T06:28:00"/>
    <d v="2025-04-29T01:59:00"/>
    <d v="2025-04-29T06:54:00"/>
    <n v="293.63425925694173"/>
    <n v="25.879629630556639"/>
    <x v="0"/>
    <d v="2025-04-29T16:52:00"/>
    <d v="2025-04-30T14:14:00"/>
    <n v="1255.2916666650708"/>
    <s v="Waited for empties from trade"/>
    <d v="2025-05-01T11:46:00"/>
    <d v="2025-05-01T12:36:00"/>
    <n v="48.958333328773733"/>
    <x v="8"/>
    <n v="2.202777777776646"/>
    <n v="3"/>
    <n v="0.79722222222335404"/>
    <n v="52.866666666639503"/>
    <n v="24"/>
    <n v="28.866666666639503"/>
    <n v="5.4041570438849931"/>
    <m/>
    <m/>
    <m/>
    <m/>
    <m/>
  </r>
  <r>
    <d v="2025-04-29T00:00:00"/>
    <x v="3"/>
    <s v="NBL"/>
    <s v="OMWRE4BRR"/>
    <m/>
    <s v="Bisaso  Ronald"/>
    <s v="UBK 875R"/>
    <s v="Kabaco U Ltd-Mbarara Tax No.: 1000025425"/>
    <n v="153.6"/>
    <s v="OMWRE4BRR"/>
    <s v="OM"/>
    <n v="20"/>
    <n v="18"/>
    <n v="-2"/>
    <m/>
    <d v="2025-04-29T09:03:00"/>
    <d v="2025-04-29T07:42:00"/>
    <d v="2025-04-29T09:26:00"/>
    <n v="103.51851852222656"/>
    <n v="22.893518520140788"/>
    <x v="0"/>
    <d v="2025-05-01T09:25:00"/>
    <d v="2025-05-01T13:22:00"/>
    <n v="232.06249999726424"/>
    <s v="space consquents"/>
    <d v="2025-05-02T10:55:00"/>
    <d v="2025-05-02T11:39:00"/>
    <n v="43.083333330141613"/>
    <x v="0"/>
    <n v="3.0618055555532919"/>
    <n v="1"/>
    <n v="-2.0618055555532919"/>
    <n v="73.483333333279006"/>
    <n v="36"/>
    <n v="37.483333333279006"/>
    <n v="4.0978212538965568"/>
    <m/>
    <m/>
    <m/>
    <m/>
    <m/>
  </r>
  <r>
    <d v="2025-04-29T00:00:00"/>
    <x v="3"/>
    <s v="KESH"/>
    <s v="OMIAU68RR"/>
    <s v="DJ"/>
    <s v="FRED LURE "/>
    <s v="UBP 310H"/>
    <s v="KATO INVESTMENTS LTD-KATIKARA Tax No.: 1000098824"/>
    <n v="156"/>
    <s v="OMIAU68RR"/>
    <s v="OM"/>
    <n v="790"/>
    <n v="788"/>
    <n v="-2"/>
    <m/>
    <d v="2025-04-29T13:11:00"/>
    <d v="2025-04-29T15:48:00"/>
    <d v="2025-04-29T13:38:00"/>
    <n v="-129.39814814235433"/>
    <n v="26.87500000417155"/>
    <x v="0"/>
    <d v="2025-04-30T15:43:00"/>
    <d v="2025-04-30T17:56:00"/>
    <n v="130.22916666028323"/>
    <m/>
    <d v="2025-05-02T18:49:00"/>
    <d v="2025-05-02T19:29:00"/>
    <n v="39.166666671226267"/>
    <x v="0"/>
    <n v="3.2159722222204437"/>
    <n v="3"/>
    <n v="-0.21597222222044365"/>
    <n v="77.183333333290648"/>
    <n v="36"/>
    <n v="41.183333333290648"/>
    <n v="3.7879401052244845"/>
    <m/>
    <m/>
    <m/>
    <m/>
    <m/>
  </r>
  <r>
    <d v="2025-04-29T00:00:00"/>
    <x v="3"/>
    <s v="NBL"/>
    <s v="OMJQKSSRR"/>
    <m/>
    <s v="Benon Ssempijja"/>
    <s v="UAY 526V"/>
    <s v="Kabaco U Ltd-Mbarara Tax No.: 1000025425"/>
    <n v="153.6"/>
    <s v="OMJQKSSRR"/>
    <s v="OM"/>
    <n v="20"/>
    <n v="18"/>
    <n v="-2"/>
    <m/>
    <d v="2025-04-29T17:53:00"/>
    <d v="2025-04-30T04:14:00"/>
    <d v="2025-04-29T18:16:00"/>
    <n v="-595.23148148194502"/>
    <n v="22.893518520140788"/>
    <x v="0"/>
    <d v="2025-04-28T19:51:00"/>
    <d v="2025-04-29T12:27:00"/>
    <n v="975.25000000889122"/>
    <s v="Waited for empties from trade"/>
    <d v="2025-04-29T13:06:00"/>
    <d v="2025-04-29T13:50:00"/>
    <n v="43.083333330141613"/>
    <x v="0"/>
    <n v="-0.21527777778101154"/>
    <n v="1"/>
    <n v="1.2152777777810115"/>
    <n v="-5.1666666667442769"/>
    <n v="-12"/>
    <n v="6.8333333332557231"/>
    <n v="22.478048780743102"/>
    <m/>
    <m/>
    <m/>
    <m/>
    <m/>
  </r>
  <r>
    <d v="2025-04-29T00:00:00"/>
    <x v="3"/>
    <s v="NBL"/>
    <s v="OMRG8AVRR"/>
    <m/>
    <s v="Konge Husein"/>
    <s v="UBJ 707D"/>
    <s v="KATO INVESTMENTS LIMITED-MASAK Tax No.: 1000098824"/>
    <n v="153.6"/>
    <s v="OMRG8AVRR"/>
    <s v="OM"/>
    <n v="596"/>
    <n v="594"/>
    <n v="-2"/>
    <m/>
    <d v="2025-04-28T15:57:00"/>
    <d v="2025-04-29T04:14:00"/>
    <d v="2025-04-28T16:25:00"/>
    <n v="-705.71759258818929"/>
    <n v="27.870370367357584"/>
    <x v="0"/>
    <d v="2025-04-28T20:50:00"/>
    <d v="2025-04-29T12:33:00"/>
    <n v="923.35416667054233"/>
    <s v="Waited for empties from trade"/>
    <d v="2025-04-29T17:37:00"/>
    <d v="2025-04-29T18:17:00"/>
    <n v="39.166666671226267"/>
    <x v="0"/>
    <n v="1.0499999999956344"/>
    <n v="2"/>
    <n v="0.95000000000436557"/>
    <n v="25.199999999895226"/>
    <n v="12"/>
    <n v="13.199999999895226"/>
    <n v="11.636363636455998"/>
    <m/>
    <m/>
    <m/>
    <m/>
    <m/>
  </r>
  <r>
    <d v="2025-04-29T00:00:00"/>
    <x v="3"/>
    <s v="NBL"/>
    <s v="OMH1NY4RR"/>
    <m/>
    <s v="Benon Ssempijja"/>
    <s v="UAY 526V"/>
    <s v="KATO INVESTMENTS LIMITED-MASAK Tax No.: 1000098824"/>
    <n v="153.6"/>
    <s v="OMH1NY4RR"/>
    <s v="OM"/>
    <n v="596"/>
    <n v="594"/>
    <n v="-2"/>
    <m/>
    <d v="2025-04-28T18:23:00"/>
    <d v="2025-04-29T07:42:00"/>
    <d v="2025-04-28T19:16:00"/>
    <n v="-742.54629629722331"/>
    <n v="52.75462963472819"/>
    <x v="9"/>
    <d v="2025-04-29T22:34:00"/>
    <d v="2025-04-30T15:22:00"/>
    <n v="986.99999999589636"/>
    <s v="Reached late and offloaded the next day"/>
    <d v="2025-04-30T20:52:00"/>
    <d v="2025-04-30T21:33:00"/>
    <n v="40.145833330825553"/>
    <x v="0"/>
    <n v="2.0666666666656965"/>
    <n v="2"/>
    <n v="-6.6666666665696539E-2"/>
    <n v="49.599999999976717"/>
    <n v="24"/>
    <n v="25.599999999976717"/>
    <n v="6.000000000005457"/>
    <m/>
    <m/>
    <m/>
    <m/>
    <m/>
  </r>
  <r>
    <d v="2025-04-29T00:00:00"/>
    <x v="3"/>
    <s v="KESH"/>
    <s v="OM8RYWRRR"/>
    <s v="DJ"/>
    <s v="ALLEX TAIMWA"/>
    <s v="UBJ 705D"/>
    <s v="Kato Investment Ltd -Mityana Tax No.: 1000098824"/>
    <n v="156"/>
    <s v="OM8RYWRRR"/>
    <s v="OM"/>
    <n v="690"/>
    <n v="688"/>
    <n v="-2"/>
    <m/>
    <d v="2025-04-29T06:33:00"/>
    <d v="2025-04-29T19:35:00"/>
    <d v="2025-04-29T07:00:00"/>
    <n v="-751.50462962847087"/>
    <n v="26.87500000417155"/>
    <x v="0"/>
    <d v="2025-04-30T08:06:00"/>
    <d v="2025-04-30T18:15:00"/>
    <n v="596.31249999452848"/>
    <s v="Waited for empties from trade"/>
    <d v="2025-05-01T21:55:00"/>
    <d v="2025-05-01T22:39:00"/>
    <n v="43.083333330141613"/>
    <x v="0"/>
    <n v="2.6215277777810115"/>
    <n v="3"/>
    <n v="0.37847222221898846"/>
    <n v="62.916666666744277"/>
    <n v="24"/>
    <n v="38.916666666744277"/>
    <n v="4.0085653104845109"/>
    <m/>
    <m/>
    <m/>
    <m/>
    <m/>
  </r>
  <r>
    <d v="2025-04-30T00:00:00"/>
    <x v="3"/>
    <s v="KESH"/>
    <s v="OM5LI1BRR"/>
    <s v="DJ"/>
    <s v="SENTONGO GODFREY"/>
    <s v="UBR 864Y"/>
    <s v="Kato Investments Ltd-Bulenga Tax No.: 1000098824"/>
    <n v="156"/>
    <s v="OM5LI1BRR"/>
    <s v="OM"/>
    <n v="514"/>
    <n v="512"/>
    <n v="-2"/>
    <m/>
    <d v="2025-04-30T15:21:00"/>
    <d v="2025-04-29T22:00:00"/>
    <d v="2025-04-30T16:00:00"/>
    <n v="1075"/>
    <n v="38.819444445834961"/>
    <x v="13"/>
    <d v="2025-05-01T10:43:00"/>
    <d v="2025-05-01T14:57:00"/>
    <n v="248.70833333356131"/>
    <s v="Waited for empties from trade"/>
    <d v="2025-05-03T06:43:00"/>
    <d v="2025-05-03T07:27:00"/>
    <n v="43.083333330141613"/>
    <x v="0"/>
    <n v="2.6131944444496185"/>
    <n v="3"/>
    <n v="0.38680555555038154"/>
    <n v="62.716666666790843"/>
    <n v="24"/>
    <n v="38.716666666790843"/>
    <n v="4.0292724924537149"/>
    <m/>
    <m/>
    <m/>
    <m/>
    <m/>
  </r>
  <r>
    <d v="2025-04-30T00:00:00"/>
    <x v="3"/>
    <s v="KESH"/>
    <s v="OMKHXMZRR"/>
    <s v="DJ"/>
    <s v="MBOGO BASHIR"/>
    <s v="UBR 903Y"/>
    <s v="Sawan Distributors Ltd-Nabingo Tax No.: 1000186379"/>
    <n v="156"/>
    <s v="OMKHXMZRR"/>
    <s v="OM"/>
    <n v="560"/>
    <n v="558"/>
    <n v="-2"/>
    <m/>
    <d v="2025-04-30T18:34:00"/>
    <d v="2025-04-30T02:30:00"/>
    <d v="2025-04-30T19:02:00"/>
    <n v="987.40740741389652"/>
    <n v="27.870370367357584"/>
    <x v="0"/>
    <d v="2025-05-01T07:22:00"/>
    <d v="2025-05-01T11:26:00"/>
    <n v="238.91666667601385"/>
    <s v="truck faulty"/>
    <d v="2025-05-03T10:41:00"/>
    <d v="2025-05-03T11:21:00"/>
    <n v="39.166666671226267"/>
    <x v="0"/>
    <n v="2.6520833333343035"/>
    <n v="2"/>
    <n v="-0.65208333333430346"/>
    <n v="63.650000000023283"/>
    <n v="24"/>
    <n v="39.650000000023283"/>
    <n v="3.9344262295058865"/>
    <m/>
    <m/>
    <m/>
    <m/>
    <m/>
  </r>
  <r>
    <d v="2025-04-30T00:00:00"/>
    <x v="3"/>
    <s v="NBL"/>
    <s v="OME2LBDRR"/>
    <m/>
    <s v="GODWIN  NIWENSIIMA"/>
    <s v="UAR 731Q"/>
    <s v="KATO INVESTMENTS LIMITED-MASAK Tax No.: 1000098824"/>
    <n v="153.6"/>
    <s v="OME2LBDRR"/>
    <s v="OM"/>
    <n v="596"/>
    <n v="594"/>
    <n v="-2"/>
    <m/>
    <d v="2025-04-30T16:58:00"/>
    <d v="2025-04-30T04:14:00"/>
    <d v="2025-04-30T17:21:00"/>
    <n v="783.35648147985921"/>
    <n v="22.893518520140788"/>
    <x v="0"/>
    <d v="2025-05-01T11:58:00"/>
    <d v="2025-05-01T16:14:00"/>
    <n v="250.66666666301899"/>
    <s v="Reached late and offloaded the next day"/>
    <d v="2025-05-02T11:31:00"/>
    <d v="2025-05-02T12:28:00"/>
    <n v="55.81249999726424"/>
    <x v="14"/>
    <n v="1.7569444444452529"/>
    <n v="2"/>
    <n v="0.24305555555474712"/>
    <n v="42.166666666686069"/>
    <n v="12"/>
    <n v="30.166666666686069"/>
    <n v="5.0917127071790453"/>
    <m/>
    <m/>
    <m/>
    <m/>
    <m/>
  </r>
  <r>
    <d v="2025-04-30T00:00:00"/>
    <x v="3"/>
    <s v="NBL"/>
    <s v="OMQP71FRR"/>
    <m/>
    <s v="ANGELO KYOSIGA "/>
    <s v="UAV 051U"/>
    <s v="Rugoma Traders-Kanungu/Kihihi Tax No.: 1000249350"/>
    <n v="153.6"/>
    <s v="OMQP71FRR"/>
    <s v="OM"/>
    <n v="272"/>
    <n v="270"/>
    <n v="-2"/>
    <m/>
    <d v="2025-04-30T11:07:00"/>
    <d v="2025-04-30T01:59:00"/>
    <d v="2025-04-30T11:30:00"/>
    <n v="568.3564814777734"/>
    <n v="22.893518520140788"/>
    <x v="0"/>
    <d v="2025-04-30T18:15:00"/>
    <d v="2025-05-01T13:11:00"/>
    <n v="1112.333333337665"/>
    <s v="found another truck to be offloaded"/>
    <d v="2025-05-01T18:45:00"/>
    <d v="2025-05-01T19:29:00"/>
    <n v="43.083333330141613"/>
    <x v="0"/>
    <n v="1.3020833333357587"/>
    <n v="2"/>
    <n v="0.69791666666424135"/>
    <n v="31.250000000058208"/>
    <n v="12"/>
    <n v="19.250000000058208"/>
    <n v="7.9792207791966518"/>
    <m/>
    <m/>
    <m/>
    <m/>
    <m/>
  </r>
  <r>
    <d v="2025-04-30T00:00:00"/>
    <x v="3"/>
    <s v="KESH"/>
    <s v="OMRUUIERR"/>
    <s v="DJ"/>
    <s v="ALIPA EREKU"/>
    <s v="UBK 858R"/>
    <s v="Kato Investment Ltd -Kagadi Tax No.: 1000098824"/>
    <n v="156"/>
    <s v="OMRUUIERR"/>
    <s v="OM"/>
    <n v="670"/>
    <n v="668"/>
    <n v="-2"/>
    <m/>
    <d v="2025-04-30T06:33:00"/>
    <d v="2025-04-29T22:00:00"/>
    <d v="2025-04-30T07:01:00"/>
    <n v="538.49537037361495"/>
    <n v="27.870370367357584"/>
    <x v="0"/>
    <d v="2025-05-01T08:48:00"/>
    <d v="2025-05-01T12:50:00"/>
    <n v="236.95833332603797"/>
    <s v="Waited for empties from trade"/>
    <d v="2025-05-02T11:28:00"/>
    <d v="2025-05-02T12:08:00"/>
    <n v="39.166666671226267"/>
    <x v="0"/>
    <n v="2.1854166666671517"/>
    <n v="2"/>
    <n v="-0.18541666666715173"/>
    <n v="52.450000000011642"/>
    <n v="24"/>
    <n v="28.450000000011642"/>
    <n v="5.4833040421770178"/>
    <m/>
    <m/>
    <m/>
    <m/>
    <m/>
  </r>
  <r>
    <d v="2025-04-30T00:00:00"/>
    <x v="3"/>
    <s v="NBL"/>
    <s v="OMJPTPBRR"/>
    <m/>
    <s v="Konge Husein"/>
    <s v="UBJ 707D"/>
    <s v="Rugoma Traders-Kanungu/Kihihi Tax No.: 1000249350"/>
    <n v="153.6"/>
    <s v="OMJPTPBRR"/>
    <s v="OM"/>
    <n v="272"/>
    <n v="270"/>
    <n v="-2"/>
    <m/>
    <d v="2025-04-30T04:50:00"/>
    <d v="2025-04-30T01:59:00"/>
    <d v="2025-04-30T05:44:00"/>
    <n v="223.95833333333334"/>
    <n v="53.749999997914223"/>
    <x v="1"/>
    <d v="2025-05-01T10:22:00"/>
    <d v="2025-05-01T17:45:00"/>
    <n v="433.77083334176859"/>
    <s v="Waited for empties from trade"/>
    <d v="2025-05-02T12:15:00"/>
    <d v="2025-05-02T13:06:00"/>
    <n v="49.93749999863212"/>
    <x v="11"/>
    <n v="2.2715277777751908"/>
    <n v="2"/>
    <n v="-0.27152777777519077"/>
    <n v="54.516666666604578"/>
    <n v="24"/>
    <n v="30.516666666604578"/>
    <n v="5.0333151283554072"/>
    <m/>
    <m/>
    <m/>
    <m/>
    <m/>
  </r>
  <r>
    <d v="2025-04-30T00:00:00"/>
    <x v="3"/>
    <s v="KESH"/>
    <s v="OMOCYEXRR"/>
    <s v="DJ"/>
    <s v="MUKOSE MUZAMIRU"/>
    <s v="UBJ 417C"/>
    <s v="Kabaco U Ltd Tax No.: 1000025425"/>
    <n v="156"/>
    <s v="OMOCYEXRR"/>
    <s v="OM"/>
    <n v="304"/>
    <n v="303"/>
    <n v="-1"/>
    <m/>
    <d v="2025-04-29T20:55:00"/>
    <d v="2025-04-30T02:22:00"/>
    <d v="2025-04-29T21:37:00"/>
    <n v="-283.68055556250812"/>
    <n v="41.805555556250816"/>
    <x v="5"/>
    <d v="2025-04-30T11:10:00"/>
    <d v="2025-04-30T15:40:00"/>
    <n v="264.375"/>
    <s v="Waited for empties from trade"/>
    <d v="2025-05-02T07:32:00"/>
    <d v="2025-05-02T08:14:00"/>
    <n v="41.12500000068394"/>
    <x v="0"/>
    <n v="2.4131944444452529"/>
    <n v="2"/>
    <n v="-0.41319444444525288"/>
    <n v="57.916666666686069"/>
    <n v="24"/>
    <n v="33.916666666686069"/>
    <n v="4.5995085995059686"/>
    <m/>
    <m/>
    <m/>
    <m/>
    <m/>
  </r>
  <r>
    <d v="2025-04-30T00:00:00"/>
    <x v="3"/>
    <s v="NBL"/>
    <s v="OMST1FTRR"/>
    <m/>
    <s v="Kabene John"/>
    <s v="UBA 523T"/>
    <s v="Sawan Distributors Ltd-Nabingo Tax No.: 1000186379"/>
    <n v="156"/>
    <s v="OMST1FTRR"/>
    <s v="OM"/>
    <n v="560"/>
    <n v="558"/>
    <n v="-2"/>
    <m/>
    <d v="2025-04-29T18:11:00"/>
    <d v="2025-04-30T02:30:00"/>
    <d v="2025-04-29T18:50:00"/>
    <n v="-457.87037037152913"/>
    <n v="38.819444445834961"/>
    <x v="13"/>
    <d v="2025-04-30T14:02:00"/>
    <d v="2025-04-30T16:06:00"/>
    <n v="121.41666666233505"/>
    <m/>
    <d v="2025-05-01T18:01:00"/>
    <d v="2025-05-01T18:53:00"/>
    <n v="50.916666668490507"/>
    <x v="11"/>
    <n v="1.9659722222277196"/>
    <n v="2"/>
    <n v="3.4027777772280388E-2"/>
    <n v="47.183333333465271"/>
    <n v="12"/>
    <n v="35.183333333465271"/>
    <n v="4.433917574592563"/>
    <m/>
    <m/>
    <m/>
    <m/>
    <m/>
  </r>
  <r>
    <d v="2025-04-30T00:00:00"/>
    <x v="3"/>
    <s v="NBL"/>
    <s v="OMNFEUWRR"/>
    <m/>
    <s v="Isaac Tumuhimbise"/>
    <s v="UBE 287X"/>
    <s v="Sawan Distributors Ltd-Kayabwe Tax No.: 1000186379"/>
    <n v="156"/>
    <s v="OMNFEUWRR"/>
    <s v="OM"/>
    <n v="382"/>
    <n v="380"/>
    <n v="-2"/>
    <m/>
    <d v="2025-04-29T17:09:00"/>
    <d v="2025-04-30T04:19:00"/>
    <d v="2025-04-29T17:32:00"/>
    <n v="-644.00462962221354"/>
    <n v="22.893518520140788"/>
    <x v="0"/>
    <d v="2025-04-30T12:44:00"/>
    <d v="2025-04-30T16:21:00"/>
    <n v="212.47916667191021"/>
    <s v="Reached late and offloaded the next day"/>
    <d v="2025-05-01T12:41:00"/>
    <d v="2025-05-01T13:21:00"/>
    <n v="39.166666671226267"/>
    <x v="0"/>
    <n v="1.7979166666627862"/>
    <n v="2"/>
    <n v="0.20208333333721384"/>
    <n v="43.149999999906868"/>
    <n v="12"/>
    <n v="31.149999999906868"/>
    <n v="5.0080256821979585"/>
    <m/>
    <m/>
    <m/>
    <m/>
    <m/>
  </r>
  <r>
    <d v="2025-05-01T00:00:00"/>
    <x v="4"/>
    <s v="KESH"/>
    <s v="OMCM4MYRR"/>
    <s v="DJ"/>
    <s v="SENTONG DAVID"/>
    <s v="UBP 298H"/>
    <s v="Boniface Harera Tax No.: 1000317747"/>
    <n v="156"/>
    <s v="OMCM4MYRR"/>
    <s v="OM"/>
    <n v="448"/>
    <n v="446"/>
    <n v="-2"/>
    <m/>
    <d v="2025-05-02T09:56:00"/>
    <d v="2025-05-01T01:30:00"/>
    <d v="2025-05-02T10:38:00"/>
    <n v="1978.7962963013949"/>
    <n v="41.805555556250816"/>
    <x v="12"/>
    <d v="2025-05-03T07:42:00"/>
    <d v="2025-05-03T12:48:00"/>
    <n v="299.62500000205182"/>
    <s v="found another truck to be offloaded"/>
    <d v="2025-05-04T09:20:00"/>
    <d v="2025-05-04T10:01:00"/>
    <n v="40.145833330825553"/>
    <x v="0"/>
    <n v="1.9458333333313931"/>
    <n v="2"/>
    <n v="5.4166666668606922E-2"/>
    <n v="46.699999999953434"/>
    <n v="12"/>
    <n v="34.699999999953434"/>
    <n v="4.495677233435428"/>
    <m/>
    <m/>
    <m/>
    <m/>
    <m/>
  </r>
  <r>
    <d v="2025-05-01T00:00:00"/>
    <x v="4"/>
    <s v="KESH"/>
    <s v="OMEF5NKRR"/>
    <s v="DJ"/>
    <s v="ABDUL NASSER NTENDE"/>
    <s v="UBR 900Y"/>
    <s v="Kobusinge Steven-Kamwenge Tax No.: 1000977837"/>
    <n v="156"/>
    <s v="OMEF5NKRR"/>
    <s v="OM"/>
    <n v="228"/>
    <n v="227"/>
    <n v="-1"/>
    <m/>
    <d v="2025-05-02T10:56:00"/>
    <d v="2025-05-01T03:17:00"/>
    <d v="2025-05-02T11:19:00"/>
    <n v="1913.1018518513883"/>
    <n v="22.893518520140788"/>
    <x v="0"/>
    <d v="2025-05-02T18:13:00"/>
    <d v="2025-05-02T20:25:00"/>
    <n v="129.25000000068394"/>
    <m/>
    <d v="2025-05-03T07:01:00"/>
    <d v="2025-05-03T07:41:00"/>
    <n v="39.166666671226267"/>
    <x v="0"/>
    <n v="0.82083333333139308"/>
    <n v="2"/>
    <n v="1.1791666666686069"/>
    <n v="19.699999999953434"/>
    <n v="0"/>
    <n v="19.699999999953434"/>
    <n v="7.918781725907043"/>
    <m/>
    <m/>
    <m/>
    <m/>
    <m/>
  </r>
  <r>
    <d v="2025-05-01T00:00:00"/>
    <x v="4"/>
    <s v="KESH"/>
    <s v="OMQHJHCRR"/>
    <s v="DJ"/>
    <s v="KYAPA AKIMU"/>
    <s v="UBR 899Y"/>
    <s v="Kato Investments Ltd- Kyegegwa Tax No.: 1000098824"/>
    <n v="156"/>
    <s v="OMQHJHCRR"/>
    <s v="OM"/>
    <n v="600"/>
    <n v="598"/>
    <n v="-2"/>
    <m/>
    <d v="2025-04-30T15:05:00"/>
    <d v="2025-04-30T20:24:00"/>
    <d v="2025-04-30T15:31:00"/>
    <n v="-291.64351852014079"/>
    <n v="25.879629630556639"/>
    <x v="0"/>
    <d v="2025-05-01T18:42:00"/>
    <d v="2025-05-02T10:54:00"/>
    <n v="951.75000000410364"/>
    <s v="Waited for empties from trade"/>
    <d v="2025-05-02T22:14:00"/>
    <d v="2025-05-02T22:58:00"/>
    <n v="43.083333330141613"/>
    <x v="0"/>
    <n v="2.2798611111138598"/>
    <n v="2"/>
    <n v="-0.27986111111385981"/>
    <n v="54.716666666732635"/>
    <n v="24"/>
    <n v="30.716666666732635"/>
    <n v="5.0786760716114481"/>
    <m/>
    <m/>
    <m/>
    <m/>
    <m/>
  </r>
  <r>
    <d v="2025-05-01T00:00:00"/>
    <x v="4"/>
    <s v="KESH"/>
    <s v="OMIDFUGRR"/>
    <s v="DJ"/>
    <s v="Tumwine Jimmy"/>
    <s v="UBR 863Y"/>
    <s v="Rugoma Traders-Rukungiri Tax No.: 1000249350"/>
    <n v="156"/>
    <s v="OMIDFUGRR"/>
    <s v="OM"/>
    <n v="256"/>
    <n v="254"/>
    <n v="-2"/>
    <m/>
    <d v="2025-04-30T16:39:00"/>
    <d v="2025-05-01T04:04:00"/>
    <d v="2025-04-30T17:02:00"/>
    <n v="-658.93518518472172"/>
    <n v="22.893518520140788"/>
    <x v="0"/>
    <d v="2025-05-01T08:49:00"/>
    <d v="2025-05-01T13:58:00"/>
    <n v="302.56250000136788"/>
    <s v="space consquents"/>
    <d v="2025-05-02T12:18:00"/>
    <d v="2025-05-02T13:02:00"/>
    <n v="43.083333330141613"/>
    <x v="0"/>
    <n v="1.8027777777751908"/>
    <n v="2"/>
    <n v="0.19722222222480923"/>
    <n v="43.266666666604578"/>
    <n v="12"/>
    <n v="31.266666666604578"/>
    <n v="4.9893390191996732"/>
    <m/>
    <m/>
    <m/>
    <m/>
    <m/>
  </r>
  <r>
    <d v="2025-05-02T00:00:00"/>
    <x v="4"/>
    <s v="NBL"/>
    <s v="OMHJ7FFRR"/>
    <m/>
    <s v="Tumusiime Robert"/>
    <s v="UBJ 988D"/>
    <s v="Rugoma Traders-Rukungiri Tax No.: 1000249350"/>
    <n v="156"/>
    <s v="OMHJ7FFRR"/>
    <s v="OM"/>
    <n v="256"/>
    <n v="254"/>
    <n v="-2"/>
    <m/>
    <d v="2025-05-02T17:50:00"/>
    <d v="2025-05-02T04:04:00"/>
    <d v="2025-05-02T18:32:00"/>
    <n v="863.98148148194502"/>
    <n v="41.805555556250816"/>
    <x v="10"/>
    <d v="2025-05-03T11:06:00"/>
    <d v="2025-05-03T16:42:00"/>
    <n v="328.99999999521242"/>
    <s v="Reached late and offloaded the next day"/>
    <d v="2025-05-04T10:41:00"/>
    <d v="2025-05-04T11:23:00"/>
    <n v="41.12500000068394"/>
    <x v="0"/>
    <n v="1.6729166666700621"/>
    <n v="2"/>
    <n v="0.32708333332993789"/>
    <n v="40.150000000081491"/>
    <n v="12"/>
    <n v="28.150000000081491"/>
    <n v="5.5417406749395521"/>
    <m/>
    <m/>
    <m/>
    <m/>
    <m/>
  </r>
  <r>
    <d v="2025-05-02T00:00:00"/>
    <x v="4"/>
    <s v="NBL"/>
    <s v="OMW972ORR"/>
    <m/>
    <s v="Kilabila Ismail"/>
    <s v="UBE 419T"/>
    <s v="Kabaco U Ltd-Mbarara Tax No.: 1000025425"/>
    <n v="153.6"/>
    <s v="OMW972ORR"/>
    <s v="OM"/>
    <n v="20"/>
    <n v="18"/>
    <n v="-2"/>
    <m/>
    <d v="2025-05-02T09:19:00"/>
    <d v="2025-05-02T07:42:00"/>
    <d v="2025-05-02T09:58:00"/>
    <n v="135.37037037361492"/>
    <n v="38.819444445834961"/>
    <x v="1"/>
    <d v="2025-05-02T15:38:00"/>
    <d v="2025-05-02T18:34:00"/>
    <n v="172.33333333082555"/>
    <m/>
    <d v="2025-05-03T12:33:00"/>
    <d v="2025-05-03T13:23:00"/>
    <n v="48.958333328773733"/>
    <x v="13"/>
    <n v="1.1076388888905058"/>
    <n v="1"/>
    <n v="-0.10763888889050577"/>
    <n v="26.583333333372138"/>
    <n v="12"/>
    <n v="14.583333333372138"/>
    <n v="10.532571428543402"/>
    <m/>
    <m/>
    <m/>
    <m/>
    <m/>
  </r>
  <r>
    <d v="2025-05-02T00:00:00"/>
    <x v="4"/>
    <s v="NBL"/>
    <s v="OM8P74HRR"/>
    <m/>
    <s v="Benon Ssempijja"/>
    <s v="UAY 526V"/>
    <s v="KATO INVESTMENTS LTD- KALISIZO Tax No.: 1000098824"/>
    <n v="153.6"/>
    <s v="OM8P74HRR"/>
    <s v="OM"/>
    <n v="288"/>
    <n v="286"/>
    <n v="-2"/>
    <m/>
    <d v="2025-05-01T21:44:00"/>
    <d v="2025-05-02T03:43:00"/>
    <d v="2025-05-01T22:22:00"/>
    <n v="-319.51388889792725"/>
    <n v="37.82407407222005"/>
    <x v="5"/>
    <d v="2025-05-02T09:22:00"/>
    <d v="2025-05-02T12:49:00"/>
    <n v="202.68750000410364"/>
    <s v="truck faulty"/>
    <d v="2025-05-03T18:14:00"/>
    <d v="2025-05-03T19:11:00"/>
    <n v="55.81249999726424"/>
    <x v="11"/>
    <n v="1.8277777777839219"/>
    <n v="2"/>
    <n v="0.17222222221607808"/>
    <n v="43.866666666814126"/>
    <n v="12"/>
    <n v="31.866666666814126"/>
    <n v="4.8200836819860635"/>
    <m/>
    <m/>
    <m/>
    <m/>
    <m/>
  </r>
  <r>
    <d v="2025-05-03T00:00:00"/>
    <x v="4"/>
    <s v="NBL"/>
    <s v="OMJE4I6RR"/>
    <m/>
    <s v="Isaac Tumuhimbise"/>
    <s v="UBE 287X"/>
    <s v="Kabaco U Ltd Tax No.: 1000025425"/>
    <n v="156"/>
    <s v="OMJE4I6RR"/>
    <s v="OM"/>
    <n v="304"/>
    <n v="302"/>
    <n v="-2"/>
    <m/>
    <d v="2025-05-03T14:47:00"/>
    <d v="2025-05-03T02:22:00"/>
    <d v="2025-05-03T15:14:00"/>
    <n v="768.42592592777999"/>
    <n v="26.87500000417155"/>
    <x v="0"/>
    <d v="2025-05-04T09:45:00"/>
    <d v="2025-05-04T13:27:00"/>
    <n v="217.37500000068394"/>
    <s v="Reached late and offloaded the next day"/>
    <d v="2025-05-04T16:21:00"/>
    <d v="2025-05-04T17:03:00"/>
    <n v="41.12500000068394"/>
    <x v="0"/>
    <n v="1.046527777776646"/>
    <n v="2"/>
    <n v="0.95347222222335404"/>
    <n v="25.116666666639503"/>
    <n v="12"/>
    <n v="13.116666666639503"/>
    <n v="11.893265565463004"/>
    <m/>
    <m/>
    <m/>
    <m/>
    <m/>
  </r>
  <r>
    <d v="2025-05-03T00:00:00"/>
    <x v="4"/>
    <s v="NBL"/>
    <s v="OMTODWZRR"/>
    <m/>
    <s v="James  Kironde"/>
    <s v="UBK 881R"/>
    <s v="Kobusinge Steven-Kamwenge Tax No.: 1000977837"/>
    <n v="156"/>
    <s v="OMTODWZRR"/>
    <s v="OM"/>
    <n v="228"/>
    <n v="227"/>
    <n v="-1"/>
    <m/>
    <d v="2025-05-03T15:28:00"/>
    <d v="2025-05-03T03:17:00"/>
    <d v="2025-05-03T15:51:00"/>
    <n v="750.50925925485592"/>
    <n v="22.893518520140788"/>
    <x v="0"/>
    <d v="2025-05-03T18:52:00"/>
    <d v="2025-05-04T14:30:00"/>
    <n v="1153.4583333280898"/>
    <s v="Waited for empties from trade"/>
    <d v="2025-05-04T17:31:00"/>
    <d v="2025-05-04T18:15:00"/>
    <n v="43.083333330141613"/>
    <x v="0"/>
    <n v="1.0694444444452529"/>
    <n v="2"/>
    <n v="0.93055555555474712"/>
    <n v="25.666666666686069"/>
    <n v="12"/>
    <n v="13.666666666686069"/>
    <n v="11.414634146325257"/>
    <m/>
    <m/>
    <m/>
    <m/>
    <m/>
  </r>
  <r>
    <d v="2025-05-03T00:00:00"/>
    <x v="4"/>
    <s v="NBL"/>
    <s v="OMYD4DGRR"/>
    <m/>
    <s v="ANGELO KYOSIGA "/>
    <s v="UAV 051U"/>
    <s v="KATO INVESTMENTS LIMITED-MASAK Tax No.: 1000098824"/>
    <n v="153.6"/>
    <s v="OMYD4DGRR"/>
    <s v="OM"/>
    <n v="596"/>
    <n v="594"/>
    <n v="-2"/>
    <m/>
    <d v="2025-05-03T14:07:00"/>
    <d v="2025-05-03T04:14:00"/>
    <d v="2025-05-03T14:49:00"/>
    <n v="632.06018518055009"/>
    <n v="41.805555556250816"/>
    <x v="9"/>
    <d v="2025-05-03T19:24:00"/>
    <d v="2025-05-04T12:28:00"/>
    <n v="1002.666666662335"/>
    <s v="Waited for empties from trade"/>
    <d v="2025-05-04T16:39:00"/>
    <d v="2025-05-04T17:23:00"/>
    <n v="43.083333330141613"/>
    <x v="0"/>
    <n v="1.0763888888905058"/>
    <n v="2"/>
    <n v="0.92361111110949423"/>
    <n v="25.833333333372138"/>
    <n v="12"/>
    <n v="13.833333333372138"/>
    <n v="11.103614457800177"/>
    <m/>
    <m/>
    <m/>
    <m/>
    <m/>
  </r>
  <r>
    <d v="2025-05-03T00:00:00"/>
    <x v="4"/>
    <s v="NBL"/>
    <s v="OMNCN9GRR"/>
    <m/>
    <s v="GODWIN  NIWENSIIMA"/>
    <s v="UAR 731Q"/>
    <s v="KATO INVESTMENTS LIMITED-MASAK Tax No.: 1000098824"/>
    <n v="153.6"/>
    <s v="OMNCN9GRR"/>
    <s v="OM"/>
    <n v="596"/>
    <n v="595"/>
    <n v="-1"/>
    <m/>
    <d v="2025-05-03T13:19:00"/>
    <d v="2025-05-03T04:14:00"/>
    <d v="2025-05-03T14:01:00"/>
    <n v="584.28240740346757"/>
    <n v="41.805555556250816"/>
    <x v="12"/>
    <d v="2025-05-03T16:58:00"/>
    <d v="2025-05-03T19:37:00"/>
    <n v="155.68750000478758"/>
    <m/>
    <d v="2025-05-04T15:19:00"/>
    <d v="2025-05-04T16:03:00"/>
    <n v="43.083333330141613"/>
    <x v="0"/>
    <n v="1.0541666666686069"/>
    <n v="2"/>
    <n v="0.94583333333139308"/>
    <n v="25.300000000046566"/>
    <n v="12"/>
    <n v="13.300000000046566"/>
    <n v="11.548872180410692"/>
    <m/>
    <m/>
    <m/>
    <m/>
    <m/>
  </r>
  <r>
    <d v="2025-05-03T00:00:00"/>
    <x v="4"/>
    <s v="NBL"/>
    <s v="OM8QEKHRR"/>
    <m/>
    <s v="Bisaso  Ronald"/>
    <s v="UBK 875R"/>
    <s v="Kabaco U Ltd Tax No.: 1000025425"/>
    <n v="156"/>
    <s v="OM8QEKHRR"/>
    <s v="OM"/>
    <n v="304"/>
    <n v="302"/>
    <n v="-2"/>
    <m/>
    <d v="2025-05-03T11:10:00"/>
    <d v="2025-05-03T02:22:00"/>
    <d v="2025-05-03T11:37:00"/>
    <n v="552.43055555207923"/>
    <n v="26.87500000417155"/>
    <x v="0"/>
    <d v="2025-05-03T18:39:00"/>
    <d v="2025-05-04T14:03:00"/>
    <n v="1139.7500000013679"/>
    <s v="Reached late and offloaded the next day"/>
    <d v="2025-05-05T10:36:00"/>
    <d v="2025-05-05T11:20:00"/>
    <n v="43.083333330141613"/>
    <x v="0"/>
    <n v="1.9576388888890506"/>
    <n v="2"/>
    <n v="4.2361111110949423E-2"/>
    <n v="46.983333333337214"/>
    <n v="12"/>
    <n v="34.983333333337214"/>
    <n v="4.459266317293455"/>
    <m/>
    <m/>
    <m/>
    <m/>
    <m/>
  </r>
  <r>
    <d v="2025-05-03T00:00:00"/>
    <x v="4"/>
    <s v="NBL"/>
    <s v="OMKRZYYRR"/>
    <m/>
    <s v="Konge Husein"/>
    <s v="UBJ 707D"/>
    <s v="Kabaco U Ltd-Mbarara Tax No.: 1000025425"/>
    <n v="153.6"/>
    <s v="OMKRZYYRR"/>
    <s v="OM"/>
    <n v="20"/>
    <n v="18"/>
    <n v="-2"/>
    <m/>
    <d v="2025-05-03T15:27:00"/>
    <d v="2025-05-03T07:42:00"/>
    <d v="2025-05-03T15:56:00"/>
    <n v="491.71296297014732"/>
    <n v="28.865740740972495"/>
    <x v="0"/>
    <d v="2025-05-03T16:51:00"/>
    <d v="2025-05-03T19:53:00"/>
    <n v="178.20833333971677"/>
    <m/>
    <d v="2025-05-03T20:29:00"/>
    <d v="2025-05-03T21:11:00"/>
    <n v="41.12500000068394"/>
    <x v="0"/>
    <n v="0.18958333333284827"/>
    <n v="1"/>
    <n v="0.81041666666715173"/>
    <n v="4.5499999999883585"/>
    <n v="0"/>
    <n v="4.5499999999883585"/>
    <n v="33.758241758328133"/>
    <m/>
    <m/>
    <m/>
    <m/>
    <m/>
  </r>
  <r>
    <d v="2025-05-03T00:00:00"/>
    <x v="4"/>
    <s v="NBL"/>
    <s v="OMD1KP8RR"/>
    <m/>
    <s v="Luyaga Isaac"/>
    <s v="UAY 265V"/>
    <s v="Kabaco U Ltd-Mbarara Tax No.: 1000025425"/>
    <n v="153.6"/>
    <s v="OMD1KP8RR"/>
    <s v="OM"/>
    <n v="20"/>
    <n v="19"/>
    <n v="-1"/>
    <m/>
    <d v="2025-05-02T16:04:00"/>
    <d v="2025-05-02T14:50:00"/>
    <d v="2025-05-02T16:46:00"/>
    <n v="115.46296296388998"/>
    <n v="41.805555556250816"/>
    <x v="11"/>
    <d v="2025-05-03T08:56:00"/>
    <d v="2025-05-03T14:37:00"/>
    <n v="333.89583333424525"/>
    <s v="Waited for empties from trade"/>
    <d v="2025-05-04T10:28:00"/>
    <d v="2025-05-04T11:19:00"/>
    <n v="49.93749999863212"/>
    <x v="4"/>
    <n v="1.7375000000029104"/>
    <n v="1"/>
    <n v="-0.73750000000291038"/>
    <n v="41.700000000069849"/>
    <n v="12"/>
    <n v="29.700000000069849"/>
    <n v="5.1717171717050086"/>
    <m/>
    <m/>
    <m/>
    <m/>
    <m/>
  </r>
  <r>
    <d v="2025-05-04T00:00:00"/>
    <x v="4"/>
    <s v="NBL"/>
    <s v="OM70RU0RR"/>
    <m/>
    <s v="GODWIN  NIWENSIIMA"/>
    <s v="UAR 731Q"/>
    <s v="KATO INVESTMENTS LIMITED-MASAK Tax No.: 1000098824"/>
    <n v="153.6"/>
    <s v="OM70RU0RR"/>
    <s v="OM"/>
    <n v="596"/>
    <n v="594"/>
    <n v="-2"/>
    <m/>
    <d v="2025-05-04T17:19:00"/>
    <d v="2025-05-04T10:00:00"/>
    <d v="2025-05-04T18:01:00"/>
    <n v="478.77314815486898"/>
    <n v="41.805555556250816"/>
    <x v="1"/>
    <d v="2025-05-05T15:18:00"/>
    <d v="2025-05-05T19:04:00"/>
    <n v="221.29166666985839"/>
    <s v="Waited for empties from trade"/>
    <d v="2025-05-06T15:33:00"/>
    <d v="2025-05-06T16:24:00"/>
    <n v="49.93749999863212"/>
    <x v="5"/>
    <n v="1.8972222222218988"/>
    <n v="2"/>
    <n v="0.10277777777810115"/>
    <n v="45.533333333325572"/>
    <n v="12"/>
    <n v="33.533333333325572"/>
    <n v="4.5805168986094102"/>
    <m/>
    <m/>
    <m/>
    <m/>
    <m/>
  </r>
  <r>
    <d v="2025-05-04T00:00:00"/>
    <x v="4"/>
    <s v="NBL"/>
    <s v="OMZSCWGRR"/>
    <m/>
    <s v="Kabene John"/>
    <s v="UBA 523T"/>
    <s v="Kabaco U Ltd Tax No.: 1000025425"/>
    <n v="156"/>
    <s v="OMZSCWGRR"/>
    <s v="OM"/>
    <n v="304"/>
    <n v="302"/>
    <n v="-2"/>
    <m/>
    <d v="2025-05-05T09:29:00"/>
    <d v="2025-05-05T02:22:00"/>
    <d v="2025-05-05T09:58:00"/>
    <n v="453.88888888749835"/>
    <n v="28.865740740972495"/>
    <x v="0"/>
    <d v="2025-05-05T15:38:00"/>
    <d v="2025-05-06T11:41:00"/>
    <n v="1177.9375000027358"/>
    <s v="Waited for empties from trade"/>
    <d v="2025-05-06T17:41:00"/>
    <d v="2025-05-06T18:23:00"/>
    <n v="41.12500000068394"/>
    <x v="0"/>
    <n v="1.3215277777781012"/>
    <n v="2"/>
    <n v="0.67847222222189885"/>
    <n v="31.716666666674428"/>
    <n v="12"/>
    <n v="19.716666666674428"/>
    <n v="7.9120879120847976"/>
    <m/>
    <m/>
    <m/>
    <m/>
    <m/>
  </r>
  <r>
    <d v="2025-05-04T00:00:00"/>
    <x v="4"/>
    <s v="NBL"/>
    <s v="OM07JP6RR"/>
    <m/>
    <s v="Tumusiime Robert"/>
    <s v="UBJ 988D"/>
    <s v="KATO INVESTMENTS LIMITED-MASAK Tax No.: 1000098824"/>
    <n v="153.6"/>
    <s v="OM07JP6RR"/>
    <s v="OM"/>
    <n v="596"/>
    <n v="594"/>
    <n v="-2"/>
    <m/>
    <d v="2025-05-04T14:35:00"/>
    <d v="2025-05-04T10:00:00"/>
    <d v="2025-05-04T14:58:00"/>
    <n v="296.62037037778646"/>
    <n v="22.893518520140788"/>
    <x v="0"/>
    <d v="2025-05-05T09:45:00"/>
    <d v="2025-05-05T13:32:00"/>
    <n v="222.27083332945767"/>
    <s v="truck faulty"/>
    <d v="2025-05-05T18:32:00"/>
    <d v="2025-05-05T19:16:00"/>
    <n v="43.083333330141613"/>
    <x v="0"/>
    <n v="1.148611111108039"/>
    <n v="2"/>
    <n v="0.85138888889196096"/>
    <n v="27.566666666592937"/>
    <n v="12"/>
    <n v="15.566666666592937"/>
    <n v="9.8672376874129011"/>
    <m/>
    <m/>
    <m/>
    <m/>
    <m/>
  </r>
  <r>
    <d v="2025-05-04T00:00:00"/>
    <x v="4"/>
    <s v="NBL"/>
    <s v="OMQDV1RRR"/>
    <m/>
    <s v="Konge Husein"/>
    <s v="UBJ 707D"/>
    <s v="KATO INVESTMENTS LTD- KALISIZO Tax No.: 1000098824"/>
    <n v="153.6"/>
    <s v="OMQDV1RRR"/>
    <s v="OM"/>
    <n v="288"/>
    <n v="286"/>
    <n v="-2"/>
    <m/>
    <d v="2025-05-04T11:32:00"/>
    <d v="2025-05-04T08:00:00"/>
    <d v="2025-05-04T12:26:00"/>
    <n v="264.76851851596922"/>
    <n v="53.749999997914223"/>
    <x v="1"/>
    <d v="2025-05-04T18:39:00"/>
    <d v="2025-05-05T13:27:00"/>
    <n v="1104.4999999993161"/>
    <s v="Reached late and offloaded the next day"/>
    <d v="2025-05-08T08:42:00"/>
    <d v="2025-05-08T09:26:00"/>
    <n v="43.083333330141613"/>
    <x v="0"/>
    <n v="3.8444444444467081"/>
    <n v="2"/>
    <n v="-1.8444444444467081"/>
    <n v="92.266666666720994"/>
    <n v="36"/>
    <n v="56.266666666720994"/>
    <n v="2.7298578199025774"/>
    <m/>
    <m/>
    <m/>
    <m/>
    <m/>
  </r>
  <r>
    <d v="2025-05-04T00:00:00"/>
    <x v="4"/>
    <s v="NBL"/>
    <s v="OMC7P3QRR"/>
    <m/>
    <s v="Luyaga Isaac"/>
    <s v="UAY 265V"/>
    <s v="Sawan Distributors Ltd-Kayabwe Tax No.: 1000186379"/>
    <n v="156"/>
    <s v="OMC7P3QRR"/>
    <s v="OM"/>
    <n v="382"/>
    <n v="380"/>
    <n v="-2"/>
    <m/>
    <d v="2025-05-04T13:29:00"/>
    <d v="2025-05-04T10:00:00"/>
    <d v="2025-05-04T13:57:00"/>
    <n v="235.90277778542563"/>
    <n v="27.870370367357584"/>
    <x v="0"/>
    <d v="2025-05-05T12:13:00"/>
    <d v="2025-05-05T15:16:00"/>
    <n v="179.18749999931606"/>
    <m/>
    <d v="2025-05-07T18:24:00"/>
    <d v="2025-05-07T19:15:00"/>
    <n v="49.93749999863212"/>
    <x v="11"/>
    <n v="3.1854166666671517"/>
    <n v="2"/>
    <n v="-1.1854166666671517"/>
    <n v="76.450000000011642"/>
    <n v="36"/>
    <n v="40.450000000011642"/>
    <n v="3.8566131025946873"/>
    <m/>
    <m/>
    <m/>
    <m/>
    <m/>
  </r>
  <r>
    <d v="2025-05-04T00:00:00"/>
    <x v="4"/>
    <s v="KESH"/>
    <s v="OM2F84ZRR"/>
    <s v="DJ"/>
    <s v="Hassan Byashara"/>
    <s v="UBP 312H"/>
    <s v="Bates Enterprises U Ltd Tax No.: 1001193253"/>
    <n v="156"/>
    <s v="OM2F84ZRR"/>
    <s v="OM"/>
    <n v="524"/>
    <n v="523"/>
    <n v="-1"/>
    <m/>
    <d v="2025-05-03T17:46:00"/>
    <d v="2025-05-03T17:12:00"/>
    <d v="2025-05-03T18:15:00"/>
    <n v="62.708333329161782"/>
    <n v="28.865740740972495"/>
    <x v="0"/>
    <d v="2025-05-04T13:34:00"/>
    <d v="2025-05-06T14:24:00"/>
    <n v="2868.9583333287737"/>
    <s v="found another truck to be offloaded"/>
    <d v="2025-05-07T08:09:00"/>
    <d v="2025-05-07T08:53:00"/>
    <n v="43.083333330141613"/>
    <x v="0"/>
    <n v="3.5791666666700621"/>
    <n v="3"/>
    <n v="-0.57916666667006211"/>
    <n v="85.900000000081491"/>
    <n v="36"/>
    <n v="49.900000000081491"/>
    <n v="3.1262525050049148"/>
    <m/>
    <m/>
    <m/>
    <m/>
    <m/>
  </r>
  <r>
    <d v="2025-05-04T00:00:00"/>
    <x v="4"/>
    <s v="KESH"/>
    <s v="OMKEKPURR"/>
    <s v="DJ"/>
    <s v="ZIWA ABASI"/>
    <s v="UBJ 420C"/>
    <s v="Boniface Harera Tax No.: 1000317747"/>
    <n v="156"/>
    <s v="OMKEKPURR"/>
    <s v="OM"/>
    <n v="448"/>
    <n v="446"/>
    <n v="-2"/>
    <m/>
    <d v="2025-05-03T18:43:00"/>
    <d v="2025-05-04T01:30:00"/>
    <d v="2025-05-03T19:12:00"/>
    <n v="-376.24999999582843"/>
    <n v="28.865740740972495"/>
    <x v="0"/>
    <d v="2025-05-04T20:16:00"/>
    <d v="2025-05-05T16:43:00"/>
    <n v="1201.4374999972642"/>
    <s v="Waited for empties from trade"/>
    <d v="2025-05-06T13:14:00"/>
    <d v="2025-05-06T13:50:00"/>
    <n v="35.25000000205182"/>
    <x v="0"/>
    <n v="2.7513888888861402"/>
    <n v="2"/>
    <n v="-0.75138888888614019"/>
    <n v="66.033333333267365"/>
    <n v="24"/>
    <n v="42.033333333267365"/>
    <n v="3.7113402061913918"/>
    <m/>
    <m/>
    <m/>
    <m/>
    <m/>
  </r>
  <r>
    <d v="2025-05-04T00:00:00"/>
    <x v="4"/>
    <s v="NBL"/>
    <s v="OMOFF1LRR"/>
    <m/>
    <s v="Stephen Musoke "/>
    <s v="UBJ 375N"/>
    <s v="Kato Investment Ltd -Mubende Tax No.: 1000098824"/>
    <n v="156"/>
    <s v="OMOFF1LRR"/>
    <s v="OM"/>
    <n v="680"/>
    <n v="678"/>
    <n v="-2"/>
    <m/>
    <d v="2025-05-04T10:20:00"/>
    <d v="2025-05-04T19:37:00"/>
    <d v="2025-05-04T11:02:00"/>
    <n v="-512.61574074305827"/>
    <n v="41.805555556250816"/>
    <x v="1"/>
    <d v="2025-05-05T10:47:00"/>
    <d v="2025-05-05T16:47:00"/>
    <n v="352.5"/>
    <s v="Waited for empties from trade"/>
    <d v="2025-05-06T17:48:00"/>
    <d v="2025-05-06T18:32:00"/>
    <n v="43.083333330141613"/>
    <x v="0"/>
    <n v="2.2819444444467081"/>
    <n v="3"/>
    <n v="0.71805555555329192"/>
    <n v="54.766666666720994"/>
    <n v="24"/>
    <n v="30.766666666720994"/>
    <n v="5.0704225352023142"/>
    <m/>
    <m/>
    <m/>
    <m/>
    <m/>
  </r>
  <r>
    <d v="2025-05-04T00:00:00"/>
    <x v="4"/>
    <s v="KESH"/>
    <s v="OMV1ARBRR"/>
    <s v="DJ"/>
    <s v="FRED LURE "/>
    <s v="UBP 310H"/>
    <s v="Kobusinge Acaali- Kyenjojo Tax No.: 1000977837"/>
    <n v="156"/>
    <s v="OMV1ARBRR"/>
    <s v="OM"/>
    <n v="580"/>
    <n v="579"/>
    <n v="-1"/>
    <m/>
    <d v="2025-05-03T20:01:00"/>
    <d v="2025-05-04T10:00:00"/>
    <d v="2025-05-03T20:43:00"/>
    <n v="-793.31018518472172"/>
    <n v="41.805555556250816"/>
    <x v="5"/>
    <d v="2025-05-05T16:14:00"/>
    <d v="2025-05-05T18:23:00"/>
    <n v="126.31250000136788"/>
    <m/>
    <d v="2025-05-06T12:29:00"/>
    <d v="2025-05-06T13:13:00"/>
    <n v="43.083333330141613"/>
    <x v="0"/>
    <n v="2.6569444444467081"/>
    <n v="2"/>
    <n v="-0.65694444444670808"/>
    <n v="63.766666666720994"/>
    <n v="24"/>
    <n v="39.766666666720994"/>
    <n v="3.9228834870021849"/>
    <m/>
    <m/>
    <m/>
    <m/>
    <m/>
  </r>
  <r>
    <d v="2025-05-04T00:00:00"/>
    <x v="4"/>
    <s v="NBL"/>
    <s v="OM1C4NPRR"/>
    <m/>
    <s v="Kilabila Ismail"/>
    <s v="UBE 419T"/>
    <s v="Kabaco U Ltd-Mbarara Tax No.: 1000025425"/>
    <n v="153.6"/>
    <s v="OM1C4NPRR"/>
    <s v="OM"/>
    <n v="20"/>
    <n v="18"/>
    <n v="-2"/>
    <m/>
    <d v="2025-05-03T17:29:00"/>
    <d v="2025-05-04T07:42:00"/>
    <d v="2025-05-03T18:07:00"/>
    <n v="-811.22685184721684"/>
    <n v="37.82407407222005"/>
    <x v="13"/>
    <d v="2025-05-04T10:50:00"/>
    <d v="2025-05-04T13:47:00"/>
    <n v="173.31250000068394"/>
    <m/>
    <d v="2025-05-04T18:17:00"/>
    <d v="2025-05-04T18:59:00"/>
    <n v="41.12500000068394"/>
    <x v="0"/>
    <n v="1.0069444444452529"/>
    <n v="1"/>
    <n v="-6.9444444452528842E-3"/>
    <n v="24.166666666686069"/>
    <n v="12"/>
    <n v="12.166666666686069"/>
    <n v="12.624657534226442"/>
    <m/>
    <m/>
    <m/>
    <m/>
    <m/>
  </r>
  <r>
    <d v="2025-05-04T00:00:00"/>
    <x v="4"/>
    <s v="NBL"/>
    <s v="OMT333ERR"/>
    <m/>
    <s v="Mugisha  George"/>
    <s v="UAV 203T"/>
    <s v="KATO INVESTMENTS LTD- KALISIZO Tax No.: 1000098824"/>
    <n v="153.6"/>
    <s v="OMT333ERR"/>
    <s v="OM"/>
    <n v="288"/>
    <n v="287"/>
    <n v="-1"/>
    <m/>
    <d v="2025-05-03T19:20:00"/>
    <d v="2025-05-04T10:00:00"/>
    <d v="2025-05-03T19:49:00"/>
    <n v="-847.06018518263591"/>
    <n v="28.865740740972495"/>
    <x v="0"/>
    <d v="2025-05-04T11:00:00"/>
    <d v="2025-05-04T15:27:00"/>
    <n v="261.43750000068394"/>
    <s v="Waited for empties from trade"/>
    <d v="2025-05-05T11:10:00"/>
    <d v="2025-05-05T11:46:00"/>
    <n v="35.25000000205182"/>
    <x v="0"/>
    <n v="1.6395833333372138"/>
    <n v="2"/>
    <n v="0.36041666666278616"/>
    <n v="39.350000000093132"/>
    <n v="12"/>
    <n v="27.350000000093132"/>
    <n v="5.6160877513519907"/>
    <m/>
    <m/>
    <m/>
    <m/>
    <m/>
  </r>
  <r>
    <d v="2025-05-04T00:00:00"/>
    <x v="4"/>
    <s v="KESH"/>
    <s v="OM6TUFHRR"/>
    <s v="DJ"/>
    <s v="Tumwine Jimmy"/>
    <s v="UBR 863Y"/>
    <s v="Kobusinge Steven-FPortal Tax No.: 1000977837"/>
    <n v="156"/>
    <s v="OM6TUFHRR"/>
    <s v="OM"/>
    <n v="304"/>
    <n v="302"/>
    <n v="-2"/>
    <m/>
    <d v="2025-05-03T20:20:00"/>
    <d v="2025-05-04T20:25:00"/>
    <d v="2025-05-03T20:43:00"/>
    <n v="-1415.4166666708381"/>
    <n v="22.893518520140788"/>
    <x v="0"/>
    <d v="2025-05-04T16:59:00"/>
    <d v="2025-05-05T15:48:00"/>
    <n v="1340.4791666657547"/>
    <s v="truck faulty"/>
    <d v="2025-05-06T11:39:00"/>
    <d v="2025-05-06T12:21:00"/>
    <n v="41.12500000068394"/>
    <x v="0"/>
    <n v="2.6222222222277196"/>
    <n v="2"/>
    <n v="-0.62222222222771961"/>
    <n v="62.933333333465271"/>
    <n v="24"/>
    <n v="38.933333333465271"/>
    <n v="4.0068493150549145"/>
    <m/>
    <m/>
    <m/>
    <m/>
    <m/>
  </r>
  <r>
    <d v="2025-05-04T00:00:00"/>
    <x v="4"/>
    <s v="NBL"/>
    <s v="OMA83H6RR"/>
    <m/>
    <s v="Benon Ssempijja"/>
    <s v="UAY 526V"/>
    <s v="Kabaco U Ltd Tax No.: 1000025425"/>
    <n v="156"/>
    <s v="OMA83H6RR"/>
    <s v="OM"/>
    <n v="304"/>
    <n v="301"/>
    <n v="-3"/>
    <m/>
    <d v="2025-05-03T20:51:00"/>
    <d v="2025-05-05T02:22:00"/>
    <d v="2025-05-03T21:20:00"/>
    <n v="-1733.9351851847216"/>
    <n v="28.865740740972495"/>
    <x v="0"/>
    <d v="2025-05-04T09:43:00"/>
    <d v="2025-05-04T17:50:00"/>
    <n v="476.85416666165111"/>
    <s v="Reached late and offloaded the next day"/>
    <d v="2025-05-04T20:14:00"/>
    <d v="2025-05-04T20:58:00"/>
    <n v="43.083333330141613"/>
    <x v="0"/>
    <n v="0.95416666666278616"/>
    <n v="2"/>
    <n v="1.0458333333372138"/>
    <n v="22.899999999906868"/>
    <n v="0"/>
    <n v="22.899999999906868"/>
    <n v="6.8122270742635127"/>
    <m/>
    <m/>
    <m/>
    <m/>
    <m/>
  </r>
  <r>
    <d v="2025-05-05T00:00:00"/>
    <x v="4"/>
    <s v="NBL"/>
    <s v="OMEO7YNRR"/>
    <m/>
    <s v="Abel Mark naffa"/>
    <s v="UBJ 415C"/>
    <s v="Kabaco U Ltd-Mbarara Tax No.: 1000025425"/>
    <n v="153.6"/>
    <s v="OMEO7YNRR"/>
    <s v="OM"/>
    <n v="20"/>
    <n v="18"/>
    <n v="-2"/>
    <m/>
    <d v="2025-05-06T13:06:00"/>
    <d v="2025-05-05T07:42:00"/>
    <d v="2025-05-06T13:29:00"/>
    <n v="1778.7268518513883"/>
    <n v="22.893518520140788"/>
    <x v="0"/>
    <d v="2025-05-06T18:50:00"/>
    <d v="2025-05-07T11:08:00"/>
    <n v="957.62500000273576"/>
    <s v="found another truck to be offloaded"/>
    <d v="2025-05-07T16:04:00"/>
    <d v="2025-05-07T17:01:00"/>
    <n v="55.81249999726424"/>
    <x v="11"/>
    <n v="1.1076388888905058"/>
    <n v="1"/>
    <n v="-0.10763888889050577"/>
    <n v="26.583333333372138"/>
    <n v="12"/>
    <n v="14.583333333372138"/>
    <n v="10.532571428543402"/>
    <m/>
    <m/>
    <m/>
    <m/>
    <m/>
  </r>
  <r>
    <d v="2025-05-05T00:00:00"/>
    <x v="4"/>
    <s v="NBL"/>
    <s v="OM1LP68RR"/>
    <m/>
    <s v="Bisaso  Ronald"/>
    <s v="UBK 875R"/>
    <s v="RUGOMA TRADERS CO. LTD NTUNGAM Tax No.: 1000249350"/>
    <n v="153.6"/>
    <s v="OM1LP68RR"/>
    <s v="OM"/>
    <n v="150"/>
    <n v="148"/>
    <n v="-2"/>
    <m/>
    <d v="2025-05-06T08:54:00"/>
    <d v="2025-05-05T08:00:00"/>
    <d v="2025-05-06T09:23:00"/>
    <n v="1515.9490740722201"/>
    <n v="28.865740740972495"/>
    <x v="0"/>
    <d v="2025-05-06T14:26:00"/>
    <d v="2025-05-07T14:20:00"/>
    <n v="1404.1249999911088"/>
    <s v="Waited for empties from trade"/>
    <d v="2025-05-07T16:24:00"/>
    <d v="2025-05-07T17:08:00"/>
    <n v="43.083333330141613"/>
    <x v="0"/>
    <n v="1.2923611111109494"/>
    <n v="1"/>
    <n v="-0.29236111111094942"/>
    <n v="31.016666666662786"/>
    <n v="12"/>
    <n v="19.016666666662786"/>
    <n v="8.0771253286607188"/>
    <m/>
    <m/>
    <m/>
    <m/>
    <m/>
  </r>
  <r>
    <d v="2025-05-05T00:00:00"/>
    <x v="4"/>
    <s v="KESH"/>
    <s v="OMO599ARR"/>
    <s v="DJ"/>
    <s v="ALIPA EREKU"/>
    <s v="UBK 858R"/>
    <s v="Boniface Harera Tax No.: 1000317747"/>
    <n v="156"/>
    <s v="OMO599ARR"/>
    <s v="OM"/>
    <n v="448"/>
    <n v="446"/>
    <n v="-2"/>
    <m/>
    <d v="2025-05-05T18:18:00"/>
    <d v="2025-05-05T01:30:00"/>
    <d v="2025-05-05T18:47:00"/>
    <n v="1032.1990740701342"/>
    <n v="28.865740740972495"/>
    <x v="0"/>
    <d v="2025-05-06T11:54:00"/>
    <d v="2025-05-06T16:25:00"/>
    <n v="265.35416666985839"/>
    <s v="Waited for empties from trade"/>
    <d v="2025-05-07T08:19:00"/>
    <d v="2025-05-07T09:01:00"/>
    <n v="41.12500000068394"/>
    <x v="0"/>
    <n v="1.5638888888934162"/>
    <n v="2"/>
    <n v="0.43611111110658385"/>
    <n v="37.533333333441988"/>
    <n v="12"/>
    <n v="25.533333333441988"/>
    <n v="6.1096605743865338"/>
    <m/>
    <m/>
    <m/>
    <m/>
    <m/>
  </r>
  <r>
    <d v="2025-05-05T00:00:00"/>
    <x v="4"/>
    <s v="NBL"/>
    <s v="OM814O7RR"/>
    <m/>
    <s v="ANGELO KYOSIGA "/>
    <s v="UAV 051U"/>
    <s v="KATO INVESTMENTS LIMITED-MASAK Tax No.: 1000098824"/>
    <n v="153.6"/>
    <s v="OM814O7RR"/>
    <s v="OM"/>
    <n v="596"/>
    <n v="594"/>
    <n v="-2"/>
    <m/>
    <d v="2025-05-05T16:45:00"/>
    <d v="2025-05-05T04:14:00"/>
    <d v="2025-05-05T17:23:00"/>
    <n v="785.34722222708899"/>
    <n v="37.82407407222005"/>
    <x v="13"/>
    <d v="2025-05-05T19:29:00"/>
    <d v="2025-05-06T12:24:00"/>
    <n v="993.85416667464597"/>
    <s v="Waited for empties from trade"/>
    <d v="2025-05-06T14:20:00"/>
    <d v="2025-05-06T15:04:00"/>
    <n v="43.083333330141613"/>
    <x v="0"/>
    <n v="0.87291666665987577"/>
    <n v="2"/>
    <n v="1.1270833333401242"/>
    <n v="20.949999999837019"/>
    <n v="0"/>
    <n v="20.949999999837019"/>
    <n v="7.3317422434937916"/>
    <m/>
    <m/>
    <m/>
    <m/>
    <m/>
  </r>
  <r>
    <d v="2025-05-05T00:00:00"/>
    <x v="4"/>
    <s v="KESH"/>
    <s v="OMYI04IRR"/>
    <s v="DJ"/>
    <s v="MBOGO BASHIR"/>
    <s v="UBR 903Y"/>
    <s v="Kabaco U Ltd Tax No.: 1000025425"/>
    <n v="156"/>
    <s v="OMYI04IRR"/>
    <s v="OM"/>
    <n v="304"/>
    <n v="302"/>
    <n v="-2"/>
    <m/>
    <d v="2025-05-05T13:39:00"/>
    <d v="2025-05-05T02:22:00"/>
    <d v="2025-05-05T14:08:00"/>
    <n v="702.7314814777734"/>
    <n v="28.865740740972495"/>
    <x v="0"/>
    <d v="2025-05-06T09:00:00"/>
    <d v="2025-05-06T13:33:00"/>
    <n v="267.31249999931606"/>
    <s v="truck faulty"/>
    <d v="2025-05-06T19:47:00"/>
    <d v="2025-05-06T20:27:00"/>
    <n v="39.166666671226267"/>
    <x v="0"/>
    <n v="1.2354166666700621"/>
    <n v="2"/>
    <n v="0.76458333332993789"/>
    <n v="29.650000000081491"/>
    <n v="12"/>
    <n v="17.650000000081491"/>
    <n v="8.8385269121404946"/>
    <m/>
    <m/>
    <m/>
    <m/>
    <m/>
  </r>
  <r>
    <d v="2025-05-05T00:00:00"/>
    <x v="4"/>
    <s v="NBL"/>
    <s v="OMNZ863RR"/>
    <m/>
    <s v="Benon Ssempijja"/>
    <s v="UAY 526V"/>
    <s v="RUGOMA TRADERS CO. LTD NTUNGAM Tax No.: 1000249350"/>
    <n v="153.6"/>
    <s v="OMNZ863RR"/>
    <s v="OM"/>
    <n v="150"/>
    <n v="148"/>
    <n v="-2"/>
    <m/>
    <d v="2025-05-06T09:00:00"/>
    <d v="2025-05-06T06:15:00"/>
    <d v="2025-05-06T09:54:00"/>
    <n v="217.98611111250162"/>
    <n v="53.749999997914223"/>
    <x v="9"/>
    <d v="2025-05-06T11:51:00"/>
    <d v="2025-05-06T17:57:00"/>
    <n v="358.37499999863212"/>
    <s v="Reached late and offloaded the next day"/>
    <d v="2025-05-06T20:01:00"/>
    <d v="2025-05-06T20:43:00"/>
    <n v="41.12500000068394"/>
    <x v="0"/>
    <n v="0.42152777777664596"/>
    <n v="1"/>
    <n v="0.57847222222335404"/>
    <n v="10.116666666639503"/>
    <n v="0"/>
    <n v="10.116666666639503"/>
    <n v="15.182866556877668"/>
    <m/>
    <m/>
    <m/>
    <m/>
    <m/>
  </r>
  <r>
    <d v="2025-05-05T00:00:00"/>
    <x v="4"/>
    <s v="NBL"/>
    <s v="OMXKDHNRR"/>
    <m/>
    <s v="Isaac Tumuhimbise"/>
    <s v="UBE 287X"/>
    <s v="KATO INVESTMENTS LIMITED-MASAK Tax No.: 1000098824"/>
    <n v="153.6"/>
    <s v="OMXKDHNRR"/>
    <s v="OM"/>
    <n v="596"/>
    <n v="594"/>
    <n v="-2"/>
    <m/>
    <d v="2025-05-04T20:08:00"/>
    <d v="2025-05-05T04:14:00"/>
    <d v="2025-05-04T20:50:00"/>
    <n v="-441.94444444583496"/>
    <n v="41.805555556250816"/>
    <x v="12"/>
    <d v="2025-05-05T13:29:00"/>
    <d v="2025-05-05T17:05:00"/>
    <n v="211.50000000205182"/>
    <s v="less casuals and offloaded the next day"/>
    <d v="2025-05-06T11:58:00"/>
    <d v="2025-05-06T12:40:00"/>
    <n v="41.12500000068394"/>
    <x v="0"/>
    <n v="1.6305555555591127"/>
    <n v="2"/>
    <n v="0.36944444444088731"/>
    <n v="39.133333333418705"/>
    <n v="12"/>
    <n v="27.133333333418705"/>
    <n v="5.6609336609158492"/>
    <m/>
    <m/>
    <m/>
    <m/>
    <m/>
  </r>
  <r>
    <d v="2025-05-05T00:00:00"/>
    <x v="4"/>
    <s v="NBL"/>
    <s v="OM1SJA5RR"/>
    <m/>
    <s v="James  Kironde"/>
    <s v="UBK 881R"/>
    <s v="Kabaco U Ltd-Mbarara Tax No.: 1000025425"/>
    <n v="153.6"/>
    <s v="OM1SJA5RR"/>
    <s v="OM"/>
    <n v="20"/>
    <n v="17"/>
    <n v="-3"/>
    <m/>
    <d v="2025-05-04T20:35:00"/>
    <d v="2025-05-05T07:42:00"/>
    <d v="2025-05-04T21:04:00"/>
    <n v="-635.04629629096598"/>
    <n v="28.865740740972495"/>
    <x v="0"/>
    <d v="2025-05-04T21:31:00"/>
    <d v="2025-05-05T12:04:00"/>
    <n v="854.81250000615546"/>
    <s v="found another truck to be offloaded"/>
    <d v="2025-05-05T13:08:00"/>
    <d v="2025-05-05T13:52:00"/>
    <n v="43.083333330141613"/>
    <x v="0"/>
    <n v="0.66944444444379769"/>
    <n v="1"/>
    <n v="0.33055555555620231"/>
    <n v="16.066666666651145"/>
    <n v="0"/>
    <n v="16.066666666651145"/>
    <n v="9.5601659751129695"/>
    <m/>
    <m/>
    <m/>
    <m/>
    <m/>
  </r>
  <r>
    <d v="2025-05-06T00:00:00"/>
    <x v="4"/>
    <s v="NBL"/>
    <s v="OMJ7B4VRR"/>
    <m/>
    <s v="Tumusiime Robert"/>
    <s v="UBJ 988D"/>
    <s v="Kabaco U Ltd-Mbarara Tax No.: 1000025425"/>
    <n v="153.6"/>
    <s v="OMJ7B4VRR"/>
    <s v="OM"/>
    <n v="20"/>
    <n v="18"/>
    <n v="-2"/>
    <m/>
    <d v="2025-05-07T11:05:00"/>
    <d v="2025-05-06T10:00:00"/>
    <d v="2025-05-07T11:28:00"/>
    <n v="1520.9259259298658"/>
    <n v="22.893518520140788"/>
    <x v="0"/>
    <d v="2025-05-07T17:12:00"/>
    <d v="2025-05-08T10:23:00"/>
    <n v="1009.5208333308256"/>
    <s v="Waited for empties from trade"/>
    <d v="2025-05-08T18:00:00"/>
    <d v="2025-05-08T18:44:00"/>
    <n v="43.083333330141613"/>
    <x v="0"/>
    <n v="1.2722222222218988"/>
    <n v="1"/>
    <n v="-0.27222222222189885"/>
    <n v="30.533333333325572"/>
    <n v="12"/>
    <n v="18.533333333325572"/>
    <n v="8.2877697841761329"/>
    <m/>
    <m/>
    <m/>
    <m/>
    <m/>
  </r>
  <r>
    <d v="2025-05-06T00:00:00"/>
    <x v="4"/>
    <s v="NBL"/>
    <s v="OMV8271RR"/>
    <m/>
    <s v="Isaac Tumuhimbise"/>
    <s v="UBE 287X"/>
    <s v="KATO INVESTMENTS LIMITED-MASAK Tax No.: 1000098824"/>
    <n v="153.6"/>
    <s v="OMV8271RR"/>
    <s v="OM"/>
    <n v="596"/>
    <n v="594"/>
    <n v="-2"/>
    <m/>
    <d v="2025-05-06T18:38:00"/>
    <d v="2025-05-06T10:00:00"/>
    <d v="2025-05-06T19:07:00"/>
    <n v="544.46759259444661"/>
    <n v="28.865740740972495"/>
    <x v="0"/>
    <d v="2025-05-07T12:16:00"/>
    <d v="2025-05-07T15:18:00"/>
    <n v="178.20833332945767"/>
    <m/>
    <d v="2025-05-08T08:56:00"/>
    <d v="2025-05-08T09:38:00"/>
    <n v="41.12500000068394"/>
    <x v="0"/>
    <n v="1.5756944444437977"/>
    <n v="2"/>
    <n v="0.42430555555620231"/>
    <n v="37.816666666651145"/>
    <n v="12"/>
    <n v="25.816666666651145"/>
    <n v="5.9496449322179084"/>
    <m/>
    <m/>
    <m/>
    <m/>
    <m/>
  </r>
  <r>
    <d v="2025-05-06T00:00:00"/>
    <x v="4"/>
    <s v="NBL"/>
    <s v="OMW4LOARR"/>
    <m/>
    <s v="Mugisha  George"/>
    <s v="UAV 203T"/>
    <s v="Kabaco U Ltd-Mbarara Tax No.: 1000025425"/>
    <n v="153.6"/>
    <s v="OMW4LOARR"/>
    <s v="OM"/>
    <n v="20"/>
    <n v="18"/>
    <n v="-2"/>
    <m/>
    <d v="2025-05-07T09:17:00"/>
    <d v="2025-05-07T04:14:00"/>
    <d v="2025-05-07T09:46:00"/>
    <n v="330.46296296597575"/>
    <n v="28.865740740972495"/>
    <x v="0"/>
    <d v="2025-05-06T10:25:00"/>
    <d v="2025-05-06T13:49:00"/>
    <n v="199.74999999452848"/>
    <s v="space consquents"/>
    <d v="2025-05-06T15:05:00"/>
    <d v="2025-05-06T15:41:00"/>
    <n v="35.25000000205182"/>
    <x v="0"/>
    <n v="-0.77847222222771961"/>
    <n v="1"/>
    <n v="1.7784722222277196"/>
    <n v="-18.683333333465271"/>
    <n v="-12"/>
    <n v="-6.6833333334652707"/>
    <n v="-22.98254364044405"/>
    <m/>
    <m/>
    <m/>
    <m/>
    <m/>
  </r>
  <r>
    <d v="2025-05-06T00:00:00"/>
    <x v="4"/>
    <s v="KESH"/>
    <s v="OMW0RXLRR"/>
    <s v="DJ"/>
    <s v="MUKOSE MUZAMIRU"/>
    <s v="UBJ 417C"/>
    <s v="Kobusinge Acaali- Kyenjojo Tax No.: 1000977837"/>
    <n v="156"/>
    <s v="OMW0RXLRR"/>
    <s v="OM"/>
    <n v="580"/>
    <n v="578"/>
    <n v="-2"/>
    <m/>
    <d v="2025-05-06T10:00:00"/>
    <d v="2025-05-06T10:00:00"/>
    <d v="2025-05-06T10:23:00"/>
    <n v="22.893518520140788"/>
    <n v="22.893518520140788"/>
    <x v="0"/>
    <d v="2025-05-06T19:01:00"/>
    <d v="2025-05-07T14:37:00"/>
    <n v="1151.4999999986321"/>
    <s v="Reached late and offloaded the next day"/>
    <d v="2025-05-07T21:07:00"/>
    <d v="2025-05-07T21:47:00"/>
    <n v="39.166666671226267"/>
    <x v="0"/>
    <n v="1.4472222222248092"/>
    <n v="2"/>
    <n v="0.55277777777519077"/>
    <n v="34.733333333395422"/>
    <n v="12"/>
    <n v="22.733333333395422"/>
    <n v="6.8621700879577983"/>
    <m/>
    <m/>
    <m/>
    <m/>
    <m/>
  </r>
  <r>
    <d v="2025-05-06T00:00:00"/>
    <x v="4"/>
    <s v="NBL"/>
    <s v="OMFHZQ0RR"/>
    <m/>
    <s v="Mugisha  George"/>
    <s v="UAV 203T"/>
    <s v="KATO INVESTMENTS LIMITED-MASAK Tax No.: 1000098824"/>
    <n v="153.6"/>
    <s v="OMFHZQ0RR"/>
    <s v="OM"/>
    <n v="596"/>
    <n v="593"/>
    <n v="-3"/>
    <m/>
    <d v="2025-05-06T09:09:00"/>
    <d v="2025-05-06T10:00:00"/>
    <d v="2025-05-06T09:38:00"/>
    <n v="-21.89814814652588"/>
    <n v="28.865740740972495"/>
    <x v="0"/>
    <d v="2025-05-07T18:02:00"/>
    <d v="2025-05-07T21:15:00"/>
    <n v="188.97916666712263"/>
    <s v="Waited for empties from trade"/>
    <d v="2025-05-08T16:26:00"/>
    <d v="2025-05-08T17:11:00"/>
    <n v="44.0625"/>
    <x v="0"/>
    <n v="2.2833333333328483"/>
    <n v="2"/>
    <n v="-0.28333333333284827"/>
    <n v="54.799999999988358"/>
    <n v="24"/>
    <n v="30.799999999988358"/>
    <n v="4.9870129870148716"/>
    <m/>
    <m/>
    <m/>
    <m/>
    <m/>
  </r>
  <r>
    <d v="2025-05-06T00:00:00"/>
    <x v="4"/>
    <s v="KESH"/>
    <s v="OMN7HURRR"/>
    <s v="DJ"/>
    <s v="SENTONGO GODFREY"/>
    <s v="UBR 864Y"/>
    <s v="Boniface Harera Tax No.: 1000317747"/>
    <n v="156"/>
    <s v="OMN7HURRR"/>
    <s v="OM"/>
    <n v="448"/>
    <n v="446"/>
    <n v="-2"/>
    <m/>
    <d v="2025-05-05T20:42:00"/>
    <d v="2025-05-06T01:30:00"/>
    <d v="2025-05-05T21:05:00"/>
    <n v="-263.77314815278322"/>
    <n v="22.893518520140788"/>
    <x v="0"/>
    <d v="2025-05-07T08:47:00"/>
    <d v="2025-05-07T12:37:00"/>
    <n v="225.20833332877373"/>
    <s v="Reached late and offloaded the next day"/>
    <d v="2025-05-08T10:47:00"/>
    <d v="2025-05-08T11:31:00"/>
    <n v="43.083333330141613"/>
    <x v="0"/>
    <n v="2.570833333338669"/>
    <n v="2"/>
    <n v="-0.57083333333866904"/>
    <n v="61.700000000128057"/>
    <n v="24"/>
    <n v="37.700000000128057"/>
    <n v="4.1379310344687035"/>
    <m/>
    <m/>
    <m/>
    <m/>
    <m/>
  </r>
  <r>
    <d v="2025-05-06T00:00:00"/>
    <x v="4"/>
    <s v="KESH"/>
    <s v="OMNY8D8RR"/>
    <s v="DJ"/>
    <s v="IKWALIKWA YUSUF"/>
    <s v="UBP 311H"/>
    <s v="Kobusinge Steven-FPortal Tax No.: 1000977837"/>
    <n v="156"/>
    <s v="OMNY8D8RR"/>
    <s v="OM"/>
    <n v="304"/>
    <n v="303"/>
    <n v="-1"/>
    <m/>
    <d v="2025-05-06T10:07:00"/>
    <d v="2025-05-06T20:25:00"/>
    <d v="2025-05-06T10:36:00"/>
    <n v="-586.27314815069747"/>
    <n v="28.865740740972495"/>
    <x v="0"/>
    <d v="2025-05-06T22:05:00"/>
    <d v="2025-05-07T19:00:00"/>
    <n v="1228.8541666609672"/>
    <s v="Waited for empties from trade"/>
    <d v="2025-05-08T14:29:00"/>
    <d v="2025-05-08T15:05:00"/>
    <n v="35.25000000205182"/>
    <x v="0"/>
    <n v="2.1618055555591127"/>
    <n v="2"/>
    <n v="-0.16180555555911269"/>
    <n v="51.883333333418705"/>
    <n v="24"/>
    <n v="27.883333333418705"/>
    <n v="5.594739988028298"/>
    <m/>
    <m/>
    <m/>
    <m/>
    <m/>
  </r>
  <r>
    <d v="2025-05-06T00:00:00"/>
    <x v="4"/>
    <s v="NBL"/>
    <s v="OMV0SI2RR"/>
    <m/>
    <s v="Kilabila Ismail"/>
    <s v="UBE 419T"/>
    <s v="RUGOMA TRADERS CO. LTD NTUNGAM Tax No.: 1000249350"/>
    <n v="153.6"/>
    <s v="OMV0SI2RR"/>
    <s v="OM"/>
    <n v="150"/>
    <n v="148"/>
    <n v="-2"/>
    <m/>
    <d v="2025-05-05T18:03:00"/>
    <d v="2025-05-06T06:15:00"/>
    <d v="2025-05-05T18:32:00"/>
    <n v="-699.74537036735762"/>
    <n v="28.865740740972495"/>
    <x v="0"/>
    <d v="2025-05-06T08:47:00"/>
    <d v="2025-05-06T13:52:00"/>
    <n v="298.64583333219343"/>
    <s v="Waited for empties from trade"/>
    <d v="2025-05-06T16:42:00"/>
    <d v="2025-05-06T17:22:00"/>
    <n v="39.166666671226267"/>
    <x v="0"/>
    <n v="0.92361111110949423"/>
    <n v="1"/>
    <n v="7.6388888890505768E-2"/>
    <n v="22.166666666627862"/>
    <n v="0"/>
    <n v="22.166666666627862"/>
    <n v="6.9293233082828065"/>
    <m/>
    <m/>
    <m/>
    <m/>
    <m/>
  </r>
  <r>
    <d v="2025-05-06T00:00:00"/>
    <x v="4"/>
    <s v="KESH"/>
    <s v="OMUYLUARR"/>
    <s v="DJ"/>
    <s v="SENTONG DAVID"/>
    <s v="UBP 298H"/>
    <s v="Kato Investment Ltd -Mubende Tax No.: 1000098824"/>
    <n v="156"/>
    <s v="OMUYLUARR"/>
    <s v="OM"/>
    <n v="680"/>
    <n v="678"/>
    <n v="-2"/>
    <m/>
    <d v="2025-05-05T21:58:00"/>
    <d v="2025-05-06T19:37:00"/>
    <d v="2025-05-05T22:40:00"/>
    <n v="-1251.1805555562507"/>
    <n v="41.805555556250816"/>
    <x v="1"/>
    <d v="2025-05-06T17:43:00"/>
    <d v="2025-05-07T11:36:00"/>
    <n v="1050.6458333315095"/>
    <s v="truck faulty"/>
    <d v="2025-05-08T14:42:00"/>
    <d v="2025-05-08T15:26:00"/>
    <n v="43.083333330141613"/>
    <x v="0"/>
    <n v="2.6680555555576575"/>
    <n v="3"/>
    <n v="0.3319444444423425"/>
    <n v="64.03333333338378"/>
    <n v="24"/>
    <n v="40.03333333338378"/>
    <n v="3.8967527060733578"/>
    <m/>
    <m/>
    <m/>
    <m/>
    <m/>
  </r>
  <r>
    <d v="2025-05-06T00:00:00"/>
    <x v="4"/>
    <s v="KESH"/>
    <s v="OMQ0L08RR"/>
    <s v="DJ"/>
    <s v="KAJUBI ISMA"/>
    <s v="UBR 538W"/>
    <s v="Kabaco U Ltd Tax No.: 1000025425"/>
    <n v="156"/>
    <s v="OMQ0L08RR"/>
    <s v="OM"/>
    <n v="304"/>
    <n v="301"/>
    <n v="-3"/>
    <m/>
    <d v="2025-05-05T22:27:00"/>
    <d v="2025-05-07T02:22:00"/>
    <d v="2025-05-05T22:56:00"/>
    <n v="-1638.3796296305566"/>
    <n v="28.865740740972495"/>
    <x v="0"/>
    <d v="2025-05-07T12:54:00"/>
    <d v="2025-05-07T15:07:00"/>
    <n v="130.22916667054233"/>
    <m/>
    <d v="2025-05-07T15:28:00"/>
    <d v="2025-05-07T16:10:00"/>
    <n v="41.12500000068394"/>
    <x v="0"/>
    <n v="1.6888888888861402"/>
    <n v="2"/>
    <n v="0.31111111111385981"/>
    <n v="40.533333333267365"/>
    <n v="12"/>
    <n v="28.533333333267365"/>
    <n v="5.4672897196388082"/>
    <m/>
    <m/>
    <m/>
    <m/>
    <m/>
  </r>
  <r>
    <d v="2025-05-07T00:00:00"/>
    <x v="4"/>
    <s v="NBL"/>
    <s v="OMWAJU4RR"/>
    <m/>
    <s v="Luyaga Isaac"/>
    <s v="UAY 265V"/>
    <s v="Kabaco U Ltd-Mbarara Tax No.: 1000025425"/>
    <n v="153.6"/>
    <s v="OMWAJU4RR"/>
    <s v="OM"/>
    <n v="20"/>
    <n v="19"/>
    <n v="-1"/>
    <m/>
    <d v="2025-05-08T13:00:00"/>
    <d v="2025-05-07T08:00:00"/>
    <d v="2025-05-08T13:27:00"/>
    <n v="1758.8194444416633"/>
    <n v="26.87500000417155"/>
    <x v="0"/>
    <d v="2025-05-08T18:22:00"/>
    <d v="2025-05-09T10:58:00"/>
    <n v="975.24999999863212"/>
    <s v="found another truck to be offloaded"/>
    <d v="2025-05-09T17:54:00"/>
    <d v="2025-05-09T18:30:00"/>
    <n v="35.25000000205182"/>
    <x v="0"/>
    <n v="1.1854166666671517"/>
    <n v="1"/>
    <n v="-0.18541666666715173"/>
    <n v="28.450000000011642"/>
    <n v="12"/>
    <n v="16.450000000011642"/>
    <n v="9.3373860182304735"/>
    <m/>
    <m/>
    <m/>
    <m/>
    <m/>
  </r>
  <r>
    <d v="2025-05-07T00:00:00"/>
    <x v="4"/>
    <s v="NBL"/>
    <s v="OM66R9VRR"/>
    <m/>
    <s v="Stephen Musoke "/>
    <s v="UBJ 375N"/>
    <s v="KATO INVESTMENTS LTD- KALISIZO Tax No.: 1000098824"/>
    <n v="153.6"/>
    <s v="OM66R9VRR"/>
    <s v="OM"/>
    <n v="288"/>
    <n v="286"/>
    <n v="-2"/>
    <m/>
    <d v="2025-05-07T13:43:00"/>
    <d v="2025-05-07T03:43:00"/>
    <d v="2025-05-07T14:06:00"/>
    <n v="620.11574073888676"/>
    <n v="22.893518520140788"/>
    <x v="0"/>
    <d v="2025-05-08T11:34:00"/>
    <d v="2025-05-08T14:58:00"/>
    <n v="199.75000000478758"/>
    <s v="Waited for empties from trade"/>
    <d v="2025-05-09T13:44:00"/>
    <d v="2025-05-09T14:24:00"/>
    <n v="39.166666671226267"/>
    <x v="0"/>
    <n v="1.984722222223354"/>
    <n v="2"/>
    <n v="1.5277777776645962E-2"/>
    <n v="47.633333333360497"/>
    <n v="12"/>
    <n v="35.633333333360497"/>
    <n v="4.3105706267506898"/>
    <m/>
    <m/>
    <m/>
    <m/>
    <m/>
  </r>
  <r>
    <d v="2025-05-07T00:00:00"/>
    <x v="4"/>
    <s v="NBL"/>
    <s v="OMYNEIKRR"/>
    <m/>
    <s v="Kilabila Ismail"/>
    <s v="UBE 419T"/>
    <s v="Rugoma Traders-Kanungu/Kihihi Tax No.: 1000249350"/>
    <n v="153.6"/>
    <s v="OMYNEIKRR"/>
    <s v="OM"/>
    <n v="272"/>
    <n v="270"/>
    <n v="-2"/>
    <m/>
    <d v="2025-05-07T09:58:00"/>
    <d v="2025-05-07T01:59:00"/>
    <d v="2025-05-07T10:52:00"/>
    <n v="530.53240740555339"/>
    <n v="53.749999997914223"/>
    <x v="11"/>
    <d v="2025-05-07T19:43:00"/>
    <d v="2025-05-08T13:47:00"/>
    <n v="1061.4166666691744"/>
    <s v="Waited for empties from trade"/>
    <d v="2025-05-09T10:37:00"/>
    <d v="2025-05-09T11:21:00"/>
    <n v="43.083333330141613"/>
    <x v="0"/>
    <n v="1.9895833333357587"/>
    <n v="2"/>
    <n v="1.0416666664241347E-2"/>
    <n v="47.750000000058208"/>
    <n v="12"/>
    <n v="35.750000000058208"/>
    <n v="4.2965034964965012"/>
    <m/>
    <m/>
    <m/>
    <m/>
    <m/>
  </r>
  <r>
    <d v="2025-05-07T00:00:00"/>
    <x v="4"/>
    <s v="KESH"/>
    <s v="OMDLEAQRR"/>
    <s v="DJ"/>
    <s v="FRED LURE "/>
    <s v="UBP 310H"/>
    <s v="KATO INVESTMENTS LTD-KATIKARA Tax No.: 1000098824"/>
    <n v="156"/>
    <s v="OMDLEAQRR"/>
    <s v="OM"/>
    <n v="790"/>
    <n v="788"/>
    <n v="-2"/>
    <m/>
    <d v="2025-05-06T19:04:00"/>
    <d v="2025-05-06T15:48:00"/>
    <d v="2025-05-06T19:33:00"/>
    <n v="223.95833333333334"/>
    <n v="28.865740740972495"/>
    <x v="0"/>
    <d v="2025-05-07T18:05:00"/>
    <d v="2025-05-07T20:12:00"/>
    <n v="124.35416667191021"/>
    <m/>
    <d v="2025-05-09T11:01:00"/>
    <d v="2025-05-09T11:41:00"/>
    <n v="39.166666671226267"/>
    <x v="0"/>
    <n v="2.6444444444423425"/>
    <n v="3"/>
    <n v="0.3555555555576575"/>
    <n v="63.46666666661622"/>
    <n v="24"/>
    <n v="39.46666666661622"/>
    <n v="3.952702702707755"/>
    <m/>
    <m/>
    <m/>
    <m/>
    <m/>
  </r>
  <r>
    <d v="2025-05-07T00:00:00"/>
    <x v="4"/>
    <s v="NBL"/>
    <s v="OMFFWKLRR"/>
    <m/>
    <s v="GODWIN  NIWENSIIMA"/>
    <s v="UAR 731Q"/>
    <s v="RUGOMA TRADERS CO. LTD NTUNGAM Tax No.: 1000249350"/>
    <n v="153.6"/>
    <s v="OMFFWKLRR"/>
    <s v="OM"/>
    <n v="150"/>
    <n v="148"/>
    <n v="-2"/>
    <m/>
    <d v="2025-05-07T09:07:00"/>
    <d v="2025-05-07T06:15:00"/>
    <d v="2025-05-07T09:45:00"/>
    <n v="209.02777778125406"/>
    <n v="37.82407407222005"/>
    <x v="1"/>
    <d v="2025-05-07T12:22:00"/>
    <d v="2025-05-08T15:46:00"/>
    <n v="1609.7500000047876"/>
    <s v="truck faulty"/>
    <d v="2025-05-08T17:49:00"/>
    <d v="2025-05-08T18:31:00"/>
    <n v="41.12500000068394"/>
    <x v="0"/>
    <n v="1.336111111108039"/>
    <n v="1"/>
    <n v="-0.33611111110803904"/>
    <n v="32.066666666592937"/>
    <n v="12"/>
    <n v="20.066666666592937"/>
    <n v="7.6544850498620107"/>
    <m/>
    <m/>
    <m/>
    <m/>
    <m/>
  </r>
  <r>
    <d v="2025-05-07T00:00:00"/>
    <x v="4"/>
    <s v="NBL"/>
    <s v="OM8QXGJRR"/>
    <m/>
    <s v="Kabene John"/>
    <s v="UBA 523T"/>
    <s v="Sawan Distributors Ltd-Kayabwe Tax No.: 1000186379"/>
    <n v="156"/>
    <s v="OM8QXGJRR"/>
    <s v="OM"/>
    <n v="382"/>
    <n v="379"/>
    <n v="-3"/>
    <m/>
    <d v="2025-05-07T11:47:00"/>
    <d v="2025-05-07T10:00:00"/>
    <d v="2025-05-07T12:08:00"/>
    <n v="127.40740741598226"/>
    <n v="20.902777772910969"/>
    <x v="0"/>
    <d v="2025-05-07T19:29:00"/>
    <d v="2025-05-08T16:03:00"/>
    <n v="1208.2916666657547"/>
    <s v="Reached late and offloaded the next day"/>
    <d v="2025-05-09T08:39:00"/>
    <d v="2025-05-09T09:23:00"/>
    <n v="43.083333330141613"/>
    <x v="0"/>
    <n v="1.8548611111109494"/>
    <n v="2"/>
    <n v="0.14513888888905058"/>
    <n v="44.516666666662786"/>
    <n v="12"/>
    <n v="32.516666666662786"/>
    <n v="4.797539723219435"/>
    <m/>
    <m/>
    <m/>
    <m/>
    <m/>
  </r>
  <r>
    <d v="2025-05-07T00:00:00"/>
    <x v="4"/>
    <s v="KESH"/>
    <s v="OMAARNHRR"/>
    <s v="DJ"/>
    <s v="Tumwine Jimmy"/>
    <s v="UBR 863Y"/>
    <s v="Kabaco U Ltd Tax No.: 1000025425"/>
    <n v="156"/>
    <s v="OMAARNHRR"/>
    <s v="OM"/>
    <n v="304"/>
    <n v="303"/>
    <n v="-1"/>
    <m/>
    <d v="2025-05-06T20:19:00"/>
    <d v="2025-05-07T02:22:00"/>
    <d v="2025-05-06T20:46:00"/>
    <n v="-334.44444445000653"/>
    <n v="26.87500000417155"/>
    <x v="0"/>
    <d v="2025-05-07T18:15:00"/>
    <d v="2025-05-07T20:39:00"/>
    <n v="141.00000000820728"/>
    <m/>
    <d v="2025-05-08T18:07:00"/>
    <d v="2025-05-08T18:49:00"/>
    <n v="41.12500000068394"/>
    <x v="0"/>
    <n v="1.8895833333372138"/>
    <n v="2"/>
    <n v="0.11041666666278616"/>
    <n v="45.350000000093132"/>
    <n v="12"/>
    <n v="33.350000000093132"/>
    <n v="4.6776611694022296"/>
    <m/>
    <m/>
    <m/>
    <m/>
    <m/>
  </r>
  <r>
    <d v="2025-05-07T00:00:00"/>
    <x v="4"/>
    <s v="KESH"/>
    <s v="OMK20F3RR"/>
    <s v="DJ"/>
    <s v="MBOGO BASHIR"/>
    <s v="UBR 903Y"/>
    <s v="Rugoma Traders-Rukungiri Tax No.: 1000249350"/>
    <n v="156"/>
    <s v="OMK20F3RR"/>
    <s v="OM"/>
    <n v="256"/>
    <n v="254"/>
    <n v="-2"/>
    <m/>
    <d v="2025-05-06T21:28:00"/>
    <d v="2025-05-07T04:04:00"/>
    <d v="2025-05-06T22:21:00"/>
    <n v="-341.41203703402425"/>
    <n v="52.75462963472819"/>
    <x v="1"/>
    <d v="2025-05-07T12:02:00"/>
    <d v="2025-05-07T17:14:00"/>
    <n v="305.50000000068394"/>
    <s v="found another truck to be offloaded"/>
    <d v="2025-05-07T20:48:00"/>
    <d v="2025-05-07T21:32:00"/>
    <n v="43.083333330141613"/>
    <x v="0"/>
    <n v="0.93541666666715173"/>
    <n v="2"/>
    <n v="1.0645833333328483"/>
    <n v="22.450000000011642"/>
    <n v="0"/>
    <n v="22.450000000011642"/>
    <n v="6.948775055675684"/>
    <m/>
    <m/>
    <m/>
    <m/>
    <m/>
  </r>
  <r>
    <d v="2025-05-07T00:00:00"/>
    <x v="4"/>
    <s v="KESH"/>
    <s v="OMUB6M8RR"/>
    <s v="DJ"/>
    <s v="RONALD KABANDA "/>
    <s v="UBE 684K"/>
    <s v="Kobusinge Steven-Kamwenge Tax No.: 1000977837"/>
    <n v="156"/>
    <s v="OMUB6M8RR"/>
    <s v="OM"/>
    <n v="228"/>
    <n v="225"/>
    <n v="-3"/>
    <m/>
    <d v="2025-05-06T14:43:00"/>
    <d v="2025-05-07T03:17:00"/>
    <d v="2025-05-06T15:06:00"/>
    <n v="-727.61574074514408"/>
    <n v="22.893518520140788"/>
    <x v="0"/>
    <d v="2025-05-06T20:57:00"/>
    <d v="2025-05-07T11:16:00"/>
    <n v="841.10416666917445"/>
    <s v="Waited for empties from trade"/>
    <d v="2025-05-07T14:01:00"/>
    <d v="2025-05-07T14:45:00"/>
    <n v="43.083333330141613"/>
    <x v="0"/>
    <n v="0.95486111110949423"/>
    <n v="2"/>
    <n v="1.0451388888905058"/>
    <n v="22.916666666627862"/>
    <n v="0"/>
    <n v="22.916666666627862"/>
    <n v="6.8072727272842544"/>
    <m/>
    <m/>
    <m/>
    <m/>
    <m/>
  </r>
  <r>
    <d v="2025-05-07T00:00:00"/>
    <x v="4"/>
    <s v="NBL"/>
    <s v="OMSBPFBRR"/>
    <m/>
    <s v="James  Kironde"/>
    <s v="UBK 881R"/>
    <s v="RUGOMA TRADERS CO. LTD NTUNGAM Tax No.: 1000249350"/>
    <n v="153.6"/>
    <s v="OMSBPFBRR"/>
    <s v="OM"/>
    <n v="150"/>
    <n v="148"/>
    <n v="-2"/>
    <m/>
    <d v="2025-05-06T15:00:00"/>
    <d v="2025-05-07T06:15:00"/>
    <d v="2025-05-06T15:42:00"/>
    <n v="-868.95833332916175"/>
    <n v="41.805555556250816"/>
    <x v="10"/>
    <d v="2025-05-06T17:29:00"/>
    <d v="2025-05-07T17:56:00"/>
    <n v="1436.4374999938445"/>
    <s v="Waited for empties from trade"/>
    <d v="2025-05-07T20:12:00"/>
    <d v="2025-05-07T21:04:00"/>
    <n v="50.916666668490507"/>
    <x v="11"/>
    <n v="1.1875"/>
    <n v="1"/>
    <n v="-0.1875"/>
    <n v="28.5"/>
    <n v="12"/>
    <n v="16.5"/>
    <n v="9.3090909090909086"/>
    <m/>
    <m/>
    <m/>
    <m/>
    <m/>
  </r>
  <r>
    <d v="2025-05-08T00:00:00"/>
    <x v="4"/>
    <s v="NBL"/>
    <s v="OM3UZFPRR"/>
    <m/>
    <s v="Luyaga Isaac"/>
    <s v="UAY 265V"/>
    <s v="KATO INVESTMENTS LIMITED-MASAK Tax No.: 1000098824"/>
    <n v="153.6"/>
    <s v="OM3UZFPRR"/>
    <s v="OM"/>
    <n v="596"/>
    <n v="594"/>
    <n v="-2"/>
    <m/>
    <d v="2025-05-10T11:59:00"/>
    <d v="2025-05-08T10:00:00"/>
    <d v="2025-05-10T12:26:00"/>
    <m/>
    <n v="26.87500000417155"/>
    <x v="0"/>
    <d v="2025-05-10T18:31:00"/>
    <d v="2025-05-11T10:04:00"/>
    <n v="913.56250000273576"/>
    <s v="space consquents"/>
    <d v="2025-05-12T06:43:00"/>
    <d v="2025-05-12T07:27:00"/>
    <n v="43.083333330141613"/>
    <x v="0"/>
    <n v="1.7618055555576575"/>
    <n v="2"/>
    <n v="0.2381944444423425"/>
    <n v="42.28333333338378"/>
    <n v="12"/>
    <n v="30.28333333338378"/>
    <n v="5.072096862952475"/>
    <m/>
    <m/>
    <m/>
    <m/>
    <m/>
  </r>
  <r>
    <d v="2025-05-08T00:00:00"/>
    <x v="4"/>
    <s v="NBL"/>
    <s v="OMN6U3NRR"/>
    <m/>
    <s v="Bisaso  Ronald"/>
    <s v="UBK 875R"/>
    <s v="KATO INVESTMENTS LTD- KALISIZO Tax No.: 1000098824"/>
    <n v="153.6"/>
    <s v="OMN6U3NRR"/>
    <s v="OM"/>
    <n v="288"/>
    <n v="286"/>
    <n v="-2"/>
    <m/>
    <d v="2025-05-08T13:42:00"/>
    <d v="2025-05-08T10:00:00"/>
    <d v="2025-05-08T14:05:00"/>
    <m/>
    <n v="22.893518520140788"/>
    <x v="0"/>
    <d v="2025-05-09T12:00:00"/>
    <d v="2025-05-09T17:16:00"/>
    <n v="309.41666666985839"/>
    <s v="Reached late and offloaded the next day"/>
    <d v="2025-05-10T09:28:00"/>
    <d v="2025-05-10T10:08:00"/>
    <n v="39.166666671226267"/>
    <x v="0"/>
    <n v="1.8076388888875954"/>
    <n v="2"/>
    <n v="0.19236111111240461"/>
    <n v="43.383333333302289"/>
    <n v="12"/>
    <n v="31.383333333302289"/>
    <n v="4.8943175783372892"/>
    <m/>
    <m/>
    <m/>
    <m/>
    <m/>
  </r>
  <r>
    <d v="2025-05-08T00:00:00"/>
    <x v="4"/>
    <s v="NBL"/>
    <s v="OMGMI2BRR"/>
    <m/>
    <s v="James  Kironde"/>
    <s v="UBK 881R"/>
    <s v="KATO INVESTMENTS LTD- KALISIZO Tax No.: 1000098824"/>
    <n v="153.6"/>
    <s v="OMGMI2BRR"/>
    <s v="OM"/>
    <n v="288"/>
    <n v="287"/>
    <n v="-1"/>
    <m/>
    <d v="2025-05-08T11:42:00"/>
    <d v="2025-05-08T10:00:00"/>
    <d v="2025-05-08T12:05:00"/>
    <m/>
    <n v="22.893518520140788"/>
    <x v="0"/>
    <d v="2025-05-08T17:20:00"/>
    <d v="2025-05-09T08:31:00"/>
    <n v="892.02083333766495"/>
    <s v="Waited for empties from trade"/>
    <d v="2025-05-11T19:02:00"/>
    <d v="2025-05-11T19:38:00"/>
    <n v="35.25000000205182"/>
    <x v="0"/>
    <n v="3.289583333338669"/>
    <n v="2"/>
    <n v="-1.289583333338669"/>
    <n v="78.950000000128057"/>
    <n v="36"/>
    <n v="42.950000000128057"/>
    <n v="3.5762514551697797"/>
    <m/>
    <m/>
    <m/>
    <m/>
    <m/>
  </r>
  <r>
    <d v="2025-05-08T00:00:00"/>
    <x v="4"/>
    <s v="NBL"/>
    <s v="OMH67KZRR"/>
    <m/>
    <s v="Benon Ssempijja"/>
    <s v="UAY 526V"/>
    <s v="Kobusinge Steven-FPortal Tax No.: 1000977837"/>
    <n v="153.6"/>
    <s v="OMH67KZRR"/>
    <s v="OM"/>
    <n v="304"/>
    <n v="302"/>
    <n v="-2"/>
    <m/>
    <d v="2025-05-07T12:10:00"/>
    <d v="2025-05-07T20:25:00"/>
    <d v="2025-05-07T12:33:00"/>
    <m/>
    <n v="22.893518520140788"/>
    <x v="0"/>
    <d v="2025-05-07T19:22:00"/>
    <d v="2025-05-09T15:01:00"/>
    <n v="2564.4375000082073"/>
    <s v="Waited for empties from trade"/>
    <d v="2025-05-09T20:21:00"/>
    <d v="2025-05-09T21:03:00"/>
    <n v="41.12500000068394"/>
    <x v="0"/>
    <n v="2.3249999999970896"/>
    <n v="2"/>
    <n v="-0.32499999999708962"/>
    <n v="55.799999999930151"/>
    <n v="24"/>
    <n v="31.799999999930151"/>
    <n v="4.8301886792558921"/>
    <m/>
    <m/>
    <m/>
    <m/>
    <m/>
  </r>
  <r>
    <d v="2025-05-08T00:00:00"/>
    <x v="4"/>
    <s v="KESH"/>
    <s v="OM6929GRR"/>
    <s v="DJ"/>
    <s v="Hassan Byashara"/>
    <s v="UBP 312H"/>
    <s v="Kato Investment Ltd -Mityana Tax No.: 1000098824"/>
    <n v="156"/>
    <s v="OM6929GRR"/>
    <s v="OM"/>
    <n v="690"/>
    <n v="687"/>
    <n v="-3"/>
    <m/>
    <d v="2025-05-08T10:50:00"/>
    <d v="2025-05-08T19:35:00"/>
    <d v="2025-05-08T11:13:00"/>
    <n v="-499.67592591735109"/>
    <n v="22.893518520140788"/>
    <x v="0"/>
    <d v="2025-05-09T10:26:00"/>
    <d v="2025-05-09T20:30:00"/>
    <n v="591.41666666575475"/>
    <s v="truck faulty"/>
    <d v="2025-05-11T07:21:00"/>
    <d v="2025-05-11T08:05:00"/>
    <n v="43.083333330141613"/>
    <x v="0"/>
    <n v="2.8388888888875954"/>
    <n v="3"/>
    <n v="0.16111111111240461"/>
    <n v="68.133333333302289"/>
    <n v="24"/>
    <n v="44.133333333302289"/>
    <n v="3.534743202419405"/>
    <m/>
    <m/>
    <m/>
    <m/>
    <m/>
  </r>
  <r>
    <d v="2025-05-09T00:00:00"/>
    <x v="4"/>
    <s v="NBL"/>
    <s v="OMQMTDWRR"/>
    <m/>
    <s v="Mugisha  George"/>
    <s v="UAV 203T"/>
    <s v="KATO INVESTMENTS LIMITED-MASAK Tax No.: 1000098824"/>
    <n v="153.6"/>
    <s v="OMQMTDWRR"/>
    <s v="OM"/>
    <n v="596"/>
    <n v="595"/>
    <n v="-1"/>
    <m/>
    <d v="2025-05-08T19:41:00"/>
    <d v="2025-05-09T04:14:00"/>
    <d v="2025-05-08T20:04:00"/>
    <m/>
    <n v="22.893518520140788"/>
    <x v="0"/>
    <d v="2025-05-09T10:36:00"/>
    <d v="2025-05-09T14:01:00"/>
    <n v="200.72916666438687"/>
    <s v="Reached late and offloaded the next day"/>
    <d v="2025-05-10T11:21:00"/>
    <d v="2025-05-10T12:01:00"/>
    <n v="39.166666671226267"/>
    <x v="0"/>
    <n v="1.6368055555576575"/>
    <n v="2"/>
    <n v="0.3631944444423425"/>
    <n v="39.28333333338378"/>
    <n v="12"/>
    <n v="27.28333333338378"/>
    <n v="5.6298106291893459"/>
    <m/>
    <m/>
    <m/>
    <m/>
    <m/>
  </r>
  <r>
    <d v="2025-05-09T00:00:00"/>
    <x v="4"/>
    <s v="KESH"/>
    <s v="OM7V2JTRR"/>
    <s v="DJ"/>
    <s v="RONALD KABANDA "/>
    <s v="UBE 684K"/>
    <s v="Kabaco U Ltd Tax No.: 1000025425"/>
    <n v="156"/>
    <s v="OM7V2JTRR"/>
    <s v="OM"/>
    <n v="304"/>
    <n v="302"/>
    <n v="-2"/>
    <m/>
    <d v="2025-05-09T11:46:00"/>
    <d v="2025-05-10T02:22:00"/>
    <d v="2025-05-09T12:13:00"/>
    <n v="-845.06944444583496"/>
    <n v="26.87500000417155"/>
    <x v="0"/>
    <d v="2025-05-09T15:54:00"/>
    <d v="2025-05-09T19:45:00"/>
    <n v="226.18749999863212"/>
    <s v="Waited for empties from trade"/>
    <d v="2025-05-10T10:25:00"/>
    <d v="2025-05-10T11:09:00"/>
    <n v="43.083333330141613"/>
    <x v="0"/>
    <n v="0.92500000000291038"/>
    <n v="2"/>
    <n v="1.0749999999970896"/>
    <n v="22.200000000069849"/>
    <n v="0"/>
    <n v="22.200000000069849"/>
    <n v="7.0270270270049178"/>
    <m/>
    <m/>
    <m/>
    <m/>
    <m/>
  </r>
  <r>
    <d v="2025-05-10T00:00:00"/>
    <x v="4"/>
    <s v="NBL"/>
    <s v="OM51JTPRR"/>
    <m/>
    <s v="Kabene John"/>
    <s v="UBA 523T"/>
    <s v="Kabaco U Ltd-Mbarara Tax No.: 1000025425"/>
    <n v="153.6"/>
    <s v="OM51JTPRR"/>
    <s v="OM"/>
    <n v="20"/>
    <n v="17"/>
    <n v="-3"/>
    <m/>
    <d v="2025-05-10T15:31:00"/>
    <d v="2025-05-10T10:00:00"/>
    <d v="2025-05-10T15:54:00"/>
    <m/>
    <n v="22.893518520140788"/>
    <x v="0"/>
    <d v="2025-05-11T10:16:00"/>
    <d v="2025-05-11T17:42:00"/>
    <n v="436.70833334108465"/>
    <s v="Waited for empties from trade"/>
    <d v="2025-05-12T10:16:00"/>
    <d v="2025-05-12T11:06:00"/>
    <n v="48.958333328773733"/>
    <x v="5"/>
    <n v="1.765277777776646"/>
    <n v="1"/>
    <n v="-0.76527777777664596"/>
    <n v="42.366666666639503"/>
    <n v="12"/>
    <n v="30.366666666639503"/>
    <n v="5.0581778265687394"/>
    <m/>
    <m/>
    <m/>
    <m/>
    <m/>
  </r>
  <r>
    <d v="2025-05-10T00:00:00"/>
    <x v="4"/>
    <s v="KESH"/>
    <s v="OMD89ZBRR"/>
    <s v="DJ"/>
    <s v="KAJUBI ISMA"/>
    <s v="UBR 538W"/>
    <s v="Kato Investment Ltd -Mityana Tax No.: 1000098824"/>
    <n v="156"/>
    <s v="OMD89ZBRR"/>
    <s v="OM"/>
    <n v="690"/>
    <n v="688"/>
    <n v="-2"/>
    <m/>
    <d v="2025-05-09T21:04:00"/>
    <d v="2025-05-09T19:35:00"/>
    <d v="2025-05-09T21:31:00"/>
    <n v="115.46296296388998"/>
    <n v="26.87500000417155"/>
    <x v="0"/>
    <d v="2025-05-11T08:20:00"/>
    <d v="2025-05-11T16:08:00"/>
    <n v="458.25000000615546"/>
    <s v="truck faulty"/>
    <d v="2025-05-12T16:31:00"/>
    <d v="2025-05-12T17:13:00"/>
    <n v="41.12500000068394"/>
    <x v="0"/>
    <n v="2.7916666666715173"/>
    <n v="3"/>
    <n v="0.20833333332848269"/>
    <n v="67.000000000116415"/>
    <n v="24"/>
    <n v="43.000000000116415"/>
    <n v="3.6279069767343639"/>
    <m/>
    <m/>
    <m/>
    <m/>
    <m/>
  </r>
  <r>
    <d v="2025-05-10T00:00:00"/>
    <x v="4"/>
    <s v="NBL"/>
    <s v="OMYMZMTRR"/>
    <m/>
    <s v="Kabene John"/>
    <s v="UBA 523T"/>
    <s v="Kabaco U Ltd-Mbarara Tax No.: 1000025425"/>
    <n v="153.6"/>
    <s v="OMYMZMTRR"/>
    <s v="OM"/>
    <n v="20"/>
    <n v="18"/>
    <n v="-2"/>
    <m/>
    <d v="2025-05-09T14:21:00"/>
    <d v="2025-05-09T14:00:00"/>
    <d v="2025-05-09T14:48:00"/>
    <m/>
    <n v="26.87500000417155"/>
    <x v="0"/>
    <d v="2025-05-09T15:23:00"/>
    <d v="2025-05-10T10:41:00"/>
    <n v="1133.8750000027358"/>
    <s v="Reached late and offloaded the next day"/>
    <d v="2025-05-10T11:17:00"/>
    <d v="2025-05-10T12:01:00"/>
    <n v="43.083333330141613"/>
    <x v="0"/>
    <n v="0.85347222221753327"/>
    <n v="1"/>
    <n v="0.14652777778246673"/>
    <n v="20.483333333220799"/>
    <n v="0"/>
    <n v="20.483333333220799"/>
    <n v="7.4987794955660148"/>
    <m/>
    <m/>
    <m/>
    <m/>
    <m/>
  </r>
  <r>
    <d v="2025-05-10T00:00:00"/>
    <x v="4"/>
    <s v="NBL"/>
    <s v="OMESUBZRR"/>
    <m/>
    <s v="Tumusiime Robert"/>
    <s v="UBJ 988D"/>
    <s v="Kabaco U Ltd-Mbarara Tax No.: 1000025425"/>
    <n v="153.6"/>
    <s v="OMESUBZRR"/>
    <s v="OM"/>
    <n v="20"/>
    <n v="19"/>
    <n v="-1"/>
    <m/>
    <d v="2025-05-09T13:35:00"/>
    <d v="2025-05-09T14:00:00"/>
    <d v="2025-05-09T14:13:00"/>
    <m/>
    <n v="37.82407407222005"/>
    <x v="9"/>
    <d v="2025-05-09T14:49:00"/>
    <d v="2025-05-09T19:12:00"/>
    <n v="257.52083334176859"/>
    <s v="found another truck to be offloaded"/>
    <d v="2025-05-10T08:31:00"/>
    <d v="2025-05-10T09:11:00"/>
    <n v="39.166666671226267"/>
    <x v="0"/>
    <n v="0.76249999999708962"/>
    <n v="1"/>
    <n v="0.23750000000291038"/>
    <n v="18.299999999930151"/>
    <n v="0"/>
    <n v="18.299999999930151"/>
    <n v="8.3934426229828567"/>
    <m/>
    <m/>
    <m/>
    <m/>
    <m/>
  </r>
  <r>
    <d v="2025-05-10T00:00:00"/>
    <x v="4"/>
    <s v="NBL"/>
    <s v="OMPNR2CRR"/>
    <m/>
    <s v="Stephen Musoke "/>
    <s v="UBJ 375N"/>
    <s v="Kabaco U Ltd-Mbarara Tax No.: 1000025425"/>
    <n v="153.6"/>
    <s v="OMPNR2CRR"/>
    <s v="OM"/>
    <n v="20"/>
    <n v="17"/>
    <n v="-3"/>
    <m/>
    <d v="2025-05-10T08:58:00"/>
    <d v="2025-05-10T10:00:00"/>
    <d v="2025-05-10T09:25:00"/>
    <m/>
    <n v="26.87500000417155"/>
    <x v="0"/>
    <d v="2025-05-10T10:02:00"/>
    <d v="2025-05-10T14:04:00"/>
    <n v="236.95833332603797"/>
    <s v="Waited for empties from trade"/>
    <d v="2025-05-10T14:41:00"/>
    <d v="2025-05-10T15:23:00"/>
    <n v="41.12500000068394"/>
    <x v="0"/>
    <n v="0.21944444444670808"/>
    <n v="1"/>
    <n v="0.78055555555329192"/>
    <n v="5.2666666667209938"/>
    <n v="0"/>
    <n v="5.2666666667209938"/>
    <n v="29.164556961724475"/>
    <m/>
    <m/>
    <m/>
    <m/>
    <m/>
  </r>
  <r>
    <d v="2025-05-10T00:00:00"/>
    <x v="4"/>
    <s v="KESH"/>
    <s v="OMROXUBRR"/>
    <s v="DJ"/>
    <s v="ALLEX TAIMWA"/>
    <s v="UBJ 705D"/>
    <s v="Sawan Distributors Ltd-Nabingo Tax No.: 1000186379"/>
    <n v="156"/>
    <s v="OMROXUBRR"/>
    <s v="OM"/>
    <n v="560"/>
    <n v="558"/>
    <n v="-2"/>
    <m/>
    <d v="2025-05-09T17:31:00"/>
    <d v="2025-05-10T02:30:00"/>
    <d v="2025-05-09T18:25:00"/>
    <n v="-482.75462962847087"/>
    <n v="53.749999997914223"/>
    <x v="13"/>
    <d v="2025-05-10T09:58:00"/>
    <d v="2025-05-10T13:13:00"/>
    <n v="190.9374999965803"/>
    <s v="Waited for empties from trade"/>
    <d v="2025-05-15T15:12:00"/>
    <d v="2025-05-15T15:56:00"/>
    <n v="43.083333330141613"/>
    <x v="0"/>
    <n v="5.8659722222218988"/>
    <n v="2"/>
    <n v="-3.8659722222218988"/>
    <n v="140.78333333332557"/>
    <n v="60"/>
    <n v="80.783333333325572"/>
    <n v="1.9310913967404373"/>
    <m/>
    <m/>
    <m/>
    <m/>
    <m/>
  </r>
  <r>
    <d v="2025-05-10T00:00:00"/>
    <x v="4"/>
    <s v="NBL"/>
    <s v="OMF637ERR"/>
    <m/>
    <s v="Benon Ssempijja"/>
    <s v="UAY 526V"/>
    <s v="Ntale &amp; Sons Tax No.: 1001371381"/>
    <n v="153.6"/>
    <s v="OMF637ERR"/>
    <s v="OM"/>
    <n v="810"/>
    <n v="808"/>
    <n v="-2"/>
    <m/>
    <d v="2025-05-10T08:07:00"/>
    <d v="2025-05-10T16:40:00"/>
    <d v="2025-05-10T08:30:00"/>
    <m/>
    <n v="22.893518520140788"/>
    <x v="0"/>
    <d v="2025-05-11T12:24:00"/>
    <d v="2025-05-11T16:44:00"/>
    <n v="254.58333333219343"/>
    <s v="Waited for empties from trade"/>
    <d v="2025-05-13T21:56:00"/>
    <d v="2025-05-13T22:40:00"/>
    <n v="43.083333330141613"/>
    <x v="0"/>
    <n v="3.5597222222277196"/>
    <n v="3"/>
    <n v="-0.55972222222771961"/>
    <n v="85.433333333465271"/>
    <n v="36"/>
    <n v="49.433333333465271"/>
    <n v="3.1072151045095757"/>
    <m/>
    <m/>
    <m/>
    <m/>
    <m/>
  </r>
  <r>
    <d v="2025-05-10T00:00:00"/>
    <x v="4"/>
    <s v="NBL"/>
    <s v="OMXE8INRR"/>
    <m/>
    <s v="Kilabila Ismail"/>
    <s v="UBE 419T"/>
    <s v="Kabaco U Ltd Tax No.: 1000025425"/>
    <n v="153.6"/>
    <s v="OMXE8INRR"/>
    <s v="OM"/>
    <n v="304"/>
    <n v="303"/>
    <n v="-1"/>
    <m/>
    <d v="2025-05-09T17:26:00"/>
    <d v="2025-05-10T02:22:00"/>
    <d v="2025-05-09T18:08:00"/>
    <m/>
    <n v="41.805555556250816"/>
    <x v="11"/>
    <d v="2025-05-10T10:57:00"/>
    <d v="2025-05-10T14:25:00"/>
    <n v="203.66666666370293"/>
    <s v="truck faulty"/>
    <d v="2025-05-11T11:53:00"/>
    <d v="2025-05-11T12:33:00"/>
    <n v="39.166666671226267"/>
    <x v="0"/>
    <n v="1.7395833333284827"/>
    <n v="2"/>
    <n v="0.26041666667151731"/>
    <n v="41.749999999883585"/>
    <n v="12"/>
    <n v="29.749999999883585"/>
    <n v="5.1630252101042373"/>
    <m/>
    <m/>
    <m/>
    <m/>
    <m/>
  </r>
  <r>
    <d v="2025-05-10T00:00:00"/>
    <x v="4"/>
    <s v="NBL"/>
    <s v="OM8GNF6RR"/>
    <m/>
    <s v="ANGELO KYOSIGA "/>
    <s v="UAV 051U"/>
    <s v="KATO INVESTMENTS LIMITED-MASAK Tax No.: 1000098824"/>
    <n v="153.6"/>
    <s v="OM8GNF6RR"/>
    <s v="OM"/>
    <n v="596"/>
    <n v="594"/>
    <n v="-2"/>
    <m/>
    <d v="2025-05-09T16:40:00"/>
    <d v="2025-05-10T04:14:00"/>
    <d v="2025-05-09T17:07:00"/>
    <m/>
    <n v="26.87500000417155"/>
    <x v="0"/>
    <d v="2025-05-10T08:38:00"/>
    <d v="2025-05-10T16:39:00"/>
    <n v="470.97916666301899"/>
    <s v="Reached late and offloaded the next day"/>
    <d v="2025-05-11T12:27:00"/>
    <d v="2025-05-11T13:11:00"/>
    <n v="43.083333330141613"/>
    <x v="0"/>
    <n v="1.8055555555620231"/>
    <n v="2"/>
    <n v="0.19444444443797693"/>
    <n v="43.333333333488554"/>
    <n v="12"/>
    <n v="31.333333333488554"/>
    <n v="4.9021276595501835"/>
    <m/>
    <m/>
    <m/>
    <m/>
    <m/>
  </r>
  <r>
    <d v="2025-05-10T00:00:00"/>
    <x v="4"/>
    <s v="KESH"/>
    <s v="OMMIHKORR"/>
    <s v="DJ"/>
    <s v="MBOGO BASHIR"/>
    <s v="UBR 903Y"/>
    <s v="Sawan Distributors Ltd-Nabingo Tax No.: 1000186379"/>
    <n v="156"/>
    <s v="OMMIHKORR"/>
    <s v="OM"/>
    <n v="560"/>
    <n v="558"/>
    <n v="-2"/>
    <m/>
    <d v="2025-05-09T21:42:00"/>
    <d v="2025-05-10T10:00:00"/>
    <d v="2025-05-09T22:24:00"/>
    <n v="-692.77777777291101"/>
    <n v="41.805555556250816"/>
    <x v="2"/>
    <d v="2025-05-12T06:56:00"/>
    <d v="2025-05-12T12:47:00"/>
    <n v="343.68749999179272"/>
    <s v="less casuals and offloaded the next day"/>
    <d v="2025-05-13T09:50:00"/>
    <d v="2025-05-13T10:34:00"/>
    <n v="43.083333330141613"/>
    <x v="0"/>
    <n v="3.476388888884685"/>
    <n v="2"/>
    <n v="-1.476388888884685"/>
    <n v="83.43333333323244"/>
    <n v="36"/>
    <n v="47.43333333323244"/>
    <n v="3.2888264230568902"/>
    <m/>
    <m/>
    <m/>
    <m/>
    <m/>
  </r>
  <r>
    <d v="2025-05-10T00:00:00"/>
    <x v="4"/>
    <s v="NBL"/>
    <s v="OMFRFNRRR"/>
    <m/>
    <s v="Tumusiime Robert"/>
    <s v="UBJ 988D"/>
    <s v="Kabaco U Ltd Tax No.: 1000025425"/>
    <n v="153.6"/>
    <s v="OMFRFNRRR"/>
    <s v="OM"/>
    <n v="304"/>
    <n v="302"/>
    <n v="-2"/>
    <m/>
    <d v="2025-05-10T13:38:00"/>
    <d v="2025-05-11T02:22:00"/>
    <d v="2025-05-10T14:05:00"/>
    <m/>
    <n v="26.87500000417155"/>
    <x v="0"/>
    <d v="2025-05-10T16:32:00"/>
    <d v="2025-05-11T10:44:00"/>
    <n v="1069.2500000075233"/>
    <s v="found another truck to be offloaded"/>
    <d v="2025-05-11T13:36:00"/>
    <d v="2025-05-11T14:18:00"/>
    <n v="41.12500000068394"/>
    <x v="0"/>
    <n v="0.97986111111094942"/>
    <n v="2"/>
    <n v="1.0201388888890506"/>
    <n v="23.516666666662786"/>
    <n v="0"/>
    <n v="23.516666666662786"/>
    <n v="6.5315379163724456"/>
    <m/>
    <m/>
    <m/>
    <m/>
    <m/>
  </r>
  <r>
    <d v="2025-05-10T00:00:00"/>
    <x v="4"/>
    <s v="KESH"/>
    <s v="OM4RPHWRR"/>
    <s v="DJ"/>
    <s v="MUKOSE MUZAMIRU"/>
    <s v="UBJ 417C"/>
    <s v="Sawan Distributors Ltd-Kayabwe Tax No.: 1000186379"/>
    <n v="156"/>
    <s v="OM4RPHWRR"/>
    <s v="OM"/>
    <n v="382"/>
    <n v="381"/>
    <n v="-1"/>
    <m/>
    <d v="2025-05-09T21:10:00"/>
    <d v="2025-05-10T10:00:00"/>
    <d v="2025-05-09T21:33:00"/>
    <n v="-743.54166666040931"/>
    <n v="22.893518520140788"/>
    <x v="0"/>
    <d v="2025-05-10T16:38:00"/>
    <d v="2025-05-11T11:38:00"/>
    <n v="1116.2499999965803"/>
    <s v="Waited for empties from trade"/>
    <d v="2025-05-11T17:09:00"/>
    <d v="2025-05-11T17:49:00"/>
    <n v="39.166666671226267"/>
    <x v="0"/>
    <n v="1.8166666666656965"/>
    <n v="2"/>
    <n v="0.18333333333430346"/>
    <n v="43.599999999976717"/>
    <n v="12"/>
    <n v="31.599999999976717"/>
    <n v="4.9367088607631313"/>
    <m/>
    <m/>
    <m/>
    <m/>
    <m/>
  </r>
  <r>
    <d v="2025-05-11T00:00:00"/>
    <x v="4"/>
    <s v="NBL"/>
    <s v="OMCIJKDRR"/>
    <m/>
    <s v="Mugisha  George"/>
    <s v="UAV 203T"/>
    <s v="Kabaco U Ltd-Mbarara Tax No.: 1000025425"/>
    <n v="153.6"/>
    <s v="OMCIJKDRR"/>
    <s v="OM"/>
    <n v="20"/>
    <n v="18"/>
    <n v="-2"/>
    <m/>
    <d v="2025-05-12T17:56:00"/>
    <d v="2025-05-11T07:42:00"/>
    <d v="2025-05-12T18:23:00"/>
    <m/>
    <n v="26.87500000417155"/>
    <x v="0"/>
    <d v="2025-05-10T16:59:00"/>
    <d v="2025-05-10T20:02:00"/>
    <n v="179.18749999931606"/>
    <m/>
    <d v="2025-05-10T20:35:00"/>
    <d v="2025-05-10T21:19:00"/>
    <n v="43.083333330141613"/>
    <x v="0"/>
    <n v="-1.9083333333328483"/>
    <n v="1"/>
    <n v="2.9083333333328483"/>
    <n v="-45.799999999988358"/>
    <n v="-24"/>
    <n v="-21.799999999988358"/>
    <n v="-7.0458715596367902"/>
    <m/>
    <m/>
    <m/>
    <m/>
    <m/>
  </r>
  <r>
    <d v="2025-05-11T00:00:00"/>
    <x v="4"/>
    <s v="NBL"/>
    <s v="OM1FWR8RR"/>
    <m/>
    <s v="Mugisha  George"/>
    <s v="UAV 203T"/>
    <s v="Kabaco U Ltd-Mbarara Tax No.: 1000025425"/>
    <n v="153.6"/>
    <s v="OM1FWR8RR"/>
    <s v="OM"/>
    <n v="20"/>
    <n v="18"/>
    <n v="-2"/>
    <m/>
    <d v="2025-05-10T15:50:00"/>
    <d v="2025-05-10T14:30:00"/>
    <d v="2025-05-10T16:17:00"/>
    <m/>
    <n v="26.87500000417155"/>
    <x v="0"/>
    <d v="2025-05-13T12:17:00"/>
    <d v="2025-05-13T15:24:00"/>
    <n v="183.10416666849051"/>
    <s v="space consquents"/>
    <d v="2025-05-14T09:18:00"/>
    <d v="2025-05-14T10:02:00"/>
    <n v="43.083333330141613"/>
    <x v="0"/>
    <n v="3.7090277777751908"/>
    <n v="1"/>
    <n v="-2.7090277777751908"/>
    <n v="89.016666666604578"/>
    <n v="36"/>
    <n v="53.016666666604578"/>
    <n v="2.8972021376959423"/>
    <m/>
    <m/>
    <m/>
    <m/>
    <m/>
  </r>
  <r>
    <d v="2025-05-11T00:00:00"/>
    <x v="4"/>
    <s v="KESH"/>
    <s v="OMV1Y4PRR"/>
    <s v="DJ"/>
    <s v="SENTONGO PAUL"/>
    <s v="UBR 855Y"/>
    <s v="Kato Investment Ltd -Mubende Tax No.: 1000098824"/>
    <n v="156"/>
    <s v="OMV1Y4PRR"/>
    <s v="OM"/>
    <n v="680"/>
    <n v="678"/>
    <n v="-2"/>
    <m/>
    <d v="2025-05-10T21:48:00"/>
    <d v="2025-05-10T21:00:00"/>
    <d v="2025-05-10T22:26:00"/>
    <n v="85.601851849302577"/>
    <n v="37.82407407222005"/>
    <x v="1"/>
    <d v="2025-05-11T19:23:00"/>
    <d v="2025-05-12T15:10:00"/>
    <n v="1162.2708333362971"/>
    <s v="Reached late and offloaded the next day"/>
    <d v="2025-05-13T06:52:00"/>
    <d v="2025-05-13T07:32:00"/>
    <n v="39.166666671226267"/>
    <x v="0"/>
    <n v="2.351388888891961"/>
    <n v="3"/>
    <n v="0.64861111110803904"/>
    <n v="56.433333333407063"/>
    <n v="24"/>
    <n v="32.433333333407063"/>
    <n v="4.8098663925892717"/>
    <m/>
    <m/>
    <m/>
    <m/>
    <m/>
  </r>
  <r>
    <d v="2025-05-11T00:00:00"/>
    <x v="4"/>
    <s v="NBL"/>
    <s v="OM7NOXKRR"/>
    <m/>
    <s v="Isaac Tumuhimbise"/>
    <s v="UBE 287X"/>
    <s v="Kabaco U Ltd-Mbarara Tax No.: 1000025425"/>
    <n v="153.6"/>
    <s v="OM7NOXKRR"/>
    <s v="OM"/>
    <n v="20"/>
    <n v="18"/>
    <n v="-2"/>
    <m/>
    <d v="2025-05-10T14:21:00"/>
    <d v="2025-05-10T14:00:00"/>
    <d v="2025-05-10T15:11:00"/>
    <m/>
    <n v="49.768518513883464"/>
    <x v="12"/>
    <d v="2025-05-10T17:05:00"/>
    <d v="2025-05-10T19:07:00"/>
    <n v="119.45833333287737"/>
    <m/>
    <m/>
    <d v="1899-12-30T00:44:00"/>
    <n v="43.083333333333336"/>
    <x v="0"/>
    <n v="-45787.632638888892"/>
    <n v="1"/>
    <n v="45788.632638888892"/>
    <n v="-1098903.1833333333"/>
    <n v="-549456"/>
    <n v="-549447.18333333335"/>
    <n v="-2.7955371263922816E-4"/>
    <m/>
    <m/>
    <m/>
    <m/>
    <m/>
  </r>
  <r>
    <d v="2025-05-11T00:00:00"/>
    <x v="4"/>
    <s v="KESH"/>
    <s v="OM5Q08ORR"/>
    <s v="DJ"/>
    <s v="FARUK   ABEL"/>
    <s v="UBR 539W"/>
    <s v="Kato Investment Ltd -Mityana Tax No.: 1000098824"/>
    <n v="156"/>
    <s v="OM5Q08ORR"/>
    <s v="OM"/>
    <n v="690"/>
    <n v="688"/>
    <n v="-2"/>
    <m/>
    <d v="2025-05-10T17:36:00"/>
    <d v="2025-05-10T19:35:00"/>
    <d v="2025-05-10T18:18:00"/>
    <n v="-76.643518518055018"/>
    <n v="41.805555556250816"/>
    <x v="13"/>
    <d v="2025-05-12T11:18:00"/>
    <d v="2025-05-12T14:49:00"/>
    <n v="206.60416666301899"/>
    <s v="Waited for empties from trade"/>
    <d v="2025-05-13T12:38:00"/>
    <d v="2025-05-13T13:20:00"/>
    <n v="41.12500000068394"/>
    <x v="0"/>
    <n v="2.7638888888905058"/>
    <n v="3"/>
    <n v="0.23611111110949423"/>
    <n v="66.333333333372138"/>
    <n v="24"/>
    <n v="42.333333333372138"/>
    <n v="3.6850393700753621"/>
    <m/>
    <m/>
    <m/>
    <m/>
    <m/>
  </r>
  <r>
    <d v="2025-05-11T00:00:00"/>
    <x v="4"/>
    <s v="KESH"/>
    <s v="OMJDSRSRR"/>
    <s v="DJ"/>
    <s v="SENTONG DAVID"/>
    <s v="UBP 298H"/>
    <s v="Boniface Harera Tax No.: 1000317747"/>
    <n v="156"/>
    <s v="OMJDSRSRR"/>
    <s v="OM"/>
    <n v="448"/>
    <n v="446"/>
    <n v="-2"/>
    <m/>
    <d v="2025-05-10T21:30:00"/>
    <d v="2025-05-11T01:30:00"/>
    <d v="2025-05-10T21:53:00"/>
    <n v="-215.99537036527181"/>
    <n v="22.893518520140788"/>
    <x v="0"/>
    <d v="2025-05-12T09:18:00"/>
    <d v="2025-05-12T14:07:00"/>
    <n v="282.97916666575475"/>
    <s v="truck faulty"/>
    <d v="2025-05-13T08:27:00"/>
    <d v="2025-05-13T09:11:00"/>
    <n v="43.083333330141613"/>
    <x v="0"/>
    <n v="2.4402777777722804"/>
    <n v="2"/>
    <n v="-0.44027777777228039"/>
    <n v="58.566666666534729"/>
    <n v="24"/>
    <n v="34.566666666534729"/>
    <n v="4.513018322100157"/>
    <m/>
    <m/>
    <m/>
    <m/>
    <m/>
  </r>
  <r>
    <d v="2025-05-11T00:00:00"/>
    <x v="4"/>
    <s v="KESH"/>
    <s v="OMC9WFORR"/>
    <s v="DJ"/>
    <s v="SENTONGO GODFREY"/>
    <s v="UBR 864Y"/>
    <s v="Kabaco U Ltd Tax No.: 1000025425"/>
    <n v="156"/>
    <s v="OMC9WFORR"/>
    <s v="OM"/>
    <n v="304"/>
    <n v="302"/>
    <n v="-2"/>
    <m/>
    <d v="2025-05-10T21:47:00"/>
    <d v="2025-05-11T02:22:00"/>
    <d v="2025-05-10T22:10:00"/>
    <n v="-250.83333333750488"/>
    <n v="22.893518520140788"/>
    <x v="0"/>
    <d v="2025-05-12T07:41:00"/>
    <d v="2025-05-12T12:06:00"/>
    <n v="259.47916666096717"/>
    <s v="Reached late and offloaded the next day"/>
    <d v="2025-05-12T20:47:00"/>
    <d v="2025-05-12T21:39:00"/>
    <n v="50.916666668490507"/>
    <x v="11"/>
    <n v="1.9423611111124046"/>
    <n v="2"/>
    <n v="5.7638888887595385E-2"/>
    <n v="46.616666666697711"/>
    <n v="12"/>
    <n v="34.616666666697711"/>
    <n v="4.506499759264134"/>
    <m/>
    <m/>
    <m/>
    <m/>
    <m/>
  </r>
  <r>
    <d v="2025-05-11T00:00:00"/>
    <x v="4"/>
    <s v="KESH"/>
    <s v="OMO6H1YRR"/>
    <s v="DJ"/>
    <s v="NGOBI FRED"/>
    <s v="UBK 866R"/>
    <s v="Boniface Harera Tax No.: 1000317747"/>
    <n v="156"/>
    <s v="OMO6H1YRR"/>
    <s v="OM"/>
    <n v="448"/>
    <n v="446"/>
    <n v="-2"/>
    <m/>
    <d v="2025-05-10T20:11:00"/>
    <d v="2025-05-11T01:30:00"/>
    <d v="2025-05-10T21:05:00"/>
    <n v="-263.77314815278322"/>
    <n v="53.749999997914223"/>
    <x v="10"/>
    <d v="2025-05-11T13:11:00"/>
    <d v="2025-05-12T13:42:00"/>
    <n v="1440.354166663019"/>
    <s v="found another truck to be offloaded"/>
    <d v="2025-05-13T11:51:00"/>
    <d v="2025-05-13T12:31:00"/>
    <n v="39.166666671226267"/>
    <x v="0"/>
    <n v="2.6152777777824667"/>
    <n v="2"/>
    <n v="-0.61527777778246673"/>
    <n v="62.766666666779201"/>
    <n v="24"/>
    <n v="38.766666666779201"/>
    <n v="4.0240756663683701"/>
    <m/>
    <m/>
    <m/>
    <m/>
    <m/>
  </r>
  <r>
    <d v="2025-05-11T00:00:00"/>
    <x v="4"/>
    <s v="KESH"/>
    <s v="OM6GP6DRR"/>
    <s v="DJ"/>
    <s v="IKWALIKWA YUSUF"/>
    <s v="UBP 311H"/>
    <s v="Sawan Distributors Ltd-Kayabwe Tax No.: 1000186379"/>
    <n v="156"/>
    <s v="OM6GP6DRR"/>
    <s v="OM"/>
    <n v="382"/>
    <n v="380"/>
    <n v="-2"/>
    <m/>
    <d v="2025-05-10T22:22:00"/>
    <d v="2025-05-11T04:19:00"/>
    <d v="2025-05-10T22:45:00"/>
    <n v="-332.45370370277669"/>
    <n v="22.893518520140788"/>
    <x v="0"/>
    <d v="2025-05-11T18:23:00"/>
    <d v="2025-05-12T11:29:00"/>
    <n v="1004.6250000020518"/>
    <s v="Reached late and offloaded the next day"/>
    <m/>
    <d v="1899-12-30T00:42:00"/>
    <n v="41.124999999999993"/>
    <x v="0"/>
    <n v="-45787.947916666664"/>
    <n v="2"/>
    <n v="45789.947916666664"/>
    <n v="-1098910.75"/>
    <n v="-549456"/>
    <n v="-549454.75"/>
    <n v="-2.8391782944819384E-4"/>
    <m/>
    <m/>
    <m/>
    <m/>
    <m/>
  </r>
  <r>
    <d v="2025-05-11T00:00:00"/>
    <x v="4"/>
    <s v="NBL"/>
    <s v="OMS6I63RR"/>
    <s v="DJ"/>
    <s v="Isaac Tumuhimbise"/>
    <s v="UBE 287X"/>
    <s v="KATO INVESTMENTS LTD- KALISIZO Tax No.: 1000098824"/>
    <n v="153.6"/>
    <s v="OMS6I63RR"/>
    <s v="OM"/>
    <n v="288"/>
    <n v="286"/>
    <n v="-2"/>
    <m/>
    <d v="2025-05-10T20:20:00"/>
    <d v="2025-05-11T03:43:00"/>
    <d v="2025-05-10T20:43:00"/>
    <m/>
    <n v="22.893518520140788"/>
    <x v="0"/>
    <d v="2025-05-11T11:54:00"/>
    <d v="2025-05-11T14:58:00"/>
    <n v="180.16666666917445"/>
    <s v="less casuals and offloaded the next day"/>
    <d v="2025-05-12T13:11:00"/>
    <d v="2025-05-12T14:08:00"/>
    <n v="55.81249999726424"/>
    <x v="7"/>
    <n v="1.6861111111138598"/>
    <n v="2"/>
    <n v="0.31388888888614019"/>
    <n v="40.466666666732635"/>
    <n v="12"/>
    <n v="28.466666666732635"/>
    <n v="5.3957845433130229"/>
    <m/>
    <m/>
    <m/>
    <m/>
    <m/>
  </r>
  <r>
    <d v="2025-05-11T00:00:00"/>
    <x v="4"/>
    <s v="NBL"/>
    <s v="OMUW2B5RR"/>
    <s v="DJ"/>
    <s v="Stephen Musoke "/>
    <s v="UBJ 375N"/>
    <s v="Rugoma Traders-Kanungu/Kihihi Tax No.: 1000249350"/>
    <n v="153.6"/>
    <s v="OMUW2B5RR"/>
    <s v="OM"/>
    <n v="272"/>
    <n v="270"/>
    <n v="-2"/>
    <m/>
    <d v="2025-05-10T17:11:00"/>
    <d v="2025-05-11T01:59:00"/>
    <d v="2025-05-10T17:34:00"/>
    <m/>
    <n v="22.893518520140788"/>
    <x v="0"/>
    <d v="2025-05-11T11:29:00"/>
    <d v="2025-05-11T16:21:00"/>
    <n v="285.91666666507081"/>
    <s v="found another truck to be offloaded"/>
    <d v="2025-05-12T10:37:00"/>
    <d v="2025-05-12T11:17:00"/>
    <n v="39.166666671226267"/>
    <x v="0"/>
    <n v="1.7104166666686069"/>
    <n v="2"/>
    <n v="0.28958333333139308"/>
    <n v="41.050000000046566"/>
    <n v="12"/>
    <n v="29.050000000046566"/>
    <n v="5.2874354561016794"/>
    <m/>
    <m/>
    <m/>
    <m/>
    <m/>
  </r>
  <r>
    <d v="2025-05-11T00:00:00"/>
    <x v="4"/>
    <s v="NBL"/>
    <s v="OMMKGPCRR"/>
    <s v="DJ"/>
    <s v="Bisaso  Ronald"/>
    <s v="UBK 875R"/>
    <s v="KATO INVESTMENTS LIMITED-MASAK Tax No.: 1000098824"/>
    <n v="153.6"/>
    <s v="OMMKGPCRR"/>
    <s v="OM"/>
    <n v="596"/>
    <n v="594"/>
    <n v="-2"/>
    <m/>
    <d v="2025-05-10T16:01:00"/>
    <d v="2025-05-11T04:14:00"/>
    <d v="2025-05-10T16:22:00"/>
    <m/>
    <n v="20.902777772910969"/>
    <x v="0"/>
    <d v="2025-05-11T12:11:00"/>
    <d v="2025-05-11T18:00:00"/>
    <n v="341.72916666233505"/>
    <s v="space consquents"/>
    <d v="2025-05-13T19:24:00"/>
    <d v="2025-05-13T20:08:00"/>
    <n v="43.083333330141613"/>
    <x v="0"/>
    <n v="3.1263888888934162"/>
    <n v="2"/>
    <n v="-1.1263888888934162"/>
    <n v="75.033333333441988"/>
    <n v="36"/>
    <n v="39.033333333441988"/>
    <n v="3.9350982066500197"/>
    <m/>
    <m/>
    <m/>
    <m/>
    <m/>
  </r>
  <r>
    <d v="2025-05-12T00:00:00"/>
    <x v="4"/>
    <s v="NBL"/>
    <s v="OMQTA8FRR"/>
    <s v="DJ"/>
    <s v="Luyaga Isaac"/>
    <s v="UAY 265V"/>
    <s v="Kabaco U Ltd-Mbarara Tax No.: 1000025425"/>
    <n v="153.6"/>
    <s v="OMQTA8FRR"/>
    <s v="OM"/>
    <n v="20"/>
    <n v="18"/>
    <n v="-2"/>
    <m/>
    <d v="2025-05-13T09:24:00"/>
    <d v="2025-05-12T10:00:00"/>
    <d v="2025-05-13T09:47:00"/>
    <m/>
    <n v="22.893518520140788"/>
    <x v="0"/>
    <d v="2025-05-13T14:50:00"/>
    <d v="2025-05-13T18:41:00"/>
    <n v="226.18749999863212"/>
    <s v="Waited for empties from trade"/>
    <d v="2025-05-14T09:32:00"/>
    <d v="2025-05-14T10:08:00"/>
    <n v="35.25000000205182"/>
    <x v="0"/>
    <n v="0.98958333333575865"/>
    <n v="1"/>
    <n v="1.0416666664241347E-2"/>
    <n v="23.750000000058208"/>
    <n v="0"/>
    <n v="23.750000000058208"/>
    <n v="6.467368421036781"/>
    <m/>
    <m/>
    <m/>
    <m/>
    <m/>
  </r>
  <r>
    <d v="2025-05-12T00:00:00"/>
    <x v="4"/>
    <s v="NBL"/>
    <s v="OMJLB38RR"/>
    <s v="DJ"/>
    <s v="Kabene John"/>
    <s v="UBA 523T"/>
    <s v="KATO INVESTMENTS LIMITED-MASAK Tax No.: 1000098824"/>
    <n v="153.6"/>
    <s v="OMJLB38RR"/>
    <s v="OM"/>
    <n v="596"/>
    <n v="593"/>
    <n v="-3"/>
    <m/>
    <d v="2025-05-12T20:15:00"/>
    <d v="2025-05-12T11:00:00"/>
    <d v="2025-05-12T21:09:00"/>
    <m/>
    <n v="53.749999997914223"/>
    <x v="9"/>
    <d v="2025-05-13T11:43:00"/>
    <d v="2025-05-13T14:43:00"/>
    <n v="176.25"/>
    <m/>
    <d v="2025-05-14T07:49:00"/>
    <d v="2025-05-14T08:29:00"/>
    <n v="39.166666671226267"/>
    <x v="0"/>
    <n v="1.4444444444452529"/>
    <n v="2"/>
    <n v="0.55555555555474712"/>
    <n v="34.666666666686069"/>
    <n v="12"/>
    <n v="22.666666666686069"/>
    <n v="6.7764705882294933"/>
    <m/>
    <m/>
    <m/>
    <m/>
    <m/>
  </r>
  <r>
    <d v="2025-05-12T00:00:00"/>
    <x v="4"/>
    <s v="NBL"/>
    <s v="OMZ4QJKRR"/>
    <s v="DJ"/>
    <s v="Isaac Tumuhimbise"/>
    <s v="UBE 287X"/>
    <s v="KATO INVESTMENTS LTD- KALISIZO Tax No.: 1000098824"/>
    <n v="153.6"/>
    <s v="OMZ4QJKRR"/>
    <s v="OM"/>
    <n v="288"/>
    <n v="286"/>
    <n v="-2"/>
    <m/>
    <d v="2025-05-11T18:47:00"/>
    <d v="2025-05-11T20:25:00"/>
    <d v="2025-05-11T19:16:00"/>
    <m/>
    <n v="28.865740740972495"/>
    <x v="0"/>
    <d v="2025-05-13T12:52:00"/>
    <d v="2025-05-13T16:26:00"/>
    <n v="209.54166666233505"/>
    <s v="Waited for empties from trade"/>
    <d v="2025-05-14T15:02:00"/>
    <d v="2025-05-14T15:46:00"/>
    <n v="43.083333330141613"/>
    <x v="0"/>
    <n v="2.8236111111109494"/>
    <n v="2"/>
    <n v="-0.82361111111094942"/>
    <n v="67.766666666662786"/>
    <n v="24"/>
    <n v="43.766666666662786"/>
    <n v="3.5095201827878206"/>
    <m/>
    <m/>
    <m/>
    <m/>
    <m/>
  </r>
  <r>
    <d v="2025-05-12T00:00:00"/>
    <x v="4"/>
    <s v="KESH"/>
    <s v="OMRZGLORR"/>
    <s v="DJ"/>
    <s v="Hassan Byashara"/>
    <s v="UBP 312H"/>
    <s v="Kobusinge Steven-FPortal Tax No.: 1000977837"/>
    <n v="156"/>
    <s v="OMRZGLORR"/>
    <s v="OM"/>
    <n v="304"/>
    <n v="302"/>
    <n v="-2"/>
    <m/>
    <d v="2025-05-11T19:21:00"/>
    <d v="2025-05-12T02:22:00"/>
    <d v="2025-05-11T19:44:00"/>
    <n v="-396.15740740555339"/>
    <n v="22.893518520140788"/>
    <x v="0"/>
    <d v="2025-05-12T23:28:00"/>
    <d v="2025-05-13T15:55:00"/>
    <n v="966.43750000068394"/>
    <s v="Waited for empties from trade"/>
    <d v="2025-05-14T10:30:00"/>
    <d v="2025-05-14T11:10:00"/>
    <n v="39.166666671226267"/>
    <x v="0"/>
    <n v="2.6152777777751908"/>
    <n v="2"/>
    <n v="-0.61527777777519077"/>
    <n v="62.766666666604578"/>
    <n v="24"/>
    <n v="38.766666666604578"/>
    <n v="4.0240756663864961"/>
    <m/>
    <m/>
    <m/>
    <m/>
    <m/>
  </r>
  <r>
    <d v="2025-05-12T00:00:00"/>
    <x v="4"/>
    <s v="KESH"/>
    <s v="OMJL9OHRR"/>
    <s v="DJ"/>
    <s v="RONALD KABANDA "/>
    <s v="UBE 684K"/>
    <s v="Kabaco U Ltd Tax No.: 1000025425"/>
    <n v="156"/>
    <s v="OMJL9OHRR"/>
    <s v="OM"/>
    <n v="304"/>
    <n v="302"/>
    <n v="-2"/>
    <m/>
    <d v="2025-05-11T19:32:00"/>
    <d v="2025-05-12T03:17:00"/>
    <d v="2025-05-11T19:55:00"/>
    <n v="-439.95370370903402"/>
    <n v="22.893518520140788"/>
    <x v="0"/>
    <d v="2025-05-12T19:09:00"/>
    <d v="2025-05-13T17:01:00"/>
    <n v="1284.6666666582314"/>
    <s v="space consquents"/>
    <m/>
    <d v="1899-12-30T00:44:00"/>
    <n v="43.083333333333336"/>
    <x v="0"/>
    <n v="-45788.829861111109"/>
    <n v="2"/>
    <n v="45790.829861111109"/>
    <n v="-1098931.9166666665"/>
    <n v="-549468"/>
    <n v="-549463.91666666651"/>
    <n v="-2.8391309286763909E-4"/>
    <m/>
    <m/>
    <m/>
    <m/>
    <m/>
  </r>
  <r>
    <d v="2025-05-12T00:00:00"/>
    <x v="4"/>
    <s v="KESH"/>
    <s v="OM9N4X5RR"/>
    <s v="DJ"/>
    <s v="FRED LURE "/>
    <s v="UBP 310H"/>
    <s v="Kobusinge Steven-Kamwenge Tax No.: 1000977837"/>
    <n v="156"/>
    <s v="OM9N4X5RR"/>
    <s v="OM"/>
    <n v="228"/>
    <n v="226"/>
    <n v="-2"/>
    <m/>
    <d v="2025-05-12T19:34:00"/>
    <d v="2025-05-13T04:14:00"/>
    <d v="2025-05-12T20:24:00"/>
    <n v="-467.82407407639158"/>
    <n v="49.768518513883464"/>
    <x v="11"/>
    <d v="2025-05-13T11:45:00"/>
    <d v="2025-05-13T13:49:00"/>
    <n v="121.41666666233505"/>
    <m/>
    <d v="2025-05-13T20:31:00"/>
    <d v="2025-05-13T21:13:00"/>
    <n v="41.12500000068394"/>
    <x v="0"/>
    <n v="1.0048611111124046"/>
    <n v="2"/>
    <n v="0.99513888888759539"/>
    <n v="24.116666666697711"/>
    <n v="12"/>
    <n v="12.116666666697711"/>
    <n v="12.87482806048971"/>
    <m/>
    <m/>
    <m/>
    <m/>
    <m/>
  </r>
  <r>
    <d v="2025-05-12T00:00:00"/>
    <x v="4"/>
    <s v="NBL"/>
    <s v="OMJM0HQRR"/>
    <s v="DJ"/>
    <s v="James  Kironde"/>
    <s v="UBK 881R"/>
    <s v="Kabaco U Ltd-Mbarara Tax No.: 1000025425"/>
    <n v="153.6"/>
    <s v="OMJM0HQRR"/>
    <s v="OM"/>
    <n v="20"/>
    <n v="18"/>
    <n v="-2"/>
    <m/>
    <d v="2025-05-12T10:25:00"/>
    <d v="2025-05-12T19:35:00"/>
    <d v="2025-05-12T11:07:00"/>
    <m/>
    <n v="41.805555556250816"/>
    <x v="10"/>
    <d v="2025-05-11T21:36:00"/>
    <d v="2025-05-12T12:32:00"/>
    <n v="877.33333333082555"/>
    <s v="Waited for empties from trade"/>
    <d v="2025-05-12T13:13:00"/>
    <d v="2025-05-12T13:57:00"/>
    <n v="43.083333330141613"/>
    <x v="0"/>
    <n v="8.7500000001455192E-2"/>
    <n v="1"/>
    <n v="0.91249999999854481"/>
    <n v="2.1000000000349246"/>
    <n v="0"/>
    <n v="2.1000000000349246"/>
    <n v="73.142857141640718"/>
    <m/>
    <m/>
    <m/>
    <m/>
    <m/>
  </r>
  <r>
    <d v="2025-05-12T00:00:00"/>
    <x v="4"/>
    <s v="KESH"/>
    <s v="OMFSCA2RR"/>
    <s v="DJ"/>
    <s v="KYAPA AKIMU"/>
    <s v="UBR 899Y"/>
    <s v="Kato Investment Ltd -Mityana Tax No.: 1000098824"/>
    <n v="156"/>
    <s v="OMFSCA2RR"/>
    <s v="OM"/>
    <n v="690"/>
    <n v="688"/>
    <n v="-2"/>
    <m/>
    <d v="2025-05-11T18:15:00"/>
    <d v="2025-05-12T04:19:00"/>
    <d v="2025-05-11T18:44:00"/>
    <n v="-572.33796296180424"/>
    <n v="28.865740740972495"/>
    <x v="0"/>
    <d v="2025-05-13T07:17:00"/>
    <d v="2025-05-13T20:56:00"/>
    <n v="801.93749999794818"/>
    <s v="space consquents"/>
    <d v="2025-05-14T17:01:00"/>
    <d v="2025-05-14T17:41:00"/>
    <n v="39.166666671226267"/>
    <x v="0"/>
    <n v="2.9284722222218988"/>
    <n v="3"/>
    <n v="7.1527777778101154E-2"/>
    <n v="70.283333333325572"/>
    <n v="24"/>
    <n v="46.283333333325572"/>
    <n v="3.3705437522511952"/>
    <m/>
    <m/>
    <m/>
    <m/>
    <m/>
  </r>
  <r>
    <d v="2025-05-12T00:00:00"/>
    <x v="4"/>
    <s v="KESH"/>
    <s v="OMBAX3ORR"/>
    <s v="DJ"/>
    <s v="ZIWA ABASI"/>
    <s v="UBJ 420C"/>
    <s v="Sawan Distributors Ltd-Kayabwe Tax No.: 1000186379"/>
    <n v="156"/>
    <s v="OMBAX3ORR"/>
    <s v="OM"/>
    <n v="382"/>
    <n v="379"/>
    <n v="-3"/>
    <m/>
    <d v="2025-05-11T20:41:00"/>
    <d v="2025-05-12T07:42:00"/>
    <d v="2025-05-11T21:04:00"/>
    <n v="-635.04629629096598"/>
    <n v="22.893518520140788"/>
    <x v="0"/>
    <d v="2025-05-12T21:15:00"/>
    <d v="2025-05-13T11:20:00"/>
    <n v="827.39583333219343"/>
    <s v="truck faulty"/>
    <d v="2025-05-13T17:55:00"/>
    <d v="2025-05-13T18:35:00"/>
    <n v="39.166666671226267"/>
    <x v="0"/>
    <n v="1.8687500000014552"/>
    <n v="2"/>
    <n v="0.13124999999854481"/>
    <n v="44.850000000034925"/>
    <n v="12"/>
    <n v="32.850000000034925"/>
    <n v="4.7488584474835358"/>
    <m/>
    <m/>
    <m/>
    <m/>
    <m/>
  </r>
  <r>
    <d v="2025-05-12T00:00:00"/>
    <x v="4"/>
    <s v="NBL"/>
    <s v="OMBTHSBRR"/>
    <s v="DJ"/>
    <s v="James  Kironde"/>
    <s v="UBK 881R"/>
    <s v="KATO INVESTMENTS LIMITED-MASAK Tax No.: 1000098824"/>
    <n v="153.6"/>
    <s v="OMBTHSBRR"/>
    <s v="OM"/>
    <n v="596"/>
    <n v="594"/>
    <n v="-2"/>
    <m/>
    <d v="2025-05-12T15:59:00"/>
    <d v="2025-05-13T03:43:00"/>
    <d v="2025-05-12T16:28:00"/>
    <m/>
    <n v="28.865740740972495"/>
    <x v="0"/>
    <d v="2025-05-13T12:10:00"/>
    <d v="2025-05-13T18:04:00"/>
    <n v="346.62500000136788"/>
    <s v="Reached late and offloaded the next day"/>
    <d v="2025-05-14T12:16:00"/>
    <d v="2025-05-14T12:56:00"/>
    <n v="39.166666671226267"/>
    <x v="0"/>
    <n v="1.8249999999970896"/>
    <n v="2"/>
    <n v="0.17500000000291038"/>
    <n v="43.799999999930151"/>
    <n v="12"/>
    <n v="31.799999999930151"/>
    <n v="4.8301886792558921"/>
    <m/>
    <m/>
    <m/>
    <m/>
    <m/>
  </r>
  <r>
    <d v="2025-05-12T00:00:00"/>
    <x v="4"/>
    <s v="NBL"/>
    <s v="OMGT6A1RR"/>
    <s v="DJ"/>
    <s v="ANGELO KYOSIGA "/>
    <s v="UAV 051U"/>
    <s v="KATO INVESTMENTS LTD- KALISIZO Tax No.: 1000098824"/>
    <n v="153.6"/>
    <s v="OMGT6A1RR"/>
    <s v="OM"/>
    <n v="288"/>
    <n v="285"/>
    <n v="-3"/>
    <m/>
    <d v="2025-05-12T11:31:00"/>
    <d v="2025-05-13T03:43:00"/>
    <d v="2025-05-12T12:21:00"/>
    <m/>
    <n v="49.768518513883464"/>
    <x v="13"/>
    <d v="2025-05-12T22:11:00"/>
    <d v="2025-05-13T13:27:00"/>
    <n v="896.91666666643869"/>
    <s v="less casuals and offloaded the next day"/>
    <d v="2025-05-13T18:16:00"/>
    <d v="2025-05-13T19:06:00"/>
    <n v="48.958333328773733"/>
    <x v="11"/>
    <n v="1.2465277777810115"/>
    <n v="2"/>
    <n v="0.75347222221898846"/>
    <n v="29.916666666744277"/>
    <n v="12"/>
    <n v="17.916666666744277"/>
    <n v="8.5730232557768176"/>
    <m/>
    <m/>
    <m/>
    <m/>
    <m/>
  </r>
  <r>
    <d v="2025-05-12T00:00:00"/>
    <x v="4"/>
    <s v="NBL"/>
    <s v="OMMIAVHRR"/>
    <s v="DJ"/>
    <s v="Kilabila Ismail"/>
    <s v="UBE 419T"/>
    <s v="KATO INVESTMENTS LTD- KALISIZO Tax No.: 1000098824"/>
    <n v="153.6"/>
    <s v="OMMIAVHRR"/>
    <s v="OM"/>
    <n v="288"/>
    <n v="286"/>
    <n v="-2"/>
    <m/>
    <d v="2025-05-12T11:23:00"/>
    <d v="2025-05-13T04:14:00"/>
    <d v="2025-05-12T11:46:00"/>
    <m/>
    <n v="22.893518520140788"/>
    <x v="0"/>
    <d v="2025-05-12T18:34:00"/>
    <d v="2025-05-13T10:43:00"/>
    <n v="948.81250000478758"/>
    <s v="found another truck to be offloaded"/>
    <d v="2025-05-13T18:12:00"/>
    <d v="2025-05-13T18:56:00"/>
    <n v="43.083333330141613"/>
    <x v="0"/>
    <n v="1.2680555555562023"/>
    <n v="2"/>
    <n v="0.73194444444379769"/>
    <n v="30.433333333348855"/>
    <n v="12"/>
    <n v="18.433333333348855"/>
    <n v="8.332730560571644"/>
    <m/>
    <m/>
    <m/>
    <m/>
    <m/>
  </r>
  <r>
    <d v="2025-05-12T00:00:00"/>
    <x v="4"/>
    <s v="NBL"/>
    <s v="OME99OQRR"/>
    <s v="DJ"/>
    <s v="Tumusiime Robert"/>
    <s v="UBJ 988D"/>
    <s v="KATO INVESTMENTS LIMITED-MASAK Tax No.: 1000098824"/>
    <n v="153.6"/>
    <s v="OME99OQRR"/>
    <s v="OM"/>
    <n v="596"/>
    <n v="594"/>
    <n v="-2"/>
    <m/>
    <d v="2025-05-12T11:21:00"/>
    <d v="2025-05-13T07:42:00"/>
    <d v="2025-05-12T12:15:00"/>
    <m/>
    <n v="53.749999997914223"/>
    <x v="9"/>
    <d v="2025-05-13T13:27:00"/>
    <d v="2025-05-13T18:01:00"/>
    <n v="268.29166666917445"/>
    <s v="Waited for empties from trade"/>
    <d v="2025-05-14T13:19:00"/>
    <d v="2025-05-14T14:01:00"/>
    <n v="41.12500000068394"/>
    <x v="0"/>
    <n v="2.0444444444437977"/>
    <n v="2"/>
    <n v="-4.4444444443797693E-2"/>
    <n v="49.066666666651145"/>
    <n v="24"/>
    <n v="25.066666666651145"/>
    <n v="6.1276595744718794"/>
    <m/>
    <m/>
    <m/>
    <m/>
    <m/>
  </r>
  <r>
    <d v="2025-05-12T00:00:00"/>
    <x v="4"/>
    <s v="NBL"/>
    <s v="OM7EM43RR"/>
    <s v="DJ"/>
    <s v="Konge Husein"/>
    <s v="UBJ 707D"/>
    <s v="Kabaco U Ltd-Mbarara Tax No.: 1000025425"/>
    <n v="153.6"/>
    <s v="OM7EM43RR"/>
    <s v="OM"/>
    <n v="20"/>
    <n v="17"/>
    <n v="-3"/>
    <m/>
    <d v="2025-05-14T18:48:00"/>
    <d v="2025-05-13T06:15:00"/>
    <d v="2025-05-14T19:11:00"/>
    <m/>
    <n v="22.893518520140788"/>
    <x v="0"/>
    <d v="2025-05-12T15:01:00"/>
    <d v="2025-05-12T17:57:00"/>
    <n v="172.33333333082555"/>
    <m/>
    <d v="2025-05-12T18:27:00"/>
    <d v="2025-05-12T19:09:00"/>
    <n v="41.12500000068394"/>
    <x v="0"/>
    <n v="-2.0305555555532919"/>
    <n v="1"/>
    <n v="3.0305555555532919"/>
    <n v="-48.733333333279006"/>
    <n v="-36"/>
    <n v="-12.733333333279006"/>
    <n v="-12.062827225182357"/>
    <m/>
    <m/>
    <m/>
    <m/>
    <m/>
  </r>
  <r>
    <d v="2025-05-13T00:00:00"/>
    <x v="4"/>
    <s v="NBL"/>
    <s v="OMUK8XKRR"/>
    <s v="DJ"/>
    <s v="Bisaso  Ronald"/>
    <s v="UBK 875R"/>
    <s v="RUGOMA TRADERS CO. LTD NTUNGAM Tax No.: 1000249350"/>
    <n v="153.6"/>
    <s v="OMUK8XKRR"/>
    <s v="OM"/>
    <n v="150"/>
    <n v="148"/>
    <n v="-2"/>
    <m/>
    <d v="2025-05-14T14:27:00"/>
    <d v="2025-05-13T06:15:00"/>
    <d v="2025-05-14T14:54:00"/>
    <m/>
    <n v="26.87500000417155"/>
    <x v="0"/>
    <d v="2025-05-15T07:49:00"/>
    <d v="2025-05-15T16:36:00"/>
    <n v="516.02083333287737"/>
    <s v="Waited for empties from trade"/>
    <d v="2025-05-15T18:19:00"/>
    <d v="2025-05-15T19:03:00"/>
    <n v="43.083333330141613"/>
    <x v="0"/>
    <n v="1.1423611111094942"/>
    <n v="1"/>
    <n v="-0.14236111110949423"/>
    <n v="27.416666666627862"/>
    <n v="12"/>
    <n v="15.416666666627862"/>
    <n v="9.9632432432683213"/>
    <m/>
    <m/>
    <m/>
    <m/>
    <m/>
  </r>
  <r>
    <d v="2025-05-13T00:00:00"/>
    <x v="4"/>
    <s v="NBL"/>
    <s v="OMDOMR6RR"/>
    <s v="DJ"/>
    <s v="Benon Ssempijja"/>
    <s v="UAY 526V"/>
    <s v="RUGOMA TRADERS CO. LTD NTUNGAM Tax No.: 1000249350"/>
    <n v="153.6"/>
    <s v="OMDOMR6RR"/>
    <s v="OM"/>
    <n v="150"/>
    <n v="147"/>
    <n v="-3"/>
    <m/>
    <d v="2025-05-14T09:29:00"/>
    <d v="2025-05-13T11:52:00"/>
    <d v="2025-05-14T09:58:00"/>
    <m/>
    <n v="28.865740740972495"/>
    <x v="0"/>
    <d v="2025-05-14T17:23:00"/>
    <d v="2025-05-15T14:13:00"/>
    <n v="1223.9583333321934"/>
    <s v="space consquents"/>
    <d v="2025-05-15T17:19:00"/>
    <d v="2025-05-15T18:03:00"/>
    <n v="43.083333330141613"/>
    <x v="0"/>
    <n v="1.3062500000014552"/>
    <n v="1"/>
    <n v="-0.30625000000145519"/>
    <n v="31.350000000034925"/>
    <n v="12"/>
    <n v="19.350000000034925"/>
    <n v="7.9379844961097037"/>
    <m/>
    <m/>
    <m/>
    <m/>
    <m/>
  </r>
  <r>
    <d v="2025-05-13T00:00:00"/>
    <x v="4"/>
    <s v="NBL"/>
    <s v="OMKWRO9RR"/>
    <s v="DJ"/>
    <s v="Stephen Musoke "/>
    <s v="UBJ 375N"/>
    <s v="Kabaco U Ltd-Mbarara Tax No.: 1000025425"/>
    <n v="153.6"/>
    <s v="OMKWRO9RR"/>
    <s v="OM"/>
    <n v="20"/>
    <n v="18"/>
    <n v="-2"/>
    <m/>
    <d v="2025-05-13T18:17:00"/>
    <d v="2025-05-12T22:00:00"/>
    <d v="2025-05-13T18:40:00"/>
    <m/>
    <n v="22.893518520140788"/>
    <x v="0"/>
    <d v="2025-05-13T12:05:00"/>
    <d v="2025-05-13T17:56:00"/>
    <n v="343.68750000205182"/>
    <s v="Waited for empties from trade"/>
    <d v="2025-05-13T18:21:00"/>
    <d v="2025-05-13T19:05:00"/>
    <n v="43.083333330141613"/>
    <x v="0"/>
    <n v="-1.319444445107365E-2"/>
    <n v="1"/>
    <n v="1.0131944444510737"/>
    <n v="-0.31666666682576761"/>
    <n v="-12"/>
    <n v="11.683333333174232"/>
    <n v="13.146932953103425"/>
    <m/>
    <m/>
    <m/>
    <m/>
    <m/>
  </r>
  <r>
    <d v="2025-05-13T00:00:00"/>
    <x v="4"/>
    <s v="KESH"/>
    <s v="OMJGB4SRR"/>
    <s v="DJ"/>
    <s v="NGOBI FRED"/>
    <s v="UBK 866R"/>
    <s v="Bates Enterprises U Ltd Tax No.: 1001193253"/>
    <n v="156"/>
    <s v="OMJGB4SRR"/>
    <s v="OM"/>
    <n v="524"/>
    <n v="522"/>
    <n v="-2"/>
    <m/>
    <d v="2025-05-13T14:52:00"/>
    <d v="2025-05-13T03:17:00"/>
    <d v="2025-05-13T15:21:00"/>
    <n v="720.64814814026852"/>
    <n v="28.865740740972495"/>
    <x v="0"/>
    <d v="2025-05-14T13:07:00"/>
    <d v="2025-05-15T15:42:00"/>
    <n v="1561.7708333356131"/>
    <s v="Waited for empties from trade"/>
    <d v="2025-05-16T11:06:00"/>
    <d v="2025-05-16T11:42:00"/>
    <n v="35.25000000205182"/>
    <x v="0"/>
    <n v="2.8229166666715173"/>
    <n v="3"/>
    <n v="0.17708333332848269"/>
    <n v="67.750000000116415"/>
    <n v="24"/>
    <n v="43.750000000116415"/>
    <n v="3.5657142857047974"/>
    <m/>
    <m/>
    <m/>
    <m/>
    <m/>
  </r>
  <r>
    <d v="2025-05-13T00:00:00"/>
    <x v="4"/>
    <s v="KESH"/>
    <s v="OM0YIRCRR"/>
    <s v="DJ"/>
    <s v="FARUK   ABEL"/>
    <s v="UBR 539W"/>
    <s v="Kobusinge Steven-Kamwenge Tax No.: 1000977837"/>
    <n v="156"/>
    <s v="OM0YIRCRR"/>
    <s v="OM"/>
    <n v="228"/>
    <n v="226"/>
    <n v="-2"/>
    <m/>
    <d v="2025-05-13T12:59:00"/>
    <d v="2025-05-13T03:17:00"/>
    <d v="2025-05-13T13:22:00"/>
    <n v="602.19907406596269"/>
    <n v="22.893518520140788"/>
    <x v="0"/>
    <d v="2025-05-14T12:06:00"/>
    <d v="2025-05-14T14:58:00"/>
    <n v="168.41666667191021"/>
    <m/>
    <d v="2025-05-14T16:55:00"/>
    <d v="2025-05-14T17:37:00"/>
    <n v="41.12500000068394"/>
    <x v="0"/>
    <n v="1.1479166666686069"/>
    <n v="2"/>
    <n v="0.85208333333139308"/>
    <n v="27.550000000046566"/>
    <n v="12"/>
    <n v="15.550000000046566"/>
    <n v="10.03215434080597"/>
    <m/>
    <m/>
    <m/>
    <m/>
    <m/>
  </r>
  <r>
    <d v="2025-05-13T00:00:00"/>
    <x v="4"/>
    <s v="KESH"/>
    <s v="OMCHPFQRR"/>
    <s v="DJ"/>
    <s v="SENTONG DAVID"/>
    <s v="UBP 298H"/>
    <s v="Kobusinge Acaali- Kyenjojo Tax No.: 1000977837"/>
    <n v="156"/>
    <s v="OMCHPFQRR"/>
    <s v="OM"/>
    <n v="580"/>
    <n v="578"/>
    <n v="-2"/>
    <m/>
    <d v="2025-05-13T11:35:00"/>
    <d v="2025-05-13T02:22:00"/>
    <d v="2025-05-13T12:04:00"/>
    <n v="579.30555555625085"/>
    <n v="28.865740740972495"/>
    <x v="0"/>
    <d v="2025-05-13T23:20:00"/>
    <d v="2025-05-14T15:29:00"/>
    <n v="948.81250000478758"/>
    <s v="space consquents"/>
    <d v="2025-05-15T08:52:00"/>
    <d v="2025-05-15T09:31:00"/>
    <n v="38.18750000136788"/>
    <x v="0"/>
    <n v="1.866666666661331"/>
    <n v="2"/>
    <n v="0.13333333333866904"/>
    <n v="44.799999999871943"/>
    <n v="12"/>
    <n v="32.799999999871943"/>
    <n v="4.7560975609941787"/>
    <m/>
    <m/>
    <m/>
    <m/>
    <m/>
  </r>
  <r>
    <d v="2025-05-13T00:00:00"/>
    <x v="4"/>
    <s v="KESH"/>
    <s v="OMLR1HWRR"/>
    <s v="DJ"/>
    <s v="SENTONGO PAUL"/>
    <s v="UBR 855Y"/>
    <s v="Kabaco U Ltd Tax No.: 1000025425"/>
    <n v="156"/>
    <s v="OMLR1HWRR"/>
    <s v="OM"/>
    <n v="304"/>
    <n v="302"/>
    <n v="-2"/>
    <m/>
    <d v="2025-05-13T10:24:00"/>
    <d v="2025-05-13T02:22:00"/>
    <d v="2025-05-13T11:14:00"/>
    <n v="529.53703703193844"/>
    <n v="49.768518513883464"/>
    <x v="5"/>
    <d v="2025-05-13T18:58:00"/>
    <d v="2025-05-13T21:38:00"/>
    <n v="156.66666666438687"/>
    <m/>
    <d v="2025-05-13T21:30:00"/>
    <d v="2025-05-13T22:14:00"/>
    <n v="43.083333330141613"/>
    <x v="0"/>
    <n v="0.42777777778246673"/>
    <n v="2"/>
    <n v="1.5722222222175333"/>
    <n v="10.266666666779201"/>
    <n v="0"/>
    <n v="10.266666666779201"/>
    <n v="15.194805194638642"/>
    <m/>
    <m/>
    <m/>
    <m/>
    <m/>
  </r>
  <r>
    <d v="2025-05-13T00:00:00"/>
    <x v="4"/>
    <s v="KESH"/>
    <s v="OMJIZTORR"/>
    <s v="DJ"/>
    <s v="IKWALIKWA YUSUF"/>
    <s v="UBP 311H"/>
    <s v="Kabaco U Ltd Tax No.: 1000025425"/>
    <n v="156"/>
    <s v="OMJIZTORR"/>
    <s v="OM"/>
    <n v="304"/>
    <n v="302"/>
    <n v="-2"/>
    <m/>
    <d v="2025-05-13T11:23:00"/>
    <d v="2025-05-13T04:19:00"/>
    <d v="2025-05-13T12:13:00"/>
    <n v="471.80555556042236"/>
    <n v="49.768518513883464"/>
    <x v="13"/>
    <d v="2025-05-13T17:49:00"/>
    <d v="2025-05-14T12:47:00"/>
    <n v="1114.2916666671226"/>
    <s v="found another truck to be offloaded"/>
    <d v="2025-05-14T17:13:00"/>
    <d v="2025-05-14T17:58:00"/>
    <n v="44.0625"/>
    <x v="0"/>
    <n v="1.2083333333357587"/>
    <n v="2"/>
    <n v="0.79166666666424135"/>
    <n v="29.000000000058208"/>
    <n v="12"/>
    <n v="17.000000000058208"/>
    <n v="9.1764705882038733"/>
    <m/>
    <m/>
    <m/>
    <m/>
    <m/>
  </r>
  <r>
    <d v="2025-05-13T00:00:00"/>
    <x v="4"/>
    <s v="KESH"/>
    <s v="OMHP698RR"/>
    <s v="DJ"/>
    <s v="OLOWO JOHNWHITE"/>
    <s v="UBK 862R"/>
    <s v="Sawan Distributors Ltd-Kayabwe Tax No.: 1000186379"/>
    <n v="156"/>
    <s v="OMHP698RR"/>
    <s v="OM"/>
    <n v="382"/>
    <n v="380"/>
    <n v="-2"/>
    <m/>
    <d v="2025-05-13T10:59:00"/>
    <d v="2025-05-13T07:42:00"/>
    <d v="2025-05-13T11:28:00"/>
    <n v="224.95370370694823"/>
    <n v="28.865740740972495"/>
    <x v="0"/>
    <d v="2025-05-14T08:05:00"/>
    <d v="2025-05-14T12:20:00"/>
    <n v="249.6875000034197"/>
    <s v="Waited for empties from trade"/>
    <d v="2025-05-14T19:01:00"/>
    <d v="2025-05-14T19:43:00"/>
    <n v="41.12500000068394"/>
    <x v="0"/>
    <n v="1.3145833333328483"/>
    <n v="2"/>
    <n v="0.68541666666715173"/>
    <n v="31.549999999988358"/>
    <n v="12"/>
    <n v="19.549999999988358"/>
    <n v="7.9795396419484854"/>
    <m/>
    <m/>
    <m/>
    <m/>
    <m/>
  </r>
  <r>
    <d v="2025-05-13T00:00:00"/>
    <x v="4"/>
    <s v="NBL"/>
    <s v="OMFYYOXRR"/>
    <m/>
    <s v="Stephen Musoke "/>
    <s v="UBJ 375N"/>
    <s v="Kabaco U Ltd-Mbarara Tax No.: 1000025425"/>
    <n v="153.6"/>
    <s v="OMFYYOXRR"/>
    <s v="OM"/>
    <n v="20"/>
    <n v="18"/>
    <n v="-2"/>
    <m/>
    <d v="2025-05-12T22:41:00"/>
    <d v="2025-05-12T22:45:00"/>
    <d v="2025-05-12T23:04:00"/>
    <m/>
    <n v="22.893518520140788"/>
    <x v="0"/>
    <d v="2025-05-14T14:29:00"/>
    <d v="2025-05-14T16:33:00"/>
    <n v="121.41666666233505"/>
    <m/>
    <d v="2025-05-15T13:11:00"/>
    <d v="2025-05-15T13:55:00"/>
    <n v="43.083333330141613"/>
    <x v="0"/>
    <n v="2.5881944444481633"/>
    <n v="1"/>
    <n v="-1.5881944444481633"/>
    <n v="62.116666666755918"/>
    <n v="24"/>
    <n v="38.116666666755918"/>
    <n v="4.0297332750233581"/>
    <m/>
    <m/>
    <m/>
    <m/>
    <m/>
  </r>
  <r>
    <d v="2025-05-13T00:00:00"/>
    <x v="4"/>
    <s v="KESH"/>
    <s v="OMDHZULRR"/>
    <s v="DJ"/>
    <s v="SENTONGO GODFREY"/>
    <s v="UBR 864Y"/>
    <s v="Bates Enterprises Ltd-Ntoroko Tax No.: 1001193253"/>
    <n v="156"/>
    <s v="OMDHZULRR"/>
    <s v="OM"/>
    <n v="510"/>
    <n v="509"/>
    <n v="-1"/>
    <m/>
    <d v="2025-05-12T21:18:00"/>
    <d v="2025-05-12T22:00:00"/>
    <d v="2025-05-12T22:12:00"/>
    <n v="11.944444452092284"/>
    <n v="53.749999997914223"/>
    <x v="9"/>
    <d v="2025-05-14T08:34:00"/>
    <d v="2025-05-14T18:45:00"/>
    <n v="598.27083333424525"/>
    <s v="Waited for empties from trade"/>
    <d v="2025-05-15T12:08:00"/>
    <d v="2025-05-15T12:47:00"/>
    <n v="38.18750000136788"/>
    <x v="0"/>
    <n v="2.5805555555562023"/>
    <n v="3"/>
    <n v="0.41944444444379769"/>
    <n v="61.933333333348855"/>
    <n v="24"/>
    <n v="37.933333333348855"/>
    <n v="4.1124780316327634"/>
    <m/>
    <m/>
    <m/>
    <m/>
    <m/>
  </r>
  <r>
    <d v="2025-05-13T00:00:00"/>
    <x v="4"/>
    <s v="KESH"/>
    <s v="OMYN7HQRR"/>
    <s v="DJ"/>
    <s v="MUKOSE MUZAMIRU"/>
    <s v="UBJ 417C"/>
    <s v="Kobusinge Steven-FPortal Tax No.: 1000977837"/>
    <n v="156"/>
    <s v="OMYN7HQRR"/>
    <s v="OM"/>
    <n v="304"/>
    <n v="302"/>
    <n v="-2"/>
    <m/>
    <d v="2025-05-13T10:08:00"/>
    <d v="2025-05-13T11:52:00"/>
    <d v="2025-05-13T10:31:00"/>
    <n v="-80.624999991656907"/>
    <n v="22.893518520140788"/>
    <x v="0"/>
    <d v="2025-05-13T09:07:00"/>
    <d v="2025-05-14T11:17:00"/>
    <n v="1537.2916666609672"/>
    <s v="space consquents"/>
    <d v="2025-05-14T17:11:00"/>
    <d v="2025-05-14T17:55:00"/>
    <n v="43.083333330141613"/>
    <x v="0"/>
    <n v="1.2777777777737356"/>
    <n v="2"/>
    <n v="0.72222222222626442"/>
    <n v="30.666666666569654"/>
    <n v="12"/>
    <n v="18.666666666569654"/>
    <n v="8.3571428571862896"/>
    <m/>
    <m/>
    <m/>
    <m/>
    <m/>
  </r>
  <r>
    <d v="2025-05-13T00:00:00"/>
    <x v="4"/>
    <s v="NBL"/>
    <s v="OMLUI8DRR"/>
    <m/>
    <s v="Konge Husein"/>
    <s v="UBJ 707D"/>
    <s v="KATO INVESTMENTS LIMITED-MASAK Tax No.: 1000098824"/>
    <n v="153.6"/>
    <s v="OMLUI8DRR"/>
    <s v="OM"/>
    <n v="596"/>
    <n v="594"/>
    <n v="-2"/>
    <m/>
    <d v="2025-05-12T21:08:00"/>
    <d v="2025-05-13T02:22:00"/>
    <d v="2025-05-12T22:02:00"/>
    <m/>
    <n v="53.749999997914223"/>
    <x v="13"/>
    <d v="2025-05-14T09:59:00"/>
    <d v="2025-05-14T20:46:00"/>
    <n v="633.52083332603797"/>
    <s v="Reached late and offloaded the next day"/>
    <d v="2025-05-15T11:13:00"/>
    <d v="2025-05-15T11:55:00"/>
    <n v="41.12500000068394"/>
    <x v="0"/>
    <n v="2.5493055555562023"/>
    <n v="2"/>
    <n v="-0.54930555555620231"/>
    <n v="61.183333333348855"/>
    <n v="24"/>
    <n v="37.183333333348855"/>
    <n v="4.1308830121004716"/>
    <m/>
    <m/>
    <m/>
    <m/>
    <m/>
  </r>
  <r>
    <d v="2025-05-13T00:00:00"/>
    <x v="4"/>
    <s v="KESH"/>
    <s v="OM1SDVFRR"/>
    <s v="DJ"/>
    <s v="ALIPA EREKU"/>
    <s v="UBK 858R"/>
    <s v="Kabaco U Ltd Tax No.: 1000025425"/>
    <n v="156"/>
    <s v="OM1SDVFRR"/>
    <s v="OM"/>
    <n v="304"/>
    <n v="302"/>
    <n v="-2"/>
    <m/>
    <d v="2025-05-12T21:45:00"/>
    <d v="2025-05-13T03:17:00"/>
    <d v="2025-05-12T22:38:00"/>
    <n v="-277.70833333124756"/>
    <n v="52.75462963472819"/>
    <x v="1"/>
    <d v="2025-05-13T16:04:00"/>
    <d v="2025-05-14T12:52:00"/>
    <n v="1222.0000000027358"/>
    <s v="Waited for empties from trade"/>
    <d v="2025-05-14T18:45:00"/>
    <d v="2025-05-14T19:21:00"/>
    <n v="35.25000000205182"/>
    <x v="0"/>
    <n v="1.8381944444408873"/>
    <n v="2"/>
    <n v="0.16180555555911269"/>
    <n v="44.116666666581295"/>
    <n v="12"/>
    <n v="32.116666666581295"/>
    <n v="4.8572911261156619"/>
    <m/>
    <m/>
    <m/>
    <m/>
    <m/>
  </r>
  <r>
    <d v="2025-05-13T00:00:00"/>
    <x v="4"/>
    <s v="KESH"/>
    <s v="OMPO7ITRR"/>
    <s v="DJ"/>
    <s v="KAJUBI ISMA"/>
    <s v="UBR 538W"/>
    <s v="Kobusinge Steven-Kamwenge Tax No.: 1000977837"/>
    <n v="156"/>
    <s v="OMPO7ITRR"/>
    <s v="OM"/>
    <n v="228"/>
    <n v="226"/>
    <n v="-2"/>
    <m/>
    <d v="2025-05-13T17:48:00"/>
    <d v="2025-05-14T04:14:00"/>
    <d v="2025-05-13T18:42:00"/>
    <n v="-569.35185185138835"/>
    <n v="53.749999997914223"/>
    <x v="11"/>
    <d v="2025-05-13T15:45:00"/>
    <d v="2025-05-13T17:54:00"/>
    <n v="126.31250000136788"/>
    <m/>
    <d v="2025-05-13T18:43:00"/>
    <d v="2025-05-13T19:27:00"/>
    <n v="43.083333330141613"/>
    <x v="0"/>
    <n v="6.944444467080757E-4"/>
    <n v="2"/>
    <n v="1.9993055555532919"/>
    <n v="1.6666666720993817E-2"/>
    <n v="0"/>
    <n v="1.6666666720993817E-2"/>
    <n v="9359.9999694898725"/>
    <m/>
    <m/>
    <m/>
    <m/>
    <m/>
  </r>
  <r>
    <d v="2025-05-13T00:00:00"/>
    <x v="4"/>
    <s v="NBL"/>
    <s v="OM4RREYRR"/>
    <m/>
    <s v="Konge Husein"/>
    <s v="UBJ 707D"/>
    <s v="Kabaco U Ltd-Mbarara Tax No.: 1000025425"/>
    <n v="153.6"/>
    <s v="OM4RREYRR"/>
    <s v="OM"/>
    <n v="20"/>
    <n v="19"/>
    <n v="-1"/>
    <m/>
    <n v="-2.013888888888889E-2"/>
    <m/>
    <m/>
    <m/>
    <n v="28.865740740740744"/>
    <x v="0"/>
    <d v="2025-05-13T11:09:00"/>
    <d v="2025-05-13T15:04:00"/>
    <n v="230.10416666780657"/>
    <s v="truck faulty"/>
    <d v="2025-05-13T15:31:00"/>
    <d v="2025-05-13T16:13:00"/>
    <n v="41.12500000068394"/>
    <x v="0"/>
    <n v="45790.646527777775"/>
    <n v="1"/>
    <n v="-45789.646527777775"/>
    <n v="1098975.5166666666"/>
    <n v="549480"/>
    <n v="549495.5166666666"/>
    <n v="2.795291232433774E-4"/>
    <m/>
    <m/>
    <m/>
    <m/>
    <m/>
  </r>
  <r>
    <d v="2025-05-14T00:00:00"/>
    <x v="4"/>
    <s v="NBL"/>
    <s v="OMS3B3MRR"/>
    <m/>
    <s v="Isaac Tumuhimbise"/>
    <s v="UBE 287X"/>
    <s v="KATO INVESTMENTS LIMITED-MASAK Tax No.: 1000098824"/>
    <n v="153.6"/>
    <s v="OMS3B3MRR"/>
    <s v="OM"/>
    <n v="596"/>
    <n v="594"/>
    <n v="-2"/>
    <m/>
    <d v="2025-05-14T19:27:00"/>
    <d v="2025-05-14T04:14:00"/>
    <d v="2025-05-14T19:57:00"/>
    <m/>
    <n v="29.861111114587402"/>
    <x v="0"/>
    <d v="2025-05-15T07:47:00"/>
    <d v="2025-05-15T11:25:00"/>
    <n v="213.45833333150949"/>
    <s v="Reached late and offloaded the next day"/>
    <d v="2025-05-15T13:59:00"/>
    <d v="2025-05-15T14:41:00"/>
    <n v="41.12500000068394"/>
    <x v="0"/>
    <n v="0.75138888888614019"/>
    <n v="2"/>
    <n v="1.2486111111138598"/>
    <n v="18.033333333267365"/>
    <n v="0"/>
    <n v="18.033333333267365"/>
    <n v="8.5175600739683119"/>
    <m/>
    <m/>
    <m/>
    <m/>
    <m/>
  </r>
  <r>
    <d v="2025-05-14T00:00:00"/>
    <x v="4"/>
    <s v="KESH"/>
    <s v="OMSQV2GRR"/>
    <s v="DJ"/>
    <s v="FRED LURE "/>
    <s v="UBP 310H"/>
    <s v="Kato Investment Ltd -Mityana Tax No.: 1000098824"/>
    <n v="156"/>
    <s v="OMSQV2GRR"/>
    <s v="OM"/>
    <n v="690"/>
    <n v="688"/>
    <n v="-2"/>
    <m/>
    <d v="2025-05-14T09:46:00"/>
    <d v="2025-05-13T21:00:00"/>
    <d v="2025-05-14T10:15:00"/>
    <n v="791.31944444792077"/>
    <n v="28.865740740972495"/>
    <x v="0"/>
    <d v="2025-05-15T15:58:00"/>
    <d v="2025-05-15T18:04:00"/>
    <n v="123.37500000205182"/>
    <m/>
    <d v="2025-05-17T08:09:00"/>
    <d v="2025-05-17T08:45:00"/>
    <n v="35.25000000205182"/>
    <x v="0"/>
    <n v="2.9124999999985448"/>
    <n v="3"/>
    <n v="8.7500000001455192E-2"/>
    <n v="69.899999999965075"/>
    <n v="24"/>
    <n v="45.899999999965075"/>
    <n v="3.3986928104601022"/>
    <m/>
    <m/>
    <m/>
    <m/>
    <m/>
  </r>
  <r>
    <d v="2025-05-14T00:00:00"/>
    <x v="4"/>
    <s v="KESH"/>
    <s v="OM9N9BIRR"/>
    <s v="DJ"/>
    <s v="SENTONGO PAUL"/>
    <s v="UBR 855Y"/>
    <s v="Kato Investment Ltd -Kagadi Tax No.: 1000098824"/>
    <n v="156"/>
    <s v="OM9N9BIRR"/>
    <s v="OM"/>
    <n v="670"/>
    <n v="668"/>
    <n v="-2"/>
    <m/>
    <d v="2025-05-14T08:51:00"/>
    <d v="2025-05-13T21:00:00"/>
    <d v="2025-05-14T09:41:00"/>
    <n v="757.47685184930253"/>
    <n v="49.768518513883464"/>
    <x v="5"/>
    <d v="2025-05-14T20:28:00"/>
    <d v="2025-05-15T11:12:00"/>
    <n v="865.58333333356131"/>
    <s v="Waited for empties from trade"/>
    <d v="2025-05-15T20:28:00"/>
    <d v="2025-05-15T21:07:00"/>
    <n v="38.18750000136788"/>
    <x v="0"/>
    <n v="1.4493055555576575"/>
    <n v="2"/>
    <n v="0.5506944444423425"/>
    <n v="34.78333333338378"/>
    <n v="12"/>
    <n v="22.78333333338378"/>
    <n v="6.8471104608480431"/>
    <m/>
    <m/>
    <m/>
    <m/>
    <m/>
  </r>
  <r>
    <d v="2025-05-14T00:00:00"/>
    <x v="4"/>
    <s v="NBL"/>
    <s v="OM4KKX8RR"/>
    <m/>
    <s v="Mugisha  George"/>
    <s v="UAV 203T"/>
    <s v="KATO INVESTMENTS LTD- KALISIZO Tax No.: 1000098824"/>
    <n v="153.6"/>
    <s v="OM4KKX8RR"/>
    <s v="OM"/>
    <n v="288"/>
    <n v="286"/>
    <n v="-2"/>
    <m/>
    <d v="2025-05-14T14:47:00"/>
    <d v="2025-05-14T03:43:00"/>
    <d v="2025-05-14T15:15:00"/>
    <m/>
    <n v="27.870370367357584"/>
    <x v="0"/>
    <d v="2025-05-15T09:12:00"/>
    <d v="2025-05-15T14:26:00"/>
    <n v="307.45833334040071"/>
    <s v="space consquents"/>
    <d v="2025-05-16T10:26:00"/>
    <d v="2025-05-16T11:17:00"/>
    <n v="49.93749999863212"/>
    <x v="11"/>
    <n v="1.7993055555562023"/>
    <n v="2"/>
    <n v="0.20069444444379769"/>
    <n v="43.183333333348855"/>
    <n v="12"/>
    <n v="31.183333333348855"/>
    <n v="4.9257081774427647"/>
    <m/>
    <m/>
    <m/>
    <m/>
    <m/>
  </r>
  <r>
    <d v="2025-05-14T00:00:00"/>
    <x v="4"/>
    <s v="NBL"/>
    <s v="OMU7WX1RR"/>
    <m/>
    <s v="GODWIN  NIWENSIIMA"/>
    <s v="UAR 731Q"/>
    <s v="Kabaco U Ltd-Mbarara Tax No.: 1000025425"/>
    <n v="153.6"/>
    <s v="OMU7WX1RR"/>
    <s v="OM"/>
    <n v="20"/>
    <n v="19"/>
    <n v="-1"/>
    <m/>
    <d v="2025-05-14T17:59:00"/>
    <d v="2025-05-14T07:42:00"/>
    <d v="2025-05-14T18:52:00"/>
    <m/>
    <n v="52.75462963472819"/>
    <x v="9"/>
    <d v="2025-05-14T19:32:00"/>
    <d v="2025-05-15T09:00:00"/>
    <n v="791.16666667054233"/>
    <s v="Waited for empties from trade"/>
    <d v="2025-05-15T10:42:00"/>
    <d v="2025-05-15T11:24:00"/>
    <n v="41.12500000068394"/>
    <x v="0"/>
    <n v="0.65972222221898846"/>
    <n v="1"/>
    <n v="0.34027777778101154"/>
    <n v="15.833333333255723"/>
    <n v="0"/>
    <n v="15.833333333255723"/>
    <n v="9.7010526316264993"/>
    <m/>
    <m/>
    <m/>
    <m/>
    <m/>
  </r>
  <r>
    <d v="2025-05-14T00:00:00"/>
    <x v="4"/>
    <s v="NBL"/>
    <s v="OMBED62RR"/>
    <m/>
    <s v="Kabene John"/>
    <s v="UBA 523T"/>
    <s v="KATO INVESTMENTS LIMITED-MASAK Tax No.: 1000098824"/>
    <n v="153.6"/>
    <s v="OMBED62RR"/>
    <s v="OM"/>
    <n v="596"/>
    <n v="594"/>
    <n v="-2"/>
    <m/>
    <d v="2025-05-14T13:06:00"/>
    <d v="2025-05-14T04:14:00"/>
    <d v="2025-05-14T13:33:00"/>
    <m/>
    <n v="26.87500000417155"/>
    <x v="0"/>
    <d v="2025-05-14T17:52:00"/>
    <d v="2025-05-15T11:24:00"/>
    <n v="1030.0833333362971"/>
    <s v="Waited for empties from trade"/>
    <d v="2025-05-15T15:45:00"/>
    <d v="2025-05-15T16:42:00"/>
    <n v="55.81249999726424"/>
    <x v="5"/>
    <n v="1.0916666666671517"/>
    <n v="2"/>
    <n v="0.90833333333284827"/>
    <n v="26.200000000011642"/>
    <n v="12"/>
    <n v="14.200000000011642"/>
    <n v="10.816901408441836"/>
    <m/>
    <m/>
    <m/>
    <m/>
    <m/>
  </r>
  <r>
    <d v="2025-05-14T00:00:00"/>
    <x v="4"/>
    <s v="KESH"/>
    <s v="OMC1CSKRR"/>
    <s v="DJ"/>
    <s v="Tumwine Jimmy"/>
    <s v="UBR 863Y"/>
    <s v="Kato Investment Ltd -Mityana Tax No.: 1000098824"/>
    <n v="156"/>
    <s v="OMC1CSKRR"/>
    <s v="OM"/>
    <n v="690"/>
    <n v="688"/>
    <n v="-2"/>
    <m/>
    <d v="2025-05-13T19:13:00"/>
    <d v="2025-05-13T20:00:00"/>
    <d v="2025-05-13T19:40:00"/>
    <n v="-19.907407409724936"/>
    <n v="26.87500000417155"/>
    <x v="0"/>
    <d v="2025-05-15T08:34:00"/>
    <d v="2025-05-15T11:04:00"/>
    <n v="146.8749999965803"/>
    <m/>
    <d v="2025-05-15T18:41:00"/>
    <d v="2025-05-15T19:31:00"/>
    <n v="48.958333328773733"/>
    <x v="7"/>
    <n v="1.9590277777751908"/>
    <n v="3"/>
    <n v="1.0409722222248092"/>
    <n v="47.016666666604578"/>
    <n v="12"/>
    <n v="35.016666666604578"/>
    <n v="4.4550214183801033"/>
    <m/>
    <m/>
    <m/>
    <m/>
    <m/>
  </r>
  <r>
    <d v="2025-05-14T00:00:00"/>
    <x v="4"/>
    <s v="KESH"/>
    <s v="OMFHEHIRR"/>
    <s v="DJ"/>
    <s v="KAJUBI ISMA"/>
    <s v="UBR 538W"/>
    <s v="Boniface Harera Tax No.: 1000317747"/>
    <n v="156"/>
    <s v="OMFHEHIRR"/>
    <s v="OM"/>
    <n v="448"/>
    <n v="446"/>
    <n v="-2"/>
    <m/>
    <d v="2025-05-13T21:50:00"/>
    <d v="2025-05-14T01:30:00"/>
    <d v="2025-05-13T22:17:00"/>
    <n v="-192.106481481945"/>
    <n v="26.87500000417155"/>
    <x v="0"/>
    <d v="2025-05-15T15:02:00"/>
    <d v="2025-05-15T17:05:00"/>
    <n v="120.43750000273576"/>
    <m/>
    <d v="2025-05-16T11:35:00"/>
    <d v="2025-05-16T12:17:00"/>
    <n v="41.12500000068394"/>
    <x v="0"/>
    <n v="2.5541666666686069"/>
    <n v="2"/>
    <n v="-0.55416666666860692"/>
    <n v="61.300000000046566"/>
    <n v="24"/>
    <n v="37.300000000046566"/>
    <n v="4.1823056300215882"/>
    <m/>
    <m/>
    <m/>
    <m/>
    <m/>
  </r>
  <r>
    <d v="2025-05-14T00:00:00"/>
    <x v="4"/>
    <s v="KESH"/>
    <s v="OM8KXCGRR"/>
    <s v="DJ"/>
    <s v="ZIWA ABASI"/>
    <s v="UBJ 420C"/>
    <s v="Boniface Harera Tax No.: 1000317747"/>
    <n v="156"/>
    <s v="OM8KXCGRR"/>
    <s v="OM"/>
    <n v="448"/>
    <n v="446"/>
    <n v="-2"/>
    <m/>
    <d v="2025-05-13T19:30:00"/>
    <d v="2025-05-14T01:30:00"/>
    <d v="2025-05-13T19:58:00"/>
    <n v="-330.46296296597575"/>
    <n v="27.870370367357584"/>
    <x v="0"/>
    <d v="2025-05-14T16:47:00"/>
    <d v="2025-05-15T17:23:00"/>
    <n v="1445.2500000020518"/>
    <s v="Reached late and offloaded the next day"/>
    <d v="2025-05-16T15:21:00"/>
    <d v="2025-05-16T16:00:00"/>
    <n v="38.18750000136788"/>
    <x v="0"/>
    <n v="2.8076388888875954"/>
    <n v="2"/>
    <n v="-0.80763888888759539"/>
    <n v="67.383333333302289"/>
    <n v="24"/>
    <n v="43.383333333302289"/>
    <n v="3.5958509412242403"/>
    <m/>
    <m/>
    <m/>
    <m/>
    <m/>
  </r>
  <r>
    <d v="2025-05-14T00:00:00"/>
    <x v="4"/>
    <s v="KESH"/>
    <s v="OM74XLZRR"/>
    <s v="DJ"/>
    <s v="MBOGO BASHIR"/>
    <s v="UBR 903Y"/>
    <s v="Kobusinge Steven-FPortal Tax No.: 1000977837"/>
    <n v="156"/>
    <s v="OM74XLZRR"/>
    <s v="OM"/>
    <n v="304"/>
    <n v="303"/>
    <n v="-1"/>
    <m/>
    <d v="2025-05-13T12:48:00"/>
    <d v="2025-05-13T20:25:00"/>
    <d v="2025-05-13T13:15:00"/>
    <n v="-428.00925925694173"/>
    <n v="26.87500000417155"/>
    <x v="0"/>
    <d v="2025-05-14T08:33:00"/>
    <d v="2025-05-14T18:09:00"/>
    <n v="564.00000000205182"/>
    <s v="less casuals and offloaded the next day"/>
    <d v="2025-05-15T08:33:00"/>
    <d v="2025-05-15T09:09:00"/>
    <n v="35.25000000205182"/>
    <x v="0"/>
    <n v="1.804166666661331"/>
    <n v="2"/>
    <n v="0.19583333333866904"/>
    <n v="43.299999999871943"/>
    <n v="12"/>
    <n v="31.299999999871943"/>
    <n v="4.984025559125822"/>
    <m/>
    <m/>
    <m/>
    <m/>
    <m/>
  </r>
  <r>
    <d v="2025-05-14T00:00:00"/>
    <x v="4"/>
    <s v="NBL"/>
    <s v="OMQWDXKRR"/>
    <m/>
    <s v="Kilabila Ismail"/>
    <s v="UBE 419T"/>
    <s v="KATO INVESTMENTS LIMITED-MASAK Tax No.: 1000098824"/>
    <n v="153.6"/>
    <s v="OMQWDXKRR"/>
    <s v="OM"/>
    <n v="596"/>
    <n v="594"/>
    <n v="-2"/>
    <m/>
    <d v="2025-05-13T19:48:00"/>
    <d v="2025-05-14T04:14:00"/>
    <d v="2025-05-13T20:15:00"/>
    <m/>
    <n v="26.87500000417155"/>
    <x v="0"/>
    <d v="2025-05-14T10:02:00"/>
    <d v="2025-05-14T14:36:00"/>
    <n v="268.29166665891535"/>
    <s v="found another truck to be offloaded"/>
    <d v="2025-05-14T17:33:00"/>
    <d v="2025-05-14T18:15:00"/>
    <n v="41.12500000068394"/>
    <x v="0"/>
    <n v="0.88749999999708962"/>
    <n v="2"/>
    <n v="1.1125000000029104"/>
    <n v="21.299999999930151"/>
    <n v="0"/>
    <n v="21.299999999930151"/>
    <n v="7.2112676056574507"/>
    <m/>
    <m/>
    <m/>
    <m/>
    <m/>
  </r>
  <r>
    <d v="2025-05-14T00:00:00"/>
    <x v="4"/>
    <s v="NBL"/>
    <s v="OM2BWH3RR"/>
    <m/>
    <s v="ANGELO KYOSIGA "/>
    <s v="UAV 051U"/>
    <s v="Kabaco U Ltd-Mbarara Tax No.: 1000025425"/>
    <n v="153.6"/>
    <s v="OM2BWH3RR"/>
    <s v="OM"/>
    <n v="20"/>
    <n v="18"/>
    <n v="-2"/>
    <m/>
    <d v="2025-05-13T20:17:00"/>
    <d v="2025-05-14T07:42:00"/>
    <d v="2025-05-13T20:45:00"/>
    <m/>
    <n v="27.870370367357584"/>
    <x v="0"/>
    <d v="2025-05-13T21:28:00"/>
    <d v="2025-05-14T10:50:00"/>
    <n v="785.29166667191021"/>
    <s v="space consquents"/>
    <d v="2025-05-14T11:28:00"/>
    <d v="2025-05-14T12:10:00"/>
    <n v="41.12500000068394"/>
    <x v="0"/>
    <n v="0.6131944444423425"/>
    <n v="1"/>
    <n v="0.3868055555576575"/>
    <n v="14.71666666661622"/>
    <n v="0"/>
    <n v="14.71666666661622"/>
    <n v="10.437146092901008"/>
    <m/>
    <m/>
    <m/>
    <m/>
    <m/>
  </r>
  <r>
    <d v="2025-05-15T00:00:00"/>
    <x v="4"/>
    <s v="NBL"/>
    <s v="OM2EZZ9RR"/>
    <m/>
    <s v="Kilabila Ismail"/>
    <s v="UBE 419T"/>
    <s v="KATO INVESTMENTS LIMITED-MASAK Tax No.: 1000098824"/>
    <n v="153.6"/>
    <s v="OM2EZZ9RR"/>
    <s v="OM"/>
    <n v="596"/>
    <n v="594"/>
    <n v="-2"/>
    <m/>
    <d v="2025-05-16T08:46:00"/>
    <d v="2025-05-15T06:15:00"/>
    <d v="2025-05-16T09:14:00"/>
    <m/>
    <n v="27.870370367357584"/>
    <x v="0"/>
    <d v="2025-05-16T11:07:00"/>
    <d v="2025-05-16T17:07:00"/>
    <n v="352.5"/>
    <s v="found another truck to be offloaded"/>
    <d v="2025-05-16T18:44:00"/>
    <d v="2025-05-16T19:28:00"/>
    <n v="43.083333330141613"/>
    <x v="0"/>
    <n v="0.39583333332848269"/>
    <n v="2"/>
    <n v="1.6041666666715173"/>
    <n v="9.4999999998835847"/>
    <n v="0"/>
    <n v="9.4999999998835847"/>
    <n v="16.168421052829711"/>
    <m/>
    <m/>
    <m/>
    <m/>
    <m/>
  </r>
  <r>
    <d v="2025-05-15T00:00:00"/>
    <x v="4"/>
    <s v="KESH"/>
    <s v="OM93QDIRR"/>
    <s v="DJ"/>
    <s v="ALLEX TAIMWA"/>
    <s v="UBJ 705D"/>
    <s v="Bates Enterprises U Ltd Tax No.: 1001193253"/>
    <n v="156"/>
    <s v="OM93QDIRR"/>
    <s v="OM"/>
    <n v="524"/>
    <n v="523"/>
    <n v="-1"/>
    <m/>
    <d v="2025-05-15T17:48:00"/>
    <d v="2025-05-14T18:00:00"/>
    <d v="2025-05-15T18:38:00"/>
    <n v="1471.1574074055534"/>
    <n v="49.768518513883464"/>
    <x v="12"/>
    <d v="2025-05-16T21:50:00"/>
    <d v="2025-05-17T20:28:00"/>
    <n v="1329.7083333383489"/>
    <s v="truck faulty"/>
    <d v="2025-05-18T09:35:00"/>
    <d v="2025-05-18T10:26:00"/>
    <n v="49.93749999863212"/>
    <x v="11"/>
    <n v="2.6229166666671517"/>
    <n v="3"/>
    <n v="0.37708333333284827"/>
    <n v="62.950000000011642"/>
    <n v="24"/>
    <n v="38.950000000011642"/>
    <n v="4.0051347881887898"/>
    <m/>
    <m/>
    <m/>
    <m/>
    <m/>
  </r>
  <r>
    <d v="2025-05-15T00:00:00"/>
    <x v="4"/>
    <s v="KESH"/>
    <s v="OMFVD0HRR"/>
    <s v="DJ"/>
    <s v="MBOGO BASHIR"/>
    <s v="UBR 903Y"/>
    <s v="Kato Investments Ltd- Kyegegwa Tax No.: 1000098824"/>
    <n v="156"/>
    <s v="OMFVD0HRR"/>
    <s v="OM"/>
    <n v="600"/>
    <n v="597"/>
    <n v="-3"/>
    <m/>
    <d v="2025-05-15T17:25:00"/>
    <d v="2025-05-14T21:30:00"/>
    <d v="2025-05-15T17:52:00"/>
    <n v="1216.3425925840177"/>
    <n v="26.87500000417155"/>
    <x v="0"/>
    <d v="2025-05-17T10:34:00"/>
    <d v="2025-05-17T13:22:00"/>
    <n v="164.49999999247666"/>
    <m/>
    <d v="2025-05-18T12:43:00"/>
    <d v="2025-05-18T13:22:00"/>
    <n v="38.18750000136788"/>
    <x v="0"/>
    <n v="2.7854166666729725"/>
    <n v="2"/>
    <n v="-0.7854166666729725"/>
    <n v="66.85000000015134"/>
    <n v="24"/>
    <n v="42.85000000015134"/>
    <n v="3.6406067677817742"/>
    <m/>
    <m/>
    <m/>
    <m/>
    <m/>
  </r>
  <r>
    <d v="2025-05-15T00:00:00"/>
    <x v="4"/>
    <s v="NBL"/>
    <s v="OM96Q3HRR"/>
    <m/>
    <s v="Stephen Musoke "/>
    <s v="UBJ 375N"/>
    <s v="Kato Investments Ltd-Bulenga Tax No.: 1000098824"/>
    <n v="153.6"/>
    <s v="OM96Q3HRR"/>
    <s v="OM"/>
    <n v="514"/>
    <n v="512"/>
    <n v="-2"/>
    <m/>
    <d v="2025-05-16T13:38:00"/>
    <d v="2025-05-15T20:13:00"/>
    <d v="2025-05-16T14:06:00"/>
    <m/>
    <n v="27.870370367357584"/>
    <x v="0"/>
    <d v="2025-05-17T11:07:00"/>
    <d v="2025-05-17T16:51:00"/>
    <n v="336.83333333356131"/>
    <s v="Waited for empties from trade"/>
    <d v="2025-05-19T19:32:00"/>
    <d v="2025-05-19T20:14:00"/>
    <n v="41.12500000068394"/>
    <x v="0"/>
    <n v="3.226388888884685"/>
    <n v="3"/>
    <n v="-0.226388888884685"/>
    <n v="77.43333333323244"/>
    <n v="36"/>
    <n v="41.43333333323244"/>
    <n v="3.7071600965496545"/>
    <m/>
    <m/>
    <m/>
    <m/>
    <m/>
  </r>
  <r>
    <d v="2025-05-15T00:00:00"/>
    <x v="4"/>
    <s v="NBL"/>
    <s v="OMLQIVZRR"/>
    <m/>
    <s v="Stephen Musoke "/>
    <s v="UBJ 375N"/>
    <s v="Kabaco U Ltd-Mbarara Tax No.: 1000025425"/>
    <n v="153.6"/>
    <s v="OMLQIVZRR"/>
    <s v="OM"/>
    <n v="20"/>
    <n v="18"/>
    <n v="-2"/>
    <m/>
    <d v="2025-05-15T16:34:00"/>
    <d v="2025-05-15T07:42:00"/>
    <d v="2025-05-15T17:02:00"/>
    <m/>
    <n v="27.870370367357584"/>
    <x v="0"/>
    <d v="2025-05-15T17:42:00"/>
    <d v="2025-05-16T09:31:00"/>
    <n v="929.22916665891535"/>
    <s v="found another truck to be offloaded"/>
    <d v="2025-05-16T10:06:00"/>
    <d v="2025-05-16T10:45:00"/>
    <n v="38.18750000136788"/>
    <x v="0"/>
    <n v="0.71111111110803904"/>
    <n v="1"/>
    <n v="0.28888888889196096"/>
    <n v="17.066666666592937"/>
    <n v="0"/>
    <n v="17.066666666592937"/>
    <n v="9.0000000000388809"/>
    <m/>
    <m/>
    <m/>
    <m/>
    <m/>
  </r>
  <r>
    <d v="2025-05-15T00:00:00"/>
    <x v="4"/>
    <s v="NBL"/>
    <s v="OMEOH0SRR"/>
    <m/>
    <s v="ANGELO KYOSIGA "/>
    <s v="UAV 051U"/>
    <s v="RUGOMA TRADERS CO. LTD NTUNGAM Tax No.: 1000249350"/>
    <n v="153.6"/>
    <s v="OMEOH0SRR"/>
    <s v="OM"/>
    <n v="150"/>
    <n v="148"/>
    <n v="-2"/>
    <m/>
    <d v="2025-05-15T14:23:00"/>
    <d v="2025-05-15T06:15:00"/>
    <d v="2025-05-15T15:01:00"/>
    <m/>
    <n v="37.82407407222005"/>
    <x v="11"/>
    <d v="2025-05-15T17:45:00"/>
    <d v="2025-05-16T12:52:00"/>
    <n v="1123.1041666650708"/>
    <s v="Waited for empties from trade"/>
    <d v="2025-05-16T16:07:00"/>
    <d v="2025-05-16T16:49:00"/>
    <n v="41.12500000068394"/>
    <x v="0"/>
    <n v="1.0458333333299379"/>
    <n v="1"/>
    <n v="-4.5833333329937886E-2"/>
    <n v="25.099999999918509"/>
    <n v="12"/>
    <n v="13.099999999918509"/>
    <n v="11.725190839767594"/>
    <m/>
    <m/>
    <m/>
    <m/>
    <m/>
  </r>
  <r>
    <d v="2025-05-15T00:00:00"/>
    <x v="4"/>
    <s v="NBL"/>
    <s v="OMWR0ITRR"/>
    <m/>
    <s v="Tumusiime Robert"/>
    <s v="UBJ 988D"/>
    <s v="Rugoma Traders-Kanungu/Kihihi Tax No.: 1000249350"/>
    <n v="153.6"/>
    <s v="OMWR0ITRR"/>
    <s v="OM"/>
    <n v="272"/>
    <n v="271"/>
    <n v="-1"/>
    <m/>
    <d v="2025-05-15T08:14:00"/>
    <d v="2025-05-15T01:59:00"/>
    <d v="2025-05-15T08:52:00"/>
    <m/>
    <n v="37.82407407222005"/>
    <x v="10"/>
    <d v="2025-05-15T17:39:00"/>
    <d v="2025-05-16T13:48:00"/>
    <n v="1183.8124999911088"/>
    <s v="space consquents"/>
    <d v="2025-05-17T08:31:00"/>
    <d v="2025-05-17T09:10:00"/>
    <n v="38.18750000136788"/>
    <x v="0"/>
    <n v="1.9854166666700621"/>
    <n v="2"/>
    <n v="1.4583333329937886E-2"/>
    <n v="47.650000000081491"/>
    <n v="12"/>
    <n v="35.650000000081491"/>
    <n v="4.308555399709646"/>
    <m/>
    <m/>
    <m/>
    <m/>
    <m/>
  </r>
  <r>
    <d v="2025-05-15T00:00:00"/>
    <x v="4"/>
    <s v="NBL"/>
    <s v="OMUIJZ7RR"/>
    <m/>
    <s v="GODWIN  NIWENSIIMA"/>
    <s v="UAR 731Q"/>
    <s v="Kabaco U Ltd-Mbarara Tax No.: 1000025425"/>
    <n v="153.6"/>
    <s v="OMUIJZ7RR"/>
    <s v="OM"/>
    <n v="20"/>
    <n v="18"/>
    <n v="-2"/>
    <m/>
    <d v="2025-05-15T13:30:00"/>
    <d v="2025-05-15T07:42:00"/>
    <d v="2025-05-15T13:57:00"/>
    <m/>
    <n v="26.87500000417155"/>
    <x v="0"/>
    <d v="2025-05-15T19:01:00"/>
    <d v="2025-05-16T13:18:00"/>
    <n v="1074.1458333362971"/>
    <s v="Waited for empties from trade"/>
    <d v="2025-05-16T19:18:00"/>
    <d v="2025-05-16T20:02:00"/>
    <n v="43.083333330141613"/>
    <x v="0"/>
    <n v="1.2229166666656965"/>
    <n v="1"/>
    <n v="-0.22291666666569654"/>
    <n v="29.349999999976717"/>
    <n v="12"/>
    <n v="17.349999999976717"/>
    <n v="8.8530259366113029"/>
    <m/>
    <m/>
    <m/>
    <m/>
    <m/>
  </r>
  <r>
    <d v="2025-05-15T00:00:00"/>
    <x v="4"/>
    <s v="KESH"/>
    <s v="OMA8D6BRR"/>
    <s v="DJ"/>
    <s v="ABDUL NASSER NTENDE"/>
    <s v="UBR 900Y"/>
    <s v="Kabaco U Ltd Tax No.: 1000025425"/>
    <n v="156"/>
    <s v="OMA8D6BRR"/>
    <s v="OM"/>
    <n v="304"/>
    <n v="302"/>
    <n v="-2"/>
    <m/>
    <d v="2025-05-15T06:49:00"/>
    <d v="2025-05-15T02:22:00"/>
    <d v="2025-05-15T07:12:00"/>
    <n v="288.65740740972495"/>
    <n v="22.893518520140788"/>
    <x v="0"/>
    <d v="2025-05-15T18:05:00"/>
    <d v="2025-05-15T20:19:00"/>
    <n v="131.20833334040071"/>
    <m/>
    <d v="2025-05-16T06:56:00"/>
    <d v="2025-05-16T07:46:00"/>
    <n v="48.958333328773733"/>
    <x v="4"/>
    <n v="0.98888888888905058"/>
    <n v="2"/>
    <n v="1.0111111111109494"/>
    <n v="23.733333333337214"/>
    <n v="0"/>
    <n v="23.733333333337214"/>
    <n v="6.5730337078640941"/>
    <m/>
    <m/>
    <m/>
    <m/>
    <m/>
  </r>
  <r>
    <d v="2025-05-15T00:00:00"/>
    <x v="4"/>
    <s v="NBL"/>
    <s v="OMA9X0ERR"/>
    <m/>
    <s v="Jacob Oneka"/>
    <s v="UBE 422T"/>
    <s v="RUGOMA TRADERS CO. LTD NTUNGAM Tax No.: 1000249350"/>
    <n v="153.6"/>
    <s v="OMA9X0ERR"/>
    <s v="OM"/>
    <n v="150"/>
    <n v="148"/>
    <n v="-2"/>
    <m/>
    <d v="2025-05-15T08:52:00"/>
    <d v="2025-05-15T06:15:00"/>
    <d v="2025-05-15T09:30:00"/>
    <m/>
    <n v="37.82407407222005"/>
    <x v="9"/>
    <d v="2025-05-15T11:39:00"/>
    <d v="2025-05-15T17:16:00"/>
    <n v="329.97916666507081"/>
    <s v="space consquents"/>
    <d v="2025-05-16T10:42:00"/>
    <d v="2025-05-16T11:24:00"/>
    <n v="41.12500000068394"/>
    <x v="0"/>
    <n v="1.0499999999956344"/>
    <n v="1"/>
    <n v="-4.9999999995634425E-2"/>
    <n v="25.199999999895226"/>
    <n v="12"/>
    <n v="13.199999999895226"/>
    <n v="11.636363636455998"/>
    <m/>
    <m/>
    <m/>
    <m/>
    <m/>
  </r>
  <r>
    <d v="2025-05-15T00:00:00"/>
    <x v="4"/>
    <s v="KESH"/>
    <s v="OM9EVL6RR"/>
    <s v="DJ"/>
    <s v="OLOWO JOHNWHITE"/>
    <s v="UBK 862R"/>
    <s v="Kato Investment Ltd -Mubende Tax No.: 1000098824"/>
    <n v="156"/>
    <s v="OM9EVL6RR"/>
    <s v="OM"/>
    <n v="680"/>
    <n v="677"/>
    <n v="-3"/>
    <m/>
    <d v="2025-05-14T22:19:00"/>
    <d v="2025-05-14T21:00:00"/>
    <d v="2025-05-14T22:42:00"/>
    <n v="101.52777777499675"/>
    <n v="22.893518520140788"/>
    <x v="0"/>
    <d v="2025-05-16T09:10:00"/>
    <d v="2025-05-16T17:33:00"/>
    <n v="492.52083332808979"/>
    <s v="Waited for empties from trade"/>
    <d v="2025-05-17T10:48:00"/>
    <d v="2025-05-17T11:37:00"/>
    <n v="47.979166669174447"/>
    <x v="13"/>
    <n v="2.5041666666656965"/>
    <n v="3"/>
    <n v="0.49583333333430346"/>
    <n v="60.099999999976717"/>
    <n v="24"/>
    <n v="36.099999999976717"/>
    <n v="4.3213296398919834"/>
    <m/>
    <m/>
    <m/>
    <m/>
    <m/>
  </r>
  <r>
    <d v="2025-05-15T00:00:00"/>
    <x v="4"/>
    <s v="KESH"/>
    <s v="OM00YLBRR"/>
    <s v="DJ"/>
    <s v="IKWALIKWA YUSUF"/>
    <s v="UBP 311H"/>
    <s v="Kobusinge Steven-FPortal Tax No.: 1000977837"/>
    <n v="156"/>
    <s v="OM00YLBRR"/>
    <s v="OM"/>
    <n v="304"/>
    <n v="302"/>
    <n v="-2"/>
    <m/>
    <d v="2025-05-14T20:05:00"/>
    <d v="2025-05-14T20:25:00"/>
    <d v="2025-05-14T20:43:00"/>
    <n v="17.916666662495118"/>
    <n v="37.82407407222005"/>
    <x v="2"/>
    <d v="2025-05-16T06:55:00"/>
    <d v="2025-05-16T11:54:00"/>
    <n v="292.77083333356131"/>
    <s v="found another truck to be offloaded"/>
    <m/>
    <d v="1899-12-30T00:44:00"/>
    <n v="43.083333333333336"/>
    <x v="0"/>
    <n v="-45791.863194444442"/>
    <n v="2"/>
    <n v="45793.863194444442"/>
    <n v="-1099004.7166666666"/>
    <n v="-549504"/>
    <n v="-549500.71666666656"/>
    <n v="-2.8389407924035774E-4"/>
    <m/>
    <m/>
    <m/>
    <m/>
    <m/>
  </r>
  <r>
    <d v="2025-05-15T00:00:00"/>
    <x v="4"/>
    <s v="KESH"/>
    <s v="OMZCAE3RR"/>
    <s v="DJ"/>
    <s v="KYAPA AKIMU"/>
    <s v="UBR 899Y"/>
    <s v="Kato Investment Ltd -Mubende Tax No.: 1000098824"/>
    <n v="156"/>
    <s v="OMZCAE3RR"/>
    <s v="OM"/>
    <n v="680"/>
    <n v="678"/>
    <n v="-2"/>
    <m/>
    <d v="2025-05-14T19:11:00"/>
    <d v="2025-05-14T19:37:00"/>
    <d v="2025-05-14T19:38:00"/>
    <n v="0.99537037361490854"/>
    <n v="26.87500000417155"/>
    <x v="0"/>
    <d v="2025-05-16T12:29:00"/>
    <d v="2025-05-16T14:39:00"/>
    <n v="127.29166667122627"/>
    <s v="Waited for empties from trade"/>
    <d v="2025-05-17T07:23:00"/>
    <d v="2025-05-17T08:07:00"/>
    <n v="43.083333330141613"/>
    <x v="0"/>
    <n v="2.4895833333284827"/>
    <n v="3"/>
    <n v="0.51041666667151731"/>
    <n v="59.749999999883585"/>
    <n v="24"/>
    <n v="35.749999999883585"/>
    <n v="4.3636363636505733"/>
    <m/>
    <m/>
    <m/>
    <m/>
    <m/>
  </r>
  <r>
    <d v="2025-05-15T00:00:00"/>
    <x v="4"/>
    <s v="KESH"/>
    <s v="OMONQB9RR"/>
    <s v="DJ"/>
    <s v="MUKOSE MUZAMIRU"/>
    <s v="UBJ 417C"/>
    <s v="Sawan Distributors Ltd-Nabingo Tax No.: 1000186379"/>
    <n v="156"/>
    <s v="OMONQB9RR"/>
    <s v="OM"/>
    <n v="560"/>
    <n v="558"/>
    <n v="-2"/>
    <m/>
    <d v="2025-05-14T20:39:00"/>
    <d v="2025-05-15T02:30:00"/>
    <d v="2025-05-14T21:02:00"/>
    <n v="-326.48148148194497"/>
    <n v="22.893518520140788"/>
    <x v="0"/>
    <d v="2025-05-15T11:42:00"/>
    <d v="2025-05-15T15:33:00"/>
    <n v="226.18749999863212"/>
    <s v="space consquents"/>
    <d v="2025-05-17T08:30:00"/>
    <d v="2025-05-17T09:12:00"/>
    <n v="41.12500000068394"/>
    <x v="0"/>
    <n v="2.4777777777781012"/>
    <n v="2"/>
    <n v="-0.47777777777810115"/>
    <n v="59.466666666674428"/>
    <n v="24"/>
    <n v="35.466666666674428"/>
    <n v="4.398496240600541"/>
    <m/>
    <m/>
    <m/>
    <m/>
    <m/>
  </r>
  <r>
    <d v="2025-05-15T00:00:00"/>
    <x v="4"/>
    <s v="KESH"/>
    <s v="OM9XNCRRR"/>
    <s v="DJ"/>
    <s v="FARUK   ABEL"/>
    <s v="UBR 539W"/>
    <s v="Rugoma Traders-Rukungiri Tax No.: 1000249350"/>
    <n v="156"/>
    <s v="OM9XNCRRR"/>
    <s v="OM"/>
    <n v="256"/>
    <n v="253"/>
    <n v="-3"/>
    <m/>
    <d v="2025-05-14T20:20:00"/>
    <d v="2025-05-15T04:04:00"/>
    <d v="2025-05-14T20:48:00"/>
    <n v="-433.98148147777346"/>
    <n v="27.870370367357584"/>
    <x v="0"/>
    <d v="2025-05-15T16:59:00"/>
    <d v="2025-05-15T19:03:00"/>
    <n v="121.41666666233505"/>
    <m/>
    <d v="2025-05-16T06:53:00"/>
    <d v="2025-05-16T07:43:00"/>
    <n v="48.958333328773733"/>
    <x v="11"/>
    <n v="1.4201388888905058"/>
    <n v="2"/>
    <n v="0.57986111110949423"/>
    <n v="34.083333333372138"/>
    <n v="12"/>
    <n v="22.083333333372138"/>
    <n v="7.0641509433838134"/>
    <m/>
    <m/>
    <m/>
    <m/>
    <m/>
  </r>
  <r>
    <d v="2025-05-15T00:00:00"/>
    <x v="4"/>
    <s v="KESH"/>
    <s v="OMABYEMRR"/>
    <s v="DJ"/>
    <s v="Hassan Byashara"/>
    <s v="UBP 312H"/>
    <s v="Kabaco U Ltd Tax No.: 1000025425"/>
    <n v="156"/>
    <s v="OMABYEMRR"/>
    <s v="OM"/>
    <n v="304"/>
    <n v="302"/>
    <n v="-2"/>
    <m/>
    <d v="2025-05-14T17:18:00"/>
    <d v="2025-05-15T02:22:00"/>
    <d v="2025-05-14T17:41:00"/>
    <n v="-518.58796296388994"/>
    <n v="22.893518520140788"/>
    <x v="0"/>
    <d v="2025-05-14T22:06:00"/>
    <d v="2025-05-15T13:42:00"/>
    <n v="916.50000000205182"/>
    <s v="Waited for empties from trade"/>
    <d v="2025-05-15T17:14:00"/>
    <d v="2025-05-15T17:58:00"/>
    <n v="43.083333330141613"/>
    <x v="0"/>
    <n v="0.98124999999708962"/>
    <n v="2"/>
    <n v="1.0187500000029104"/>
    <n v="23.549999999930151"/>
    <n v="0"/>
    <n v="23.549999999930151"/>
    <n v="6.6242038216756987"/>
    <m/>
    <m/>
    <m/>
    <m/>
    <m/>
  </r>
  <r>
    <d v="2025-05-15T00:00:00"/>
    <x v="4"/>
    <s v="NBL"/>
    <s v="OM6AL80RR"/>
    <m/>
    <s v="Luyaga Isaac"/>
    <s v="UAY 265V"/>
    <s v="KATO INVESTMENTS LTD- KALISIZO Tax No.: 1000098824"/>
    <n v="153.6"/>
    <s v="OM6AL80RR"/>
    <s v="OM"/>
    <n v="288"/>
    <n v="286"/>
    <n v="-2"/>
    <m/>
    <d v="2025-05-14T17:19:00"/>
    <d v="2025-05-15T03:43:00"/>
    <d v="2025-05-14T17:46:00"/>
    <m/>
    <n v="26.87500000417155"/>
    <x v="0"/>
    <d v="2025-05-15T10:23:00"/>
    <d v="2025-05-15T16:08:00"/>
    <n v="337.8125000034197"/>
    <s v="Waited for empties from trade"/>
    <d v="2025-05-16T17:52:00"/>
    <d v="2025-05-16T18:34:00"/>
    <n v="41.12500000068394"/>
    <x v="0"/>
    <n v="2.0041666666656965"/>
    <n v="2"/>
    <n v="-4.166666665696539E-3"/>
    <n v="48.099999999976717"/>
    <n v="24"/>
    <n v="24.099999999976717"/>
    <n v="6.3734439834086469"/>
    <m/>
    <m/>
    <m/>
    <m/>
    <m/>
  </r>
  <r>
    <d v="2025-05-15T00:00:00"/>
    <x v="4"/>
    <s v="NBL"/>
    <s v="OM1NHHPRR"/>
    <m/>
    <s v="James  Kironde"/>
    <s v="UBK 881R"/>
    <s v="KATO INVESTMENTS LTD- KALISIZO Tax No.: 1000098824"/>
    <n v="153.6"/>
    <s v="OM1NHHPRR"/>
    <s v="OM"/>
    <n v="288"/>
    <n v="286"/>
    <n v="-2"/>
    <m/>
    <d v="2025-05-14T17:09:00"/>
    <d v="2025-05-15T03:43:00"/>
    <d v="2025-05-14T17:36:00"/>
    <m/>
    <n v="26.87500000417155"/>
    <x v="0"/>
    <d v="2025-05-15T12:21:00"/>
    <d v="2025-05-16T07:48:00"/>
    <n v="1142.6875000006839"/>
    <s v="space consquents"/>
    <d v="2025-05-16T13:25:00"/>
    <d v="2025-05-16T14:04:00"/>
    <n v="38.18750000136788"/>
    <x v="0"/>
    <n v="1.8256944444510737"/>
    <n v="2"/>
    <n v="0.17430555554892635"/>
    <n v="43.816666666825768"/>
    <n v="12"/>
    <n v="31.816666666825768"/>
    <n v="4.8276584599025218"/>
    <m/>
    <m/>
    <m/>
    <m/>
    <m/>
  </r>
  <r>
    <d v="2025-05-15T00:00:00"/>
    <x v="4"/>
    <s v="KESH"/>
    <s v="OMBWHMKRR"/>
    <s v="DJ"/>
    <s v="RONALD KABANDA "/>
    <s v="UBE 684K"/>
    <s v="Kobusinge Steven-Kamwenge Tax No.: 1000977837"/>
    <n v="156"/>
    <s v="OMBWHMKRR"/>
    <s v="OM"/>
    <n v="228"/>
    <n v="225"/>
    <n v="-3"/>
    <m/>
    <d v="2025-05-14T12:48:00"/>
    <d v="2025-05-15T03:17:00"/>
    <d v="2025-05-14T13:41:00"/>
    <n v="-812.22222222083167"/>
    <n v="52.75462963472819"/>
    <x v="11"/>
    <d v="2025-05-15T08:24:00"/>
    <d v="2025-05-15T10:59:00"/>
    <n v="151.77083333561313"/>
    <m/>
    <m/>
    <d v="1899-12-30T00:44:00"/>
    <n v="43.083333333333336"/>
    <x v="0"/>
    <n v="-45791.570138888892"/>
    <n v="2"/>
    <n v="45793.570138888892"/>
    <n v="-1098997.6833333333"/>
    <n v="-549504"/>
    <n v="-549493.68333333335"/>
    <n v="-2.8389771298857212E-4"/>
    <m/>
    <m/>
    <m/>
    <m/>
    <m/>
  </r>
  <r>
    <d v="2025-05-16T00:00:00"/>
    <x v="4"/>
    <s v="NBL"/>
    <s v="OMVV2B0RR"/>
    <m/>
    <s v="Benon Ssempijja"/>
    <s v="UAY 526V"/>
    <s v="Rugoma Traders-Kanungu/Kihihi Tax No.: 1000249350"/>
    <n v="153.6"/>
    <s v="OMVV2B0RR"/>
    <s v="OM"/>
    <n v="272"/>
    <n v="270"/>
    <n v="-2"/>
    <m/>
    <d v="2025-05-16T09:27:00"/>
    <d v="2025-05-16T01:59:00"/>
    <d v="2025-05-16T09:50:00"/>
    <m/>
    <n v="22.893518520140788"/>
    <x v="0"/>
    <d v="2025-05-16T16:31:00"/>
    <d v="2025-05-17T13:15:00"/>
    <n v="1218.0833333335613"/>
    <s v="found another truck to be offloaded"/>
    <d v="2025-05-17T17:42:00"/>
    <d v="2025-05-17T18:32:00"/>
    <n v="48.958333328773733"/>
    <x v="8"/>
    <n v="1.3277777777839219"/>
    <n v="2"/>
    <n v="0.67222222221607808"/>
    <n v="31.866666666814126"/>
    <n v="12"/>
    <n v="19.866666666814126"/>
    <n v="7.7315436241036863"/>
    <m/>
    <m/>
    <m/>
    <m/>
    <m/>
  </r>
  <r>
    <d v="2025-05-16T00:00:00"/>
    <x v="4"/>
    <s v="KESH"/>
    <s v="OMP4ZRHRR"/>
    <s v="DJ"/>
    <s v="Hassan Byashara"/>
    <s v="UBP 312H"/>
    <s v="Sawan Distributors Ltd-Kayabwe Tax No.: 1000186379"/>
    <n v="156"/>
    <s v="OMP4ZRHRR"/>
    <s v="OM"/>
    <n v="382"/>
    <n v="380"/>
    <n v="-2"/>
    <m/>
    <d v="2025-05-16T09:47:00"/>
    <d v="2025-05-16T04:19:00"/>
    <d v="2025-05-16T10:10:00"/>
    <n v="349.37500000208576"/>
    <n v="22.893518520140788"/>
    <x v="0"/>
    <d v="2025-05-16T21:00:00"/>
    <d v="2025-05-17T11:48:00"/>
    <n v="869.50000000273576"/>
    <s v="Waited for empties from trade"/>
    <d v="2025-05-17T21:16:00"/>
    <d v="2025-05-17T22:00:00"/>
    <n v="43.083333330141613"/>
    <x v="0"/>
    <n v="1.4625000000014552"/>
    <n v="2"/>
    <n v="0.53749999999854481"/>
    <n v="35.100000000034925"/>
    <n v="12"/>
    <n v="23.100000000034925"/>
    <n v="6.7532467532365432"/>
    <m/>
    <m/>
    <m/>
    <m/>
    <m/>
  </r>
  <r>
    <d v="2025-05-16T00:00:00"/>
    <x v="4"/>
    <s v="NBL"/>
    <s v="OMWYALIRR"/>
    <m/>
    <s v="Isaac Tumuhimbise"/>
    <s v="UBE 287X"/>
    <s v="KATO INVESTMENTS LIMITED-MASAK Tax No.: 1000098824"/>
    <n v="153.6"/>
    <s v="OMWYALIRR"/>
    <s v="OM"/>
    <n v="596"/>
    <n v="594"/>
    <n v="-2"/>
    <m/>
    <d v="2025-05-16T09:26:00"/>
    <d v="2025-05-16T04:14:00"/>
    <d v="2025-05-16T09:53:00"/>
    <m/>
    <n v="26.87500000417155"/>
    <x v="0"/>
    <d v="2025-05-17T10:57:00"/>
    <d v="2025-05-17T13:00:00"/>
    <n v="120.43749999247666"/>
    <m/>
    <d v="2025-05-17T16:08:00"/>
    <d v="2025-05-17T16:47:00"/>
    <n v="38.18750000136788"/>
    <x v="0"/>
    <n v="1.2604166666642413"/>
    <n v="2"/>
    <n v="0.73958333333575865"/>
    <n v="30.249999999941792"/>
    <n v="12"/>
    <n v="18.249999999941792"/>
    <n v="8.416438356191227"/>
    <m/>
    <m/>
    <m/>
    <m/>
    <m/>
  </r>
  <r>
    <d v="2025-05-16T00:00:00"/>
    <x v="4"/>
    <s v="NBL"/>
    <s v="OMUSM36RR"/>
    <m/>
    <s v="Bisaso  Ronald"/>
    <s v="UBK 875R"/>
    <s v="KATO INVESTMENTS LTD- KALISIZO Tax No.: 1000098824"/>
    <n v="153.6"/>
    <s v="OMUSM36RR"/>
    <s v="OM"/>
    <n v="288"/>
    <n v="286"/>
    <n v="-2"/>
    <m/>
    <d v="2025-05-16T08:24:00"/>
    <d v="2025-05-16T03:43:00"/>
    <d v="2025-05-16T09:02:00"/>
    <m/>
    <n v="37.82407407222005"/>
    <x v="1"/>
    <d v="2025-05-16T14:50:00"/>
    <d v="2025-05-17T09:07:00"/>
    <n v="1074.1458333362971"/>
    <s v="Waited for empties from trade"/>
    <d v="2025-05-18T13:00:00"/>
    <d v="2025-05-18T13:44:00"/>
    <n v="43.083333330141613"/>
    <x v="0"/>
    <n v="2.1652777777781012"/>
    <n v="2"/>
    <n v="-0.16527777777810115"/>
    <n v="51.966666666674428"/>
    <n v="24"/>
    <n v="27.966666666674428"/>
    <n v="5.4922526817624808"/>
    <m/>
    <m/>
    <m/>
    <m/>
    <m/>
  </r>
  <r>
    <d v="2025-05-16T00:00:00"/>
    <x v="4"/>
    <s v="NBL"/>
    <s v="OMZDLRHRR"/>
    <m/>
    <s v="Kabene John"/>
    <s v="UBA 523T"/>
    <s v="KATO INVESTMENTS LIMITED-MASAK Tax No.: 1000098824"/>
    <n v="153.6"/>
    <s v="OMZDLRHRR"/>
    <s v="OM"/>
    <n v="596"/>
    <n v="594"/>
    <n v="-2"/>
    <m/>
    <d v="2025-05-16T08:20:00"/>
    <d v="2025-05-16T04:14:00"/>
    <d v="2025-05-16T08:43:00"/>
    <m/>
    <n v="22.893518520140788"/>
    <x v="0"/>
    <d v="2025-05-16T12:50:00"/>
    <d v="2025-05-17T09:07:00"/>
    <n v="1191.6458333397168"/>
    <s v="space consquents"/>
    <d v="2025-05-17T13:23:00"/>
    <d v="2025-05-17T14:07:00"/>
    <n v="43.083333330141613"/>
    <x v="0"/>
    <n v="1.1944444444452529"/>
    <n v="2"/>
    <n v="0.80555555555474712"/>
    <n v="28.666666666686069"/>
    <n v="12"/>
    <n v="16.666666666686069"/>
    <n v="9.2159999999892701"/>
    <m/>
    <m/>
    <m/>
    <m/>
    <m/>
  </r>
  <r>
    <d v="2025-05-16T00:00:00"/>
    <x v="4"/>
    <s v="KESH"/>
    <s v="OMX7GV7RR"/>
    <s v="DJ"/>
    <s v="SENTONGO GODFREY"/>
    <s v="UBR 864Y"/>
    <s v="Kobusinge Steven-FPortal Tax No.: 1000977837"/>
    <n v="156"/>
    <s v="OMX7GV7RR"/>
    <s v="OM"/>
    <n v="304"/>
    <n v="302"/>
    <n v="-2"/>
    <m/>
    <d v="2025-05-15T16:48:00"/>
    <d v="2025-05-15T20:25:00"/>
    <d v="2025-05-15T17:42:00"/>
    <n v="-162.24537036735759"/>
    <n v="53.749999997914223"/>
    <x v="12"/>
    <d v="2025-05-16T12:21:00"/>
    <d v="2025-05-17T15:07:00"/>
    <n v="1572.5416666732781"/>
    <s v="Reached late and offloaded the next day"/>
    <d v="2025-05-18T11:34:00"/>
    <d v="2025-05-18T12:18:00"/>
    <n v="43.083333330141613"/>
    <x v="0"/>
    <n v="2.7444444444408873"/>
    <n v="2"/>
    <n v="-0.74444444444088731"/>
    <n v="65.866666666581295"/>
    <n v="24"/>
    <n v="41.866666666581295"/>
    <n v="3.7261146496891269"/>
    <m/>
    <m/>
    <m/>
    <m/>
    <m/>
  </r>
  <r>
    <d v="2025-05-16T00:00:00"/>
    <x v="4"/>
    <s v="KESH"/>
    <s v="OMXY1P1RR"/>
    <s v="DJ"/>
    <s v="ALIPA EREKU"/>
    <s v="UBK 858R"/>
    <s v="Nakuya Enterprises Ltd Tax No.: 1000098344"/>
    <n v="156"/>
    <s v="OMXY1P1RR"/>
    <s v="OM"/>
    <n v="514"/>
    <n v="512"/>
    <n v="-2"/>
    <m/>
    <d v="2025-05-15T16:38:00"/>
    <d v="2025-05-15T20:03:00"/>
    <d v="2025-05-15T17:01:00"/>
    <n v="-181.15740741389649"/>
    <n v="22.893518520140788"/>
    <x v="0"/>
    <d v="2025-05-16T13:59:00"/>
    <d v="2025-05-16T17:40:00"/>
    <n v="216.39583333082555"/>
    <s v="Waited for empties from trade"/>
    <d v="2025-05-17T17:18:00"/>
    <d v="2025-05-17T17:57:00"/>
    <n v="38.18750000136788"/>
    <x v="0"/>
    <n v="2.0118055555576575"/>
    <n v="2"/>
    <n v="-1.1805555557657499E-2"/>
    <n v="48.28333333338378"/>
    <n v="24"/>
    <n v="24.28333333338378"/>
    <n v="6.4241592312838405"/>
    <m/>
    <m/>
    <m/>
    <m/>
    <m/>
  </r>
  <r>
    <d v="2025-05-16T00:00:00"/>
    <x v="4"/>
    <s v="KESH"/>
    <s v="OMEUSI1RR"/>
    <s v="DJ"/>
    <s v="SENTONG DAVID"/>
    <s v="UBP 298H"/>
    <s v="Kobusinge Steven-FPortal Tax No.: 1000977837"/>
    <n v="156"/>
    <s v="OMEUSI1RR"/>
    <s v="OM"/>
    <n v="304"/>
    <n v="302"/>
    <n v="-2"/>
    <m/>
    <d v="2025-05-15T13:23:00"/>
    <d v="2025-05-15T20:25:00"/>
    <d v="2025-05-15T13:46:00"/>
    <n v="-397.15277777916828"/>
    <n v="22.893518520140788"/>
    <x v="0"/>
    <d v="2025-05-16T08:31:00"/>
    <d v="2025-05-16T17:48:00"/>
    <n v="545.39583333629707"/>
    <s v="Waited for empties from trade"/>
    <d v="2025-05-17T09:20:00"/>
    <d v="2025-05-17T10:04:00"/>
    <n v="43.083333330141613"/>
    <x v="0"/>
    <n v="1.8152777777795563"/>
    <n v="2"/>
    <n v="0.18472222222044365"/>
    <n v="43.566666666709352"/>
    <n v="12"/>
    <n v="31.566666666709352"/>
    <n v="4.9419218584938456"/>
    <m/>
    <m/>
    <m/>
    <m/>
    <m/>
  </r>
  <r>
    <d v="2025-05-17T00:00:00"/>
    <x v="4"/>
    <s v="NBL"/>
    <s v="OM1VZHKRR"/>
    <m/>
    <s v="Luyaga Isaac"/>
    <s v="UAY 265V"/>
    <s v="KATO INVESTMENTS LIMITED-MASAK Tax No.: 1000098824"/>
    <n v="153.6"/>
    <s v="OM1VZHKRR"/>
    <s v="OM"/>
    <n v="596"/>
    <n v="594"/>
    <n v="-2"/>
    <m/>
    <d v="2025-05-19T09:59:00"/>
    <d v="2025-05-18T04:14:00"/>
    <d v="2025-05-19T10:22:00"/>
    <m/>
    <n v="22.893518520140788"/>
    <x v="0"/>
    <d v="2025-05-20T09:15:00"/>
    <d v="2025-05-20T15:56:00"/>
    <n v="392.64583334108465"/>
    <s v="truck faulty"/>
    <d v="2025-05-21T14:30:00"/>
    <d v="2025-05-21T15:19:00"/>
    <n v="47.979166669174447"/>
    <x v="11"/>
    <n v="2.172222222223354"/>
    <n v="2"/>
    <n v="-0.17222222222335404"/>
    <n v="52.133333333360497"/>
    <n v="24"/>
    <n v="28.133333333360497"/>
    <n v="5.4597156398051547"/>
    <m/>
    <m/>
    <m/>
    <m/>
    <m/>
  </r>
  <r>
    <d v="2025-05-17T00:00:00"/>
    <x v="4"/>
    <s v="NBL"/>
    <s v="OMAJOEURR"/>
    <m/>
    <s v="Isaac Tumuhimbise"/>
    <s v="UBE 287X"/>
    <s v="Kabaco U Ltd-Mbarara Tax No.: 1000025425"/>
    <n v="153.6"/>
    <s v="OMAJOEURR"/>
    <s v="OM"/>
    <n v="20"/>
    <n v="18"/>
    <n v="-2"/>
    <m/>
    <d v="2025-05-17T18:29:00"/>
    <d v="2025-05-17T07:42:00"/>
    <d v="2025-05-17T19:23:00"/>
    <m/>
    <n v="53.749999997914223"/>
    <x v="1"/>
    <d v="2025-05-18T12:10:00"/>
    <d v="2025-05-18T14:14:00"/>
    <n v="121.41666666233505"/>
    <s v="Reached late and offloaded the next day"/>
    <d v="2025-05-18T13:02:00"/>
    <d v="2025-05-18T13:46:00"/>
    <n v="43.083333330141613"/>
    <x v="0"/>
    <n v="0.73541666667006211"/>
    <n v="1"/>
    <n v="0.26458333332993789"/>
    <n v="17.650000000081491"/>
    <n v="0"/>
    <n v="17.650000000081491"/>
    <n v="8.7025495750306412"/>
    <m/>
    <m/>
    <m/>
    <m/>
    <m/>
  </r>
  <r>
    <d v="2025-05-17T00:00:00"/>
    <x v="4"/>
    <s v="NBL"/>
    <s v="OM31776RR"/>
    <m/>
    <s v="Tumusiime Robert"/>
    <s v="UBJ 988D"/>
    <s v="KATO INVESTMENTS LIMITED-MASAK Tax No.: 1000098824"/>
    <n v="153.6"/>
    <s v="OM31776RR"/>
    <s v="OM"/>
    <n v="596"/>
    <n v="594"/>
    <n v="-2"/>
    <m/>
    <d v="2025-05-17T14:56:00"/>
    <d v="2025-05-17T04:14:00"/>
    <d v="2025-05-17T15:19:00"/>
    <m/>
    <n v="22.893518520140788"/>
    <x v="0"/>
    <d v="2025-05-18T09:00:00"/>
    <d v="2025-05-18T14:50:00"/>
    <n v="342.70833333219343"/>
    <s v="found another truck to be offloaded"/>
    <d v="2025-05-19T11:57:00"/>
    <d v="2025-05-19T12:39:00"/>
    <n v="41.12500000068394"/>
    <x v="0"/>
    <n v="1.859722222223354"/>
    <n v="2"/>
    <n v="0.14027777777664596"/>
    <n v="44.633333333360497"/>
    <n v="12"/>
    <n v="32.633333333360497"/>
    <n v="4.7068437180757554"/>
    <m/>
    <m/>
    <m/>
    <m/>
    <m/>
  </r>
  <r>
    <d v="2025-05-17T00:00:00"/>
    <x v="4"/>
    <s v="NBL"/>
    <s v="OM47YEHRR"/>
    <m/>
    <s v="Konge Husein"/>
    <s v="UBJ 707D"/>
    <s v="KATO INVESTMENTS LTD- KALISIZO Tax No.: 1000098824"/>
    <n v="153.6"/>
    <s v="OM47YEHRR"/>
    <s v="OM"/>
    <n v="288"/>
    <n v="286"/>
    <n v="-2"/>
    <m/>
    <d v="2025-05-17T12:39:00"/>
    <d v="2025-05-17T03:43:00"/>
    <d v="2025-05-17T13:33:00"/>
    <m/>
    <n v="53.749999997914223"/>
    <x v="10"/>
    <d v="2025-05-17T19:17:00"/>
    <d v="2025-05-18T13:08:00"/>
    <n v="1048.6875000020518"/>
    <s v="Waited for empties from trade"/>
    <d v="2025-05-19T13:34:00"/>
    <d v="2025-05-19T14:12:00"/>
    <n v="37.208333331509493"/>
    <x v="0"/>
    <n v="2.0006944444467081"/>
    <n v="2"/>
    <n v="-6.944444467080757E-4"/>
    <n v="48.016666666720994"/>
    <n v="24"/>
    <n v="24.016666666720994"/>
    <n v="6.3955586398189812"/>
    <m/>
    <m/>
    <m/>
    <m/>
    <m/>
  </r>
  <r>
    <d v="2025-05-17T00:00:00"/>
    <x v="4"/>
    <s v="NBL"/>
    <s v="OME981KRR"/>
    <m/>
    <s v="Kilabila Ismail"/>
    <s v="UBE 419T"/>
    <s v="KATO INVESTMENTS LTD- KALISIZO Tax No.: 1000098824"/>
    <n v="153.6"/>
    <s v="OME981KRR"/>
    <s v="OM"/>
    <n v="288"/>
    <n v="286"/>
    <n v="-2"/>
    <m/>
    <d v="2025-05-17T08:10:00"/>
    <d v="2025-05-17T03:43:00"/>
    <d v="2025-05-17T08:33:00"/>
    <m/>
    <n v="22.893518520140788"/>
    <x v="0"/>
    <d v="2025-05-17T14:22:00"/>
    <d v="2025-05-17T20:19:00"/>
    <n v="349.56250000068394"/>
    <s v="space consquents"/>
    <d v="2025-05-18T17:51:00"/>
    <d v="2025-05-18T18:40:00"/>
    <n v="47.979166669174447"/>
    <x v="12"/>
    <n v="1.3875000000043656"/>
    <n v="2"/>
    <n v="0.61249999999563443"/>
    <n v="33.300000000104774"/>
    <n v="12"/>
    <n v="21.300000000104774"/>
    <n v="7.2112676055983309"/>
    <m/>
    <m/>
    <m/>
    <m/>
    <m/>
  </r>
  <r>
    <d v="2025-05-17T00:00:00"/>
    <x v="4"/>
    <s v="KESH"/>
    <s v="OMX0174RR"/>
    <s v="DJ"/>
    <s v="ZIWA ABASI"/>
    <s v="UBJ 420C"/>
    <s v="Sawan Distributors Ltd Hoima Tax No.: 1000186379"/>
    <n v="156"/>
    <s v="OMX0174RR"/>
    <s v="OM"/>
    <n v="790"/>
    <n v="788"/>
    <n v="-2"/>
    <m/>
    <d v="2025-05-16T21:56:00"/>
    <d v="2025-05-16T20:06:00"/>
    <d v="2025-05-16T22:19:00"/>
    <n v="132.38425925277019"/>
    <n v="22.893518520140788"/>
    <x v="0"/>
    <d v="2025-05-18T09:03:00"/>
    <d v="2025-05-18T14:42:00"/>
    <n v="331.93750000478758"/>
    <s v="Waited for empties from trade"/>
    <d v="2025-05-19T14:02:00"/>
    <d v="2025-05-19T14:44:00"/>
    <n v="41.12500000068394"/>
    <x v="0"/>
    <n v="2.6548611111138598"/>
    <n v="3"/>
    <n v="0.34513888888614019"/>
    <n v="63.716666666732635"/>
    <n v="24"/>
    <n v="39.716666666732635"/>
    <n v="3.927822073010681"/>
    <m/>
    <m/>
    <m/>
    <m/>
    <m/>
  </r>
  <r>
    <d v="2025-05-17T00:00:00"/>
    <x v="4"/>
    <s v="KESH"/>
    <s v="OMTVJ6LRR"/>
    <s v="DJ"/>
    <s v="KAJUBI ISMA"/>
    <s v="UBR 538W"/>
    <s v="Kato Investment Ltd -Mityana Tax No.: 1000098824"/>
    <n v="156"/>
    <s v="OMTVJ6LRR"/>
    <s v="OM"/>
    <n v="690"/>
    <n v="688"/>
    <n v="-2"/>
    <m/>
    <d v="2025-05-16T21:45:00"/>
    <d v="2025-05-16T21:00:00"/>
    <d v="2025-05-16T22:23:00"/>
    <n v="82.615740738886714"/>
    <n v="37.82407407222005"/>
    <x v="1"/>
    <d v="2025-05-18T14:44:00"/>
    <d v="2025-05-18T16:47:00"/>
    <n v="120.43750000273576"/>
    <m/>
    <d v="2025-05-19T11:40:00"/>
    <d v="2025-05-19T12:22:00"/>
    <n v="41.12500000068394"/>
    <x v="0"/>
    <n v="2.5534722222218988"/>
    <n v="3"/>
    <n v="0.44652777777810115"/>
    <n v="61.283333333325572"/>
    <n v="24"/>
    <n v="37.283333333325572"/>
    <n v="4.184175234690187"/>
    <m/>
    <m/>
    <m/>
    <m/>
    <m/>
  </r>
  <r>
    <d v="2025-05-17T00:00:00"/>
    <x v="4"/>
    <s v="NBL"/>
    <s v="OM421BARR"/>
    <m/>
    <s v="GODWIN  NIWENSIIMA"/>
    <s v="UAR 731Q"/>
    <s v="Kabaco U Ltd-Mbarara Tax No.: 1000025425"/>
    <n v="153.6"/>
    <s v="OM421BARR"/>
    <s v="OM"/>
    <n v="20"/>
    <n v="19"/>
    <n v="-1"/>
    <m/>
    <d v="2025-05-17T08:01:00"/>
    <d v="2025-05-17T07:42:00"/>
    <d v="2025-05-17T08:39:00"/>
    <m/>
    <n v="37.82407407222005"/>
    <x v="1"/>
    <d v="2025-05-17T09:20:00"/>
    <d v="2025-05-17T12:04:00"/>
    <n v="160.58333333356131"/>
    <m/>
    <d v="2025-05-17T12:52:00"/>
    <d v="2025-05-17T13:36:00"/>
    <n v="43.083333330141613"/>
    <x v="0"/>
    <n v="0.1756944444423425"/>
    <n v="1"/>
    <n v="0.8243055555576575"/>
    <n v="4.21666666661622"/>
    <n v="0"/>
    <n v="4.21666666661622"/>
    <n v="36.426877470791524"/>
    <m/>
    <m/>
    <m/>
    <m/>
    <m/>
  </r>
  <r>
    <d v="2025-05-17T00:00:00"/>
    <x v="4"/>
    <s v="NBL"/>
    <s v="OMO3VRTRR"/>
    <m/>
    <s v="Mugisha  George"/>
    <s v="UAV 203T"/>
    <s v="Rugoma Traders-Kanungu/Kihihi Tax No.: 1000249350"/>
    <n v="153.6"/>
    <s v="OMO3VRTRR"/>
    <s v="OM"/>
    <n v="272"/>
    <n v="270"/>
    <n v="-2"/>
    <m/>
    <d v="2025-05-16T19:36:00"/>
    <d v="2025-05-17T01:59:00"/>
    <d v="2025-05-16T19:59:00"/>
    <m/>
    <n v="22.893518520140788"/>
    <x v="0"/>
    <d v="2025-05-17T12:23:00"/>
    <d v="2025-05-17T17:52:00"/>
    <n v="322.14583332672191"/>
    <s v="truck faulty"/>
    <d v="2025-05-18T12:39:00"/>
    <d v="2025-05-18T13:23:00"/>
    <n v="43.083333330141613"/>
    <x v="0"/>
    <n v="1.6944444444452529"/>
    <n v="2"/>
    <n v="0.30555555555474712"/>
    <n v="40.666666666686069"/>
    <n v="12"/>
    <n v="28.666666666686069"/>
    <n v="5.3581395348800944"/>
    <m/>
    <m/>
    <m/>
    <m/>
    <m/>
  </r>
  <r>
    <d v="2025-05-17T00:00:00"/>
    <x v="4"/>
    <s v="KESH"/>
    <s v="OMCX2RMRR"/>
    <s v="DJ"/>
    <s v="FARUK   ABEL"/>
    <s v="UBR 539W"/>
    <s v="Sawan Distributors Ltd-Kayabwe Tax No.: 1000186379"/>
    <n v="156"/>
    <s v="OMCX2RMRR"/>
    <s v="OM"/>
    <n v="382"/>
    <n v="380"/>
    <n v="-2"/>
    <m/>
    <d v="2025-05-16T20:25:00"/>
    <d v="2025-05-17T04:19:00"/>
    <d v="2025-05-16T20:52:00"/>
    <n v="-444.93055555625079"/>
    <n v="26.87500000417155"/>
    <x v="0"/>
    <d v="2025-05-18T13:09:00"/>
    <d v="2025-05-18T16:26:00"/>
    <n v="192.89583332603797"/>
    <m/>
    <d v="2025-05-18T20:09:00"/>
    <d v="2025-05-18T20:51:00"/>
    <n v="41.12500000068394"/>
    <x v="0"/>
    <n v="1.9701388888934162"/>
    <n v="2"/>
    <n v="2.9861111106583849E-2"/>
    <n v="47.283333333441988"/>
    <n v="12"/>
    <n v="35.283333333441988"/>
    <n v="4.4213509683378254"/>
    <m/>
    <m/>
    <m/>
    <m/>
    <m/>
  </r>
  <r>
    <d v="2025-05-17T00:00:00"/>
    <x v="4"/>
    <s v="NBL"/>
    <s v="OMBUTGWRR"/>
    <m/>
    <s v="ANGELO KYOSIGA "/>
    <s v="UAV 051U"/>
    <s v="KATO INVESTMENTS LIMITED-MASAK Tax No.: 1000098824"/>
    <n v="153.6"/>
    <s v="OMBUTGWRR"/>
    <s v="OM"/>
    <n v="596"/>
    <n v="595"/>
    <n v="-1"/>
    <m/>
    <d v="2025-05-16T20:06:00"/>
    <d v="2025-05-17T04:14:00"/>
    <d v="2025-05-16T20:27:00"/>
    <m/>
    <n v="20.902777772910969"/>
    <x v="0"/>
    <d v="2025-05-17T09:37:00"/>
    <d v="2025-05-17T14:31:00"/>
    <n v="287.87500000478758"/>
    <s v="less casuals and offloaded the next day"/>
    <d v="2025-05-18T10:18:00"/>
    <d v="2025-05-18T11:00:00"/>
    <n v="41.12500000068394"/>
    <x v="0"/>
    <n v="1.5770833333372138"/>
    <n v="2"/>
    <n v="0.42291666666278616"/>
    <n v="37.850000000093132"/>
    <n v="12"/>
    <n v="25.850000000093132"/>
    <n v="5.9419729206749174"/>
    <m/>
    <m/>
    <m/>
    <m/>
    <m/>
  </r>
  <r>
    <d v="2025-05-17T00:00:00"/>
    <x v="4"/>
    <s v="NBL"/>
    <s v="OMZPN3VRR"/>
    <m/>
    <s v="James  Kironde"/>
    <s v="UBK 881R"/>
    <s v="KATO INVESTMENTS LIMITED-MASAK Tax No.: 1000098824"/>
    <n v="153.6"/>
    <s v="OMZPN3VRR"/>
    <s v="OM"/>
    <n v="596"/>
    <n v="595"/>
    <n v="-1"/>
    <m/>
    <d v="2025-05-16T17:59:00"/>
    <d v="2025-05-17T04:14:00"/>
    <d v="2025-05-16T18:26:00"/>
    <m/>
    <n v="26.87500000417155"/>
    <x v="0"/>
    <d v="2025-05-17T12:25:00"/>
    <d v="2025-05-18T15:59:00"/>
    <n v="1619.5416666725941"/>
    <s v="found another truck to be offloaded"/>
    <d v="2025-05-18T20:03:00"/>
    <d v="2025-05-18T20:42:00"/>
    <n v="38.18750000136788"/>
    <x v="0"/>
    <n v="2.0673611111124046"/>
    <n v="2"/>
    <n v="-6.7361111112404615E-2"/>
    <n v="49.616666666697711"/>
    <n v="24"/>
    <n v="25.616666666697711"/>
    <n v="5.9960962914696365"/>
    <m/>
    <m/>
    <m/>
    <m/>
    <m/>
  </r>
  <r>
    <d v="2025-05-17T00:00:00"/>
    <x v="4"/>
    <s v="KESH"/>
    <s v="OM977JIRR"/>
    <s v="DJ"/>
    <s v="Tumwine Jimmy"/>
    <s v="UBR 863Y"/>
    <s v="Kabaco U Ltd Tax No.: 1000025425"/>
    <n v="156"/>
    <s v="OM977JIRR"/>
    <s v="OM"/>
    <n v="304"/>
    <n v="302"/>
    <n v="-2"/>
    <m/>
    <d v="2025-05-16T14:07:00"/>
    <d v="2025-05-17T02:22:00"/>
    <d v="2025-05-16T14:36:00"/>
    <n v="-702.73148148820235"/>
    <n v="28.865740740972495"/>
    <x v="0"/>
    <d v="2025-05-17T15:13:00"/>
    <d v="2025-05-17T17:20:00"/>
    <n v="124.35416666165111"/>
    <m/>
    <d v="2025-05-17T17:36:00"/>
    <d v="2025-05-17T18:18:00"/>
    <n v="41.12500000068394"/>
    <x v="0"/>
    <n v="1.125"/>
    <n v="2"/>
    <n v="0.875"/>
    <n v="27"/>
    <n v="12"/>
    <n v="15"/>
    <n v="10.4"/>
    <m/>
    <m/>
    <m/>
    <m/>
    <m/>
  </r>
  <r>
    <d v="2025-05-18T00:00:00"/>
    <x v="4"/>
    <s v="NBL"/>
    <s v="OM5EAJURR"/>
    <m/>
    <s v="Kabene John"/>
    <s v="UBA 523T"/>
    <s v="Kabaco U Ltd-Mbarara Tax No.: 1000025425"/>
    <n v="153.6"/>
    <s v="OM5EAJURR"/>
    <s v="OM"/>
    <n v="20"/>
    <n v="18"/>
    <n v="-2"/>
    <m/>
    <d v="2025-05-19T18:53:00"/>
    <d v="2025-05-18T10:00:00"/>
    <d v="2025-05-19T19:31:00"/>
    <m/>
    <n v="37.82407407222005"/>
    <x v="9"/>
    <d v="2025-05-19T20:05:00"/>
    <d v="2025-05-20T10:17:00"/>
    <n v="834.25000000068394"/>
    <s v="found another truck to be offloaded"/>
    <d v="2025-05-20T10:50:00"/>
    <d v="2025-05-20T11:32:00"/>
    <n v="41.12500000068394"/>
    <x v="0"/>
    <n v="0.63819444444379769"/>
    <n v="1"/>
    <n v="0.36180555555620231"/>
    <n v="15.316666666651145"/>
    <n v="0"/>
    <n v="15.316666666651145"/>
    <n v="10.028291621337692"/>
    <m/>
    <m/>
    <m/>
    <m/>
    <m/>
  </r>
  <r>
    <d v="2025-05-18T00:00:00"/>
    <x v="4"/>
    <s v="NBL"/>
    <s v="OMPHI92RR"/>
    <m/>
    <s v="ANGELO KYOSIGA "/>
    <s v="UAV 051U"/>
    <s v="Kabaco U Ltd-Mbarara Tax No.: 1000025425"/>
    <n v="153.6"/>
    <s v="OMPHI92RR"/>
    <s v="OM"/>
    <n v="20"/>
    <n v="18"/>
    <n v="-2"/>
    <m/>
    <d v="2025-05-18T19:12:00"/>
    <d v="2025-05-18T11:00:00"/>
    <d v="2025-05-18T19:35:00"/>
    <m/>
    <n v="22.893518520140788"/>
    <x v="0"/>
    <d v="2025-05-19T11:30:00"/>
    <d v="2025-05-19T16:03:00"/>
    <n v="267.31249999931606"/>
    <m/>
    <d v="2025-05-20T08:11:00"/>
    <d v="2025-05-20T08:53:00"/>
    <n v="41.12500000068394"/>
    <x v="0"/>
    <n v="1.5250000000014552"/>
    <n v="1"/>
    <n v="-0.52500000000145519"/>
    <n v="36.600000000034925"/>
    <n v="12"/>
    <n v="24.600000000034925"/>
    <n v="6.2439024390155256"/>
    <m/>
    <m/>
    <m/>
    <m/>
    <m/>
  </r>
  <r>
    <d v="2025-05-18T00:00:00"/>
    <x v="4"/>
    <s v="NBL"/>
    <s v="OM9SZSZRR"/>
    <m/>
    <s v="Bisaso  Ronald"/>
    <s v="UBK 875R"/>
    <s v="RUGOMA TRADERS CO. LTD NTUNGAM Tax No.: 1000249350"/>
    <n v="153.6"/>
    <s v="OM9SZSZRR"/>
    <s v="OM"/>
    <n v="150"/>
    <n v="149"/>
    <n v="-1"/>
    <m/>
    <d v="2025-05-18T16:13:00"/>
    <d v="2025-05-18T10:00:00"/>
    <d v="2025-05-18T16:40:00"/>
    <m/>
    <n v="26.87500000417155"/>
    <x v="0"/>
    <d v="2025-05-18T18:44:00"/>
    <d v="2025-05-19T14:42:00"/>
    <n v="1173.041666673962"/>
    <m/>
    <d v="2025-05-19T16:36:00"/>
    <d v="2025-05-19T17:14:00"/>
    <n v="37.208333331509493"/>
    <x v="0"/>
    <n v="0.99722222222044365"/>
    <n v="1"/>
    <n v="2.7777777795563452E-3"/>
    <n v="23.933333333290648"/>
    <n v="0"/>
    <n v="23.933333333290648"/>
    <n v="6.4178272980615851"/>
    <m/>
    <m/>
    <m/>
    <m/>
    <m/>
  </r>
  <r>
    <d v="2025-05-18T00:00:00"/>
    <x v="4"/>
    <s v="KESH"/>
    <s v="OMNKUSZRR"/>
    <s v="DJ"/>
    <s v="ABDUL NASSER NTENDE"/>
    <s v="UBR 900Y"/>
    <s v="Kobusinge Acaali- Kyenjojo Tax No.: 1000977837"/>
    <n v="156"/>
    <s v="OMNKUSZRR"/>
    <s v="OM"/>
    <n v="580"/>
    <n v="578"/>
    <n v="-2"/>
    <m/>
    <d v="2025-05-18T09:40:00"/>
    <d v="2025-05-18T10:00:00"/>
    <d v="2025-05-18T10:34:00"/>
    <n v="33.842592598618161"/>
    <n v="53.749999997914223"/>
    <x v="12"/>
    <d v="2025-05-19T15:02:00"/>
    <d v="2025-05-19T18:01:00"/>
    <n v="175.27083334040071"/>
    <m/>
    <d v="2025-05-19T21:46:00"/>
    <d v="2025-05-19T22:25:00"/>
    <n v="38.18750000136788"/>
    <x v="0"/>
    <n v="1.4666666666671517"/>
    <n v="2"/>
    <n v="0.53333333333284827"/>
    <n v="35.200000000011642"/>
    <n v="12"/>
    <n v="23.200000000011642"/>
    <n v="6.7241379310311089"/>
    <m/>
    <m/>
    <m/>
    <m/>
    <m/>
  </r>
  <r>
    <d v="2025-05-18T00:00:00"/>
    <x v="4"/>
    <s v="NBL"/>
    <s v="OMQ185XRR"/>
    <m/>
    <s v="Jacob Oneka"/>
    <s v="UBE 422T"/>
    <s v="Kabaco U Ltd-Mbarara Tax No.: 1000025425"/>
    <n v="153.6"/>
    <s v="OMQ185XRR"/>
    <s v="OM"/>
    <n v="20"/>
    <n v="19"/>
    <n v="-1"/>
    <m/>
    <d v="2025-05-18T09:22:00"/>
    <d v="2025-05-18T10:00:00"/>
    <d v="2025-05-18T09:51:00"/>
    <m/>
    <n v="28.865740740972495"/>
    <x v="0"/>
    <d v="2025-05-17T14:08:00"/>
    <d v="2025-05-17T19:13:00"/>
    <n v="298.64583333219343"/>
    <s v="truck faulty"/>
    <d v="2025-05-17T19:41:00"/>
    <d v="2025-05-17T20:32:00"/>
    <n v="49.93749999863212"/>
    <x v="11"/>
    <n v="-0.59027777777373558"/>
    <n v="1"/>
    <n v="1.5902777777737356"/>
    <n v="-14.166666666569654"/>
    <n v="-12"/>
    <n v="-2.1666666665696539"/>
    <n v="-70.892307695481904"/>
    <m/>
    <m/>
    <m/>
    <m/>
    <m/>
  </r>
  <r>
    <d v="2025-05-18T00:00:00"/>
    <x v="4"/>
    <s v="NBL"/>
    <s v="OM4D83ARR"/>
    <m/>
    <s v="Benon Ssempijja"/>
    <s v="UAY 526V"/>
    <s v="Ntale &amp; Sons Tax No.: 1001371381"/>
    <n v="153.6"/>
    <s v="OM4D83ARR"/>
    <s v="OM"/>
    <n v="810"/>
    <n v="808"/>
    <n v="-2"/>
    <m/>
    <d v="2025-05-18T15:07:00"/>
    <d v="2025-05-18T16:40:00"/>
    <d v="2025-05-18T15:30:00"/>
    <m/>
    <n v="22.893518520140788"/>
    <x v="0"/>
    <d v="2025-05-19T08:50:00"/>
    <d v="2025-05-19T13:07:00"/>
    <n v="251.64583333287737"/>
    <s v="space consquents"/>
    <d v="2025-05-21T21:25:00"/>
    <d v="2025-05-21T22:07:00"/>
    <n v="41.12500000068394"/>
    <x v="0"/>
    <n v="3.2465277777737356"/>
    <n v="3"/>
    <n v="-0.24652777777373558"/>
    <n v="77.916666666569654"/>
    <n v="36"/>
    <n v="41.916666666569654"/>
    <n v="3.6644135188951608"/>
    <m/>
    <m/>
    <m/>
    <m/>
    <m/>
  </r>
  <r>
    <d v="2025-05-18T00:00:00"/>
    <x v="4"/>
    <s v="NBL"/>
    <s v="OM1GCBWRR"/>
    <m/>
    <s v="Jacob Oneka"/>
    <s v="UBE 422T"/>
    <s v="KATO INVESTMENTS LIMITED-MASAK Tax No.: 1000098824"/>
    <n v="153.6"/>
    <s v="OM1GCBWRR"/>
    <s v="OM"/>
    <n v="596"/>
    <n v="594"/>
    <n v="-2"/>
    <m/>
    <d v="2025-05-17T12:52:00"/>
    <d v="2025-05-17T15:00:00"/>
    <d v="2025-05-17T13:19:00"/>
    <m/>
    <n v="26.87500000417155"/>
    <x v="0"/>
    <d v="2025-05-18T14:41:00"/>
    <d v="2025-05-18T21:06:00"/>
    <n v="376.97916666438687"/>
    <s v="Waited for empties from trade"/>
    <d v="2025-05-19T11:35:00"/>
    <d v="2025-05-19T12:25:00"/>
    <n v="48.958333328773733"/>
    <x v="5"/>
    <n v="1.9277777777824667"/>
    <n v="2"/>
    <n v="7.2222222217533272E-2"/>
    <n v="46.266666666779201"/>
    <n v="12"/>
    <n v="34.266666666779201"/>
    <n v="4.4824902723588194"/>
    <m/>
    <m/>
    <m/>
    <m/>
    <m/>
  </r>
  <r>
    <d v="2025-05-18T00:00:00"/>
    <x v="4"/>
    <s v="KESH"/>
    <s v="OMMY8Y4RR"/>
    <s v="DJ"/>
    <s v="ALIPA EREKU"/>
    <s v="UBK 858R"/>
    <s v="Kobusinge Steven-FPortal Tax No.: 1000977837"/>
    <n v="156"/>
    <s v="OMMY8Y4RR"/>
    <s v="OM"/>
    <n v="304"/>
    <n v="302"/>
    <n v="-2"/>
    <m/>
    <d v="2025-05-18T10:57:00"/>
    <d v="2025-05-18T20:25:00"/>
    <d v="2025-05-18T11:51:00"/>
    <n v="-511.62037036944338"/>
    <n v="53.749999997914223"/>
    <x v="1"/>
    <d v="2025-05-18T20:27:00"/>
    <d v="2025-05-19T17:20:00"/>
    <n v="1226.8958333315095"/>
    <s v="found another truck to be offloaded"/>
    <d v="2025-05-20T13:17:00"/>
    <d v="2025-05-20T13:55:00"/>
    <n v="37.208333331509493"/>
    <x v="0"/>
    <n v="2.0597222222204437"/>
    <n v="2"/>
    <n v="-5.9722222220443655E-2"/>
    <n v="49.433333333290648"/>
    <n v="24"/>
    <n v="25.433333333290648"/>
    <n v="6.133682830940832"/>
    <m/>
    <m/>
    <m/>
    <m/>
    <m/>
  </r>
  <r>
    <d v="2025-05-18T00:00:00"/>
    <x v="4"/>
    <s v="KESH"/>
    <s v="OM1NA2CRR"/>
    <s v="DJ"/>
    <s v="KYAPA AKIMU"/>
    <s v="UBR 899Y"/>
    <s v="Kato Investment Ltd -Kagadi Tax No.: 1000098824"/>
    <n v="156"/>
    <s v="OM1NA2CRR"/>
    <s v="OM"/>
    <n v="670"/>
    <n v="669"/>
    <n v="-1"/>
    <m/>
    <d v="2025-05-18T08:01:00"/>
    <d v="2025-05-18T17:46:00"/>
    <d v="2025-05-18T08:30:00"/>
    <n v="-553.42592592569417"/>
    <n v="28.865740740972495"/>
    <x v="0"/>
    <d v="2025-05-19T12:04:00"/>
    <d v="2025-05-19T14:19:00"/>
    <n v="132.1875"/>
    <m/>
    <d v="2025-05-20T06:43:00"/>
    <d v="2025-05-20T07:25:00"/>
    <n v="41.12500000068394"/>
    <x v="0"/>
    <n v="1.9256944444496185"/>
    <n v="2"/>
    <n v="7.4305555550381541E-2"/>
    <n v="46.216666666790843"/>
    <n v="12"/>
    <n v="34.216666666790843"/>
    <n v="4.5591816853219829"/>
    <m/>
    <m/>
    <m/>
    <m/>
    <m/>
  </r>
  <r>
    <d v="2025-05-18T00:00:00"/>
    <x v="4"/>
    <s v="NBL"/>
    <s v="OMIDNADRR"/>
    <m/>
    <s v="GODWIN  NIWENSIIMA"/>
    <s v="UAR 731Q"/>
    <s v="KATO INVESTMENTS LIMITED-MASAK Tax No.: 1000098824"/>
    <n v="153.6"/>
    <s v="OMIDNADRR"/>
    <s v="OM"/>
    <n v="596"/>
    <n v="593"/>
    <n v="-3"/>
    <m/>
    <d v="2025-05-17T16:36:00"/>
    <d v="2025-05-18T04:14:00"/>
    <d v="2025-05-17T17:14:00"/>
    <m/>
    <n v="37.82407407222005"/>
    <x v="13"/>
    <d v="2025-05-18T11:39:00"/>
    <d v="2025-05-18T15:39:00"/>
    <n v="234.9999999965803"/>
    <s v="space consquents"/>
    <d v="2025-05-19T10:44:00"/>
    <d v="2025-05-19T11:20:00"/>
    <n v="35.25000000205182"/>
    <x v="0"/>
    <n v="1.7291666666715173"/>
    <n v="2"/>
    <n v="0.27083333332848269"/>
    <n v="41.500000000116415"/>
    <n v="12"/>
    <n v="29.500000000116415"/>
    <n v="5.2067796609964017"/>
    <m/>
    <m/>
    <m/>
    <m/>
    <m/>
  </r>
  <r>
    <d v="2025-05-18T00:00:00"/>
    <x v="4"/>
    <s v="NBL"/>
    <s v="OMLQ0DYRR"/>
    <m/>
    <s v="Benon Ssempijja"/>
    <s v="UAY 526V"/>
    <s v="Kabaco U Ltd-Mbarara Tax No.: 1000025425"/>
    <n v="153.6"/>
    <s v="OMLQ0DYRR"/>
    <s v="OM"/>
    <n v="20"/>
    <n v="18"/>
    <n v="-2"/>
    <m/>
    <d v="2025-05-17T21:00:00"/>
    <d v="2025-05-18T10:00:00"/>
    <d v="2025-05-17T21:50:00"/>
    <m/>
    <n v="49.768518513883464"/>
    <x v="9"/>
    <d v="2025-05-17T22:28:00"/>
    <d v="2025-05-18T12:46:00"/>
    <n v="840.12499999931606"/>
    <s v="Waited for empties from trade"/>
    <d v="2025-05-18T13:13:00"/>
    <d v="2025-05-18T13:49:00"/>
    <n v="35.25000000205182"/>
    <x v="0"/>
    <n v="0.64097222222335404"/>
    <n v="1"/>
    <n v="0.35902777777664596"/>
    <n v="15.383333333360497"/>
    <n v="0"/>
    <n v="15.383333333360497"/>
    <n v="9.9848320693214809"/>
    <m/>
    <m/>
    <m/>
    <m/>
    <m/>
  </r>
  <r>
    <d v="2025-05-18T00:00:00"/>
    <x v="4"/>
    <s v="KESH"/>
    <s v="OMS76RKRR"/>
    <s v="DJ"/>
    <s v="FRED LURE "/>
    <s v="UBP 310H"/>
    <s v="Kabaco U Ltd Tax No.: 1000025425"/>
    <n v="156"/>
    <s v="OMS76RKRR"/>
    <s v="OM"/>
    <n v="304"/>
    <n v="302"/>
    <n v="-2"/>
    <m/>
    <d v="2025-05-17T13:39:00"/>
    <d v="2025-05-18T02:22:00"/>
    <d v="2025-05-17T14:08:00"/>
    <n v="-730.60185185555986"/>
    <n v="28.865740740972495"/>
    <x v="0"/>
    <d v="2025-05-18T12:28:00"/>
    <d v="2025-05-18T14:33:00"/>
    <n v="122.39583333219343"/>
    <m/>
    <d v="2025-05-18T20:07:00"/>
    <d v="2025-05-18T20:51:00"/>
    <n v="43.083333330141613"/>
    <x v="0"/>
    <n v="1.2493055555532919"/>
    <n v="2"/>
    <n v="0.75069444444670808"/>
    <n v="29.983333333279006"/>
    <n v="12"/>
    <n v="17.983333333279006"/>
    <n v="8.674698795206929"/>
    <m/>
    <m/>
    <m/>
    <m/>
    <m/>
  </r>
  <r>
    <d v="2025-05-18T00:00:00"/>
    <x v="4"/>
    <s v="KESH"/>
    <s v="OMNK3ECRR"/>
    <s v="DJ"/>
    <s v="NGOBI FRED"/>
    <s v="UBK 866R"/>
    <s v="Sawan Distributors Ltd-Nabingo Tax No.: 1000186379"/>
    <n v="156"/>
    <s v="OMNK3ECRR"/>
    <s v="OM"/>
    <n v="560"/>
    <n v="558"/>
    <n v="-2"/>
    <m/>
    <d v="2025-05-17T13:32:00"/>
    <d v="2025-05-18T02:30:00"/>
    <d v="2025-05-17T14:01:00"/>
    <n v="-745.5324074076392"/>
    <n v="28.865740740972495"/>
    <x v="0"/>
    <d v="2025-05-18T10:46:00"/>
    <d v="2025-05-19T16:15:00"/>
    <n v="1732.145833336981"/>
    <s v="Waited for empties from trade"/>
    <d v="2025-05-22T20:13:00"/>
    <d v="2025-05-22T20:51:00"/>
    <n v="37.208333331509493"/>
    <x v="0"/>
    <n v="5.258333333338669"/>
    <n v="2"/>
    <n v="-3.258333333338669"/>
    <n v="126.20000000012806"/>
    <n v="60"/>
    <n v="66.200000000128057"/>
    <n v="2.3564954682733874"/>
    <m/>
    <m/>
    <m/>
    <m/>
    <m/>
  </r>
  <r>
    <d v="2025-05-18T00:00:00"/>
    <x v="4"/>
    <s v="KESH"/>
    <s v="OMOLX1VRR"/>
    <s v="DJ"/>
    <s v="Hassan Byashara"/>
    <s v="UBP 312H"/>
    <s v="Boniface Harera Tax No.: 1000317747"/>
    <n v="156"/>
    <s v="OMOLX1VRR"/>
    <s v="OM"/>
    <n v="448"/>
    <n v="447"/>
    <n v="-1"/>
    <m/>
    <d v="2025-05-18T10:01:00"/>
    <d v="2025-05-19T01:30:00"/>
    <d v="2025-05-18T10:54:00"/>
    <n v="-871.94444443957764"/>
    <n v="52.75462963472819"/>
    <x v="1"/>
    <d v="2025-05-19T12:06:00"/>
    <d v="2025-05-19T15:24:00"/>
    <n v="193.87500000615546"/>
    <s v="space consquents"/>
    <d v="2025-05-20T06:59:00"/>
    <d v="2025-05-20T07:38:00"/>
    <n v="38.18750000136788"/>
    <x v="0"/>
    <n v="1.8368055555547471"/>
    <n v="2"/>
    <n v="0.16319444444525288"/>
    <n v="44.083333333313931"/>
    <n v="12"/>
    <n v="32.083333333313931"/>
    <n v="4.8623376623406029"/>
    <m/>
    <m/>
    <m/>
    <m/>
    <m/>
  </r>
  <r>
    <d v="2025-05-18T00:00:00"/>
    <x v="4"/>
    <s v="KESH"/>
    <s v="OM5W1CRRR"/>
    <s v="DJ"/>
    <s v="Tumwine Jimmy"/>
    <s v="UBR 863Y"/>
    <s v="Sawan Distributors Ltd Hoima Tax No.: 1000186379"/>
    <n v="156"/>
    <s v="OM5W1CRRR"/>
    <s v="OM"/>
    <n v="790"/>
    <n v="788"/>
    <n v="-2"/>
    <m/>
    <d v="2025-05-17T21:35:00"/>
    <d v="2025-05-18T14:17:00"/>
    <d v="2025-05-17T22:02:00"/>
    <n v="-970.48611110415857"/>
    <n v="26.87500000417155"/>
    <x v="0"/>
    <d v="2025-05-19T11:38:00"/>
    <d v="2025-05-19T13:47:00"/>
    <n v="126.31250000136788"/>
    <m/>
    <d v="2025-05-20T17:34:00"/>
    <d v="2025-05-20T18:10:00"/>
    <n v="35.25000000205182"/>
    <x v="0"/>
    <n v="2.8138888888861402"/>
    <n v="3"/>
    <n v="0.18611111111385981"/>
    <n v="67.533333333267365"/>
    <n v="24"/>
    <n v="43.533333333267365"/>
    <n v="3.5834609494694423"/>
    <m/>
    <m/>
    <m/>
    <m/>
    <m/>
  </r>
  <r>
    <d v="2025-05-18T00:00:00"/>
    <x v="4"/>
    <s v="KESH"/>
    <s v="OMLJPR1RR"/>
    <s v="DJ"/>
    <s v="OLOWO JOHNWHITE"/>
    <s v="UBK 862R"/>
    <s v="Kato Investment Ltd -Mityana Tax No.: 1000098824"/>
    <n v="156"/>
    <s v="OMLJPR1RR"/>
    <s v="OM"/>
    <n v="690"/>
    <n v="688"/>
    <n v="-2"/>
    <m/>
    <d v="2025-05-17T19:47:00"/>
    <d v="2025-05-18T19:35:00"/>
    <d v="2025-05-17T20:16:00"/>
    <n v="-1392.5231481402686"/>
    <n v="28.865740740972495"/>
    <x v="0"/>
    <d v="2025-05-18T21:01:00"/>
    <d v="2025-05-19T14:23:00"/>
    <n v="1020.2916666684905"/>
    <s v="found another truck to be offloaded"/>
    <d v="2025-05-20T09:36:00"/>
    <d v="2025-05-20T10:33:00"/>
    <n v="55.81249999726424"/>
    <x v="5"/>
    <n v="2.5555555555547471"/>
    <n v="3"/>
    <n v="0.44444444444525288"/>
    <n v="61.333333333313931"/>
    <n v="24"/>
    <n v="37.333333333313931"/>
    <n v="4.1785714285736004"/>
    <m/>
    <m/>
    <m/>
    <m/>
    <m/>
  </r>
  <r>
    <d v="2025-05-18T00:00:00"/>
    <x v="4"/>
    <s v="KESH"/>
    <s v="OM848VIRR"/>
    <s v="DJ"/>
    <s v="RONALD KABANDA "/>
    <s v="UBE 684K"/>
    <s v="Kabaco U Ltd Tax No.: 1000025425"/>
    <n v="156"/>
    <s v="OM848VIRR"/>
    <s v="OM"/>
    <n v="304"/>
    <n v="301"/>
    <n v="-3"/>
    <m/>
    <d v="2025-05-17T21:04:00"/>
    <d v="2025-05-19T02:22:00"/>
    <d v="2025-05-17T21:31:00"/>
    <n v="-1722.9861111166731"/>
    <n v="26.87500000417155"/>
    <x v="0"/>
    <d v="2025-05-18T15:38:00"/>
    <d v="2025-05-19T11:37:00"/>
    <n v="1174.0208333335613"/>
    <s v="Waited for empties from trade"/>
    <d v="2025-05-19T17:13:00"/>
    <d v="2025-05-19T18:04:00"/>
    <n v="49.93749999863212"/>
    <x v="11"/>
    <n v="1.820833333338669"/>
    <n v="2"/>
    <n v="0.17916666666133096"/>
    <n v="43.700000000128057"/>
    <n v="12"/>
    <n v="31.700000000128057"/>
    <n v="4.9211356466678176"/>
    <m/>
    <m/>
    <m/>
    <m/>
    <m/>
  </r>
  <r>
    <d v="2025-05-18T00:00:00"/>
    <x v="4"/>
    <s v="KESH"/>
    <s v="OMO5Y0DRR"/>
    <s v="DJ"/>
    <s v="MUKOSE MUZAMIRU"/>
    <s v="UBJ 417C"/>
    <s v="Kabaco U Ltd Tax No.: 1000025425"/>
    <n v="156"/>
    <s v="OMO5Y0DRR"/>
    <s v="OM"/>
    <n v="304"/>
    <n v="302"/>
    <n v="-2"/>
    <m/>
    <d v="2025-05-17T19:45:00"/>
    <d v="2025-05-19T02:22:00"/>
    <d v="2025-05-17T20:12:00"/>
    <n v="-1801.6203703715291"/>
    <n v="26.87500000417155"/>
    <x v="0"/>
    <d v="2025-05-18T16:11:00"/>
    <d v="2025-05-19T12:44:00"/>
    <n v="1207.3124999958964"/>
    <s v="Waited for empties from trade"/>
    <d v="2025-05-19T18:35:00"/>
    <d v="2025-05-19T19:19:00"/>
    <n v="43.083333330141613"/>
    <x v="0"/>
    <n v="1.9326388888875954"/>
    <n v="2"/>
    <n v="6.7361111112404615E-2"/>
    <n v="46.383333333302289"/>
    <n v="12"/>
    <n v="34.383333333302289"/>
    <n v="4.5370819195387551"/>
    <m/>
    <m/>
    <m/>
    <m/>
    <m/>
  </r>
  <r>
    <d v="2025-05-19T00:00:00"/>
    <x v="4"/>
    <s v="NBL"/>
    <s v="OMVD6SARR"/>
    <m/>
    <s v="Tumusiime Robert"/>
    <s v="UBJ 988D"/>
    <s v="Kabaco U Ltd-Mbarara Tax No.: 1000025425"/>
    <n v="153.6"/>
    <s v="OMVD6SARR"/>
    <s v="OM"/>
    <n v="20"/>
    <n v="19"/>
    <n v="-1"/>
    <m/>
    <d v="2025-05-20T06:41:00"/>
    <d v="2025-05-19T07:42:00"/>
    <d v="2025-05-20T07:10:00"/>
    <m/>
    <n v="28.865740740972495"/>
    <x v="0"/>
    <d v="2025-05-20T09:23:00"/>
    <d v="2025-05-20T15:04:00"/>
    <n v="333.89583333424525"/>
    <s v="Waited for empties from trade"/>
    <d v="2025-05-20T15:39:00"/>
    <d v="2025-05-20T16:21:00"/>
    <n v="41.12500000068394"/>
    <x v="0"/>
    <n v="0.35347222222480923"/>
    <n v="1"/>
    <n v="0.64652777777519077"/>
    <n v="8.4833333333954215"/>
    <n v="0"/>
    <n v="8.4833333333954215"/>
    <n v="18.106090373148426"/>
    <m/>
    <m/>
    <m/>
    <m/>
    <m/>
  </r>
  <r>
    <d v="2025-05-19T00:00:00"/>
    <x v="4"/>
    <s v="NBL"/>
    <s v="OMI2426RR"/>
    <m/>
    <s v="Kilabila Ismail"/>
    <s v="UBE 419T"/>
    <s v="Ntale &amp; Sons Tax No.: 1001371381"/>
    <n v="153.6"/>
    <s v="OMI2426RR"/>
    <s v="OM"/>
    <n v="810"/>
    <n v="808"/>
    <n v="-2"/>
    <m/>
    <d v="2025-05-19T09:46:00"/>
    <d v="2025-05-18T16:40:00"/>
    <d v="2025-05-19T10:24:00"/>
    <m/>
    <n v="37.82407407222005"/>
    <x v="2"/>
    <d v="2025-05-20T09:24:00"/>
    <d v="2025-05-20T13:47:00"/>
    <n v="257.52083333150949"/>
    <s v="space consquents"/>
    <d v="2025-05-21T15:19:00"/>
    <d v="2025-05-21T16:03:00"/>
    <n v="43.083333330141613"/>
    <x v="0"/>
    <n v="2.2048611111094942"/>
    <n v="3"/>
    <n v="0.79513888889050577"/>
    <n v="52.916666666627862"/>
    <n v="24"/>
    <n v="28.916666666627862"/>
    <n v="5.3118155619667826"/>
    <m/>
    <m/>
    <m/>
    <m/>
    <m/>
  </r>
  <r>
    <d v="2025-05-19T00:00:00"/>
    <x v="4"/>
    <s v="NBL"/>
    <s v="OM9SFORRR"/>
    <m/>
    <s v="Konge Husein"/>
    <s v="UBJ 707D"/>
    <s v="RUGOMA TRADERS CO. LTD NTUNGAM Tax No.: 1000249350"/>
    <n v="153.6"/>
    <s v="OM9SFORRR"/>
    <s v="OM"/>
    <n v="150"/>
    <n v="147"/>
    <n v="-3"/>
    <m/>
    <d v="2025-05-19T17:26:00"/>
    <d v="2025-05-19T06:15:00"/>
    <d v="2025-05-19T17:53:00"/>
    <m/>
    <n v="26.87500000417155"/>
    <x v="0"/>
    <d v="2025-05-19T18:08:00"/>
    <d v="2025-05-20T14:43:00"/>
    <n v="1209.270833325354"/>
    <s v="Reached late and offloaded the next day"/>
    <d v="2025-05-20T16:58:00"/>
    <d v="2025-05-20T17:49:00"/>
    <n v="49.93749999863212"/>
    <x v="12"/>
    <n v="0.96180555555474712"/>
    <n v="1"/>
    <n v="3.8194444445252884E-2"/>
    <n v="23.083333333313931"/>
    <n v="0"/>
    <n v="23.083333333313931"/>
    <n v="6.6541516245543297"/>
    <m/>
    <m/>
    <m/>
    <m/>
    <m/>
  </r>
  <r>
    <d v="2025-05-19T00:00:00"/>
    <x v="4"/>
    <s v="NBL"/>
    <s v="OM88KEFRR"/>
    <m/>
    <s v="GODWIN  NIWENSIIMA"/>
    <s v="UAR 731Q"/>
    <s v="KATO INVESTMENTS LIMITED-MASAK Tax No.: 1000098824"/>
    <n v="153.6"/>
    <s v="OM88KEFRR"/>
    <s v="OM"/>
    <n v="596"/>
    <n v="595"/>
    <n v="-1"/>
    <m/>
    <d v="2025-05-19T14:20:00"/>
    <d v="2025-05-19T04:14:00"/>
    <d v="2025-05-19T14:48:00"/>
    <m/>
    <n v="27.870370367357584"/>
    <x v="0"/>
    <d v="2025-05-20T10:43:00"/>
    <d v="2025-05-20T12:47:00"/>
    <n v="121.41666666233505"/>
    <m/>
    <d v="2025-05-21T11:08:00"/>
    <d v="2025-05-21T11:52:00"/>
    <n v="43.083333330141613"/>
    <x v="0"/>
    <n v="1.8472222222189885"/>
    <n v="2"/>
    <n v="0.15277777778101154"/>
    <n v="44.333333333255723"/>
    <n v="12"/>
    <n v="32.333333333255723"/>
    <n v="4.7505154639289282"/>
    <m/>
    <m/>
    <m/>
    <m/>
    <m/>
  </r>
  <r>
    <d v="2025-05-19T00:00:00"/>
    <x v="4"/>
    <s v="NBL"/>
    <s v="OMA1ALERR"/>
    <m/>
    <s v="James  Kironde"/>
    <s v="UBK 881R"/>
    <s v="KATO INVESTMENTS LIMITED-MASAK Tax No.: 1000098824"/>
    <n v="153.6"/>
    <s v="OMA1ALERR"/>
    <s v="OM"/>
    <n v="596"/>
    <n v="594"/>
    <n v="-2"/>
    <m/>
    <d v="2025-05-19T10:09:00"/>
    <d v="2025-05-19T04:14:00"/>
    <d v="2025-05-19T10:38:00"/>
    <m/>
    <n v="28.865740740972495"/>
    <x v="0"/>
    <d v="2025-05-19T15:08:00"/>
    <d v="2025-05-19T20:12:00"/>
    <n v="297.66666666233505"/>
    <s v="Waited for empties from trade"/>
    <d v="2025-05-20T10:15:00"/>
    <d v="2025-05-20T10:59:00"/>
    <n v="43.083333330141613"/>
    <x v="0"/>
    <n v="0.98402777777664596"/>
    <n v="2"/>
    <n v="1.015972222223354"/>
    <n v="23.616666666639503"/>
    <n v="0"/>
    <n v="23.616666666639503"/>
    <n v="6.5038814396687368"/>
    <m/>
    <m/>
    <m/>
    <m/>
    <m/>
  </r>
  <r>
    <d v="2025-05-19T00:00:00"/>
    <x v="4"/>
    <s v="KESH"/>
    <s v="OMDOC0ORR"/>
    <s v="DJ"/>
    <s v="SENTONGO GODFREY"/>
    <s v="UBR 864Y"/>
    <s v="Kato Investment Ltd -Mityana Tax No.: 1000098824"/>
    <n v="156"/>
    <s v="OMDOC0ORR"/>
    <s v="OM"/>
    <n v="690"/>
    <n v="688"/>
    <n v="-2"/>
    <m/>
    <d v="2025-05-18T19:07:00"/>
    <d v="2025-05-18T20:00:00"/>
    <d v="2025-05-18T20:01:00"/>
    <n v="0.99537036318603589"/>
    <n v="53.749999997914223"/>
    <x v="12"/>
    <d v="2025-05-19T18:16:00"/>
    <d v="2025-05-20T14:03:00"/>
    <n v="1162.2708333362971"/>
    <s v="truck faulty"/>
    <d v="2025-05-21T10:30:00"/>
    <d v="2025-05-21T11:12:00"/>
    <n v="41.12500000068394"/>
    <x v="0"/>
    <n v="2.6034722222248092"/>
    <n v="3"/>
    <n v="0.39652777777519077"/>
    <n v="62.483333333395422"/>
    <n v="24"/>
    <n v="38.483333333395422"/>
    <n v="4.0537029016825024"/>
    <m/>
    <m/>
    <m/>
    <m/>
    <m/>
  </r>
  <r>
    <d v="2025-05-19T00:00:00"/>
    <x v="4"/>
    <s v="KESH"/>
    <s v="OMT96O9RR"/>
    <s v="DJ"/>
    <s v="MBOGO BASHIR"/>
    <s v="UBR 903Y"/>
    <s v="Sawan Distributors Ltd Hoima Tax No.: 1000186379"/>
    <n v="156"/>
    <s v="OMT96O9RR"/>
    <s v="OM"/>
    <n v="790"/>
    <n v="787"/>
    <n v="-3"/>
    <m/>
    <d v="2025-05-18T19:21:00"/>
    <d v="2025-05-18T20:00:00"/>
    <d v="2025-05-18T19:44:00"/>
    <n v="-15.925925925694173"/>
    <n v="22.893518520140788"/>
    <x v="0"/>
    <d v="2025-05-19T09:03:00"/>
    <d v="2025-05-19T12:54:00"/>
    <n v="226.18749999863212"/>
    <s v="Reached late and offloaded the next day"/>
    <d v="2025-05-20T08:47:00"/>
    <d v="2025-05-20T09:30:00"/>
    <n v="42.104166670542327"/>
    <x v="0"/>
    <n v="1.5437499999970896"/>
    <n v="3"/>
    <n v="1.4562500000029104"/>
    <n v="37.049999999930151"/>
    <n v="12"/>
    <n v="25.049999999930151"/>
    <n v="6.2275449101970057"/>
    <m/>
    <m/>
    <m/>
    <m/>
    <m/>
  </r>
  <r>
    <d v="2025-05-19T00:00:00"/>
    <x v="4"/>
    <s v="KESH"/>
    <s v="OMCAD1GRR"/>
    <s v="DJ"/>
    <s v="ALLEX TAIMWA"/>
    <s v="UBJ 705D"/>
    <s v="Kato Investment Ltd -Mityana Tax No.: 1000098824"/>
    <n v="156"/>
    <s v="OMCAD1GRR"/>
    <s v="OM"/>
    <n v="690"/>
    <n v="688"/>
    <n v="-2"/>
    <m/>
    <d v="2025-05-18T18:54:00"/>
    <d v="2025-05-18T20:00:00"/>
    <d v="2025-05-18T19:21:00"/>
    <n v="-38.819444445834961"/>
    <n v="26.87500000417155"/>
    <x v="0"/>
    <d v="2025-05-19T15:43:00"/>
    <d v="2025-05-19T21:45:00"/>
    <n v="354.45833332945767"/>
    <s v="found another truck to be offloaded"/>
    <d v="2025-05-20T13:15:00"/>
    <d v="2025-05-20T13:51:00"/>
    <n v="35.25000000205182"/>
    <x v="0"/>
    <n v="1.7458333333343035"/>
    <n v="3"/>
    <n v="1.2541666666656965"/>
    <n v="41.900000000023283"/>
    <n v="12"/>
    <n v="29.900000000023283"/>
    <n v="5.2173913043437636"/>
    <m/>
    <m/>
    <m/>
    <m/>
    <m/>
  </r>
  <r>
    <d v="2025-05-19T00:00:00"/>
    <x v="4"/>
    <s v="KESH"/>
    <s v="OM1F6UHRR"/>
    <s v="DJ"/>
    <s v="FRED LURE "/>
    <s v="UBP 310H"/>
    <s v="Kobusinge Steven-Kamwenge Tax No.: 1000977837"/>
    <n v="156"/>
    <s v="OM1F6UHRR"/>
    <s v="OM"/>
    <n v="228"/>
    <n v="226"/>
    <n v="-2"/>
    <m/>
    <d v="2025-05-18T21:37:00"/>
    <d v="2025-05-19T03:17:00"/>
    <d v="2025-05-18T22:05:00"/>
    <n v="-310.55555555625079"/>
    <n v="27.870370367357584"/>
    <x v="0"/>
    <d v="2025-05-19T16:41:00"/>
    <d v="2025-05-19T21:46:00"/>
    <n v="298.64583333219343"/>
    <s v="Waited for empties from trade"/>
    <d v="2025-05-20T11:37:00"/>
    <d v="2025-05-20T12:34:00"/>
    <n v="55.81249999726424"/>
    <x v="14"/>
    <n v="1.5638888888861402"/>
    <n v="2"/>
    <n v="0.43611111111385981"/>
    <n v="37.533333333267365"/>
    <n v="12"/>
    <n v="25.533333333267365"/>
    <n v="6.1096605744283181"/>
    <m/>
    <m/>
    <m/>
    <m/>
    <m/>
  </r>
  <r>
    <d v="2025-05-19T00:00:00"/>
    <x v="4"/>
    <s v="KESH"/>
    <s v="OMYP1ZIRR"/>
    <s v="DJ"/>
    <s v="SENTONGO PAUL"/>
    <s v="UBR 855Y"/>
    <s v="Sawan Distributors Ltd-Nabingo Tax No.: 1000186379"/>
    <n v="156"/>
    <s v="OMYP1ZIRR"/>
    <s v="OM"/>
    <n v="560"/>
    <n v="557"/>
    <n v="-3"/>
    <m/>
    <d v="2025-05-18T20:35:00"/>
    <d v="2025-05-19T02:30:00"/>
    <d v="2025-05-18T21:03:00"/>
    <n v="-325.48611110833008"/>
    <n v="27.870370367357584"/>
    <x v="0"/>
    <d v="2025-05-19T11:07:00"/>
    <d v="2025-05-19T18:32:00"/>
    <n v="435.72916667122627"/>
    <s v="space consquents"/>
    <d v="2025-05-20T13:34:00"/>
    <d v="2025-05-20T14:10:00"/>
    <n v="35.25000000205182"/>
    <x v="0"/>
    <n v="1.6881944444467081"/>
    <n v="2"/>
    <n v="0.31180555555329192"/>
    <n v="40.516666666720994"/>
    <n v="12"/>
    <n v="28.516666666720994"/>
    <n v="5.4704850964244116"/>
    <m/>
    <m/>
    <m/>
    <m/>
    <m/>
  </r>
  <r>
    <d v="2025-05-19T00:00:00"/>
    <x v="4"/>
    <s v="KESH"/>
    <s v="OMURC7ARR"/>
    <s v="DJ"/>
    <s v="FARUK   ABEL"/>
    <s v="UBR 539W"/>
    <s v="Rugoma Traders-Rukungiri Tax No.: 1000249350"/>
    <n v="156"/>
    <s v="OMURC7ARR"/>
    <s v="OM"/>
    <n v="256"/>
    <n v="254"/>
    <n v="-2"/>
    <m/>
    <d v="2025-05-18T21:27:00"/>
    <d v="2025-05-19T04:04:00"/>
    <d v="2025-05-18T21:50:00"/>
    <n v="-372.26851852222654"/>
    <n v="22.893518520140788"/>
    <x v="0"/>
    <d v="2025-05-19T17:22:00"/>
    <d v="2025-05-19T19:28:00"/>
    <n v="123.37500000205182"/>
    <m/>
    <d v="2025-05-19T22:22:00"/>
    <d v="2025-05-19T23:00:00"/>
    <n v="37.208333331509493"/>
    <x v="0"/>
    <n v="1.0222222222218988"/>
    <n v="2"/>
    <n v="0.97777777777810115"/>
    <n v="24.533333333325572"/>
    <n v="12"/>
    <n v="12.533333333325572"/>
    <n v="12.446808510646004"/>
    <m/>
    <m/>
    <m/>
    <m/>
    <m/>
  </r>
  <r>
    <d v="2025-05-19T00:00:00"/>
    <x v="4"/>
    <s v="NBL"/>
    <s v="OMIG098RR"/>
    <m/>
    <s v="Isaac Tumuhimbise"/>
    <s v="UBE 287X"/>
    <s v="Rugoma Traders-Kanungu/Kihihi Tax No.: 1000249350"/>
    <n v="153.6"/>
    <s v="OMIG098RR"/>
    <s v="OM"/>
    <n v="272"/>
    <n v="270"/>
    <n v="-2"/>
    <m/>
    <d v="2025-05-18T15:15:00"/>
    <d v="2025-05-19T01:59:00"/>
    <d v="2025-05-18T15:53:00"/>
    <m/>
    <n v="37.82407407222005"/>
    <x v="13"/>
    <d v="2025-05-19T10:28:00"/>
    <d v="2025-05-19T15:40:00"/>
    <n v="305.50000000068394"/>
    <s v="Waited for empties from trade"/>
    <d v="2025-05-20T08:14:00"/>
    <d v="2025-05-20T09:11:00"/>
    <n v="55.81249999726424"/>
    <x v="16"/>
    <n v="1.6812499999941792"/>
    <n v="2"/>
    <n v="0.31875000000582077"/>
    <n v="40.349999999860302"/>
    <n v="12"/>
    <n v="28.349999999860302"/>
    <n v="5.4179894180161154"/>
    <m/>
    <m/>
    <m/>
    <m/>
    <m/>
  </r>
  <r>
    <d v="2025-05-19T00:00:00"/>
    <x v="4"/>
    <s v="NBL"/>
    <s v="OMI6DE8RR"/>
    <m/>
    <s v="Mugisha  George"/>
    <s v="UAV 203T"/>
    <s v="KATO INVESTMENTS LTD- KALISIZO Tax No.: 1000098824"/>
    <n v="153.6"/>
    <s v="OMI6DE8RR"/>
    <s v="OM"/>
    <n v="288"/>
    <n v="286"/>
    <n v="-2"/>
    <m/>
    <d v="2025-05-18T16:12:00"/>
    <d v="2025-05-19T03:43:00"/>
    <d v="2025-05-18T16:35:00"/>
    <m/>
    <n v="22.893518520140788"/>
    <x v="0"/>
    <d v="2025-05-19T13:51:00"/>
    <d v="2025-05-19T18:27:00"/>
    <n v="270.25000000889122"/>
    <s v="space consquents"/>
    <d v="2025-05-20T13:51:00"/>
    <d v="2025-05-20T14:43:00"/>
    <n v="50.916666668490507"/>
    <x v="11"/>
    <n v="1.8861111111109494"/>
    <n v="2"/>
    <n v="0.11388888888905058"/>
    <n v="45.266666666662786"/>
    <n v="12"/>
    <n v="33.266666666662786"/>
    <n v="4.6172344689384142"/>
    <m/>
    <m/>
    <m/>
    <m/>
    <m/>
  </r>
  <r>
    <d v="2025-05-20T00:00:00"/>
    <x v="4"/>
    <s v="NBL"/>
    <s v="OMOZKQCRR"/>
    <m/>
    <s v="ANGELO KYOSIGA "/>
    <s v="UAV 051U"/>
    <s v="KATO INVESTMENTS LIMITED-MASAK Tax No.: 1000098824"/>
    <n v="153.6"/>
    <s v="OMOZKQCRR"/>
    <s v="OM"/>
    <n v="596"/>
    <n v="594"/>
    <n v="-2"/>
    <m/>
    <d v="2025-05-20T17:14:00"/>
    <d v="2025-05-19T15:30:00"/>
    <d v="2025-05-20T18:04:00"/>
    <m/>
    <n v="49.768518513883464"/>
    <x v="1"/>
    <d v="2025-05-21T11:58:00"/>
    <d v="2025-05-21T19:31:00"/>
    <n v="443.56249999931606"/>
    <s v="truck faulty"/>
    <d v="2025-05-22T16:05:00"/>
    <d v="2025-05-22T16:41:00"/>
    <n v="35.25000000205182"/>
    <x v="0"/>
    <n v="1.9173611111109494"/>
    <n v="2"/>
    <n v="8.2638888889050577E-2"/>
    <n v="46.016666666662786"/>
    <n v="12"/>
    <n v="34.016666666662786"/>
    <n v="4.5154336109755269"/>
    <m/>
    <m/>
    <m/>
    <m/>
    <m/>
  </r>
  <r>
    <d v="2025-05-20T00:00:00"/>
    <x v="4"/>
    <s v="NBL"/>
    <s v="OM234XURR"/>
    <m/>
    <s v="Stephen Musoke "/>
    <s v="UBJ 375N"/>
    <s v="KATO INVESTMENTS LTD- KALISIZO Tax No.: 1000098824"/>
    <n v="153.6"/>
    <s v="OM234XURR"/>
    <s v="OM"/>
    <n v="288"/>
    <n v="286"/>
    <n v="-2"/>
    <m/>
    <d v="2025-05-20T13:47:00"/>
    <d v="2025-05-20T03:43:00"/>
    <d v="2025-05-20T14:10:00"/>
    <m/>
    <n v="22.893518520140788"/>
    <x v="0"/>
    <d v="2025-05-21T10:05:00"/>
    <d v="2025-05-21T12:33:00"/>
    <n v="144.91666666712263"/>
    <m/>
    <d v="2025-05-21T18:08:00"/>
    <d v="2025-05-21T18:50:00"/>
    <n v="41.12500000068394"/>
    <x v="0"/>
    <n v="1.1652777777781012"/>
    <n v="2"/>
    <n v="0.83472222222189885"/>
    <n v="27.966666666674428"/>
    <n v="12"/>
    <n v="15.966666666674428"/>
    <n v="9.6200417536487688"/>
    <m/>
    <m/>
    <m/>
    <m/>
    <m/>
  </r>
  <r>
    <d v="2025-05-20T00:00:00"/>
    <x v="4"/>
    <s v="KESH"/>
    <s v="OM883HQRR"/>
    <s v="DJ"/>
    <s v="MBOGO BASHIR"/>
    <s v="UBR 903Y"/>
    <s v="KATO INVESTMENTS LTD-KATIKARA Tax No.: 1000098824"/>
    <n v="156"/>
    <s v="OM883HQRR"/>
    <s v="OM"/>
    <n v="790"/>
    <n v="788"/>
    <n v="-2"/>
    <m/>
    <d v="2025-05-20T22:14:00"/>
    <d v="2025-05-20T15:48:00"/>
    <d v="2025-05-20T22:42:00"/>
    <n v="412.08333333124756"/>
    <n v="27.870370367357584"/>
    <x v="0"/>
    <d v="2025-05-22T07:09:00"/>
    <d v="2025-05-22T10:25:00"/>
    <n v="191.91666666643869"/>
    <s v="less casuals and offloaded the next day"/>
    <d v="2025-05-24T14:17:00"/>
    <d v="2025-05-24T14:53:00"/>
    <n v="35.25000000205182"/>
    <x v="0"/>
    <n v="3.6493055555547471"/>
    <n v="3"/>
    <n v="-0.64930555555474712"/>
    <n v="87.583333333313931"/>
    <n v="36"/>
    <n v="51.583333333313931"/>
    <n v="3.0242326332806204"/>
    <m/>
    <m/>
    <m/>
    <m/>
    <m/>
  </r>
  <r>
    <d v="2025-05-20T00:00:00"/>
    <x v="4"/>
    <s v="NBL"/>
    <s v="OM87MPTRR"/>
    <m/>
    <s v="Jacob Oneka"/>
    <s v="UBE 422T"/>
    <s v="Kabaco U Ltd-Mbarara Tax No.: 1000025425"/>
    <n v="153.6"/>
    <s v="OM87MPTRR"/>
    <s v="OM"/>
    <n v="20"/>
    <n v="18"/>
    <n v="-2"/>
    <m/>
    <d v="2025-05-19T17:04:00"/>
    <d v="2025-05-19T15:00:00"/>
    <d v="2025-05-19T17:27:00"/>
    <m/>
    <n v="22.893518520140788"/>
    <x v="0"/>
    <d v="2025-05-20T11:55:00"/>
    <d v="2025-05-20T15:16:00"/>
    <n v="196.81249999521242"/>
    <s v="found another truck to be offloaded"/>
    <d v="2025-05-21T09:40:00"/>
    <d v="2025-05-21T10:18:00"/>
    <n v="37.208333331509493"/>
    <x v="0"/>
    <n v="1.6756944444496185"/>
    <n v="1"/>
    <n v="-0.67569444444961846"/>
    <n v="40.216666666790843"/>
    <n v="12"/>
    <n v="28.216666666790843"/>
    <n v="5.4435912580977215"/>
    <m/>
    <m/>
    <m/>
    <m/>
    <m/>
  </r>
  <r>
    <d v="2025-05-20T00:00:00"/>
    <x v="4"/>
    <s v="NBL"/>
    <s v="OMOYM2FRR"/>
    <m/>
    <s v="Abel Mark naffa"/>
    <s v="UBJ 415C"/>
    <s v="Kabaco U Ltd-Mbarara Tax No.: 1000025425"/>
    <n v="153.6"/>
    <s v="OMOYM2FRR"/>
    <s v="OM"/>
    <n v="20"/>
    <n v="18"/>
    <n v="-2"/>
    <m/>
    <d v="2025-05-20T09:54:00"/>
    <d v="2025-05-20T10:00:00"/>
    <d v="2025-05-20T10:22:00"/>
    <m/>
    <n v="27.870370367357584"/>
    <x v="0"/>
    <d v="2025-05-20T13:54:00"/>
    <d v="2025-05-20T16:02:00"/>
    <n v="125.33333333150949"/>
    <m/>
    <d v="2025-05-20T14:30:00"/>
    <d v="2025-05-20T15:21:00"/>
    <n v="49.93749999863212"/>
    <x v="8"/>
    <n v="0.17222222222335404"/>
    <n v="1"/>
    <n v="0.82777777777664596"/>
    <n v="4.1333333333604969"/>
    <n v="0"/>
    <n v="4.1333333333604969"/>
    <n v="37.161290322336427"/>
    <m/>
    <m/>
    <m/>
    <m/>
    <m/>
  </r>
  <r>
    <d v="2025-05-20T00:00:00"/>
    <x v="4"/>
    <s v="KESH"/>
    <s v="OM2B764RR"/>
    <s v="DJ"/>
    <s v="RONALD KABANDA "/>
    <s v="UBE 684K"/>
    <s v="Sawan Distributors Ltd Hoima Tax No.: 1000186379"/>
    <n v="156"/>
    <s v="OM2B764RR"/>
    <s v="OM"/>
    <n v="790"/>
    <n v="788"/>
    <n v="-2"/>
    <m/>
    <d v="2025-05-20T09:43:00"/>
    <d v="2025-05-20T14:17:00"/>
    <d v="2025-05-20T10:06:00"/>
    <n v="-249.83796296388996"/>
    <n v="22.893518520140788"/>
    <x v="0"/>
    <d v="2025-05-21T09:27:00"/>
    <d v="2025-05-21T11:15:00"/>
    <n v="105.74999999589636"/>
    <m/>
    <d v="2025-05-25T10:07:00"/>
    <d v="2025-05-25T11:04:00"/>
    <n v="55.81249999726424"/>
    <x v="8"/>
    <n v="5.0006944444467081"/>
    <n v="3"/>
    <n v="-2.0006944444467081"/>
    <n v="120.01666666672099"/>
    <n v="60"/>
    <n v="60.016666666720994"/>
    <n v="2.5992779783369975"/>
    <m/>
    <m/>
    <m/>
    <m/>
    <m/>
  </r>
  <r>
    <d v="2025-05-20T00:00:00"/>
    <x v="4"/>
    <s v="KESH"/>
    <s v="OMXSDRORR"/>
    <s v="DJ"/>
    <s v="SENTONG DAVID"/>
    <s v="UBP 298H"/>
    <s v="Kabaco U Ltd Tax No.: 1000025425"/>
    <n v="156"/>
    <s v="OMXSDRORR"/>
    <s v="OM"/>
    <n v="304"/>
    <n v="302"/>
    <n v="-2"/>
    <m/>
    <d v="2025-05-19T21:37:00"/>
    <d v="2025-05-20T02:22:00"/>
    <d v="2025-05-19T22:00:00"/>
    <n v="-260.78703704236733"/>
    <n v="22.893518520140788"/>
    <x v="0"/>
    <d v="2025-05-20T17:39:00"/>
    <d v="2025-05-21T13:19:00"/>
    <n v="1155.4166666575475"/>
    <s v="truck faulty"/>
    <d v="2025-05-21T20:03:00"/>
    <d v="2025-05-21T21:00:00"/>
    <n v="55.81249999726424"/>
    <x v="4"/>
    <n v="1.9187500000043656"/>
    <n v="2"/>
    <n v="8.1249999995634425E-2"/>
    <n v="46.050000000104774"/>
    <n v="12"/>
    <n v="34.050000000104774"/>
    <n v="4.5814977973427311"/>
    <m/>
    <m/>
    <m/>
    <m/>
    <m/>
  </r>
  <r>
    <d v="2025-05-20T00:00:00"/>
    <x v="4"/>
    <s v="KESH"/>
    <s v="OM3KRYURR"/>
    <s v="DJ"/>
    <s v="KAJUBI ISMA"/>
    <s v="UBR 538W"/>
    <s v="Kato Investment Ltd -Mityana Tax No.: 1000098824"/>
    <n v="156"/>
    <s v="OM3KRYURR"/>
    <s v="OM"/>
    <n v="690"/>
    <n v="688"/>
    <n v="-2"/>
    <m/>
    <d v="2025-05-19T14:21:00"/>
    <d v="2025-05-19T19:35:00"/>
    <d v="2025-05-19T14:59:00"/>
    <n v="-274.72222222083172"/>
    <n v="37.82407407222005"/>
    <x v="1"/>
    <d v="2025-05-20T21:07:00"/>
    <d v="2025-05-21T09:38:00"/>
    <n v="735.35416666301899"/>
    <s v="truck faulty"/>
    <d v="2025-05-21T20:18:00"/>
    <d v="2025-05-21T21:15:00"/>
    <n v="55.81249999726424"/>
    <x v="5"/>
    <n v="2.2215277777795563"/>
    <n v="3"/>
    <n v="0.77847222222044365"/>
    <n v="53.316666666709352"/>
    <n v="24"/>
    <n v="29.316666666709352"/>
    <n v="5.3212052302367097"/>
    <m/>
    <m/>
    <m/>
    <m/>
    <m/>
  </r>
  <r>
    <d v="2025-05-20T00:00:00"/>
    <x v="4"/>
    <s v="NBL"/>
    <s v="OMWEW2ZRR"/>
    <m/>
    <s v="Bisaso  Ronald"/>
    <s v="UBK 875R"/>
    <s v="KATO INVESTMENTS LIMITED-MASAK Tax No.: 1000098824"/>
    <n v="153.6"/>
    <s v="OMWEW2ZRR"/>
    <s v="OM"/>
    <n v="596"/>
    <n v="594"/>
    <n v="-2"/>
    <m/>
    <d v="2025-05-19T19:51:00"/>
    <d v="2025-05-20T04:14:00"/>
    <d v="2025-05-19T20:14:00"/>
    <m/>
    <n v="22.893518520140788"/>
    <x v="0"/>
    <d v="2025-05-20T08:46:00"/>
    <d v="2025-05-20T19:42:00"/>
    <n v="642.33333333424525"/>
    <s v="space consquents"/>
    <d v="2025-05-21T09:33:00"/>
    <d v="2025-05-21T10:24:00"/>
    <n v="49.93749999863212"/>
    <x v="13"/>
    <n v="1.554861111115315"/>
    <n v="2"/>
    <n v="0.445138888884685"/>
    <n v="37.31666666676756"/>
    <n v="12"/>
    <n v="25.31666666676756"/>
    <n v="6.0671494403971504"/>
    <m/>
    <m/>
    <m/>
    <m/>
    <m/>
  </r>
  <r>
    <d v="2025-05-20T00:00:00"/>
    <x v="4"/>
    <s v="KESH"/>
    <s v="OMDJQQCRR"/>
    <s v="DJ"/>
    <s v="ZIWA ABASI"/>
    <s v="UBJ 420C"/>
    <s v="Sawan Distributors Ltd-Kayabwe Tax No.: 1000186379"/>
    <n v="156"/>
    <s v="OMDJQQCRR"/>
    <s v="OM"/>
    <n v="382"/>
    <n v="380"/>
    <n v="-2"/>
    <m/>
    <d v="2025-05-19T19:51:00"/>
    <d v="2025-05-20T04:19:00"/>
    <d v="2025-05-19T20:18:00"/>
    <n v="-478.77314814444009"/>
    <n v="26.87500000417155"/>
    <x v="0"/>
    <d v="2025-05-20T08:37:00"/>
    <d v="2025-05-20T12:20:00"/>
    <n v="218.35416667054233"/>
    <s v="Waited for empties from trade"/>
    <d v="2025-05-20T19:49:00"/>
    <d v="2025-05-20T20:27:00"/>
    <n v="37.208333331509493"/>
    <x v="0"/>
    <n v="0.97986111111094942"/>
    <n v="2"/>
    <n v="1.0201388888890506"/>
    <n v="23.516666666662786"/>
    <n v="0"/>
    <n v="23.516666666662786"/>
    <n v="6.6335931963157648"/>
    <m/>
    <m/>
    <m/>
    <m/>
    <m/>
  </r>
  <r>
    <d v="2025-05-20T00:00:00"/>
    <x v="4"/>
    <s v="KESH"/>
    <s v="OMI7KX4RR"/>
    <s v="DJ"/>
    <s v="ABDUL NASSER NTENDE"/>
    <s v="UBR 900Y"/>
    <s v="Kato Investment Ltd -Mityana Tax No.: 1000098824"/>
    <n v="156"/>
    <s v="OMI7KX4RR"/>
    <s v="OM"/>
    <n v="690"/>
    <n v="688"/>
    <n v="-2"/>
    <m/>
    <d v="2025-05-20T10:17:00"/>
    <d v="2025-05-20T19:35:00"/>
    <d v="2025-05-20T11:07:00"/>
    <n v="-505.64814814861165"/>
    <n v="49.768518513883464"/>
    <x v="12"/>
    <d v="2025-05-22T13:50:00"/>
    <d v="2025-05-22T16:01:00"/>
    <n v="128.27083333082555"/>
    <m/>
    <d v="2025-05-23T20:09:00"/>
    <d v="2025-05-23T20:52:00"/>
    <n v="42.104166670542327"/>
    <x v="0"/>
    <n v="3.3763888888934162"/>
    <n v="3"/>
    <n v="-0.37638888889341615"/>
    <n v="81.033333333441988"/>
    <n v="36"/>
    <n v="45.033333333441988"/>
    <n v="3.464100666164847"/>
    <m/>
    <m/>
    <m/>
    <m/>
    <m/>
  </r>
  <r>
    <d v="2025-05-20T00:00:00"/>
    <x v="4"/>
    <s v="NBL"/>
    <s v="OMK4XSVRR"/>
    <m/>
    <s v="James  Kironde"/>
    <s v="UBK 881R"/>
    <s v="Rugoma Traders-Kanungu/Kihihi Tax No.: 1000249350"/>
    <n v="153.6"/>
    <s v="OMK4XSVRR"/>
    <s v="OM"/>
    <n v="272"/>
    <n v="270"/>
    <n v="-2"/>
    <m/>
    <d v="2025-05-20T16:57:00"/>
    <d v="2025-05-21T01:59:00"/>
    <d v="2025-05-20T17:20:00"/>
    <m/>
    <n v="22.893518520140788"/>
    <x v="0"/>
    <d v="2025-05-21T14:31:00"/>
    <d v="2025-05-21T18:34:00"/>
    <n v="237.93749999589636"/>
    <s v="truck faulty"/>
    <d v="2025-05-22T12:05:00"/>
    <d v="2025-05-22T12:54:00"/>
    <n v="47.979166669174447"/>
    <x v="11"/>
    <n v="1.78125"/>
    <n v="2"/>
    <n v="0.21875"/>
    <n v="42.75"/>
    <n v="12"/>
    <n v="30.75"/>
    <n v="4.9951219512195122"/>
    <m/>
    <m/>
    <m/>
    <m/>
    <m/>
  </r>
  <r>
    <d v="2025-05-20T00:00:00"/>
    <x v="4"/>
    <s v="KESH"/>
    <s v="OM15IBERR"/>
    <s v="DJ"/>
    <s v="FARUK   ABEL"/>
    <s v="UBR 539W"/>
    <s v="Kato Investments Ltd- Kyegegwa Tax No.: 1000098824"/>
    <n v="156"/>
    <s v="OM15IBERR"/>
    <s v="OM"/>
    <n v="600"/>
    <n v="598"/>
    <n v="-2"/>
    <m/>
    <d v="2025-05-20T10:01:00"/>
    <d v="2025-05-20T20:24:00"/>
    <d v="2025-05-20T10:28:00"/>
    <n v="-593.24074073471513"/>
    <n v="26.87500000417155"/>
    <x v="0"/>
    <d v="2025-05-21T10:20:00"/>
    <d v="2025-05-21T12:15:00"/>
    <n v="112.60416666438687"/>
    <m/>
    <d v="2025-05-22T19:27:00"/>
    <d v="2025-05-22T20:16:00"/>
    <n v="47.979166669174447"/>
    <x v="11"/>
    <n v="2.3743055555532919"/>
    <n v="2"/>
    <n v="-0.37430555555329192"/>
    <n v="56.983333333279006"/>
    <n v="24"/>
    <n v="32.983333333279006"/>
    <n v="4.7296614451821206"/>
    <m/>
    <m/>
    <m/>
    <m/>
    <m/>
  </r>
  <r>
    <d v="2025-05-20T00:00:00"/>
    <x v="4"/>
    <s v="KESH"/>
    <s v="OM6AZNNRR"/>
    <s v="DJ"/>
    <s v="MUKOSE MUZAMIRU"/>
    <s v="UBJ 417C"/>
    <s v="Sawan Distributors Ltd-Kayabwe Tax No.: 1000186379"/>
    <n v="156"/>
    <s v="OM6AZNNRR"/>
    <s v="OM"/>
    <n v="382"/>
    <n v="380"/>
    <n v="-2"/>
    <m/>
    <d v="2025-05-19T21:51:00"/>
    <d v="2025-05-20T10:00:00"/>
    <d v="2025-05-19T22:19:00"/>
    <n v="-697.75462963055668"/>
    <n v="27.870370367357584"/>
    <x v="0"/>
    <d v="2025-05-20T16:40:00"/>
    <d v="2025-05-21T11:00:00"/>
    <n v="1077.0833333356131"/>
    <s v="Waited for empties from trade"/>
    <d v="2025-05-21T17:27:00"/>
    <d v="2025-05-21T18:10:00"/>
    <n v="42.104166670542327"/>
    <x v="0"/>
    <n v="1.797222222223354"/>
    <n v="2"/>
    <n v="0.20277777777664596"/>
    <n v="43.133333333360497"/>
    <n v="12"/>
    <n v="31.133333333360497"/>
    <n v="5.0107066381112597"/>
    <m/>
    <m/>
    <m/>
    <m/>
    <m/>
  </r>
  <r>
    <d v="2025-05-21T00:00:00"/>
    <x v="4"/>
    <s v="KESH"/>
    <s v="OM23Q4JRR"/>
    <s v="DJ"/>
    <s v="IKWALIKWA YUSUF"/>
    <s v="UBP 311H"/>
    <s v="Kabaco U Ltd Tax No.: 1000025425"/>
    <n v="156"/>
    <s v="OM23Q4JRR"/>
    <s v="OM"/>
    <n v="304"/>
    <n v="302"/>
    <n v="-2"/>
    <m/>
    <d v="2025-05-21T16:54:00"/>
    <d v="2025-05-21T02:22:00"/>
    <d v="2025-05-21T17:17:00"/>
    <n v="890.8564814756877"/>
    <n v="22.893518520140788"/>
    <x v="0"/>
    <d v="2025-05-22T14:26:00"/>
    <d v="2025-05-22T16:55:00"/>
    <n v="145.89583332672191"/>
    <m/>
    <d v="2025-05-23T07:54:00"/>
    <d v="2025-05-23T08:37:00"/>
    <n v="42.104166670542327"/>
    <x v="0"/>
    <n v="1.6090277777839219"/>
    <n v="2"/>
    <n v="0.39097222221607808"/>
    <n v="38.616666666814126"/>
    <n v="12"/>
    <n v="26.616666666814126"/>
    <n v="5.8609893550082308"/>
    <m/>
    <m/>
    <m/>
    <m/>
    <m/>
  </r>
  <r>
    <d v="2025-05-21T00:00:00"/>
    <x v="4"/>
    <s v="NBL"/>
    <s v="OMGSDE8RR"/>
    <m/>
    <s v="Tumusiime Robert"/>
    <s v="UBJ 988D"/>
    <s v="KATO INVESTMENTS LTD- KALISIZO Tax No.: 1000098824"/>
    <n v="153.6"/>
    <s v="OMGSDE8RR"/>
    <s v="OM"/>
    <n v="288"/>
    <n v="286"/>
    <n v="-2"/>
    <m/>
    <d v="2025-05-21T11:25:00"/>
    <d v="2025-05-21T03:43:00"/>
    <d v="2025-05-21T11:48:00"/>
    <m/>
    <n v="22.893518520140788"/>
    <x v="0"/>
    <d v="2025-05-21T18:33:00"/>
    <d v="2025-05-22T12:52:00"/>
    <n v="1076.1041666657547"/>
    <s v="Waited for empties from trade"/>
    <d v="2025-05-23T10:24:00"/>
    <d v="2025-05-23T11:02:00"/>
    <n v="37.208333331509493"/>
    <x v="0"/>
    <n v="1.9416666666656965"/>
    <n v="2"/>
    <n v="5.8333333334303461E-2"/>
    <n v="46.599999999976717"/>
    <n v="12"/>
    <n v="34.599999999976717"/>
    <n v="4.4393063583844903"/>
    <m/>
    <m/>
    <m/>
    <m/>
    <m/>
  </r>
  <r>
    <d v="2025-05-21T00:00:00"/>
    <x v="4"/>
    <s v="NBL"/>
    <s v="OMUV4JORR"/>
    <m/>
    <s v="GODWIN  NIWENSIIMA"/>
    <s v="UAR 731Q"/>
    <s v="Kabaco U Ltd-Mbarara Tax No.: 1000025425"/>
    <n v="153.6"/>
    <s v="OMUV4JORR"/>
    <s v="OM"/>
    <n v="20"/>
    <n v="18"/>
    <n v="-2"/>
    <m/>
    <d v="2025-05-21T14:20:00"/>
    <d v="2025-05-21T07:42:00"/>
    <d v="2025-05-21T14:43:00"/>
    <m/>
    <n v="22.893518520140788"/>
    <x v="0"/>
    <d v="2025-05-21T15:47:00"/>
    <d v="2025-05-21T18:55:00"/>
    <n v="184.08333333834889"/>
    <s v="space consquents"/>
    <d v="2025-05-22T09:26:00"/>
    <d v="2025-05-22T10:08:00"/>
    <n v="41.12500000068394"/>
    <x v="0"/>
    <n v="0.77986111111385981"/>
    <n v="1"/>
    <n v="0.22013888888614019"/>
    <n v="18.716666666732635"/>
    <n v="0"/>
    <n v="18.716666666732635"/>
    <n v="8.2065894924020633"/>
    <m/>
    <m/>
    <m/>
    <m/>
    <m/>
  </r>
  <r>
    <d v="2025-05-21T00:00:00"/>
    <x v="4"/>
    <s v="NBL"/>
    <s v="OMHJ4H9RR"/>
    <m/>
    <s v="Konge Husein"/>
    <s v="UBJ 707D"/>
    <s v="Rugoma Traders-Kanungu/Kihihi Tax No.: 1000249350"/>
    <n v="153.6"/>
    <s v="OMHJ4H9RR"/>
    <s v="OM"/>
    <n v="272"/>
    <n v="270"/>
    <n v="-2"/>
    <m/>
    <d v="2025-05-21T06:07:00"/>
    <d v="2025-05-21T01:59:00"/>
    <d v="2025-05-21T06:34:00"/>
    <m/>
    <n v="26.87500000417155"/>
    <x v="0"/>
    <d v="2025-05-21T15:26:00"/>
    <d v="2025-05-22T13:37:00"/>
    <n v="1303.2708333342453"/>
    <s v="Waited for empties from trade"/>
    <d v="2025-05-23T09:05:00"/>
    <d v="2025-05-23T09:48:00"/>
    <n v="42.104166670542327"/>
    <x v="0"/>
    <n v="2.1048611111109494"/>
    <n v="2"/>
    <n v="-0.10486111111094942"/>
    <n v="50.516666666662786"/>
    <n v="24"/>
    <n v="26.516666666662786"/>
    <n v="5.7925832809562214"/>
    <m/>
    <m/>
    <m/>
    <m/>
    <m/>
  </r>
  <r>
    <d v="2025-05-21T00:00:00"/>
    <x v="4"/>
    <s v="KESH"/>
    <s v="OMP7Y5ARR"/>
    <s v="DJ"/>
    <s v="ALIPA EREKU"/>
    <s v="UBK 858R"/>
    <s v="Kato Investments Ltd- Kakumiro Tax No.: 1000098824"/>
    <n v="156"/>
    <s v="OMP7Y5ARR"/>
    <s v="OM"/>
    <n v="790"/>
    <n v="788"/>
    <n v="-2"/>
    <m/>
    <d v="2025-05-20T21:30:00"/>
    <d v="2025-05-20T18:06:00"/>
    <d v="2025-05-20T21:57:00"/>
    <n v="229.93055555416504"/>
    <n v="26.87500000417155"/>
    <x v="0"/>
    <d v="2025-05-22T07:15:00"/>
    <d v="2025-05-22T13:14:00"/>
    <n v="351.52083333014161"/>
    <s v="Waited for empties from trade"/>
    <d v="2025-05-23T13:12:00"/>
    <d v="2025-05-23T13:55:00"/>
    <n v="42.104166670542327"/>
    <x v="0"/>
    <n v="2.6354166666715173"/>
    <n v="3"/>
    <n v="0.36458333332848269"/>
    <n v="63.250000000116415"/>
    <n v="24"/>
    <n v="39.250000000116415"/>
    <n v="3.9745222929818422"/>
    <m/>
    <m/>
    <m/>
    <m/>
    <m/>
  </r>
  <r>
    <d v="2025-05-21T00:00:00"/>
    <x v="4"/>
    <s v="NBL"/>
    <s v="OM9CCAVRR"/>
    <m/>
    <s v="Kabene John"/>
    <s v="UBA 523T"/>
    <s v="Kabaco U Ltd-Mbarara Tax No.: 1000025425"/>
    <n v="153.6"/>
    <s v="OM9CCAVRR"/>
    <s v="OM"/>
    <n v="20"/>
    <n v="18"/>
    <n v="-2"/>
    <m/>
    <d v="2025-05-21T10:09:00"/>
    <d v="2025-05-21T07:42:00"/>
    <d v="2025-05-21T10:37:00"/>
    <m/>
    <n v="27.870370367357584"/>
    <x v="0"/>
    <d v="2025-05-21T15:20:00"/>
    <d v="2025-05-21T18:11:00"/>
    <n v="167.43750000205182"/>
    <m/>
    <d v="2025-05-25T08:56:00"/>
    <d v="2025-05-25T09:35:00"/>
    <n v="38.18750000136788"/>
    <x v="0"/>
    <n v="3.929861111108039"/>
    <n v="1"/>
    <n v="-2.929861111108039"/>
    <n v="94.316666666592937"/>
    <n v="36"/>
    <n v="58.316666666592937"/>
    <n v="2.6338953986886686"/>
    <m/>
    <m/>
    <m/>
    <m/>
    <m/>
  </r>
  <r>
    <d v="2025-05-21T00:00:00"/>
    <x v="4"/>
    <s v="KESH"/>
    <s v="OMV3VN5RR"/>
    <s v="DJ"/>
    <s v="OLOWO JOHNWHITE"/>
    <s v="UBK 862R"/>
    <s v="Kato Investment Ltd -Mityana Tax No.: 1000098824"/>
    <n v="156"/>
    <s v="OMV3VN5RR"/>
    <s v="OM"/>
    <n v="690"/>
    <n v="688"/>
    <n v="-2"/>
    <m/>
    <d v="2025-05-20T20:34:00"/>
    <d v="2025-05-20T19:35:00"/>
    <d v="2025-05-20T21:12:00"/>
    <n v="96.550925927779943"/>
    <n v="37.82407407222005"/>
    <x v="9"/>
    <d v="2025-05-21T17:56:00"/>
    <d v="2025-05-22T18:56:00"/>
    <n v="1468.7500000068394"/>
    <s v="space consquents"/>
    <d v="2025-05-23T18:42:00"/>
    <d v="2025-05-23T19:25:00"/>
    <n v="42.104166670542327"/>
    <x v="0"/>
    <n v="2.8958333333357587"/>
    <n v="3"/>
    <n v="0.10416666666424135"/>
    <n v="69.500000000058208"/>
    <n v="24"/>
    <n v="45.500000000058208"/>
    <n v="3.4285714285670426"/>
    <m/>
    <m/>
    <m/>
    <m/>
    <m/>
  </r>
  <r>
    <d v="2025-05-21T00:00:00"/>
    <x v="4"/>
    <s v="KESH"/>
    <s v="OM4SUEIRR"/>
    <s v="DJ"/>
    <s v="SENTONGO PAUL"/>
    <s v="UBR 855Y"/>
    <s v="Sawan Distributors Ltd-Nabingo Tax No.: 1000186379"/>
    <n v="156"/>
    <s v="OM4SUEIRR"/>
    <s v="OM"/>
    <n v="560"/>
    <n v="558"/>
    <n v="-2"/>
    <m/>
    <d v="2025-05-20T21:52:00"/>
    <d v="2025-05-21T02:30:00"/>
    <d v="2025-05-20T22:19:00"/>
    <n v="-249.83796296388996"/>
    <n v="26.87500000417155"/>
    <x v="0"/>
    <d v="2025-05-21T12:15:00"/>
    <d v="2025-05-21T15:44:00"/>
    <n v="204.64583333356131"/>
    <s v="Waited for empties from trade"/>
    <d v="2025-05-22T09:33:00"/>
    <d v="2025-05-22T10:16:00"/>
    <n v="42.104166670542327"/>
    <x v="0"/>
    <n v="1.4680555555605679"/>
    <n v="2"/>
    <n v="0.53194444443943212"/>
    <n v="35.233333333453629"/>
    <n v="12"/>
    <n v="23.233333333453629"/>
    <n v="6.7144906742837422"/>
    <m/>
    <m/>
    <m/>
    <m/>
    <m/>
  </r>
  <r>
    <d v="2025-05-21T00:00:00"/>
    <x v="4"/>
    <s v="KESH"/>
    <s v="OM8DLV3RR"/>
    <s v="DJ"/>
    <s v="ALLEX TAIMWA"/>
    <s v="UBJ 705D"/>
    <s v="Rugoma Traders-Rukungiri Tax No.: 1000249350"/>
    <n v="156"/>
    <s v="OM8DLV3RR"/>
    <s v="OM"/>
    <n v="256"/>
    <n v="254"/>
    <n v="-2"/>
    <m/>
    <d v="2025-05-20T21:56:00"/>
    <d v="2025-05-21T04:04:00"/>
    <d v="2025-05-20T22:19:00"/>
    <n v="-343.40277778125409"/>
    <n v="22.893518520140788"/>
    <x v="0"/>
    <d v="2025-05-21T08:16:00"/>
    <d v="2025-05-21T12:31:00"/>
    <n v="249.6874999931606"/>
    <s v="found another truck to be offloaded"/>
    <d v="2025-05-21T17:03:00"/>
    <d v="2025-05-21T17:45:00"/>
    <n v="41.12500000068394"/>
    <x v="0"/>
    <n v="0.78055555556056788"/>
    <n v="2"/>
    <n v="1.2194444444394321"/>
    <n v="18.733333333453629"/>
    <n v="0"/>
    <n v="18.733333333453629"/>
    <n v="8.3274021351778416"/>
    <m/>
    <m/>
    <m/>
    <m/>
    <m/>
  </r>
  <r>
    <d v="2025-05-21T00:00:00"/>
    <x v="4"/>
    <s v="KESH"/>
    <s v="OMT3NL3RR"/>
    <s v="DJ"/>
    <s v="Hassan Byashara"/>
    <s v="UBP 312H"/>
    <s v="Rugoma Traders-Rukungiri Tax No.: 1000249350"/>
    <n v="156"/>
    <s v="OMT3NL3RR"/>
    <s v="OM"/>
    <n v="256"/>
    <n v="254"/>
    <n v="-2"/>
    <m/>
    <d v="2025-05-20T21:01:00"/>
    <d v="2025-05-21T04:04:00"/>
    <d v="2025-05-20T21:55:00"/>
    <n v="-367.29166666458087"/>
    <n v="53.749999997914223"/>
    <x v="2"/>
    <d v="2025-05-21T12:54:00"/>
    <d v="2025-05-21T17:13:00"/>
    <n v="253.60416667259415"/>
    <s v="Waited for empties from trade"/>
    <m/>
    <d v="1899-12-30T00:39:00"/>
    <n v="38.1875"/>
    <x v="0"/>
    <n v="-45797.913194444445"/>
    <n v="2"/>
    <n v="45799.913194444445"/>
    <n v="-1099149.9166666667"/>
    <n v="-549576"/>
    <n v="-549573.91666666674"/>
    <n v="-2.8385626622563808E-4"/>
    <m/>
    <m/>
    <m/>
    <m/>
    <m/>
  </r>
  <r>
    <d v="2025-05-21T00:00:00"/>
    <x v="4"/>
    <s v="KESH"/>
    <s v="OM3H8AGRR"/>
    <s v="DJ"/>
    <s v="KYAPA AKIMU"/>
    <s v="UBR 899Y"/>
    <s v="Kabaco U Ltd Tax No.: 1000025425"/>
    <n v="156"/>
    <s v="OM3H8AGRR"/>
    <s v="OM"/>
    <n v="304"/>
    <n v="302"/>
    <n v="-2"/>
    <m/>
    <d v="2025-05-20T18:15:00"/>
    <d v="2025-05-21T02:22:00"/>
    <d v="2025-05-20T18:42:00"/>
    <n v="-457.87037037152913"/>
    <n v="26.87500000417155"/>
    <x v="0"/>
    <d v="2025-05-21T17:13:00"/>
    <d v="2025-05-21T19:45:00"/>
    <n v="148.83333332603797"/>
    <m/>
    <d v="2025-05-21T20:30:00"/>
    <d v="2025-05-21T21:08:00"/>
    <n v="37.208333331509493"/>
    <x v="0"/>
    <n v="1.0749999999970896"/>
    <n v="2"/>
    <n v="0.92500000000291038"/>
    <n v="25.799999999930151"/>
    <n v="12"/>
    <n v="13.799999999930151"/>
    <n v="11.304347826144173"/>
    <m/>
    <m/>
    <m/>
    <m/>
    <m/>
  </r>
  <r>
    <d v="2025-05-21T00:00:00"/>
    <x v="4"/>
    <s v="KESH"/>
    <s v="OMC1H0CRR"/>
    <s v="DJ"/>
    <s v="FRED LURE "/>
    <s v="UBP 310H"/>
    <s v="Kobusinge Acaali- Kyenjojo Tax No.: 1000977837"/>
    <n v="156"/>
    <s v="OMC1H0CRR"/>
    <s v="OM"/>
    <n v="580"/>
    <n v="579"/>
    <n v="-1"/>
    <m/>
    <d v="2025-05-20T17:56:00"/>
    <d v="2025-05-21T03:17:00"/>
    <d v="2025-05-20T18:46:00"/>
    <n v="-508.63425925902749"/>
    <n v="49.768518513883464"/>
    <x v="9"/>
    <d v="2025-05-21T14:51:00"/>
    <d v="2025-05-21T17:02:00"/>
    <n v="128.27083333082555"/>
    <m/>
    <d v="2025-05-22T11:48:00"/>
    <d v="2025-05-22T12:31:00"/>
    <n v="42.104166670542327"/>
    <x v="0"/>
    <n v="1.7097222222218988"/>
    <n v="2"/>
    <n v="0.29027777777810115"/>
    <n v="41.033333333325572"/>
    <n v="12"/>
    <n v="29.033333333325572"/>
    <n v="5.3731343283596456"/>
    <m/>
    <m/>
    <m/>
    <m/>
    <m/>
  </r>
  <r>
    <d v="2025-05-21T00:00:00"/>
    <x v="4"/>
    <s v="NBL"/>
    <s v="OM0GI82RR"/>
    <m/>
    <s v="Abel Mark naffa"/>
    <s v="UBJ 415C"/>
    <s v="KATO INVESTMENTS LIMITED-MASAK Tax No.: 1000098824"/>
    <n v="153.6"/>
    <s v="OM0GI82RR"/>
    <s v="OM"/>
    <n v="596"/>
    <n v="593"/>
    <n v="-3"/>
    <m/>
    <d v="2025-05-20T19:17:00"/>
    <d v="2025-05-21T04:14:00"/>
    <d v="2025-05-20T19:40:00"/>
    <m/>
    <n v="22.893518520140788"/>
    <x v="0"/>
    <d v="2025-05-22T10:07:00"/>
    <d v="2025-05-22T11:55:00"/>
    <n v="105.75000000615546"/>
    <m/>
    <d v="2025-05-23T13:15:00"/>
    <d v="2025-05-23T13:58:00"/>
    <n v="42.104166670542327"/>
    <x v="0"/>
    <n v="2.7326388888905058"/>
    <n v="2"/>
    <n v="-0.73263888889050577"/>
    <n v="65.583333333372138"/>
    <n v="24"/>
    <n v="41.583333333372138"/>
    <n v="3.6937875751468536"/>
    <m/>
    <m/>
    <m/>
    <m/>
    <m/>
  </r>
  <r>
    <d v="2025-05-21T00:00:00"/>
    <x v="4"/>
    <s v="NBL"/>
    <s v="OMQQ8XXRR"/>
    <m/>
    <s v="Mugisha  George"/>
    <s v="UAV 203T"/>
    <s v="KATO INVESTMENTS LIMITED-MASAK Tax No.: 1000098824"/>
    <n v="153.6"/>
    <s v="OMQQ8XXRR"/>
    <s v="OM"/>
    <n v="596"/>
    <n v="595"/>
    <n v="-1"/>
    <m/>
    <d v="2025-05-20T19:11:00"/>
    <d v="2025-05-21T04:14:00"/>
    <d v="2025-05-20T19:40:00"/>
    <m/>
    <n v="28.865740740972495"/>
    <x v="0"/>
    <d v="2025-05-21T08:42:00"/>
    <d v="2025-05-21T15:33:00"/>
    <n v="402.43749999863212"/>
    <s v="Reached late and offloaded the next day"/>
    <d v="2025-05-22T16:06:00"/>
    <d v="2025-05-22T16:45:00"/>
    <n v="38.18750000136788"/>
    <x v="0"/>
    <n v="1.851388888884685"/>
    <n v="2"/>
    <n v="0.148611111115315"/>
    <n v="44.43333333323244"/>
    <n v="12"/>
    <n v="32.43333333323244"/>
    <n v="4.7358684481133961"/>
    <m/>
    <m/>
    <m/>
    <m/>
    <m/>
  </r>
  <r>
    <d v="2025-05-21T00:00:00"/>
    <x v="4"/>
    <s v="NBL"/>
    <s v="OMXQVI0RR"/>
    <m/>
    <s v="Isaac Tumuhimbise"/>
    <s v="UBE 287X"/>
    <s v="KATO INVESTMENTS LIMITED-MASAK Tax No.: 1000098824"/>
    <n v="153.6"/>
    <s v="OMXQVI0RR"/>
    <s v="OM"/>
    <n v="596"/>
    <n v="594"/>
    <n v="-2"/>
    <m/>
    <d v="2025-05-20T15:15:00"/>
    <d v="2025-05-21T04:14:00"/>
    <d v="2025-05-20T16:09:00"/>
    <m/>
    <n v="53.749999997914223"/>
    <x v="12"/>
    <d v="2025-05-21T12:51:00"/>
    <d v="2025-05-21T18:12:00"/>
    <n v="314.31249999863212"/>
    <s v="Waited for empties from trade"/>
    <d v="2025-05-22T14:33:00"/>
    <d v="2025-05-22T15:16:00"/>
    <n v="42.104166670542327"/>
    <x v="0"/>
    <n v="1.9333333333270275"/>
    <n v="2"/>
    <n v="6.6666666672972497E-2"/>
    <n v="46.39999999984866"/>
    <n v="12"/>
    <n v="34.39999999984866"/>
    <n v="4.4651162790894112"/>
    <m/>
    <m/>
    <m/>
    <m/>
    <m/>
  </r>
  <r>
    <d v="2025-05-22T00:00:00"/>
    <x v="4"/>
    <s v="NBL"/>
    <s v="OMS6DUJRR"/>
    <s v="Mugisha  George"/>
    <s v="Benon Ssempijja"/>
    <s v="UAY 526V"/>
    <s v="Kabaco U Ltd-Mbarara Tax No.: 1000025425"/>
    <n v="153.6"/>
    <s v="OMS6DUJRR"/>
    <s v="OM"/>
    <n v="20"/>
    <n v="18"/>
    <n v="-2"/>
    <m/>
    <d v="2025-05-22T17:02:00"/>
    <d v="2025-05-21T15:00:00"/>
    <d v="2025-05-22T17:31:00"/>
    <m/>
    <n v="28.865740740972495"/>
    <x v="0"/>
    <d v="2025-05-22T18:10:00"/>
    <d v="2025-05-23T10:47:00"/>
    <n v="976.22916666849051"/>
    <s v="Waited for empties from trade"/>
    <d v="2025-05-23T12:00:00"/>
    <d v="2025-05-23T12:49:00"/>
    <n v="47.979166669174447"/>
    <x v="11"/>
    <n v="0.77013888888905058"/>
    <n v="1"/>
    <n v="0.22986111111094942"/>
    <n v="18.483333333337214"/>
    <n v="0"/>
    <n v="18.483333333337214"/>
    <n v="8.3101893597818446"/>
    <m/>
    <m/>
    <m/>
    <m/>
    <m/>
  </r>
  <r>
    <d v="2025-05-22T00:00:00"/>
    <x v="4"/>
    <s v="NBL"/>
    <s v="OMUN8D9RR"/>
    <s v="GODWIN  NIWENSIIMA"/>
    <s v="Bisaso  Ronald"/>
    <s v="UBK 875R"/>
    <s v="KATO INVESTMENTS LIMITED-MASAK Tax No.: 1000098824"/>
    <n v="153.6"/>
    <s v="OMUN8D9RR"/>
    <s v="OM"/>
    <n v="596"/>
    <n v="594"/>
    <n v="-2"/>
    <m/>
    <d v="2025-05-22T19:05:00"/>
    <d v="2025-05-22T11:00:00"/>
    <d v="2025-05-22T19:32:00"/>
    <m/>
    <n v="26.87500000417155"/>
    <x v="0"/>
    <d v="2025-05-23T10:38:00"/>
    <d v="2025-05-23T13:51:00"/>
    <n v="188.97916665686353"/>
    <s v="truck faulty"/>
    <d v="2025-05-23T18:10:00"/>
    <d v="2025-05-23T18:52:00"/>
    <n v="41.12500000068394"/>
    <x v="0"/>
    <n v="0.94305555555911269"/>
    <n v="2"/>
    <n v="1.0569444444408873"/>
    <n v="22.633333333418705"/>
    <n v="0"/>
    <n v="22.633333333418705"/>
    <n v="6.7864506627137242"/>
    <m/>
    <m/>
    <m/>
    <m/>
    <m/>
  </r>
  <r>
    <d v="2025-05-22T00:00:00"/>
    <x v="4"/>
    <s v="NBL"/>
    <s v="OM7ISAFRR"/>
    <s v="Konge Husein"/>
    <s v="Kilabila Ismail"/>
    <s v="UBE 419T"/>
    <s v="Rugoma Traders-Kanungu/Kihihi Tax No.: 1000249350"/>
    <n v="153.6"/>
    <s v="OM7ISAFRR"/>
    <s v="OM"/>
    <n v="272"/>
    <n v="271"/>
    <n v="-1"/>
    <m/>
    <d v="2025-05-22T09:39:00"/>
    <d v="2025-05-22T01:59:00"/>
    <d v="2025-05-22T10:07:00"/>
    <m/>
    <n v="27.870370367357584"/>
    <x v="0"/>
    <d v="2025-05-22T17:58:00"/>
    <d v="2025-05-23T14:31:00"/>
    <n v="1207.3124999958964"/>
    <s v="Reached late and offloaded the next day"/>
    <d v="2025-05-24T09:29:00"/>
    <d v="2025-05-24T10:12:00"/>
    <n v="42.104166670542327"/>
    <x v="0"/>
    <n v="1.9736111111124046"/>
    <n v="2"/>
    <n v="2.6388888887595385E-2"/>
    <n v="47.366666666697711"/>
    <n v="12"/>
    <n v="35.366666666697711"/>
    <n v="4.3430725730404856"/>
    <m/>
    <m/>
    <m/>
    <m/>
    <m/>
  </r>
  <r>
    <d v="2025-05-22T00:00:00"/>
    <x v="4"/>
    <s v="NBL"/>
    <s v="OMUD62CRR"/>
    <s v="Abel Mark naffa"/>
    <s v="ANGELO KYOSIGA "/>
    <s v="UAV 051U"/>
    <s v="Kabaco U Ltd Tax No.: 1000025425"/>
    <n v="153.6"/>
    <s v="OMUD62CRR"/>
    <s v="OM"/>
    <n v="304"/>
    <n v="302"/>
    <n v="-2"/>
    <m/>
    <d v="2025-05-23T06:54:00"/>
    <d v="2025-05-23T02:22:00"/>
    <d v="2025-05-23T07:23:00"/>
    <m/>
    <n v="28.865740740972495"/>
    <x v="0"/>
    <d v="2025-05-23T15:03:00"/>
    <d v="2025-05-24T13:52:00"/>
    <n v="1340.4791666657547"/>
    <s v="found another truck to be offloaded"/>
    <d v="2025-05-24T19:04:00"/>
    <d v="2025-05-24T19:43:00"/>
    <n v="38.18750000136788"/>
    <x v="0"/>
    <n v="1.4868055555562023"/>
    <n v="2"/>
    <n v="0.51319444444379769"/>
    <n v="35.683333333348855"/>
    <n v="12"/>
    <n v="23.683333333348855"/>
    <n v="6.4855735397564809"/>
    <m/>
    <m/>
    <m/>
    <m/>
    <m/>
  </r>
  <r>
    <d v="2025-05-22T00:00:00"/>
    <x v="4"/>
    <s v="KESH"/>
    <s v="OM1HP7ZRR"/>
    <s v="DJ"/>
    <s v="SENTONGO GODFREY"/>
    <s v="UBR 864Y"/>
    <s v="Bates Enterprises Ltd-Ntoroko Tax No.: 1001193253"/>
    <n v="156"/>
    <s v="OM1HP7ZRR"/>
    <s v="OM"/>
    <n v="510"/>
    <n v="507"/>
    <n v="-3"/>
    <m/>
    <d v="2025-05-22T10:20:00"/>
    <d v="2025-05-22T18:27:00"/>
    <d v="2025-05-22T10:47:00"/>
    <n v="-457.87037037152913"/>
    <n v="26.87500000417155"/>
    <x v="0"/>
    <d v="2025-05-23T12:43:00"/>
    <d v="2025-05-24T08:41:00"/>
    <n v="1173.0416666637029"/>
    <s v="Waited for empties from trade"/>
    <d v="2025-05-24T19:38:00"/>
    <d v="2025-05-24T20:20:00"/>
    <n v="41.12500000068394"/>
    <x v="0"/>
    <n v="2.3687500000014552"/>
    <n v="3"/>
    <n v="0.63124999999854481"/>
    <n v="56.850000000034925"/>
    <n v="24"/>
    <n v="32.850000000034925"/>
    <n v="4.7488584474835358"/>
    <m/>
    <m/>
    <m/>
    <m/>
    <m/>
  </r>
  <r>
    <d v="2025-05-23T00:00:00"/>
    <x v="4"/>
    <s v="NBL"/>
    <s v="OMK3CFYRR"/>
    <s v="ALLEX TAIMWA"/>
    <s v="James  Kironde"/>
    <s v="UBK 881R"/>
    <s v="KATO INVESTMENTS LIMITED-MASAK Tax No.: 1000098824"/>
    <n v="153.6"/>
    <s v="OMK3CFYRR"/>
    <s v="OM"/>
    <n v="596"/>
    <n v="595"/>
    <n v="-1"/>
    <m/>
    <d v="2025-05-23T13:19:00"/>
    <d v="2025-05-23T04:14:00"/>
    <d v="2025-05-23T13:46:00"/>
    <m/>
    <n v="26.87500000417155"/>
    <x v="0"/>
    <d v="2025-05-23T17:37:00"/>
    <d v="2025-05-25T14:17:00"/>
    <n v="2624.1666666643869"/>
    <s v="Waited for empties from trade"/>
    <d v="2025-05-25T18:50:00"/>
    <d v="2025-05-25T19:29:00"/>
    <n v="38.18750000136788"/>
    <x v="0"/>
    <n v="2.211111111108039"/>
    <n v="2"/>
    <n v="-0.21111111110803904"/>
    <n v="53.066666666592937"/>
    <n v="24"/>
    <n v="29.066666666592937"/>
    <n v="5.2844036697381744"/>
    <m/>
    <m/>
    <m/>
    <m/>
    <m/>
  </r>
  <r>
    <d v="2025-05-24T00:00:00"/>
    <x v="4"/>
    <s v="NBL"/>
    <s v="OMR5398RR"/>
    <s v="MUKOSE MUZAMIRU"/>
    <s v="Mugisha  George"/>
    <s v="UAV 203T"/>
    <s v="Kabaco U Ltd Tax No.: 1000025425"/>
    <n v="153.6"/>
    <s v="OMR5398RR"/>
    <s v="OM"/>
    <n v="304"/>
    <n v="302"/>
    <n v="-2"/>
    <m/>
    <d v="2025-05-25T10:17:00"/>
    <d v="2025-05-24T02:22:00"/>
    <d v="2025-05-25T10:45:00"/>
    <m/>
    <n v="27.870370367357584"/>
    <x v="0"/>
    <d v="2025-05-25T13:52:00"/>
    <d v="2025-05-25T17:09:00"/>
    <n v="192.89583333629707"/>
    <s v="Waited for empties from trade"/>
    <m/>
    <d v="1899-12-30T00:42:00"/>
    <n v="41.124999999999993"/>
    <x v="0"/>
    <n v="-45802.447916666664"/>
    <n v="2"/>
    <n v="45804.447916666664"/>
    <n v="-1099258.75"/>
    <n v="-549636"/>
    <n v="-549622.75"/>
    <n v="-2.7946441445518766E-4"/>
    <m/>
    <m/>
    <m/>
    <m/>
    <m/>
  </r>
  <r>
    <d v="2025-05-24T00:00:00"/>
    <x v="4"/>
    <s v="NBL"/>
    <s v="OMKJEM0RR"/>
    <s v="Isaac Tumuhimbise"/>
    <s v="Konge Husein"/>
    <s v="UBJ 707D"/>
    <s v="Kabaco U Ltd-Mbarara Tax No.: 1000025425"/>
    <n v="153.6"/>
    <s v="OMKJEM0RR"/>
    <s v="OM"/>
    <n v="20"/>
    <n v="18"/>
    <n v="-2"/>
    <m/>
    <d v="2025-05-25T07:19:00"/>
    <d v="2025-05-24T07:42:00"/>
    <d v="2025-05-25T07:57:00"/>
    <m/>
    <n v="37.82407407222005"/>
    <x v="1"/>
    <d v="2025-05-25T13:16:00"/>
    <d v="2025-05-25T18:48:00"/>
    <n v="325.08333333629707"/>
    <s v="truck faulty"/>
    <d v="2025-05-26T12:45:00"/>
    <d v="2025-05-26T13:24:00"/>
    <n v="38.18750000136788"/>
    <x v="0"/>
    <n v="1.1999999999970896"/>
    <n v="1"/>
    <n v="-0.19999999999708962"/>
    <n v="28.799999999930151"/>
    <n v="12"/>
    <n v="16.799999999930151"/>
    <n v="9.1428571428951564"/>
    <m/>
    <m/>
    <m/>
    <m/>
    <m/>
  </r>
  <r>
    <d v="2025-05-24T00:00:00"/>
    <x v="4"/>
    <s v="NBL"/>
    <s v="OMNUP3ARR"/>
    <s v="ANGELO KYOSIGA "/>
    <s v="Abel Mark naffa"/>
    <s v="UBJ 415C"/>
    <s v="Kabaco U Ltd Tax No.: 1000025425"/>
    <n v="153.6"/>
    <s v="OMNUP3ARR"/>
    <s v="OM"/>
    <n v="304"/>
    <n v="301"/>
    <n v="-3"/>
    <m/>
    <d v="2025-05-24T16:07:00"/>
    <d v="2025-05-24T02:22:00"/>
    <d v="2025-05-24T16:30:00"/>
    <m/>
    <n v="22.893518520140788"/>
    <x v="0"/>
    <d v="2025-05-25T08:36:00"/>
    <d v="2025-05-25T12:16:00"/>
    <n v="215.41666667122627"/>
    <s v="Reached late and offloaded the next day"/>
    <d v="2025-05-26T12:37:00"/>
    <d v="2025-05-26T13:15:00"/>
    <n v="37.208333331509493"/>
    <x v="0"/>
    <n v="1.8381944444408873"/>
    <n v="2"/>
    <n v="0.16180555555911269"/>
    <n v="44.116666666581295"/>
    <n v="12"/>
    <n v="32.116666666581295"/>
    <n v="4.782563570329267"/>
    <m/>
    <m/>
    <m/>
    <m/>
    <m/>
  </r>
  <r>
    <d v="2025-05-24T00:00:00"/>
    <x v="4"/>
    <s v="NBL"/>
    <s v="OMEGPEVRR"/>
    <s v="SENTONGO PAUL"/>
    <s v="Tumusiime Robert"/>
    <s v="UBJ 988D"/>
    <s v="Rugoma Traders-Kanungu/Kihihi Tax No.: 1000249350"/>
    <n v="153.6"/>
    <s v="OMEGPEVRR"/>
    <s v="OM"/>
    <n v="272"/>
    <n v="271"/>
    <n v="-1"/>
    <m/>
    <d v="2025-05-24T11:23:00"/>
    <d v="2025-05-24T01:59:00"/>
    <d v="2025-05-24T11:50:00"/>
    <m/>
    <n v="26.87500000417155"/>
    <x v="0"/>
    <d v="2025-05-24T18:42:00"/>
    <d v="2025-05-25T12:57:00"/>
    <n v="1072.1874999965803"/>
    <s v="less casuals and offloaded the next day"/>
    <d v="2025-05-26T10:09:00"/>
    <d v="2025-05-26T10:45:00"/>
    <n v="35.25000000205182"/>
    <x v="0"/>
    <n v="1.929861111115315"/>
    <n v="2"/>
    <n v="7.0138888884685002E-2"/>
    <n v="46.31666666676756"/>
    <n v="12"/>
    <n v="34.31666666676756"/>
    <n v="4.4759592034836837"/>
    <m/>
    <m/>
    <m/>
    <m/>
    <m/>
  </r>
  <r>
    <d v="2025-05-24T00:00:00"/>
    <x v="4"/>
    <s v="NBL"/>
    <s v="OM0TVD8RR"/>
    <s v="Jacob Oneka"/>
    <s v="Stephen Musoke "/>
    <s v="UBJ 375N"/>
    <s v="RUGOMA TRADERS CO. LTD NTUNGAM Tax No.: 1000249350"/>
    <n v="153.6"/>
    <s v="OM0TVD8RR"/>
    <s v="OM"/>
    <n v="150"/>
    <n v="148"/>
    <n v="-2"/>
    <m/>
    <d v="2025-05-24T14:05:00"/>
    <d v="2025-05-24T06:15:00"/>
    <d v="2025-05-24T14:34:00"/>
    <m/>
    <n v="28.865740740972495"/>
    <x v="0"/>
    <d v="2025-05-24T16:58:00"/>
    <d v="2025-05-25T14:19:00"/>
    <n v="1254.3125000054715"/>
    <s v="found another truck to be offloaded"/>
    <d v="2025-05-25T16:48:00"/>
    <d v="2025-05-25T17:26:00"/>
    <n v="37.208333331509493"/>
    <x v="0"/>
    <n v="1.0930555555532919"/>
    <n v="1"/>
    <n v="-9.3055555553291924E-2"/>
    <n v="26.233333333279006"/>
    <n v="12"/>
    <n v="14.233333333279006"/>
    <n v="10.791569086692244"/>
    <m/>
    <m/>
    <m/>
    <m/>
    <m/>
  </r>
  <r>
    <d v="2025-05-24T00:00:00"/>
    <x v="4"/>
    <s v="KESH"/>
    <s v="OMUYY1TRR"/>
    <s v="DJ"/>
    <s v="ALLEX TAIMWA"/>
    <s v="UBJ 705D"/>
    <s v="Boniface Harera Tax No.: 1000317747"/>
    <n v="156"/>
    <s v="OMUYY1TRR"/>
    <s v="OM"/>
    <n v="448"/>
    <n v="447"/>
    <n v="-1"/>
    <m/>
    <d v="2025-05-23T19:10:00"/>
    <d v="2025-05-24T01:30:00"/>
    <d v="2025-05-23T19:38:00"/>
    <n v="-350.37037036527181"/>
    <n v="27.870370367357584"/>
    <x v="0"/>
    <d v="2025-05-24T12:53:00"/>
    <d v="2025-05-24T18:56:00"/>
    <n v="355.43749999931606"/>
    <s v="Waited for empties from trade"/>
    <d v="2025-05-25T15:12:00"/>
    <d v="2025-05-25T15:51:00"/>
    <n v="38.18750000136788"/>
    <x v="0"/>
    <n v="1.8152777777722804"/>
    <n v="2"/>
    <n v="0.18472222222771961"/>
    <n v="43.566666666534729"/>
    <n v="12"/>
    <n v="31.566666666534729"/>
    <n v="4.9419218585211837"/>
    <m/>
    <m/>
    <m/>
    <m/>
    <m/>
  </r>
  <r>
    <d v="2025-05-24T00:00:00"/>
    <x v="4"/>
    <s v="KESH"/>
    <s v="OMTK64WRR"/>
    <s v="DJ"/>
    <s v="MUKOSE MUZAMIRU"/>
    <s v="UBJ 417C"/>
    <s v="Kabaco U Ltd Tax No.: 1000025425"/>
    <n v="156"/>
    <s v="OMTK64WRR"/>
    <s v="OM"/>
    <n v="304"/>
    <n v="302"/>
    <n v="-2"/>
    <m/>
    <d v="2025-05-23T19:43:00"/>
    <d v="2025-05-24T02:22:00"/>
    <d v="2025-05-23T20:06:00"/>
    <n v="-374.25925925902749"/>
    <n v="22.893518520140788"/>
    <x v="0"/>
    <d v="2025-05-24T10:22:00"/>
    <d v="2025-05-24T16:46:00"/>
    <n v="376.00000000478758"/>
    <s v="Waited for empties from trade"/>
    <d v="2025-05-25T09:12:00"/>
    <d v="2025-05-25T10:01:00"/>
    <n v="47.979166669174447"/>
    <x v="9"/>
    <n v="1.5458333333299379"/>
    <n v="2"/>
    <n v="0.45416666667006211"/>
    <n v="37.099999999918509"/>
    <n v="12"/>
    <n v="25.099999999918509"/>
    <n v="6.215139442251254"/>
    <m/>
    <m/>
    <m/>
    <m/>
    <m/>
  </r>
  <r>
    <d v="2025-05-24T00:00:00"/>
    <x v="4"/>
    <s v="NBL"/>
    <s v="OMYS43NRR"/>
    <s v="Isaac Tumuhimbise"/>
    <s v="Benon Ssempijja"/>
    <s v="UAY 526V"/>
    <s v="RUGOMA TRADERS CO. LTD NTUNGAM Tax No.: 1000249350"/>
    <n v="153.6"/>
    <s v="OMYS43NRR"/>
    <s v="OM"/>
    <n v="150"/>
    <n v="148"/>
    <n v="-2"/>
    <m/>
    <d v="2025-05-23T20:38:00"/>
    <d v="2025-05-24T06:15:00"/>
    <d v="2025-05-23T21:01:00"/>
    <m/>
    <n v="22.893518520140788"/>
    <x v="0"/>
    <d v="2025-05-24T09:23:00"/>
    <d v="2025-05-24T14:06:00"/>
    <n v="277.10416666712263"/>
    <s v="space consquents"/>
    <d v="2025-05-24T16:51:00"/>
    <d v="2025-05-24T17:27:00"/>
    <n v="35.25000000205182"/>
    <x v="0"/>
    <n v="0.82638888888322981"/>
    <n v="1"/>
    <n v="0.17361111111677019"/>
    <n v="19.833333333197515"/>
    <n v="0"/>
    <n v="19.833333333197515"/>
    <n v="7.7445378151790845"/>
    <m/>
    <m/>
    <m/>
    <m/>
    <m/>
  </r>
  <r>
    <d v="2025-05-24T00:00:00"/>
    <x v="4"/>
    <s v="NBL"/>
    <s v="OMD6NY4RR"/>
    <s v="Hassan Byashara"/>
    <s v="Isaac Tumuhimbise"/>
    <s v="UBE 287X"/>
    <s v="Kabaco U Ltd-Mbarara Tax No.: 1000025425"/>
    <n v="153.6"/>
    <s v="OMD6NY4RR"/>
    <s v="OM"/>
    <n v="20"/>
    <n v="17"/>
    <n v="-3"/>
    <m/>
    <d v="2025-05-23T19:52:00"/>
    <d v="2025-05-24T07:42:00"/>
    <d v="2025-05-23T20:21:00"/>
    <m/>
    <n v="28.865740740972495"/>
    <x v="0"/>
    <d v="2025-05-24T08:59:00"/>
    <d v="2025-05-24T12:41:00"/>
    <n v="217.37500000068394"/>
    <s v="Reached late and offloaded the next day"/>
    <d v="2025-05-24T13:17:00"/>
    <d v="2025-05-24T14:00:00"/>
    <n v="42.104166670542327"/>
    <x v="0"/>
    <n v="0.70555555555620231"/>
    <n v="1"/>
    <n v="0.29444444444379769"/>
    <n v="16.933333333348855"/>
    <n v="0"/>
    <n v="16.933333333348855"/>
    <n v="9.0708661417239682"/>
    <m/>
    <m/>
    <m/>
    <m/>
    <m/>
  </r>
  <r>
    <d v="2025-05-25T00:00:00"/>
    <x v="4"/>
    <s v="NBL"/>
    <s v="OMY9ORHRR"/>
    <s v="Bisaso  Ronald"/>
    <s v="ANGELO KYOSIGA "/>
    <s v="UAV 051U"/>
    <s v="KATO INVESTMENTS LTD- KALISIZO Tax No.: 1000098824"/>
    <n v="153.6"/>
    <s v="OMY9ORHRR"/>
    <s v="OM"/>
    <n v="288"/>
    <n v="286"/>
    <n v="-2"/>
    <m/>
    <d v="2025-05-25T19:04:00"/>
    <d v="2025-05-25T03:43:00"/>
    <d v="2025-05-25T19:31:00"/>
    <m/>
    <n v="26.87500000417155"/>
    <x v="0"/>
    <d v="2025-05-26T10:21:00"/>
    <d v="2025-05-26T14:57:00"/>
    <n v="270.24999999863212"/>
    <s v="Waited for empties from trade"/>
    <m/>
    <d v="1899-12-30T00:39:00"/>
    <n v="38.1875"/>
    <x v="0"/>
    <n v="-45802.813194444447"/>
    <n v="2"/>
    <n v="45804.813194444447"/>
    <n v="-1099267.5166666666"/>
    <n v="-549636"/>
    <n v="-549631.5166666666"/>
    <n v="-2.7945995697541728E-4"/>
    <m/>
    <m/>
    <m/>
    <m/>
    <m/>
  </r>
  <r>
    <d v="2025-05-25T00:00:00"/>
    <x v="4"/>
    <s v="KESH"/>
    <s v="OM6U5PNRR"/>
    <s v="DJ"/>
    <s v="SENTONGO PAUL"/>
    <s v="UBR 855Y"/>
    <s v="Kabaco U Ltd Tax No.: 1000025425"/>
    <n v="156"/>
    <s v="OM6U5PNRR"/>
    <s v="OM"/>
    <n v="304"/>
    <n v="301"/>
    <n v="-3"/>
    <m/>
    <d v="2025-05-25T10:32:00"/>
    <d v="2025-05-25T02:22:00"/>
    <d v="2025-05-25T11:00:00"/>
    <n v="515.60185185347416"/>
    <n v="27.870370367357584"/>
    <x v="0"/>
    <d v="2025-05-25T14:32:00"/>
    <d v="2025-05-25T20:47:00"/>
    <n v="367.1874999965803"/>
    <s v="Waited for empties from trade"/>
    <d v="2025-05-26T06:38:00"/>
    <d v="2025-05-26T07:21:00"/>
    <n v="42.104166670542327"/>
    <x v="0"/>
    <n v="0.81805555555183673"/>
    <n v="2"/>
    <n v="1.1819444444481633"/>
    <n v="19.633333333244082"/>
    <n v="0"/>
    <n v="19.633333333244082"/>
    <n v="7.9456706282194824"/>
    <m/>
    <m/>
    <m/>
    <m/>
    <m/>
  </r>
  <r>
    <d v="2025-05-25T00:00:00"/>
    <x v="4"/>
    <s v="NBL"/>
    <s v="OMT4SKARR"/>
    <s v="DJ"/>
    <s v="Jacob Oneka"/>
    <s v="UBE 422T"/>
    <s v="Kabaco U Ltd-Mbarara Tax No.: 1000025425"/>
    <n v="153.6"/>
    <s v="OMT4SKARR"/>
    <s v="OM"/>
    <n v="20"/>
    <n v="18"/>
    <n v="-2"/>
    <m/>
    <d v="2025-05-25T13:10:00"/>
    <d v="2025-05-25T07:42:00"/>
    <d v="2025-05-25T13:37:00"/>
    <m/>
    <n v="26.87500000417155"/>
    <x v="0"/>
    <d v="2025-05-25T14:22:00"/>
    <d v="2025-05-25T18:08:00"/>
    <n v="221.29166666985839"/>
    <s v="truck faulty"/>
    <d v="2025-05-25T18:36:00"/>
    <d v="2025-05-25T19:14:00"/>
    <n v="37.208333331509493"/>
    <x v="0"/>
    <n v="0.20763888888905058"/>
    <n v="1"/>
    <n v="0.79236111111094942"/>
    <n v="4.9833333333372138"/>
    <n v="0"/>
    <n v="4.9833333333372138"/>
    <n v="30.822742474892387"/>
    <m/>
    <m/>
    <m/>
    <m/>
    <m/>
  </r>
  <r>
    <d v="2025-05-25T00:00:00"/>
    <x v="4"/>
    <s v="NBL"/>
    <s v="OMT00KKRR"/>
    <s v="DJ"/>
    <s v="Benon Ssempijja"/>
    <s v="UAY 526V"/>
    <s v="KATO INVESTMENTS LIMITED-MASAK Tax No.: 1000098824"/>
    <n v="153.6"/>
    <s v="OMT00KKRR"/>
    <s v="OM"/>
    <n v="596"/>
    <n v="594"/>
    <n v="-2"/>
    <m/>
    <d v="2025-05-25T08:10:00"/>
    <d v="2025-05-25T04:14:00"/>
    <d v="2025-05-25T08:33:00"/>
    <m/>
    <n v="22.893518520140788"/>
    <x v="0"/>
    <d v="2025-05-25T11:19:00"/>
    <d v="2025-05-25T16:07:00"/>
    <n v="281.99999999589636"/>
    <s v="Reached late and offloaded the next day"/>
    <d v="2025-05-25T18:26:00"/>
    <d v="2025-05-25T19:08:00"/>
    <n v="41.12500000068394"/>
    <x v="0"/>
    <n v="0.41180555555911269"/>
    <n v="2"/>
    <n v="1.5881944444408873"/>
    <n v="9.8833333334187046"/>
    <n v="0"/>
    <n v="9.8833333334187046"/>
    <n v="15.541315345565586"/>
    <m/>
    <m/>
    <m/>
    <m/>
    <m/>
  </r>
  <r>
    <d v="2025-05-25T00:00:00"/>
    <x v="4"/>
    <s v="KESH"/>
    <s v="OM1CS1IRR"/>
    <s v="DJ"/>
    <s v="SENTONG DAVID"/>
    <s v="UBP 298H"/>
    <s v="Kabaco U Ltd Tax No.: 1000025425"/>
    <n v="156"/>
    <s v="OM1CS1IRR"/>
    <s v="OM"/>
    <n v="304"/>
    <n v="302"/>
    <n v="-2"/>
    <m/>
    <d v="2025-05-24T19:41:00"/>
    <d v="2025-05-25T02:22:00"/>
    <d v="2025-05-24T20:10:00"/>
    <n v="-370.27777777499676"/>
    <n v="28.865740740972495"/>
    <x v="0"/>
    <d v="2025-05-25T15:09:00"/>
    <d v="2025-05-26T13:15:00"/>
    <n v="1298.3750000054715"/>
    <s v="found another truck to be offloaded"/>
    <d v="2025-05-26T19:21:00"/>
    <d v="2025-05-26T20:04:00"/>
    <n v="42.104166670542327"/>
    <x v="0"/>
    <n v="1.9659722222204437"/>
    <n v="2"/>
    <n v="3.4027777779556345E-2"/>
    <n v="47.183333333290648"/>
    <n v="12"/>
    <n v="35.183333333290648"/>
    <n v="4.4339175746145694"/>
    <m/>
    <m/>
    <m/>
    <m/>
    <m/>
  </r>
  <r>
    <d v="2025-05-25T00:00:00"/>
    <x v="4"/>
    <s v="NBL"/>
    <s v="OM7WANURR"/>
    <s v="DJ"/>
    <s v="Isaac Tumuhimbise"/>
    <s v="UBE 287X"/>
    <s v="KATO INVESTMENTS LTD- KALISIZO Tax No.: 1000098824"/>
    <n v="153.6"/>
    <s v="OM7WANURR"/>
    <s v="OM"/>
    <n v="288"/>
    <n v="285"/>
    <n v="-3"/>
    <m/>
    <d v="2025-05-24T20:36:00"/>
    <d v="2025-05-25T03:43:00"/>
    <d v="2025-05-24T21:03:00"/>
    <m/>
    <n v="26.87500000417155"/>
    <x v="0"/>
    <d v="2025-05-25T09:57:00"/>
    <d v="2025-05-25T13:02:00"/>
    <n v="181.14583333903283"/>
    <s v="Waited for empties from trade"/>
    <d v="2025-05-26T12:15:00"/>
    <d v="2025-05-26T12:58:00"/>
    <n v="42.104166670542327"/>
    <x v="0"/>
    <n v="1.6333333333313931"/>
    <n v="2"/>
    <n v="0.36666666666860692"/>
    <n v="39.199999999953434"/>
    <n v="12"/>
    <n v="27.199999999953434"/>
    <n v="5.6470588235390791"/>
    <m/>
    <m/>
    <m/>
    <m/>
    <m/>
  </r>
  <r>
    <d v="2025-05-25T00:00:00"/>
    <x v="4"/>
    <s v="KESH"/>
    <s v="OMHW32IRR"/>
    <s v="DJ"/>
    <s v="Hassan Byashara"/>
    <s v="UBP 312H"/>
    <s v="Boniface Harera Tax No.: 1000317747"/>
    <n v="156"/>
    <s v="OMHW32IRR"/>
    <s v="OM"/>
    <n v="448"/>
    <n v="445"/>
    <n v="-3"/>
    <m/>
    <d v="2025-05-24T15:11:00"/>
    <d v="2025-05-25T01:30:00"/>
    <d v="2025-05-24T15:34:00"/>
    <n v="-593.24074074514408"/>
    <n v="22.893518520140788"/>
    <x v="0"/>
    <d v="2025-05-26T09:00:00"/>
    <d v="2025-05-26T15:12:00"/>
    <n v="364.24999999726424"/>
    <s v="space consquents"/>
    <m/>
    <d v="1899-12-30T00:39:00"/>
    <n v="38.1875"/>
    <x v="0"/>
    <n v="-45801.648611111108"/>
    <n v="2"/>
    <n v="45803.648611111108"/>
    <n v="-1099239.5666666667"/>
    <n v="-549624"/>
    <n v="-549615.56666666665"/>
    <n v="-2.8383475552942554E-4"/>
    <m/>
    <m/>
    <m/>
    <m/>
    <m/>
  </r>
  <r>
    <d v="2025-05-25T00:00:00"/>
    <x v="4"/>
    <s v="NBL"/>
    <s v="OM6VU6BRR"/>
    <s v="DJ"/>
    <s v="Bisaso  Ronald"/>
    <s v="UBK 875R"/>
    <s v="KATO INVESTMENTS LIMITED-MASAK Tax No.: 1000098824"/>
    <n v="153.6"/>
    <s v="OM6VU6BRR"/>
    <s v="OM"/>
    <n v="596"/>
    <n v="594"/>
    <n v="-2"/>
    <m/>
    <d v="2025-05-24T16:41:00"/>
    <d v="2025-05-25T04:14:00"/>
    <d v="2025-05-24T17:09:00"/>
    <m/>
    <n v="27.870370367357584"/>
    <x v="0"/>
    <d v="2025-05-24T21:37:00"/>
    <d v="2025-05-26T18:45:00"/>
    <n v="2651.5833333383489"/>
    <s v="Waited for empties from trade"/>
    <m/>
    <d v="1899-12-30T00:42:00"/>
    <n v="41.124999999999993"/>
    <x v="0"/>
    <n v="-45801.714583333334"/>
    <n v="2"/>
    <n v="45803.714583333334"/>
    <n v="-1099241.1499999999"/>
    <n v="-549624"/>
    <n v="-549617.14999999991"/>
    <n v="-2.7946726189311964E-4"/>
    <m/>
    <m/>
    <m/>
    <m/>
    <m/>
  </r>
  <r>
    <d v="2025-05-25T00:00:00"/>
    <x v="4"/>
    <s v="NBL"/>
    <s v="OMC6OKARR"/>
    <s v="DJ"/>
    <s v="Kilabila Ismail"/>
    <s v="UBE 419T"/>
    <s v="KATO INVESTMENTS LIMITED-MASAK Tax No.: 1000098824"/>
    <n v="153.6"/>
    <s v="OMC6OKARR"/>
    <s v="OM"/>
    <n v="596"/>
    <n v="593"/>
    <n v="-3"/>
    <m/>
    <d v="2025-05-24T15:19:00"/>
    <d v="2025-05-25T04:14:00"/>
    <d v="2025-05-24T15:48:00"/>
    <m/>
    <n v="28.865740740972495"/>
    <x v="0"/>
    <d v="2025-05-24T20:09:00"/>
    <d v="2025-05-25T16:49:00"/>
    <n v="1214.1666666643869"/>
    <s v="Waited for empties from trade"/>
    <d v="2025-05-26T10:00:00"/>
    <d v="2025-05-26T10:43:00"/>
    <n v="42.104166670542327"/>
    <x v="0"/>
    <n v="1.7583333333313931"/>
    <n v="2"/>
    <n v="0.24166666666860692"/>
    <n v="42.199999999953434"/>
    <n v="12"/>
    <n v="30.199999999953434"/>
    <n v="5.08609271523963"/>
    <m/>
    <m/>
    <m/>
    <m/>
    <m/>
  </r>
  <r>
    <m/>
    <x v="5"/>
    <m/>
    <m/>
    <m/>
    <m/>
    <m/>
    <m/>
    <m/>
    <m/>
    <m/>
    <m/>
    <n v="-4"/>
    <m/>
    <m/>
    <m/>
    <m/>
    <m/>
    <m/>
    <m/>
    <x v="10"/>
    <m/>
    <m/>
    <m/>
    <s v="space consquents"/>
    <m/>
    <m/>
    <m/>
    <x v="5"/>
    <m/>
    <m/>
    <m/>
    <m/>
    <m/>
    <m/>
    <m/>
    <m/>
    <m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1014">
  <r>
    <d v="2025-01-01T00:00:00"/>
    <x v="0"/>
    <m/>
    <s v="OM02L6Y5"/>
    <s v="Manual"/>
    <x v="0"/>
    <s v="UBE 690K"/>
    <s v="Kato Investment Ltd -Kagadi"/>
    <n v="151.68"/>
    <s v="A19778"/>
    <s v="OM"/>
    <n v="670"/>
    <n v="612"/>
    <n v="-5"/>
    <m/>
    <d v="2025-01-01T07:58:00"/>
    <d v="2025-01-01T07:30:00"/>
    <d v="2025-01-01T08:38:00"/>
    <n v="67.685185186807459"/>
    <n v="39.814814819449872"/>
    <x v="0"/>
    <d v="2025-01-02T10:08:00"/>
    <d v="2025-01-02T13:47:00"/>
    <n v="214.43750000136788"/>
    <s v="space consquents"/>
    <d v="2025-01-03T10:22:31"/>
    <d v="2025-01-03T11:21:31"/>
    <n v="57.770833336981013"/>
    <m/>
    <n v="2.0725833333344781"/>
    <n v="2"/>
    <n v="-7.2583333334478084E-2"/>
    <n v="49.742000000027474"/>
    <n v="24"/>
    <n v="25.742000000027474"/>
    <n v="5.892316059351959"/>
    <m/>
    <m/>
    <m/>
    <m/>
    <m/>
  </r>
  <r>
    <d v="2025-01-01T20:17:33"/>
    <x v="0"/>
    <m/>
    <s v="OM7APO5RR"/>
    <s v="DJ"/>
    <x v="1"/>
    <s v="UBJ 375N"/>
    <s v="Kabaco U Ltd-Mbarara"/>
    <n v="140.1"/>
    <s v="Z82022"/>
    <s v="OM"/>
    <n v="20"/>
    <n v="14"/>
    <n v="3"/>
    <m/>
    <d v="2025-01-02T14:55:00"/>
    <d v="2025-01-02T07:42:00"/>
    <d v="2025-01-02T15:38:00"/>
    <n v="473.79629629722331"/>
    <n v="42.80092592986572"/>
    <x v="0"/>
    <d v="2025-01-02T16:07:00"/>
    <d v="2025-01-02T19:21:00"/>
    <n v="189.95833333698101"/>
    <s v="Reached late and offloaded the next day"/>
    <d v="2025-01-02T20:10:00"/>
    <d v="2025-01-02T21:06:00"/>
    <n v="54.833333337664953"/>
    <m/>
    <n v="0.18888888889341615"/>
    <n v="1"/>
    <n v="0.81111111110658385"/>
    <n v="4.5333333334419876"/>
    <n v="0"/>
    <n v="4.5333333334419876"/>
    <n v="30.904411763965168"/>
    <m/>
    <m/>
    <m/>
    <m/>
    <m/>
  </r>
  <r>
    <d v="2025-01-01T20:18:31"/>
    <x v="0"/>
    <m/>
    <s v="OMCOX6YRR"/>
    <s v="DJ"/>
    <x v="2"/>
    <s v="UBE 287X"/>
    <s v="Kabaco U Ltd-Mbarara"/>
    <n v="153.60000000000002"/>
    <s v="Z82023"/>
    <s v="OM"/>
    <n v="20"/>
    <n v="13"/>
    <n v="-7"/>
    <m/>
    <d v="2025-01-02T10:47:00"/>
    <d v="2025-01-02T07:42:00"/>
    <d v="2025-01-02T11:24:00"/>
    <n v="220.97222222291748"/>
    <n v="36.828703698605146"/>
    <x v="0"/>
    <d v="2025-01-02T12:02:00"/>
    <d v="2025-01-02T16:40:00"/>
    <n v="272.20833333834889"/>
    <s v="truck faulty"/>
    <d v="2025-01-02T17:17:00"/>
    <d v="2025-01-02T18:16:00"/>
    <n v="57.770833336981013"/>
    <m/>
    <n v="0.24513888888759539"/>
    <n v="1"/>
    <n v="0.75486111111240461"/>
    <n v="5.8833333333022892"/>
    <n v="0"/>
    <n v="5.8833333333022892"/>
    <n v="26.107648725350227"/>
    <m/>
    <m/>
    <m/>
    <m/>
    <m/>
  </r>
  <r>
    <d v="2025-01-01T20:19:18"/>
    <x v="0"/>
    <m/>
    <s v="OMZLGL1RR"/>
    <s v="DJ"/>
    <x v="3"/>
    <s v="UBK 881R"/>
    <s v="KATO INVESTMENTS LIMITED-MASAK"/>
    <n v="153.60000000000002"/>
    <s v="F15655"/>
    <s v="OM"/>
    <n v="340"/>
    <n v="342"/>
    <n v="2"/>
    <m/>
    <d v="2025-01-02T06:59:00"/>
    <d v="2025-01-02T04:14:00"/>
    <d v="2025-01-02T07:37:00"/>
    <n v="202.06018518680744"/>
    <n v="37.82407407222005"/>
    <x v="0"/>
    <d v="2025-01-02T09:24:00"/>
    <d v="2025-01-02T13:35:00"/>
    <n v="245.77083332398615"/>
    <s v="slept at the RD and offloaded the next day"/>
    <d v="2025-01-03T09:22:00"/>
    <d v="2025-01-03T10:21:00"/>
    <n v="57.770833336981013"/>
    <m/>
    <n v="1.0729166666642413"/>
    <n v="1"/>
    <n v="-7.2916666664241347E-2"/>
    <n v="25.749999999941792"/>
    <n v="12"/>
    <n v="13.749999999941792"/>
    <n v="11.170909090956382"/>
    <m/>
    <m/>
    <m/>
    <m/>
    <m/>
  </r>
  <r>
    <d v="2025-01-01T20:20:55"/>
    <x v="0"/>
    <m/>
    <s v="OM33KZQRR"/>
    <s v="DJ"/>
    <x v="4"/>
    <s v="UBE 422T"/>
    <s v="Kato Investments Ltd-Bulenga"/>
    <n v="153.60000000000002"/>
    <s v="A19779"/>
    <s v="OM"/>
    <n v="560"/>
    <n v="559"/>
    <n v="-1"/>
    <m/>
    <d v="2025-01-02T11:42:00"/>
    <d v="2025-01-01T21:30:00"/>
    <d v="2025-01-02T12:47:00"/>
    <n v="912.75462962221354"/>
    <n v="64.699074076391597"/>
    <x v="1"/>
    <d v="2025-01-03T10:45:00"/>
    <d v="2025-01-03T15:35:00"/>
    <n v="283.95833333561313"/>
    <s v="Waited for empties from trade"/>
    <d v="2025-01-04T11:40:00"/>
    <d v="2025-01-04T12:34:00"/>
    <n v="52.87499999794818"/>
    <m/>
    <n v="1.953472222223354"/>
    <n v="2"/>
    <n v="4.6527777776645962E-2"/>
    <n v="46.883333333360497"/>
    <n v="12"/>
    <n v="34.883333333360497"/>
    <n v="4.4032489249846272"/>
    <m/>
    <m/>
    <m/>
    <m/>
    <m/>
  </r>
  <r>
    <d v="2025-01-01T20:22:39"/>
    <x v="0"/>
    <m/>
    <s v="OMCP7C6RR"/>
    <s v="Manual"/>
    <x v="5"/>
    <s v="UBE 419T"/>
    <s v="RUGOMA TRADERS CO. LTD NTUNGAM"/>
    <n v="153.60000000000002"/>
    <s v="F15657"/>
    <s v="OM"/>
    <n v="130"/>
    <n v="129"/>
    <n v="-1"/>
    <m/>
    <d v="2025-01-02T08:13:39"/>
    <d v="2025-01-02T08:22:39"/>
    <d v="2025-01-02T09:30:39"/>
    <n v="67.685185186807459"/>
    <n v="76.643518518055018"/>
    <x v="2"/>
    <d v="2025-01-02T12:00:39"/>
    <d v="2025-01-02T17:00:39"/>
    <n v="293.7500000034197"/>
    <s v="Waited for empties from trade"/>
    <d v="2025-01-02T19:10:39"/>
    <d v="2025-01-02T20:06:39"/>
    <n v="54.833333337664953"/>
    <m/>
    <n v="0.40277777778101154"/>
    <n v="1"/>
    <n v="0.59722222221898846"/>
    <n v="9.6666666667442769"/>
    <n v="0"/>
    <n v="9.6666666667442769"/>
    <n v="15.889655172286224"/>
    <m/>
    <m/>
    <m/>
    <m/>
    <m/>
  </r>
  <r>
    <d v="2025-01-01T20:28:12"/>
    <x v="0"/>
    <m/>
    <s v="OMO39VURR"/>
    <s v="DJ"/>
    <x v="6"/>
    <s v="UBK 858R"/>
    <s v="KATO INVESTMENTS LTD-KATIKARA"/>
    <n v="133.44"/>
    <s v="A19781"/>
    <s v="OM"/>
    <n v="790"/>
    <n v="792"/>
    <n v="2"/>
    <m/>
    <d v="2025-01-01T20:16:00"/>
    <d v="2025-01-02T15:48:00"/>
    <d v="2025-01-01T20:56:00"/>
    <n v="-1126.7592592611134"/>
    <n v="39.814814819449872"/>
    <x v="0"/>
    <d v="2025-01-03T07:58:00"/>
    <d v="2025-01-03T12:16:00"/>
    <n v="252.62500000273576"/>
    <s v="found another truck at the RD and offloaded the next day"/>
    <d v="2025-01-04T11:27:00"/>
    <d v="2025-01-04T12:26:00"/>
    <n v="57.770833336981013"/>
    <m/>
    <n v="2.6048611111109494"/>
    <n v="3"/>
    <n v="0.39513888888905058"/>
    <n v="62.516666666662786"/>
    <n v="24"/>
    <n v="38.516666666662786"/>
    <n v="3.464474253570232"/>
    <m/>
    <m/>
    <m/>
    <m/>
    <m/>
  </r>
  <r>
    <d v="2025-01-02T17:45:21"/>
    <x v="0"/>
    <m/>
    <s v="OMY25R8RR"/>
    <s v="DJ"/>
    <x v="7"/>
    <s v="UAY 526V"/>
    <s v="Ntale and Sons"/>
    <n v="153.60000000000002"/>
    <s v="A19789"/>
    <s v="OM"/>
    <n v="810"/>
    <n v="812"/>
    <n v="2"/>
    <m/>
    <d v="2025-01-03T07:42:00"/>
    <d v="2025-01-02T19:30:00"/>
    <d v="2025-01-03T08:21:00"/>
    <n v="767.43055555416504"/>
    <n v="38.819444445834961"/>
    <x v="0"/>
    <d v="2025-01-03T20:47:00"/>
    <d v="2025-01-04T13:59:00"/>
    <n v="1010.5000000006839"/>
    <s v="Waited for empties from trade"/>
    <d v="2025-01-05T15:11:00"/>
    <d v="2025-01-05T16:00:00"/>
    <n v="47.979166669174447"/>
    <m/>
    <n v="2.2847222222262644"/>
    <n v="3"/>
    <n v="0.71527777777373558"/>
    <n v="54.833333333430346"/>
    <n v="24"/>
    <n v="30.833333333430346"/>
    <n v="4.9816216216059486"/>
    <m/>
    <m/>
    <m/>
    <m/>
    <m/>
  </r>
  <r>
    <d v="2025-01-02T17:46:19"/>
    <x v="0"/>
    <m/>
    <s v="OM84GFKRR"/>
    <s v="DJ"/>
    <x v="5"/>
    <s v="UBE 419T"/>
    <s v="KATO INVESTMENTS LIMITED-MASAK"/>
    <n v="153.60000000000002"/>
    <s v="F15658"/>
    <s v="OM"/>
    <n v="340"/>
    <n v="340"/>
    <n v="0"/>
    <m/>
    <d v="2025-01-02T18:01:00"/>
    <d v="2025-01-03T04:14:00"/>
    <d v="2025-01-02T18:44:00"/>
    <n v="-567.3611111145874"/>
    <n v="42.80092592986572"/>
    <x v="0"/>
    <d v="2025-01-03T12:09:00"/>
    <d v="2025-01-03T15:09:00"/>
    <n v="176.25"/>
    <m/>
    <d v="2025-01-04T10:40:00"/>
    <d v="2025-01-04T11:36:00"/>
    <n v="54.833333337664953"/>
    <m/>
    <n v="1.663888888891961"/>
    <n v="2"/>
    <n v="0.33611111110803904"/>
    <n v="39.933333333407063"/>
    <n v="12"/>
    <n v="27.933333333407063"/>
    <n v="5.4988066825630524"/>
    <m/>
    <m/>
    <m/>
    <m/>
    <m/>
  </r>
  <r>
    <d v="2025-01-02T23:12:54"/>
    <x v="0"/>
    <m/>
    <s v="OMN00PNRR"/>
    <s v="DJ"/>
    <x v="3"/>
    <s v="UBK 881R"/>
    <s v="Sawan Distributors Ltd-Nabingo"/>
    <n v="153.6"/>
    <s v="A19800"/>
    <s v="OM"/>
    <n v="560"/>
    <n v="562"/>
    <n v="2"/>
    <m/>
    <d v="2025-01-03T13:30:00"/>
    <d v="2025-01-03T08:00:00"/>
    <d v="2025-01-03T14:29:00"/>
    <n v="387.19907407430583"/>
    <n v="58.726851855559893"/>
    <x v="1"/>
    <d v="2025-01-03T21:09:00"/>
    <d v="2025-01-04T12:35:00"/>
    <n v="906.70833333424525"/>
    <s v="space consquents"/>
    <d v="2025-01-06T14:11:00"/>
    <d v="2025-01-06T15:10:00"/>
    <n v="57.770833336981013"/>
    <m/>
    <n v="2.9874999999956344"/>
    <n v="2"/>
    <n v="-0.98749999999563443"/>
    <n v="71.699999999895226"/>
    <n v="24"/>
    <n v="47.699999999895226"/>
    <n v="3.2201257861705948"/>
    <m/>
    <m/>
    <m/>
    <m/>
    <m/>
  </r>
  <r>
    <d v="2025-01-02T23:13:56"/>
    <x v="0"/>
    <m/>
    <s v="OM8F9LXRR"/>
    <s v="DJ"/>
    <x v="8"/>
    <s v="UBK 875R"/>
    <s v="Kabaco U Ltd-Mbarara"/>
    <n v="149.4"/>
    <s v="Z82038"/>
    <s v="OM"/>
    <n v="20"/>
    <n v="22"/>
    <n v="2"/>
    <m/>
    <d v="2025-01-03T13:59:00"/>
    <d v="2025-01-03T08:00:00"/>
    <d v="2025-01-03T14:37:00"/>
    <n v="395.1620370319385"/>
    <n v="37.82407407222005"/>
    <x v="0"/>
    <d v="2025-01-03T15:47:00"/>
    <d v="2025-01-03T18:46:00"/>
    <n v="175.27083334040071"/>
    <m/>
    <d v="2025-01-03T19:16:00"/>
    <d v="2025-01-03T20:08:00"/>
    <n v="50.916666668490507"/>
    <m/>
    <n v="0.19374999999854481"/>
    <n v="2"/>
    <n v="1.8062500000014552"/>
    <n v="4.6499999999650754"/>
    <n v="0"/>
    <n v="4.6499999999650754"/>
    <n v="32.129032258305827"/>
    <m/>
    <m/>
    <m/>
    <m/>
    <m/>
  </r>
  <r>
    <d v="2025-01-02T23:14:52"/>
    <x v="0"/>
    <m/>
    <s v="OMHX7MPRR"/>
    <s v="DJ"/>
    <x v="1"/>
    <s v="UBJ 375N"/>
    <s v="Kobusinge Steven-Kamwenge"/>
    <n v="153.60000000000002"/>
    <s v="Z82039"/>
    <s v="OM"/>
    <n v="230"/>
    <n v="230"/>
    <n v="0"/>
    <m/>
    <d v="2025-01-03T09:11:00"/>
    <d v="2025-01-03T09:00:00"/>
    <d v="2025-01-03T09:55:00"/>
    <n v="54.745370371529134"/>
    <n v="43.796296293051761"/>
    <x v="0"/>
    <d v="2025-01-03T13:10:00"/>
    <d v="2025-01-03T17:08:00"/>
    <n v="233.04166666712263"/>
    <s v="Waited for empties from trade"/>
    <d v="2025-01-04T09:33:00"/>
    <d v="2025-01-04T10:32:00"/>
    <n v="57.770833336981013"/>
    <m/>
    <n v="0.98472222222335404"/>
    <n v="2"/>
    <n v="1.015277777776646"/>
    <n v="23.633333333360497"/>
    <n v="0"/>
    <n v="23.633333333360497"/>
    <n v="6.4992947813747595"/>
    <m/>
    <m/>
    <m/>
    <m/>
    <m/>
  </r>
  <r>
    <d v="2025-01-02T23:15:44"/>
    <x v="0"/>
    <m/>
    <s v="OMVZ7HGRR"/>
    <s v="DJ"/>
    <x v="2"/>
    <s v="UBE 287X"/>
    <s v="Agaba Services"/>
    <n v="153.60000000000002"/>
    <s v="F15659"/>
    <s v="OM"/>
    <n v="302"/>
    <n v="293"/>
    <n v="-9"/>
    <m/>
    <d v="2025-01-03T06:17:00"/>
    <d v="2025-01-03T08:30:00"/>
    <d v="2025-01-03T07:14:00"/>
    <n v="-75.6481481444401"/>
    <n v="56.736111108330078"/>
    <x v="3"/>
    <d v="2025-01-03T12:37:00"/>
    <d v="2025-01-03T14:34:00"/>
    <n v="114.56250000410364"/>
    <m/>
    <d v="2025-01-04T08:36:00"/>
    <d v="2025-01-04T09:28:00"/>
    <n v="50.916666668490507"/>
    <m/>
    <n v="1.0569444444408873"/>
    <n v="2"/>
    <n v="0.94305555555911269"/>
    <n v="25.366666666581295"/>
    <n v="12"/>
    <n v="13.366666666581295"/>
    <n v="11.491271820522273"/>
    <m/>
    <m/>
    <m/>
    <m/>
    <m/>
  </r>
  <r>
    <d v="2025-01-02T23:16:43"/>
    <x v="0"/>
    <m/>
    <s v="OM976EURR"/>
    <s v="DJ"/>
    <x v="9"/>
    <s v="UAV 203T"/>
    <s v="Kobusinge Acaali- Kyenjojo"/>
    <n v="153.60000000000002"/>
    <s v="Z82040"/>
    <s v="OM"/>
    <n v="480"/>
    <n v="469"/>
    <n v="-11"/>
    <m/>
    <d v="2025-01-03T08:53:00"/>
    <d v="2025-01-04T03:17:00"/>
    <d v="2025-01-03T10:09:00"/>
    <n v="-1023.2407407388868"/>
    <n v="75.6481481444401"/>
    <x v="4"/>
    <d v="2025-01-04T08:26:00"/>
    <d v="2025-01-04T13:38:00"/>
    <n v="305.50000000068394"/>
    <s v="Waited for empties from trade"/>
    <d v="2025-01-05T10:02:00"/>
    <d v="2025-01-05T10:59:00"/>
    <n v="55.81249999726424"/>
    <m/>
    <n v="1.9951388888875954"/>
    <n v="2"/>
    <n v="4.8611111124046147E-3"/>
    <n v="47.883333333302289"/>
    <n v="12"/>
    <n v="35.883333333302289"/>
    <n v="4.2805387830970618"/>
    <m/>
    <m/>
    <m/>
    <m/>
    <m/>
  </r>
  <r>
    <d v="2025-01-03T00:00:00"/>
    <x v="0"/>
    <m/>
    <s v="OM02L7BP"/>
    <s v="Manual"/>
    <x v="10"/>
    <s v="UBE 678K"/>
    <s v="Ntale and Sons Ltd-Kakiri"/>
    <n v="156"/>
    <s v="A19821"/>
    <s v="OM"/>
    <n v="620"/>
    <n v="612"/>
    <n v="-8"/>
    <m/>
    <d v="2025-01-03T08:05:00"/>
    <d v="2025-01-03T07:30:00"/>
    <d v="2025-01-03T08:45:00"/>
    <n v="74.652777770825196"/>
    <n v="39.814814819449872"/>
    <x v="0"/>
    <d v="2025-01-03T21:15:00"/>
    <d v="2025-01-04T03:22:00"/>
    <n v="359.35416666849051"/>
    <s v="Waited for empties from trade"/>
    <d v="2025-01-05T14:17:24"/>
    <d v="2025-01-05T15:14:24"/>
    <n v="55.81249999726424"/>
    <m/>
    <n v="2.2308333333348855"/>
    <n v="3"/>
    <n v="0.76916666666511446"/>
    <n v="53.540000000037253"/>
    <n v="24"/>
    <n v="29.540000000037253"/>
    <n v="5.2809749492147349"/>
    <m/>
    <m/>
    <m/>
    <m/>
    <m/>
  </r>
  <r>
    <d v="2025-01-03T00:00:00"/>
    <x v="0"/>
    <m/>
    <s v="OM02L7BK"/>
    <s v="Manual"/>
    <x v="10"/>
    <s v="UBE 678K"/>
    <s v="Kato Investments Ltd- Kakumiro"/>
    <n v="156"/>
    <s v="A19818"/>
    <s v="OM"/>
    <n v="765"/>
    <n v="767"/>
    <n v="2"/>
    <m/>
    <d v="2025-01-03T08:12:00"/>
    <d v="2025-01-03T07:30:00"/>
    <d v="2025-01-03T08:53:00"/>
    <n v="82.615740738886714"/>
    <n v="40.810185182635905"/>
    <x v="0"/>
    <d v="2025-01-03T17:53:00"/>
    <d v="2025-01-03T20:26:00"/>
    <n v="149.81249999589636"/>
    <m/>
    <d v="2025-01-04T21:07:38"/>
    <d v="2025-01-04T22:06:38"/>
    <n v="57.770833336981013"/>
    <m/>
    <n v="1.5101666666669189"/>
    <n v="3"/>
    <n v="1.4898333333330811"/>
    <n v="36.244000000006054"/>
    <n v="12"/>
    <n v="24.244000000006054"/>
    <n v="6.434581752184501"/>
    <m/>
    <m/>
    <m/>
    <m/>
    <m/>
  </r>
  <r>
    <d v="2025-01-03T00:00:00"/>
    <x v="0"/>
    <m/>
    <s v="OM02L7BR"/>
    <s v="Manual"/>
    <x v="0"/>
    <s v="UBE 690K"/>
    <s v="Kabaco U Ltd"/>
    <n v="156"/>
    <s v="Z82048"/>
    <s v="OM"/>
    <n v="320"/>
    <n v="319"/>
    <n v="-1"/>
    <m/>
    <d v="2025-01-03T07:59:00"/>
    <d v="2025-01-03T07:30:00"/>
    <d v="2025-01-03T08:42:00"/>
    <n v="71.666666660409348"/>
    <n v="42.80092592986572"/>
    <x v="0"/>
    <d v="2025-01-03T14:42:00"/>
    <d v="2025-01-03T17:23:00"/>
    <n v="157.64583333424525"/>
    <m/>
    <d v="2025-01-04T11:48:12"/>
    <d v="2025-01-04T12:47:12"/>
    <n v="57.770833336981013"/>
    <m/>
    <n v="1.1293055555579485"/>
    <n v="2"/>
    <n v="0.87069444444205146"/>
    <n v="27.103333333390765"/>
    <n v="12"/>
    <n v="15.103333333390765"/>
    <n v="10.328845729380278"/>
    <m/>
    <m/>
    <m/>
    <m/>
    <m/>
  </r>
  <r>
    <d v="2025-01-03T00:00:00"/>
    <x v="0"/>
    <m/>
    <s v="OM02L777"/>
    <s v="Manual"/>
    <x v="10"/>
    <s v="UBP 311H"/>
    <s v="Kato Investments Ltd- Kyegegwa"/>
    <n v="156"/>
    <s v="A19812"/>
    <s v="OM"/>
    <n v="600"/>
    <n v="591"/>
    <n v="-9"/>
    <m/>
    <d v="2025-01-03T07:29:00"/>
    <d v="2025-01-03T07:30:00"/>
    <d v="2025-01-03T08:46:00"/>
    <n v="75.6481481444401"/>
    <n v="76.643518518055018"/>
    <x v="5"/>
    <d v="2025-01-04T11:06:00"/>
    <d v="2025-01-04T14:01:00"/>
    <n v="171.35416667122627"/>
    <m/>
    <d v="2025-01-04T21:16:00"/>
    <d v="2025-01-04T22:12:00"/>
    <n v="54.833333337664953"/>
    <m/>
    <n v="1.5208333333284827"/>
    <n v="2"/>
    <n v="0.47916666667151731"/>
    <n v="36.499999999883585"/>
    <n v="12"/>
    <n v="24.499999999883585"/>
    <n v="6.367346938805766"/>
    <m/>
    <m/>
    <m/>
    <m/>
    <m/>
  </r>
  <r>
    <d v="2025-01-03T00:00:00"/>
    <x v="0"/>
    <m/>
    <s v="OM02L77A"/>
    <s v="Manual"/>
    <x v="10"/>
    <s v="UBP 311H"/>
    <s v="Kobusinge Steven-FPortal"/>
    <n v="156"/>
    <s v="Z82042"/>
    <s v="OM"/>
    <n v="390"/>
    <n v="386"/>
    <n v="-4"/>
    <m/>
    <d v="2025-01-03T08:04:00"/>
    <d v="2025-01-03T07:30:00"/>
    <d v="2025-01-03T08:47:00"/>
    <n v="76.643518518055018"/>
    <n v="42.80092592986572"/>
    <x v="0"/>
    <d v="2025-01-04T10:17:00"/>
    <d v="2025-01-04T12:50:00"/>
    <n v="149.81249999589636"/>
    <m/>
    <d v="2025-01-05T08:56:22"/>
    <d v="2025-01-05T09:55:22"/>
    <n v="57.770833336981013"/>
    <m/>
    <n v="2.0065000000031432"/>
    <n v="2"/>
    <n v="-6.5000000031432137E-3"/>
    <n v="48.156000000075437"/>
    <n v="24"/>
    <n v="24.156000000075437"/>
    <n v="6.4580228514453069"/>
    <m/>
    <m/>
    <m/>
    <m/>
    <m/>
  </r>
  <r>
    <d v="2025-01-03T00:00:00"/>
    <x v="0"/>
    <m/>
    <s v="OM02L7BL"/>
    <s v="Manual"/>
    <x v="11"/>
    <s v="UBP 311H"/>
    <s v="Kobusinge Steven-Kamwenge"/>
    <n v="156"/>
    <s v="Z82047"/>
    <s v="OM"/>
    <n v="230"/>
    <n v="232"/>
    <n v="2"/>
    <m/>
    <d v="2025-01-03T08:23:00"/>
    <d v="2025-01-03T07:30:00"/>
    <d v="2025-01-03T09:02:00"/>
    <n v="91.574074070134273"/>
    <n v="38.819444445834961"/>
    <x v="0"/>
    <d v="2025-01-04T09:32:00"/>
    <d v="2025-01-04T12:01:00"/>
    <n v="145.89583333698101"/>
    <m/>
    <d v="2025-01-04T19:43:00"/>
    <d v="2025-01-04T20:35:00"/>
    <n v="50.916666668490507"/>
    <m/>
    <n v="1.445138888891961"/>
    <n v="2"/>
    <n v="0.55486111110803904"/>
    <n v="34.683333333407063"/>
    <n v="12"/>
    <n v="22.683333333407063"/>
    <n v="6.877296105782202"/>
    <m/>
    <m/>
    <m/>
    <m/>
    <m/>
  </r>
  <r>
    <d v="2025-01-03T00:00:00"/>
    <x v="0"/>
    <m/>
    <s v="OM02L7BM"/>
    <s v="Manual"/>
    <x v="11"/>
    <s v="UBP 311H"/>
    <s v="Kato Investment Ltd -Mubende"/>
    <n v="154.34400000000002"/>
    <s v="A19820"/>
    <s v="OM"/>
    <n v="680"/>
    <n v="682"/>
    <n v="2"/>
    <m/>
    <d v="2025-01-03T08:15:00"/>
    <d v="2025-01-03T07:30:00"/>
    <d v="2025-01-03T08:58:00"/>
    <n v="87.592592586103521"/>
    <n v="42.80092592986572"/>
    <x v="0"/>
    <d v="2025-01-04T11:15:00"/>
    <d v="2025-01-04T14:10:00"/>
    <n v="171.35416667122627"/>
    <m/>
    <d v="2025-01-05T18:52:48"/>
    <d v="2025-01-05T19:39:48"/>
    <n v="46.020833329457673"/>
    <m/>
    <n v="2.4130555555530009"/>
    <n v="2"/>
    <n v="-0.41305555555300089"/>
    <n v="57.913333333272021"/>
    <n v="24"/>
    <n v="33.913333333272021"/>
    <n v="4.5511303322276113"/>
    <m/>
    <m/>
    <m/>
    <m/>
    <m/>
  </r>
  <r>
    <d v="2025-01-03T00:00:00"/>
    <x v="0"/>
    <m/>
    <s v="OM02L77B"/>
    <s v="Manual"/>
    <x v="10"/>
    <s v="UBP 311H"/>
    <s v="KATO INVESTMENTS LTD-KATIKARA"/>
    <n v="156"/>
    <s v="A19813"/>
    <s v="OM"/>
    <n v="790"/>
    <n v="792"/>
    <n v="2"/>
    <m/>
    <d v="2025-01-03T07:58:00"/>
    <d v="2025-01-03T07:30:00"/>
    <d v="2025-01-03T08:38:00"/>
    <n v="67.685185186807459"/>
    <n v="39.814814819449872"/>
    <x v="0"/>
    <d v="2025-01-04T09:53:00"/>
    <d v="2025-01-04T15:29:00"/>
    <n v="328.99999999521242"/>
    <s v="found another truck to be offloaded"/>
    <d v="2025-01-05T19:40:00"/>
    <d v="2025-01-05T20:39:00"/>
    <n v="57.770833336981013"/>
    <m/>
    <n v="2.4597222222218988"/>
    <n v="3"/>
    <n v="0.54027777777810115"/>
    <n v="59.033333333325572"/>
    <n v="24"/>
    <n v="35.033333333325572"/>
    <n v="4.4529019980980369"/>
    <m/>
    <m/>
    <m/>
    <m/>
    <m/>
  </r>
  <r>
    <d v="2025-01-03T00:00:00"/>
    <x v="0"/>
    <m/>
    <s v="OM02L7BH"/>
    <s v="Manual"/>
    <x v="10"/>
    <s v="UBP 311H"/>
    <s v="Kobusinge Steven-FPortal"/>
    <n v="156"/>
    <s v="Z82046"/>
    <s v="OM"/>
    <n v="390"/>
    <n v="386"/>
    <n v="-4"/>
    <m/>
    <d v="2025-01-03T07:35:00"/>
    <d v="2025-01-03T07:30:00"/>
    <d v="2025-01-03T08:38:00"/>
    <n v="67.685185186807459"/>
    <n v="62.708333329161782"/>
    <x v="3"/>
    <d v="2025-01-04T10:08:00"/>
    <d v="2025-01-04T12:41:00"/>
    <n v="149.81249999589636"/>
    <m/>
    <d v="2025-01-05T09:30:34"/>
    <d v="2025-01-05T10:27:34"/>
    <n v="55.81249999726424"/>
    <m/>
    <n v="2.0365000000019791"/>
    <n v="2"/>
    <n v="-3.650000000197906E-2"/>
    <n v="48.876000000047497"/>
    <n v="24"/>
    <n v="24.876000000047497"/>
    <n v="6.2711046791969025"/>
    <m/>
    <m/>
    <m/>
    <m/>
    <m/>
  </r>
  <r>
    <d v="2025-01-03T12:01:02"/>
    <x v="0"/>
    <m/>
    <s v="OMJVKLYRR"/>
    <s v="DJ"/>
    <x v="12"/>
    <s v="UBJ 415C"/>
    <s v="KATO INVESTMENTS LIMITED-MASAK"/>
    <n v="153.60000000000002"/>
    <s v="F15660"/>
    <s v="OM"/>
    <n v="340"/>
    <n v="255"/>
    <n v="-85"/>
    <m/>
    <d v="2025-01-03T16:19:00"/>
    <d v="2025-01-04T04:14:00"/>
    <d v="2025-01-03T16:54:00"/>
    <n v="-676.85185184721684"/>
    <n v="34.837962961804202"/>
    <x v="0"/>
    <d v="2025-01-04T12:00:00"/>
    <d v="2025-01-04T14:29:00"/>
    <n v="145.89583333698101"/>
    <m/>
    <d v="2025-01-06T13:03:00"/>
    <d v="2025-01-06T14:02:00"/>
    <n v="57.770833336981013"/>
    <m/>
    <n v="2.8395833333270275"/>
    <n v="2"/>
    <n v="-0.8395833333270275"/>
    <n v="68.14999999984866"/>
    <n v="24"/>
    <n v="44.14999999984866"/>
    <n v="3.4790486976336701"/>
    <m/>
    <m/>
    <m/>
    <m/>
    <m/>
  </r>
  <r>
    <d v="2025-01-03T12:03:43"/>
    <x v="0"/>
    <m/>
    <s v="OMFII1DRR"/>
    <s v="Manual"/>
    <x v="13"/>
    <s v="UAV 051U"/>
    <s v="KATO INVESTMENTS LTD- KALISIZO"/>
    <n v="153.60000000000002"/>
    <s v="F15661"/>
    <s v="OM"/>
    <n v="350"/>
    <n v="351"/>
    <n v="1"/>
    <m/>
    <d v="2025-01-04T00:32:43"/>
    <d v="2025-01-04T00:03:43"/>
    <d v="2025-01-04T01:15:43"/>
    <n v="71.666666660409348"/>
    <n v="42.80092592986572"/>
    <x v="0"/>
    <d v="2025-01-04T08:15:43"/>
    <d v="2025-01-04T10:48:43"/>
    <n v="149.81249999589636"/>
    <m/>
    <d v="2025-01-04T18:15:43"/>
    <d v="2025-01-04T19:14:43"/>
    <n v="57.770833336981013"/>
    <m/>
    <n v="0.70833333333575865"/>
    <n v="2"/>
    <n v="1.2916666666642413"/>
    <n v="17.000000000058208"/>
    <n v="0"/>
    <n v="17.000000000058208"/>
    <n v="9.0352941176161234"/>
    <m/>
    <m/>
    <m/>
    <m/>
    <m/>
  </r>
  <r>
    <d v="2025-01-03T12:07:32"/>
    <x v="0"/>
    <m/>
    <s v="OMY3M6PRR"/>
    <s v="DJ"/>
    <x v="14"/>
    <s v="UBJ 988D"/>
    <s v="RUGOMA TRADERS CO. LTD NTUNGAM"/>
    <n v="153.60000000000002"/>
    <s v="F15662"/>
    <s v="OM"/>
    <n v="130"/>
    <n v="129"/>
    <n v="-1"/>
    <m/>
    <d v="2025-01-03T17:25:00"/>
    <d v="2025-01-04T06:15:00"/>
    <d v="2025-01-03T18:04:00"/>
    <n v="-727.61574073471513"/>
    <n v="38.819444445834961"/>
    <x v="0"/>
    <d v="2025-01-04T07:58:00"/>
    <d v="2025-01-04T10:39:00"/>
    <n v="157.64583333424525"/>
    <m/>
    <d v="2025-01-04T17:08:00"/>
    <d v="2025-01-04T18:07:00"/>
    <n v="57.770833336981013"/>
    <m/>
    <n v="0.96111111110803904"/>
    <n v="1"/>
    <n v="3.888888889196096E-2"/>
    <n v="23.066666666592937"/>
    <n v="0"/>
    <n v="23.066666666592937"/>
    <n v="6.6589595375935398"/>
    <m/>
    <m/>
    <m/>
    <m/>
    <m/>
  </r>
  <r>
    <d v="2025-01-03T12:08:24"/>
    <x v="0"/>
    <m/>
    <s v="OM0MCP3RR"/>
    <s v="DJ"/>
    <x v="15"/>
    <s v="UBK 862R"/>
    <s v="Boniface Harera"/>
    <n v="156"/>
    <s v="F15663"/>
    <s v="OM"/>
    <n v="470"/>
    <n v="469"/>
    <n v="-1"/>
    <m/>
    <d v="2025-01-03T14:35:00"/>
    <d v="2025-01-04T01:30:00"/>
    <d v="2025-01-03T15:28:00"/>
    <n v="-599.21296296597575"/>
    <n v="52.75462963472819"/>
    <x v="2"/>
    <d v="2025-01-04T10:21:00"/>
    <d v="2025-01-04T13:16:00"/>
    <n v="171.35416667122627"/>
    <m/>
    <d v="2025-01-04T10:15:00"/>
    <d v="2025-01-04T11:09:00"/>
    <n v="52.87499999794818"/>
    <m/>
    <n v="0.78263888889341615"/>
    <n v="2"/>
    <n v="1.2173611111065838"/>
    <n v="18.783333333441988"/>
    <n v="0"/>
    <n v="18.783333333441988"/>
    <n v="8.3052351374852318"/>
    <m/>
    <m/>
    <m/>
    <m/>
    <m/>
  </r>
  <r>
    <d v="2025-01-03T20:31:37"/>
    <x v="0"/>
    <m/>
    <s v="OMHN31TRR"/>
    <s v="DJ"/>
    <x v="16"/>
    <s v="UBJ 707D"/>
    <s v="Kabaco U Ltd-Mbarara"/>
    <n v="151.80000000000001"/>
    <s v="Z82049"/>
    <s v="OM"/>
    <n v="20"/>
    <n v="14"/>
    <n v="-6"/>
    <m/>
    <d v="2025-01-04T07:29:00"/>
    <d v="2025-01-04T07:42:00"/>
    <d v="2025-01-04T08:22:00"/>
    <n v="39.814814819449872"/>
    <n v="52.75462963472819"/>
    <x v="2"/>
    <d v="2025-01-04T09:13:00"/>
    <d v="2025-01-04T14:33:00"/>
    <n v="313.33333332877373"/>
    <s v="Waited for empties from trade"/>
    <d v="2025-01-04T14:12:00"/>
    <d v="2025-01-04T14:59:00"/>
    <n v="46.020833329457673"/>
    <m/>
    <n v="0.24305555555474712"/>
    <n v="2"/>
    <n v="1.7569444444452529"/>
    <n v="5.8333333333139308"/>
    <n v="0"/>
    <n v="5.8333333333139308"/>
    <n v="26.0228571429437"/>
    <m/>
    <m/>
    <m/>
    <m/>
    <m/>
  </r>
  <r>
    <d v="2025-01-03T20:38:28"/>
    <x v="0"/>
    <m/>
    <s v="OM4WLDZRR"/>
    <s v="Manual"/>
    <x v="17"/>
    <s v="UBA 523T"/>
    <s v="RUGOMA TRADERS CO. LTD NTUNGAM"/>
    <n v="153.60000000000002"/>
    <s v="F15664"/>
    <s v="OM"/>
    <n v="130"/>
    <n v="129"/>
    <n v="-1"/>
    <m/>
    <d v="2025-01-04T09:03:28"/>
    <d v="2025-01-04T08:38:28"/>
    <d v="2025-01-04T09:46:28"/>
    <n v="67.685185186807459"/>
    <n v="42.80092592986572"/>
    <x v="0"/>
    <d v="2025-01-04T12:02:28"/>
    <d v="2025-01-04T14:49:28"/>
    <n v="163.52083333287737"/>
    <m/>
    <d v="2025-01-04T18:38:28"/>
    <d v="2025-01-04T19:37:28"/>
    <n v="57.770833336981013"/>
    <m/>
    <n v="0.36944444444816327"/>
    <n v="1"/>
    <n v="0.63055555555183673"/>
    <n v="8.8666666667559184"/>
    <n v="0"/>
    <n v="8.8666666667559184"/>
    <n v="17.323308270502316"/>
    <m/>
    <m/>
    <m/>
    <m/>
    <m/>
  </r>
  <r>
    <d v="2025-01-03T20:42:06"/>
    <x v="0"/>
    <m/>
    <s v="OMF1PUWRR"/>
    <s v="DJ"/>
    <x v="8"/>
    <s v="UBK 875R"/>
    <s v="Ntale and Sons"/>
    <n v="151.94400000000002"/>
    <s v="A19824"/>
    <s v="OM"/>
    <n v="810"/>
    <n v="809"/>
    <n v="-1"/>
    <m/>
    <d v="2025-01-04T08:14:00"/>
    <d v="2025-01-03T21:30:00"/>
    <d v="2025-01-04T08:53:00"/>
    <n v="679.83796295763261"/>
    <n v="38.819444445834961"/>
    <x v="0"/>
    <d v="2025-01-06T14:32:00"/>
    <d v="2025-01-06T17:05:00"/>
    <n v="149.81249999589636"/>
    <m/>
    <d v="2025-01-07T20:41:00"/>
    <d v="2025-01-07T21:40:00"/>
    <n v="57.770833336981013"/>
    <m/>
    <n v="3.4916666666686069"/>
    <n v="3"/>
    <n v="-0.49166666666860692"/>
    <n v="83.800000000046566"/>
    <n v="36"/>
    <n v="47.800000000046566"/>
    <n v="3.1787447698713804"/>
    <m/>
    <m/>
    <m/>
    <m/>
    <m/>
  </r>
  <r>
    <d v="2025-01-03T20:43:12"/>
    <x v="0"/>
    <m/>
    <s v="OM7HSU6RR"/>
    <s v="DJ"/>
    <x v="2"/>
    <s v="UBE 287X"/>
    <s v="KATO INVESTMENTS LIMITED-MASAK"/>
    <n v="153.60000000000002"/>
    <s v="F15665"/>
    <s v="OM"/>
    <n v="340"/>
    <n v="296"/>
    <n v="-44"/>
    <m/>
    <d v="2025-01-04T11:16:00"/>
    <d v="2025-01-04T04:14:00"/>
    <d v="2025-01-04T11:56:00"/>
    <n v="459.86111110833008"/>
    <n v="39.814814819449872"/>
    <x v="0"/>
    <d v="2025-01-05T09:05:00"/>
    <d v="2025-01-05T12:00:00"/>
    <n v="171.35416667122627"/>
    <m/>
    <d v="2025-01-05T15:58:00"/>
    <d v="2025-01-05T16:55:00"/>
    <n v="55.81249999726424"/>
    <m/>
    <n v="1.1680555555576575"/>
    <n v="2"/>
    <n v="0.8319444444423425"/>
    <n v="28.03333333338378"/>
    <n v="12"/>
    <n v="16.03333333338378"/>
    <n v="9.5800415800114394"/>
    <m/>
    <m/>
    <m/>
    <m/>
    <m/>
  </r>
  <r>
    <d v="2025-01-03T20:43:57"/>
    <x v="0"/>
    <m/>
    <s v="OMS5GYURR"/>
    <s v="DJ"/>
    <x v="18"/>
    <s v="UBP 301H"/>
    <s v="Boniface Harera"/>
    <n v="156"/>
    <s v="F15666"/>
    <s v="OM"/>
    <n v="470"/>
    <n v="469"/>
    <n v="-1"/>
    <m/>
    <d v="2025-01-03T19:27:00"/>
    <d v="2025-01-04T01:30:00"/>
    <d v="2025-01-03T20:07:00"/>
    <n v="-321.5046296242993"/>
    <n v="39.814814819449872"/>
    <x v="0"/>
    <d v="2025-01-06T13:44:00"/>
    <d v="2025-01-06T16:31:00"/>
    <n v="163.52083333287737"/>
    <m/>
    <d v="2025-01-07T15:40:00"/>
    <d v="2025-01-07T16:29:00"/>
    <n v="47.979166669174447"/>
    <m/>
    <n v="3.8145833333328483"/>
    <n v="2"/>
    <n v="-1.8145833333328483"/>
    <n v="91.549999999988358"/>
    <n v="36"/>
    <n v="55.549999999988358"/>
    <n v="2.8082808280833969"/>
    <m/>
    <m/>
    <m/>
    <m/>
    <m/>
  </r>
  <r>
    <d v="2025-01-03T20:44:46"/>
    <x v="0"/>
    <m/>
    <s v="OMF7GZSRR"/>
    <s v="DJ"/>
    <x v="19"/>
    <s v="UBE 680K"/>
    <s v="Kato Investments Ltd-Bulenga"/>
    <n v="156"/>
    <s v="A19825"/>
    <s v="OM"/>
    <n v="560"/>
    <n v="507"/>
    <n v="-53"/>
    <m/>
    <d v="2025-01-03T19:49:00"/>
    <d v="2025-01-03T21:30:00"/>
    <d v="2025-01-03T20:29:00"/>
    <n v="-60.717592602789715"/>
    <n v="39.814814819449872"/>
    <x v="0"/>
    <d v="2025-01-04T16:33:00"/>
    <d v="2025-01-04T19:28:00"/>
    <n v="171.35416667122627"/>
    <m/>
    <d v="2025-01-05T10:04:00"/>
    <d v="2025-01-05T11:00:00"/>
    <n v="54.833333337664953"/>
    <m/>
    <n v="1.5659722222262644"/>
    <n v="3"/>
    <n v="1.4340277777737356"/>
    <n v="37.583333333430346"/>
    <n v="12"/>
    <n v="25.583333333430346"/>
    <n v="6.0977198696837176"/>
    <m/>
    <m/>
    <m/>
    <m/>
    <m/>
  </r>
  <r>
    <d v="2025-01-03T23:38:19"/>
    <x v="0"/>
    <m/>
    <s v="OMUDTTERR"/>
    <s v="DJ"/>
    <x v="5"/>
    <s v="UBE 419T"/>
    <s v="Rugoma Traders-Kanungu/Kihihi"/>
    <n v="153.60000000000002"/>
    <s v="F15667"/>
    <s v="OM"/>
    <n v="414"/>
    <n v="413"/>
    <n v="-1"/>
    <m/>
    <d v="2025-01-04T18:26:00"/>
    <d v="2025-01-04T08:30:00"/>
    <d v="2025-01-04T19:09:00"/>
    <n v="636.04166667500976"/>
    <n v="42.80092592986572"/>
    <x v="0"/>
    <d v="2025-01-05T10:51:00"/>
    <d v="2025-01-05T16:08:00"/>
    <n v="310.39583332945767"/>
    <s v="Waited for empties from trade"/>
    <d v="2025-01-06T11:17:00"/>
    <d v="2025-01-06T12:11:00"/>
    <n v="52.87499999794818"/>
    <m/>
    <n v="1.6722222222160781"/>
    <n v="2"/>
    <n v="0.32777777778392192"/>
    <n v="40.133333333185874"/>
    <n v="12"/>
    <n v="28.133333333185874"/>
    <n v="5.4597156398390441"/>
    <m/>
    <m/>
    <m/>
    <m/>
    <m/>
  </r>
  <r>
    <d v="2025-01-03T23:39:11"/>
    <x v="0"/>
    <m/>
    <s v="OM8Y8XJRR"/>
    <s v="DJ"/>
    <x v="1"/>
    <s v="UBJ 375N"/>
    <s v="Agaba Services"/>
    <n v="153.60000000000002"/>
    <s v="F15668"/>
    <s v="OM"/>
    <n v="302"/>
    <n v="290"/>
    <n v="-12"/>
    <m/>
    <d v="2025-01-04T13:20:00"/>
    <d v="2025-01-04T08:30:00"/>
    <d v="2025-01-04T14:00:00"/>
    <n v="328.4722222291748"/>
    <n v="39.814814819449872"/>
    <x v="0"/>
    <d v="2025-01-04T18:38:00"/>
    <d v="2025-01-04T21:11:00"/>
    <n v="149.81249999589636"/>
    <m/>
    <d v="2025-01-05T14:44:00"/>
    <d v="2025-01-05T15:41:00"/>
    <n v="55.81249999726424"/>
    <m/>
    <n v="1.0305555555532919"/>
    <n v="2"/>
    <n v="0.96944444444670808"/>
    <n v="24.733333333279006"/>
    <n v="12"/>
    <n v="12.733333333279006"/>
    <n v="12.062827225182359"/>
    <m/>
    <m/>
    <m/>
    <m/>
    <m/>
  </r>
  <r>
    <d v="2025-01-03T23:39:53"/>
    <x v="0"/>
    <m/>
    <s v="OM4CG3KRR"/>
    <s v="Manual"/>
    <x v="20"/>
    <s v="UAY 265V"/>
    <s v="KATO INVESTMENTS LTD- KALISIZO"/>
    <n v="152.00200000000001"/>
    <s v="F15669"/>
    <s v="OM"/>
    <n v="350"/>
    <n v="351"/>
    <n v="1"/>
    <m/>
    <d v="2025-01-04T11:20:00"/>
    <d v="2025-01-04T08:30:00"/>
    <d v="2025-01-04T11:59:00"/>
    <n v="208.03240740763917"/>
    <n v="38.819444445834961"/>
    <x v="0"/>
    <d v="2025-01-04T19:21:00"/>
    <d v="2025-01-04T21:54:00"/>
    <n v="149.81249999589636"/>
    <m/>
    <d v="2025-01-05T18:10:00"/>
    <d v="2025-01-05T18:57:00"/>
    <n v="46.020833329457673"/>
    <m/>
    <n v="1.257638888891961"/>
    <n v="2"/>
    <n v="0.74236111110803904"/>
    <n v="30.183333333407063"/>
    <n v="12"/>
    <n v="18.183333333407063"/>
    <n v="8.359413382184254"/>
    <m/>
    <m/>
    <m/>
    <m/>
    <m/>
  </r>
  <r>
    <d v="2025-01-04T00:00:00"/>
    <x v="0"/>
    <m/>
    <s v="OM02L7HP"/>
    <s v="Manual"/>
    <x v="0"/>
    <s v="UBE 690K"/>
    <s v="Rugoma Traders-Rukungiri"/>
    <n v="156"/>
    <s v="Z82057"/>
    <s v="OM"/>
    <n v="256"/>
    <n v="255"/>
    <n v="-1"/>
    <m/>
    <d v="2025-01-04T07:58:00"/>
    <d v="2025-01-04T07:30:00"/>
    <d v="2025-01-04T08:38:00"/>
    <n v="67.685185186807459"/>
    <n v="39.814814819449872"/>
    <x v="0"/>
    <d v="2025-01-04T15:38:00"/>
    <d v="2025-01-04T18:11:00"/>
    <n v="149.81249999589636"/>
    <m/>
    <d v="2025-01-04T21:02:00"/>
    <d v="2025-01-04T21:54:00"/>
    <n v="50.916666668490507"/>
    <m/>
    <n v="0.51666666666278616"/>
    <n v="2"/>
    <n v="1.4833333333372138"/>
    <n v="12.399999999906868"/>
    <n v="0"/>
    <n v="12.399999999906868"/>
    <n v="12.580645161384812"/>
    <m/>
    <m/>
    <m/>
    <m/>
    <m/>
  </r>
  <r>
    <d v="2025-01-04T00:00:00"/>
    <x v="0"/>
    <m/>
    <s v="OM02L7EK"/>
    <s v="Manual"/>
    <x v="0"/>
    <s v="UBE 690K"/>
    <s v="Kato Investment Ltd -Kagadi"/>
    <n v="156"/>
    <s v="A19840"/>
    <s v="OM"/>
    <n v="670"/>
    <n v="612"/>
    <n v="-58"/>
    <m/>
    <d v="2025-01-04T07:20:00"/>
    <d v="2025-01-04T07:30:00"/>
    <d v="2025-01-04T08:04:00"/>
    <n v="33.842592588189291"/>
    <n v="43.796296293051761"/>
    <x v="0"/>
    <d v="2025-01-05T11:34:00"/>
    <d v="2025-01-05T14:29:00"/>
    <n v="171.35416667122627"/>
    <m/>
    <d v="2025-01-06T14:59:31"/>
    <d v="2025-01-06T15:58:31"/>
    <n v="57.770833336981013"/>
    <m/>
    <n v="2.2885555555549217"/>
    <n v="2"/>
    <n v="-0.28855555555492174"/>
    <n v="54.925333333318122"/>
    <n v="24"/>
    <n v="30.925333333318122"/>
    <n v="5.0444080365636612"/>
    <m/>
    <m/>
    <m/>
    <m/>
    <m/>
  </r>
  <r>
    <d v="2025-01-04T00:00:00"/>
    <x v="0"/>
    <m/>
    <s v="OM02L7EN"/>
    <s v="Manual"/>
    <x v="10"/>
    <s v="UBE 678K"/>
    <s v="Ntale and Sons Ltd-Kakiri"/>
    <n v="156"/>
    <s v="A19842"/>
    <s v="OM"/>
    <n v="620"/>
    <n v="602"/>
    <n v="-18"/>
    <m/>
    <d v="2025-01-04T07:54:00"/>
    <d v="2025-01-04T07:30:00"/>
    <d v="2025-01-04T08:38:00"/>
    <n v="67.685185186807459"/>
    <n v="43.796296293051761"/>
    <x v="0"/>
    <d v="2025-01-04T21:08:00"/>
    <d v="2025-01-04T23:41:00"/>
    <n v="149.81249999589636"/>
    <m/>
    <d v="2025-01-06T11:10:24"/>
    <d v="2025-01-06T11:59:24"/>
    <n v="47.979166669174447"/>
    <m/>
    <n v="2.1058333333348855"/>
    <n v="3"/>
    <n v="0.89416666666511446"/>
    <n v="50.540000000037253"/>
    <n v="24"/>
    <n v="26.540000000037253"/>
    <n v="5.87792012056447"/>
    <m/>
    <m/>
    <m/>
    <m/>
    <m/>
  </r>
  <r>
    <d v="2025-01-04T00:00:00"/>
    <x v="0"/>
    <m/>
    <s v="OM02L7HG"/>
    <s v="Manual"/>
    <x v="0"/>
    <s v="UBE 690K"/>
    <s v="Kobusinge Steven-FPortal"/>
    <n v="156"/>
    <s v="Z82054"/>
    <s v="OM"/>
    <n v="390"/>
    <n v="392"/>
    <n v="2"/>
    <m/>
    <d v="2025-01-04T07:58:00"/>
    <d v="2025-01-04T07:30:00"/>
    <d v="2025-01-04T08:38:00"/>
    <n v="67.685185186807459"/>
    <n v="39.814814819449872"/>
    <x v="0"/>
    <d v="2025-01-05T10:08:00"/>
    <d v="2025-01-05T12:55:00"/>
    <n v="163.52083333287737"/>
    <m/>
    <d v="2025-01-06T10:51:12"/>
    <d v="2025-01-06T11:44:12"/>
    <n v="51.895833338348893"/>
    <m/>
    <n v="2.0924999999988358"/>
    <n v="2"/>
    <n v="-9.2499999998835847E-2"/>
    <n v="50.21999999997206"/>
    <n v="24"/>
    <n v="26.21999999997206"/>
    <n v="5.9496567505784226"/>
    <m/>
    <m/>
    <m/>
    <m/>
    <m/>
  </r>
  <r>
    <d v="2025-01-04T00:00:00"/>
    <x v="0"/>
    <m/>
    <s v="OM02L7HR"/>
    <s v="Manual"/>
    <x v="0"/>
    <s v="UBE 690K"/>
    <s v="Kato Investment Ltd -Kagadi"/>
    <n v="156"/>
    <s v="A19849"/>
    <s v="OM"/>
    <n v="670"/>
    <n v="603"/>
    <n v="-67"/>
    <m/>
    <d v="2025-01-04T12:53:00"/>
    <d v="2025-01-04T12:00:00"/>
    <d v="2025-01-04T13:32:00"/>
    <n v="91.574074070134273"/>
    <n v="38.819444445834961"/>
    <x v="0"/>
    <d v="2025-01-05T15:32:00"/>
    <d v="2025-01-05T18:27:00"/>
    <n v="171.35416667122627"/>
    <m/>
    <d v="2025-01-06T16:55:31"/>
    <d v="2025-01-06T17:51:31"/>
    <n v="54.833333337664953"/>
    <m/>
    <n v="2.1413333333330229"/>
    <n v="2"/>
    <n v="-0.14133333333302289"/>
    <n v="51.391999999992549"/>
    <n v="24"/>
    <n v="27.391999999992549"/>
    <n v="5.6950934579454744"/>
    <m/>
    <m/>
    <m/>
    <m/>
    <m/>
  </r>
  <r>
    <d v="2025-01-04T00:00:00"/>
    <x v="0"/>
    <m/>
    <s v="OM02L7HJ"/>
    <s v="Manual"/>
    <x v="10"/>
    <s v="UBE 678K"/>
    <s v="Kabaco U Ltd"/>
    <n v="156"/>
    <s v="Z82055"/>
    <s v="OM"/>
    <n v="320"/>
    <n v="321"/>
    <n v="1"/>
    <m/>
    <d v="2025-01-04T07:58:00"/>
    <d v="2025-01-04T07:30:00"/>
    <d v="2025-01-04T08:38:00"/>
    <n v="67.685185186807459"/>
    <n v="39.814814819449872"/>
    <x v="0"/>
    <d v="2025-01-04T14:38:00"/>
    <d v="2025-01-04T17:07:00"/>
    <n v="145.89583333698101"/>
    <m/>
    <d v="2025-01-05T10:03:12"/>
    <d v="2025-01-05T10:52:12"/>
    <n v="47.979166669174447"/>
    <m/>
    <n v="1.0591666666659876"/>
    <n v="2"/>
    <n v="0.94083333333401242"/>
    <n v="25.419999999983702"/>
    <n v="12"/>
    <n v="13.419999999983702"/>
    <n v="11.624441132651972"/>
    <m/>
    <m/>
    <m/>
    <m/>
    <m/>
  </r>
  <r>
    <d v="2025-01-04T00:00:00"/>
    <x v="0"/>
    <m/>
    <s v="OM02L7HQ"/>
    <s v="Manual"/>
    <x v="10"/>
    <s v="UBE 678K"/>
    <s v="Kobusinge Steven-Kamwenge"/>
    <n v="156"/>
    <s v="Z82058"/>
    <s v="OM"/>
    <n v="230"/>
    <n v="229"/>
    <n v="-1"/>
    <m/>
    <d v="2025-01-04T07:58:00"/>
    <d v="2025-01-04T07:30:00"/>
    <d v="2025-01-04T08:38:00"/>
    <n v="67.685185186807459"/>
    <n v="39.814814819449872"/>
    <x v="0"/>
    <d v="2025-01-05T09:08:00"/>
    <d v="2025-01-05T11:41:00"/>
    <n v="149.81249999589636"/>
    <m/>
    <d v="2025-01-05T18:54:00"/>
    <d v="2025-01-05T19:43:00"/>
    <n v="47.979166669174447"/>
    <m/>
    <n v="1.4277777777751908"/>
    <n v="2"/>
    <n v="0.57222222222480923"/>
    <n v="34.266666666604578"/>
    <n v="12"/>
    <n v="22.266666666604578"/>
    <n v="7.0059880239716312"/>
    <m/>
    <m/>
    <m/>
    <m/>
    <m/>
  </r>
  <r>
    <d v="2025-01-04T11:34:15"/>
    <x v="0"/>
    <m/>
    <s v="OMWYCZRRR"/>
    <s v="DJ"/>
    <x v="16"/>
    <s v="UBJ 707D"/>
    <s v="KATO INVESTMENTS LTD- KALISIZO"/>
    <n v="153.60000000000002"/>
    <s v="F15670"/>
    <s v="OM"/>
    <n v="350"/>
    <n v="351"/>
    <n v="1"/>
    <m/>
    <d v="2025-01-04T15:11:00"/>
    <d v="2025-01-05T08:00:00"/>
    <d v="2025-01-04T15:51:00"/>
    <n v="-964.51388889375573"/>
    <n v="39.814814819449872"/>
    <x v="0"/>
    <d v="2025-01-05T09:25:00"/>
    <d v="2025-01-05T12:12:00"/>
    <n v="163.52083333287737"/>
    <m/>
    <d v="2025-01-06T12:25:00"/>
    <d v="2025-01-06T13:24:00"/>
    <n v="57.770833336981013"/>
    <m/>
    <n v="1.8569444444437977"/>
    <n v="2"/>
    <n v="0.14305555555620231"/>
    <n v="44.566666666651145"/>
    <n v="12"/>
    <n v="32.566666666651145"/>
    <n v="4.7164790174024533"/>
    <m/>
    <m/>
    <m/>
    <m/>
    <m/>
  </r>
  <r>
    <d v="2025-01-04T11:41:53"/>
    <x v="0"/>
    <m/>
    <s v="OM2E5A6RR"/>
    <s v="DJ"/>
    <x v="4"/>
    <s v="UBE 422T"/>
    <s v="KATO INVESTMENTS LIMITED-MASAK"/>
    <n v="153.60000000000002"/>
    <s v="F15671"/>
    <s v="OM"/>
    <n v="340"/>
    <n v="299"/>
    <n v="-41"/>
    <m/>
    <d v="2025-01-04T14:00:00"/>
    <d v="2025-01-05T04:14:00"/>
    <d v="2025-01-04T15:03:00"/>
    <n v="-787.33796296388994"/>
    <n v="62.708333329161782"/>
    <x v="5"/>
    <d v="2025-01-04T18:43:00"/>
    <d v="2025-01-04T21:16:00"/>
    <n v="149.81249999589636"/>
    <m/>
    <d v="2025-01-05T17:50:00"/>
    <d v="2025-01-05T18:44:00"/>
    <n v="52.87499999794818"/>
    <m/>
    <n v="1.1159722222218988"/>
    <n v="2"/>
    <n v="0.88402777777810115"/>
    <n v="26.783333333325572"/>
    <n v="12"/>
    <n v="14.783333333325572"/>
    <n v="10.390078917705569"/>
    <m/>
    <m/>
    <m/>
    <m/>
    <m/>
  </r>
  <r>
    <d v="2025-01-04T19:37:50"/>
    <x v="0"/>
    <m/>
    <s v="OMO3M45RR"/>
    <s v="DJ"/>
    <x v="21"/>
    <s v="UBK 882R"/>
    <s v="Kato Investment Ltd -Mityana"/>
    <n v="187.20000000000002"/>
    <s v="A19850"/>
    <s v="OM"/>
    <n v="690"/>
    <n v="692"/>
    <n v="2"/>
    <m/>
    <d v="2025-01-05T10:03:00"/>
    <d v="2025-01-04T21:00:00"/>
    <d v="2025-01-05T11:00:00"/>
    <n v="836.1111111145874"/>
    <n v="56.736111108330078"/>
    <x v="1"/>
    <d v="2025-01-06T10:17:00"/>
    <d v="2025-01-06T12:50:00"/>
    <n v="149.81249999589636"/>
    <m/>
    <d v="2025-01-07T06:25:00"/>
    <d v="2025-01-07T07:21:00"/>
    <n v="54.833333337664953"/>
    <m/>
    <n v="1.8090277777737356"/>
    <n v="2"/>
    <n v="0.19097222222626442"/>
    <n v="43.416666666569654"/>
    <n v="12"/>
    <n v="31.416666666569654"/>
    <n v="5.9586206896735732"/>
    <m/>
    <m/>
    <m/>
    <m/>
    <m/>
  </r>
  <r>
    <d v="2025-01-04T19:38:31"/>
    <x v="0"/>
    <m/>
    <s v="OMCD8ZSRR"/>
    <s v="Manual"/>
    <x v="10"/>
    <s v="UBJ 417C"/>
    <s v="Boniface Harera"/>
    <n v="156"/>
    <s v="F15672"/>
    <s v="OM"/>
    <n v="470"/>
    <n v="465"/>
    <n v="-5"/>
    <m/>
    <d v="2025-01-05T08:28:31"/>
    <d v="2025-01-05T07:38:31"/>
    <d v="2025-01-05T09:10:31"/>
    <n v="91.574074070134273"/>
    <n v="41.805555556250816"/>
    <x v="0"/>
    <d v="2025-01-06T10:40:31"/>
    <d v="2025-01-06T13:18:31"/>
    <n v="154.70833333492919"/>
    <m/>
    <d v="2025-01-07T14:43:31"/>
    <d v="2025-01-07T15:40:31"/>
    <n v="55.81249999726424"/>
    <m/>
    <n v="2.2312499999970896"/>
    <n v="2"/>
    <n v="-0.23124999999708962"/>
    <n v="53.549999999930151"/>
    <n v="24"/>
    <n v="29.549999999930151"/>
    <n v="5.279187817271362"/>
    <m/>
    <m/>
    <m/>
    <m/>
    <m/>
  </r>
  <r>
    <d v="2025-01-04T19:40:31"/>
    <x v="0"/>
    <m/>
    <s v="OMA2QVIRR"/>
    <s v="DJ"/>
    <x v="14"/>
    <s v="UBJ 988D"/>
    <s v="Agaba Services"/>
    <n v="153.60000000000002"/>
    <s v="F15673"/>
    <s v="OM"/>
    <n v="302"/>
    <n v="291"/>
    <n v="-11"/>
    <m/>
    <d v="2025-01-05T07:39:00"/>
    <d v="2025-01-05T04:15:00"/>
    <d v="2025-01-05T08:22:00"/>
    <n v="245.85648147985921"/>
    <n v="42.80092592986572"/>
    <x v="0"/>
    <d v="2025-01-05T14:11:00"/>
    <d v="2025-01-05T16:52:00"/>
    <n v="157.64583333424525"/>
    <m/>
    <d v="2025-01-06T10:45:00"/>
    <d v="2025-01-06T11:37:00"/>
    <n v="50.916666668490507"/>
    <m/>
    <n v="1.0993055555518367"/>
    <n v="2"/>
    <n v="0.90069444444816327"/>
    <n v="26.383333333244082"/>
    <n v="12"/>
    <n v="14.383333333244082"/>
    <n v="10.679026651282953"/>
    <m/>
    <m/>
    <m/>
    <m/>
    <m/>
  </r>
  <r>
    <d v="2025-01-04T19:54:57"/>
    <x v="0"/>
    <m/>
    <s v="OMG49BWRR"/>
    <s v="Manual"/>
    <x v="22"/>
    <s v="UAT 351G"/>
    <s v="RUGOMA TRADERS CO. LTD NTUNGAM"/>
    <n v="153.60000000000002"/>
    <s v="F15674"/>
    <s v="OM"/>
    <n v="130"/>
    <n v="129"/>
    <n v="-1"/>
    <m/>
    <d v="2025-01-05T08:26:57"/>
    <d v="2025-01-05T07:54:57"/>
    <d v="2025-01-05T09:06:57"/>
    <n v="71.666666660409348"/>
    <n v="39.814814819449872"/>
    <x v="0"/>
    <d v="2025-01-05T11:36:57"/>
    <d v="2025-01-05T15:33:57"/>
    <n v="232.06249999726424"/>
    <s v="found another truck at the RD"/>
    <d v="2025-01-05T21:06:57"/>
    <d v="2025-01-05T21:59:57"/>
    <n v="51.895833338348893"/>
    <m/>
    <n v="0.5"/>
    <n v="1"/>
    <n v="0.5"/>
    <n v="12"/>
    <n v="0"/>
    <n v="12"/>
    <n v="12.800000000000002"/>
    <m/>
    <m/>
    <m/>
    <m/>
    <m/>
  </r>
  <r>
    <d v="2025-01-04T20:23:20"/>
    <x v="0"/>
    <m/>
    <s v="OM96U3ORR"/>
    <s v="DJ"/>
    <x v="17"/>
    <s v="UBA 523T"/>
    <s v="Ntale and Sons"/>
    <n v="153.60000000000002"/>
    <s v="A19851"/>
    <s v="OM"/>
    <n v="810"/>
    <n v="812"/>
    <n v="2"/>
    <m/>
    <d v="2025-01-06T10:33:00"/>
    <d v="2025-01-04T21:30:00"/>
    <d v="2025-01-06T11:13:00"/>
    <n v="2252.5231481486117"/>
    <n v="39.814814819449872"/>
    <x v="0"/>
    <d v="2025-01-07T10:10:00"/>
    <d v="2025-01-07T12:43:00"/>
    <n v="149.81249999589636"/>
    <m/>
    <d v="2025-01-08T14:54:00"/>
    <d v="2025-01-08T15:48:00"/>
    <n v="52.87499999794818"/>
    <m/>
    <n v="2.1534722222204437"/>
    <n v="3"/>
    <n v="0.84652777777955635"/>
    <n v="51.683333333290648"/>
    <n v="24"/>
    <n v="27.683333333290648"/>
    <n v="5.5484647802614155"/>
    <m/>
    <m/>
    <m/>
    <m/>
    <m/>
  </r>
  <r>
    <d v="2025-01-04T23:12:04"/>
    <x v="0"/>
    <m/>
    <s v="OM4RC6WRR"/>
    <s v="DJ"/>
    <x v="9"/>
    <s v="UAV 203T"/>
    <s v="Kato Investments Ltd-Bulenga"/>
    <n v="153.60000000000002"/>
    <s v="A19856"/>
    <s v="OM"/>
    <n v="560"/>
    <n v="559"/>
    <n v="-1"/>
    <m/>
    <d v="2025-01-05T15:55:00"/>
    <d v="2025-01-05T20:13:00"/>
    <d v="2025-01-05T16:38:00"/>
    <n v="-214.00462962847087"/>
    <n v="42.80092592986572"/>
    <x v="0"/>
    <d v="2025-01-06T11:58:00"/>
    <d v="2025-01-06T14:39:00"/>
    <n v="157.64583333424525"/>
    <m/>
    <d v="2025-01-08T12:02:00"/>
    <d v="2025-01-08T12:59:00"/>
    <n v="55.81249999726424"/>
    <m/>
    <n v="2.8083333333270275"/>
    <n v="3"/>
    <n v="0.1916666666729725"/>
    <n v="67.39999999984866"/>
    <n v="24"/>
    <n v="43.39999999984866"/>
    <n v="3.5391705069247843"/>
    <m/>
    <m/>
    <m/>
    <m/>
    <m/>
  </r>
  <r>
    <d v="2025-01-04T23:14:37"/>
    <x v="0"/>
    <m/>
    <s v="OM9SFUBRR"/>
    <s v="Manual"/>
    <x v="17"/>
    <s v="UBA 523T"/>
    <s v="Kabaco U Ltd-Mbarara"/>
    <n v="153.60000000000002"/>
    <s v="Z82060"/>
    <s v="OM"/>
    <n v="20"/>
    <n v="12"/>
    <n v="-8"/>
    <m/>
    <d v="2025-01-05T11:49:37"/>
    <d v="2025-01-05T11:14:37"/>
    <d v="2025-01-05T12:29:37"/>
    <n v="74.652777770825196"/>
    <n v="39.814814819449872"/>
    <x v="0"/>
    <d v="2025-01-05T13:00:37"/>
    <d v="2025-01-05T15:41:37"/>
    <n v="157.64583333424525"/>
    <m/>
    <d v="2025-01-05T17:28:37"/>
    <d v="2025-01-05T18:27:37"/>
    <n v="57.770833336981013"/>
    <m/>
    <n v="0.20763888888905058"/>
    <n v="2"/>
    <n v="1.7923611111109494"/>
    <n v="4.9833333333372138"/>
    <n v="0"/>
    <n v="4.9833333333372138"/>
    <n v="30.82274247489239"/>
    <m/>
    <m/>
    <m/>
    <m/>
    <m/>
  </r>
  <r>
    <d v="2025-01-04T23:29:34"/>
    <x v="0"/>
    <m/>
    <s v="OMC6AUJRR"/>
    <s v="Manual"/>
    <x v="13"/>
    <s v="UAV 051U"/>
    <s v="KATO INVESTMENTS LTD- KALISIZO"/>
    <n v="153.60000000000002"/>
    <s v="F15675"/>
    <s v="OM"/>
    <n v="350"/>
    <n v="351"/>
    <n v="1"/>
    <m/>
    <d v="2025-01-05T12:08:34"/>
    <d v="2025-01-05T11:29:34"/>
    <d v="2025-01-05T12:57:34"/>
    <n v="87.592592586103521"/>
    <n v="48.77314815069743"/>
    <x v="6"/>
    <d v="2025-01-05T19:57:34"/>
    <d v="2025-01-05T22:52:34"/>
    <n v="171.35416667122627"/>
    <m/>
    <d v="2025-01-06T19:09:05"/>
    <d v="2025-01-06T20:06:05"/>
    <n v="55.81249999726424"/>
    <m/>
    <n v="1.2580000000016298"/>
    <n v="2"/>
    <n v="0.74199999999837019"/>
    <n v="30.192000000039116"/>
    <n v="12"/>
    <n v="18.192000000039116"/>
    <n v="8.4432717677918738"/>
    <m/>
    <m/>
    <m/>
    <m/>
    <m/>
  </r>
  <r>
    <d v="2025-01-05T00:00:00"/>
    <x v="0"/>
    <m/>
    <s v="OM02L7NZ"/>
    <s v="Manual"/>
    <x v="0"/>
    <s v="UBE 690K"/>
    <s v="Rugoma Traders-Rukungiri"/>
    <n v="156"/>
    <s v="Z82079"/>
    <s v="OM"/>
    <n v="256"/>
    <n v="255"/>
    <n v="-1"/>
    <m/>
    <d v="2025-01-05T08:19:00"/>
    <d v="2025-01-05T07:30:00"/>
    <d v="2025-01-05T09:02:00"/>
    <n v="91.574074070134273"/>
    <n v="42.80092592986572"/>
    <x v="0"/>
    <d v="2025-01-05T16:12:00"/>
    <d v="2025-01-05T18:45:00"/>
    <n v="149.81249999589636"/>
    <m/>
    <d v="2025-01-05T21:36:00"/>
    <d v="2025-01-05T22:32:00"/>
    <n v="54.833333337664953"/>
    <m/>
    <n v="0.52361111110803904"/>
    <n v="2"/>
    <n v="1.476388888891961"/>
    <n v="12.566666666592937"/>
    <n v="0"/>
    <n v="12.566666666592937"/>
    <n v="12.413793103521108"/>
    <m/>
    <m/>
    <m/>
    <m/>
    <m/>
  </r>
  <r>
    <d v="2025-01-05T00:00:00"/>
    <x v="0"/>
    <m/>
    <s v="OM02L7P3"/>
    <s v="Manual"/>
    <x v="10"/>
    <s v="UBE 687K"/>
    <s v="Kobusinge Steven-Kamwenge"/>
    <n v="156"/>
    <s v="Z82080"/>
    <s v="OM"/>
    <n v="230"/>
    <n v="234"/>
    <n v="4"/>
    <m/>
    <d v="2025-01-05T07:59:00"/>
    <d v="2025-01-05T07:30:00"/>
    <d v="2025-01-05T08:42:00"/>
    <n v="71.666666660409348"/>
    <n v="42.80092592986572"/>
    <x v="0"/>
    <d v="2025-01-06T09:12:00"/>
    <d v="2025-01-06T11:41:00"/>
    <n v="145.89583333698101"/>
    <m/>
    <d v="2025-01-06T16:49:00"/>
    <d v="2025-01-06T17:47:00"/>
    <n v="56.791666667122627"/>
    <m/>
    <n v="1.3381944444408873"/>
    <n v="2"/>
    <n v="0.66180555555911269"/>
    <n v="32.116666666581295"/>
    <n v="12"/>
    <n v="20.116666666581295"/>
    <n v="7.7547638774148488"/>
    <m/>
    <m/>
    <m/>
    <m/>
    <m/>
  </r>
  <r>
    <d v="2025-01-05T00:00:00"/>
    <x v="0"/>
    <m/>
    <s v="OM02L7NY"/>
    <s v="Manual"/>
    <x v="10"/>
    <s v="UBP 311H"/>
    <s v="Kobusinge Steven-FPortal"/>
    <n v="156"/>
    <s v="Z82078"/>
    <s v="OM"/>
    <n v="390"/>
    <n v="388"/>
    <n v="-2"/>
    <m/>
    <d v="2025-01-05T07:43:00"/>
    <d v="2025-01-05T07:30:00"/>
    <d v="2025-01-05T08:46:00"/>
    <n v="75.6481481444401"/>
    <n v="62.708333329161782"/>
    <x v="1"/>
    <d v="2025-01-06T10:16:00"/>
    <d v="2025-01-06T14:23:00"/>
    <n v="241.85416666507081"/>
    <s v="truck faulty"/>
    <d v="2025-01-07T08:55:22"/>
    <d v="2025-01-07T09:52:22"/>
    <n v="55.81249999726424"/>
    <m/>
    <n v="2.0065000000031432"/>
    <n v="2"/>
    <n v="-6.5000000031432137E-3"/>
    <n v="48.156000000075437"/>
    <n v="24"/>
    <n v="24.156000000075437"/>
    <n v="6.4580228514453069"/>
    <m/>
    <m/>
    <m/>
    <m/>
    <m/>
  </r>
  <r>
    <d v="2025-01-05T00:00:00"/>
    <x v="0"/>
    <m/>
    <s v="OM02L7PK"/>
    <s v="Manual"/>
    <x v="0"/>
    <s v="UBE 690K"/>
    <s v="Kobusinge Acaali- Kyenjojo"/>
    <n v="156"/>
    <s v="Z82081"/>
    <m/>
    <n v="480"/>
    <n v="479"/>
    <n v="-1"/>
    <m/>
    <d v="2025-01-05T07:58:00"/>
    <d v="2025-01-05T07:30:00"/>
    <d v="2025-01-05T08:38:00"/>
    <n v="67.685185186807459"/>
    <n v="39.814814819449872"/>
    <x v="0"/>
    <d v="2025-01-06T10:38:00"/>
    <d v="2025-01-06T13:11:00"/>
    <n v="149.81249999589636"/>
    <m/>
    <d v="2025-01-07T16:24:44"/>
    <d v="2025-01-07T17:21:44"/>
    <n v="55.81249999726424"/>
    <m/>
    <n v="2.3241222222277429"/>
    <n v="2"/>
    <n v="-0.3241222222277429"/>
    <n v="55.778933333465829"/>
    <n v="24"/>
    <n v="31.778933333465829"/>
    <n v="4.9089124031648721"/>
    <m/>
    <m/>
    <m/>
    <m/>
    <m/>
  </r>
  <r>
    <d v="2025-01-05T00:00:00"/>
    <x v="0"/>
    <m/>
    <s v="OM02L7LG"/>
    <s v="Manual"/>
    <x v="10"/>
    <s v="UBP 311H"/>
    <s v="Kabaco U Ltd"/>
    <n v="156"/>
    <s v="Z82067"/>
    <m/>
    <n v="320"/>
    <n v="323"/>
    <n v="3"/>
    <m/>
    <d v="2025-01-05T12:28:00"/>
    <d v="2025-01-05T12:00:00"/>
    <d v="2025-01-05T13:12:00"/>
    <n v="71.666666660409348"/>
    <n v="43.796296293051761"/>
    <x v="0"/>
    <d v="2025-01-05T19:12:00"/>
    <d v="2025-01-05T21:41:00"/>
    <n v="145.89583333698101"/>
    <m/>
    <d v="2025-01-07T07:19:12"/>
    <d v="2025-01-07T08:16:12"/>
    <n v="55.81249999726424"/>
    <m/>
    <n v="1.7549999999973807"/>
    <n v="2"/>
    <n v="0.24500000000261934"/>
    <n v="42.119999999937136"/>
    <n v="12"/>
    <n v="30.119999999937136"/>
    <n v="5.1792828685367063"/>
    <m/>
    <m/>
    <m/>
    <m/>
    <m/>
  </r>
  <r>
    <d v="2025-01-05T00:00:00"/>
    <x v="0"/>
    <m/>
    <s v="OM02L7NX"/>
    <s v="Manual"/>
    <x v="11"/>
    <s v="UBP 311H"/>
    <s v="Kobusinge Steven-FPortal"/>
    <n v="156"/>
    <s v="Z82077"/>
    <m/>
    <n v="390"/>
    <n v="392"/>
    <n v="2"/>
    <m/>
    <d v="2025-01-05T07:39:00"/>
    <d v="2025-01-05T07:30:00"/>
    <d v="2025-01-05T08:38:00"/>
    <n v="67.685185186807459"/>
    <n v="58.726851855559893"/>
    <x v="2"/>
    <d v="2025-01-06T10:08:00"/>
    <d v="2025-01-06T12:41:00"/>
    <n v="149.81249999589636"/>
    <m/>
    <d v="2025-01-07T13:15:12"/>
    <d v="2025-01-07T14:14:12"/>
    <n v="57.770833336981013"/>
    <m/>
    <n v="2.1924999999973807"/>
    <n v="2"/>
    <n v="-0.19249999999738066"/>
    <n v="52.619999999937136"/>
    <n v="24"/>
    <n v="28.619999999937136"/>
    <n v="5.4507337526325177"/>
    <m/>
    <m/>
    <m/>
    <m/>
    <m/>
  </r>
  <r>
    <d v="2025-01-05T00:00:00"/>
    <x v="0"/>
    <m/>
    <s v="OM02L7LH"/>
    <s v="Manual"/>
    <x v="11"/>
    <s v="UBP 311H"/>
    <s v="Kobusinge Steven-FPortal"/>
    <n v="156"/>
    <s v="Z82068"/>
    <m/>
    <n v="390"/>
    <n v="392"/>
    <n v="2"/>
    <m/>
    <d v="2025-01-05T08:14:00"/>
    <d v="2025-01-05T07:30:00"/>
    <d v="2025-01-05T08:53:00"/>
    <n v="82.615740738886714"/>
    <n v="38.819444445834961"/>
    <x v="0"/>
    <d v="2025-01-06T10:23:00"/>
    <d v="2025-01-06T13:18:00"/>
    <n v="171.35416667122627"/>
    <m/>
    <d v="2025-01-07T11:06:12"/>
    <d v="2025-01-07T12:03:12"/>
    <n v="55.81249999726424"/>
    <m/>
    <n v="2.0924999999988358"/>
    <n v="2"/>
    <n v="-9.2499999998835847E-2"/>
    <n v="50.21999999997206"/>
    <n v="24"/>
    <n v="26.21999999997206"/>
    <n v="5.9496567505784226"/>
    <m/>
    <m/>
    <m/>
    <m/>
    <m/>
  </r>
  <r>
    <d v="2025-01-05T00:00:00"/>
    <x v="0"/>
    <m/>
    <s v="OM02L7NV"/>
    <s v="Manual"/>
    <x v="10"/>
    <s v="UBP 311H"/>
    <s v="Kato Investments Ltd- Kakumiro"/>
    <n v="156"/>
    <s v="A19875"/>
    <m/>
    <n v="765"/>
    <n v="764"/>
    <n v="-1"/>
    <m/>
    <d v="2025-01-05T07:58:00"/>
    <d v="2025-01-05T07:30:00"/>
    <d v="2025-01-05T08:38:00"/>
    <n v="67.685185186807459"/>
    <n v="39.814814819449872"/>
    <x v="0"/>
    <d v="2025-01-05T17:38:00"/>
    <d v="2025-01-05T20:07:00"/>
    <n v="145.89583333698101"/>
    <m/>
    <d v="2025-01-07T06:41:22"/>
    <d v="2025-01-07T07:38:22"/>
    <n v="55.81249999726424"/>
    <m/>
    <n v="1.919000000001688"/>
    <n v="3"/>
    <n v="1.080999999998312"/>
    <n v="46.056000000040513"/>
    <n v="12"/>
    <n v="34.056000000040513"/>
    <n v="4.5806906271968062"/>
    <m/>
    <m/>
    <m/>
    <m/>
    <m/>
  </r>
  <r>
    <d v="2025-01-05T00:00:00"/>
    <x v="0"/>
    <m/>
    <s v="OM02L7P1"/>
    <s v="Manual"/>
    <x v="0"/>
    <s v="UBE 690K"/>
    <s v="KATO INVESTMENTS LTD-KATIKARA"/>
    <n v="156"/>
    <s v="A19877"/>
    <m/>
    <n v="790"/>
    <n v="788"/>
    <n v="-2"/>
    <m/>
    <d v="2025-01-05T08:08:00"/>
    <d v="2025-01-05T07:30:00"/>
    <d v="2025-01-05T08:47:00"/>
    <n v="76.643518518055018"/>
    <n v="38.819444445834961"/>
    <x v="0"/>
    <d v="2025-01-06T10:32:00"/>
    <d v="2025-01-06T16:39:00"/>
    <n v="359.35416666849051"/>
    <s v="slept at the RD and offloaded the next day"/>
    <d v="2025-01-07T18:41:00"/>
    <d v="2025-01-07T19:39:00"/>
    <n v="56.791666667122627"/>
    <m/>
    <n v="2.4124999999912689"/>
    <n v="3"/>
    <n v="0.58750000000873115"/>
    <n v="57.899999999790452"/>
    <n v="24"/>
    <n v="33.899999999790452"/>
    <n v="4.6017699115328696"/>
    <m/>
    <m/>
    <m/>
    <m/>
    <m/>
  </r>
  <r>
    <d v="2025-01-05T00:00:00"/>
    <x v="0"/>
    <m/>
    <s v="OM02L7LJ"/>
    <s v="Manual"/>
    <x v="10"/>
    <s v="UBP 311H"/>
    <s v="KATO INVESTMENTS LTD-KATIKARA"/>
    <n v="156"/>
    <s v="A19867"/>
    <m/>
    <n v="790"/>
    <n v="788"/>
    <n v="-2"/>
    <m/>
    <d v="2025-01-05T07:58:00"/>
    <d v="2025-01-05T07:30:00"/>
    <d v="2025-01-05T08:38:00"/>
    <n v="67.685185186807459"/>
    <n v="39.814814819449872"/>
    <x v="0"/>
    <d v="2025-01-06T09:53:00"/>
    <d v="2025-01-06T12:48:00"/>
    <n v="171.35416667122627"/>
    <m/>
    <d v="2025-01-07T19:40:00"/>
    <d v="2025-01-07T20:37:00"/>
    <n v="55.81249999726424"/>
    <m/>
    <n v="2.4597222222218988"/>
    <n v="3"/>
    <n v="0.54027777777810115"/>
    <n v="59.033333333325572"/>
    <n v="24"/>
    <n v="35.033333333325572"/>
    <n v="4.4529019980980369"/>
    <m/>
    <m/>
    <m/>
    <m/>
    <m/>
  </r>
  <r>
    <d v="2025-01-05T13:12:27"/>
    <x v="0"/>
    <m/>
    <s v="OMWSZKWRR"/>
    <s v="DJ"/>
    <x v="7"/>
    <s v="UAY 526V"/>
    <s v="Rugoma Traders-Kanungu/Kihihi"/>
    <n v="153.60000000000002"/>
    <s v="F15677"/>
    <s v="OM"/>
    <n v="414"/>
    <n v="413"/>
    <n v="-1"/>
    <m/>
    <d v="2025-01-05T16:58:00"/>
    <d v="2025-01-06T01:59:00"/>
    <d v="2025-01-05T18:14:00"/>
    <n v="-462.84722221874591"/>
    <n v="75.6481481444401"/>
    <x v="1"/>
    <d v="2025-01-06T12:20:00"/>
    <d v="2025-01-06T14:49:00"/>
    <n v="145.89583333698101"/>
    <m/>
    <d v="2025-01-07T12:36:00"/>
    <d v="2025-01-07T13:53:00"/>
    <n v="75.395833332877373"/>
    <s v="fuel delays"/>
    <n v="1.765277777776646"/>
    <n v="2"/>
    <n v="0.23472222222335404"/>
    <n v="42.366666666639503"/>
    <n v="12"/>
    <n v="30.366666666639503"/>
    <n v="5.0581778265687403"/>
    <m/>
    <m/>
    <m/>
    <m/>
    <m/>
  </r>
  <r>
    <d v="2025-01-05T13:13:52"/>
    <x v="0"/>
    <m/>
    <s v="OMIUJ2ERR"/>
    <s v="Manual"/>
    <x v="23"/>
    <s v="UAR 731Q"/>
    <s v="Kabaco U Ltd-Mbarara"/>
    <n v="153.60000000000002"/>
    <s v="Z82066"/>
    <m/>
    <n v="20"/>
    <n v="12"/>
    <n v="-8"/>
    <m/>
    <d v="2025-01-06T13:41:52"/>
    <d v="2025-01-06T01:13:52"/>
    <d v="2025-01-06T14:21:52"/>
    <n v="784.35185185347416"/>
    <n v="39.814814819449872"/>
    <x v="0"/>
    <d v="2025-01-06T14:57:52"/>
    <d v="2025-01-06T18:14:52"/>
    <n v="192.89583333629707"/>
    <s v="Waited for empties from trade"/>
    <d v="2025-01-06T19:06:52"/>
    <d v="2025-01-06T20:02:52"/>
    <n v="54.833333337664953"/>
    <m/>
    <n v="0.19791666666424135"/>
    <n v="2"/>
    <n v="1.8020833333357587"/>
    <n v="4.7499999999417923"/>
    <n v="0"/>
    <n v="4.7499999999417923"/>
    <n v="32.336842105659429"/>
    <m/>
    <m/>
    <m/>
    <m/>
    <m/>
  </r>
  <r>
    <d v="2025-01-05T14:34:19"/>
    <x v="0"/>
    <m/>
    <s v="OMNWADWRR"/>
    <s v="Manual"/>
    <x v="10"/>
    <s v="UBJ 419C"/>
    <s v="Ntale and Sons Ltd-Kakiri"/>
    <n v="156"/>
    <s v="A19868"/>
    <s v="OM"/>
    <n v="620"/>
    <n v="602"/>
    <n v="-18"/>
    <m/>
    <d v="2025-01-06T02:52:19"/>
    <d v="2025-01-06T02:34:19"/>
    <d v="2025-01-06T03:49:19"/>
    <n v="74.652777770825196"/>
    <n v="56.736111108330078"/>
    <x v="1"/>
    <d v="2025-01-06T16:19:19"/>
    <d v="2025-01-06T18:48:19"/>
    <n v="145.89583333698101"/>
    <m/>
    <d v="2025-01-08T09:21:43"/>
    <d v="2025-01-08T10:18:43"/>
    <n v="55.81249999726424"/>
    <m/>
    <n v="2.2308333333348855"/>
    <n v="3"/>
    <n v="0.76916666666511446"/>
    <n v="53.540000000037253"/>
    <n v="24"/>
    <n v="29.540000000037253"/>
    <n v="5.2809749492147349"/>
    <m/>
    <m/>
    <m/>
    <m/>
    <m/>
  </r>
  <r>
    <d v="2025-01-05T14:37:21"/>
    <x v="0"/>
    <m/>
    <s v="OMZFBPWRR"/>
    <s v="DJ"/>
    <x v="3"/>
    <s v="UBK 881R"/>
    <s v="KATO INVESTMENTS LIMITED-MASAK"/>
    <n v="153.60000000000002"/>
    <s v="F15679"/>
    <m/>
    <n v="340"/>
    <n v="339"/>
    <n v="-1"/>
    <m/>
    <d v="2025-01-07T06:32:00"/>
    <d v="2025-01-06T04:14:00"/>
    <d v="2025-01-07T07:21:00"/>
    <n v="1619.4675925944466"/>
    <n v="48.77314815069743"/>
    <x v="2"/>
    <d v="2025-01-07T12:21:00"/>
    <d v="2025-01-07T15:16:00"/>
    <n v="171.35416667122627"/>
    <m/>
    <d v="2025-01-08T12:27:00"/>
    <d v="2025-01-08T13:16:00"/>
    <n v="47.979166669174447"/>
    <m/>
    <n v="1.2125000000014552"/>
    <n v="2"/>
    <n v="0.78749999999854481"/>
    <n v="29.100000000034925"/>
    <n v="12"/>
    <n v="17.100000000034925"/>
    <n v="8.9824561403325323"/>
    <m/>
    <m/>
    <m/>
    <m/>
    <m/>
  </r>
  <r>
    <d v="2025-01-05T14:38:19"/>
    <x v="0"/>
    <m/>
    <s v="OMXTBKSRR"/>
    <s v="DJ"/>
    <x v="2"/>
    <s v="UBE 287X"/>
    <s v="KATO INVESTMENTS LIMITED-MASAK"/>
    <n v="153.60000000000002"/>
    <s v="F15680"/>
    <m/>
    <n v="340"/>
    <n v="339"/>
    <n v="-1"/>
    <m/>
    <d v="2025-01-05T18:47:00"/>
    <d v="2025-01-06T04:14:00"/>
    <d v="2025-01-05T19:28:00"/>
    <n v="-523.56481481110677"/>
    <n v="40.810185182635905"/>
    <x v="0"/>
    <d v="2025-01-06T10:23:00"/>
    <d v="2025-01-06T13:14:00"/>
    <n v="167.43750000205182"/>
    <m/>
    <d v="2025-01-07T13:49:00"/>
    <d v="2025-01-07T14:45:00"/>
    <n v="54.833333337664953"/>
    <m/>
    <n v="1.7645833333299379"/>
    <n v="2"/>
    <n v="0.23541666667006211"/>
    <n v="42.349999999918509"/>
    <n v="12"/>
    <n v="30.349999999918509"/>
    <n v="5.0609555189592239"/>
    <m/>
    <m/>
    <m/>
    <m/>
    <m/>
  </r>
  <r>
    <d v="2025-01-05T15:54:21"/>
    <x v="0"/>
    <m/>
    <s v="OMK5QNURR"/>
    <s v="Manual"/>
    <x v="23"/>
    <s v="UAR 731Q"/>
    <s v="Kabaco U Ltd-Mbarara"/>
    <n v="153.60000000000002"/>
    <s v="Z82069"/>
    <m/>
    <n v="20"/>
    <n v="12"/>
    <n v="-8"/>
    <m/>
    <d v="2025-01-06T10:42:21"/>
    <d v="2025-01-06T03:54:21"/>
    <d v="2025-01-06T11:22:21"/>
    <n v="445.92592592986574"/>
    <n v="39.814814819449872"/>
    <x v="0"/>
    <d v="2025-01-06T11:47:21"/>
    <d v="2025-01-06T17:54:21"/>
    <n v="359.35416666849051"/>
    <s v="found another truck at the RD"/>
    <d v="2025-01-06T15:36:21"/>
    <d v="2025-01-06T16:34:21"/>
    <n v="56.791666667122627"/>
    <m/>
    <n v="0.17638888888905058"/>
    <n v="2"/>
    <n v="1.8236111111109494"/>
    <n v="4.2333333333372138"/>
    <n v="0"/>
    <n v="4.2333333333372138"/>
    <n v="36.28346456689588"/>
    <m/>
    <m/>
    <m/>
    <m/>
    <m/>
  </r>
  <r>
    <d v="2025-01-05T16:48:09"/>
    <x v="0"/>
    <m/>
    <s v="OMQO9OURR"/>
    <s v="DJ"/>
    <x v="4"/>
    <s v="UBE 422T"/>
    <s v="Kabaco U Ltd"/>
    <n v="153.60000000000002"/>
    <s v="Z82071"/>
    <m/>
    <n v="320"/>
    <n v="320"/>
    <n v="0"/>
    <m/>
    <d v="2025-01-05T19:06:00"/>
    <d v="2025-01-06T02:22:00"/>
    <d v="2025-01-05T19:46:00"/>
    <n v="-394.16666666875244"/>
    <n v="39.814814819449872"/>
    <x v="0"/>
    <d v="2025-01-05T23:58:00"/>
    <d v="2025-01-06T02:45:00"/>
    <n v="163.52083333287737"/>
    <m/>
    <d v="2025-01-06T12:04:00"/>
    <d v="2025-01-06T13:01:00"/>
    <n v="55.81249999726424"/>
    <m/>
    <n v="0.67916666666860692"/>
    <n v="2"/>
    <n v="1.3208333333313931"/>
    <n v="16.300000000046566"/>
    <n v="0"/>
    <n v="16.300000000046566"/>
    <n v="9.4233128834086628"/>
    <m/>
    <m/>
    <m/>
    <m/>
    <m/>
  </r>
  <r>
    <d v="2025-01-05T16:49:09"/>
    <x v="0"/>
    <m/>
    <s v="OM42HHBRR"/>
    <s v="Manual"/>
    <x v="24"/>
    <s v="UBP 298H"/>
    <s v="Kabaco U Ltd"/>
    <n v="156"/>
    <s v="Z82072"/>
    <m/>
    <n v="320"/>
    <n v="321"/>
    <n v="1"/>
    <m/>
    <d v="2025-01-05T16:36:00"/>
    <d v="2025-01-06T02:22:00"/>
    <d v="2025-01-05T17:35:00"/>
    <n v="-524.56018518472172"/>
    <n v="58.726851855559893"/>
    <x v="7"/>
    <d v="2025-01-06T08:01:00"/>
    <d v="2025-01-06T10:52:00"/>
    <n v="167.43750000205182"/>
    <m/>
    <d v="2025-01-07T14:56:00"/>
    <d v="2025-01-07T15:52:00"/>
    <n v="54.833333337664953"/>
    <m/>
    <n v="1.8895833333299379"/>
    <n v="2"/>
    <n v="0.11041666667006211"/>
    <n v="45.349999999918509"/>
    <n v="12"/>
    <n v="33.349999999918509"/>
    <n v="4.6776611694267221"/>
    <m/>
    <m/>
    <m/>
    <m/>
    <m/>
  </r>
  <r>
    <d v="2025-01-05T16:49:53"/>
    <x v="0"/>
    <m/>
    <s v="OMNK83VRR"/>
    <s v="DJ"/>
    <x v="6"/>
    <s v="UBK 858R"/>
    <s v="Bates Enterprises U Ltd"/>
    <n v="156"/>
    <s v="Z82073"/>
    <m/>
    <n v="606"/>
    <n v="576"/>
    <n v="-30"/>
    <m/>
    <d v="2025-01-05T17:56:00"/>
    <d v="2025-01-05T17:30:00"/>
    <d v="2025-01-05T18:39:00"/>
    <n v="68.680555560422363"/>
    <n v="42.80092592986572"/>
    <x v="0"/>
    <d v="2025-01-07T07:57:00"/>
    <d v="2025-01-07T10:44:00"/>
    <n v="163.52083333287737"/>
    <m/>
    <d v="2025-01-08T10:08:00"/>
    <d v="2025-01-08T11:05:00"/>
    <n v="55.81249999726424"/>
    <m/>
    <n v="2.6451388888890506"/>
    <n v="3"/>
    <n v="0.35486111111094942"/>
    <n v="63.483333333337214"/>
    <n v="24"/>
    <n v="39.483333333337214"/>
    <n v="3.9510341916416549"/>
    <m/>
    <m/>
    <m/>
    <m/>
    <m/>
  </r>
  <r>
    <d v="2025-01-05T23:16:45"/>
    <x v="0"/>
    <m/>
    <s v="OM49I5JRR"/>
    <s v="Manual"/>
    <x v="25"/>
    <s v="UBJ 420C"/>
    <s v="Boniface Harera"/>
    <n v="156"/>
    <s v="F15681"/>
    <m/>
    <n v="470"/>
    <n v="465"/>
    <n v="-5"/>
    <m/>
    <d v="2025-01-06T11:44:45"/>
    <d v="2025-01-06T11:16:45"/>
    <d v="2025-01-06T12:24:45"/>
    <n v="67.685185186807459"/>
    <n v="39.814814819449872"/>
    <x v="0"/>
    <d v="2025-01-07T12:24:45"/>
    <d v="2025-01-07T15:11:45"/>
    <n v="163.52083333287737"/>
    <m/>
    <d v="2025-01-08T16:07:45"/>
    <d v="2025-01-08T16:56:45"/>
    <n v="47.979166669174447"/>
    <m/>
    <n v="2.1548611111065838"/>
    <n v="2"/>
    <n v="-0.15486111110658385"/>
    <n v="51.716666666558012"/>
    <n v="24"/>
    <n v="27.716666666558012"/>
    <n v="5.6283824413930805"/>
    <m/>
    <m/>
    <m/>
    <m/>
    <m/>
  </r>
  <r>
    <d v="2025-01-05T23:17:56"/>
    <x v="0"/>
    <m/>
    <s v="OMYOY87RR"/>
    <s v="DJ"/>
    <x v="15"/>
    <s v="UBK 862R"/>
    <s v="Kato Investment Ltd -Kagadi"/>
    <n v="156"/>
    <s v="A19879"/>
    <m/>
    <n v="670"/>
    <n v="622"/>
    <n v="-48"/>
    <m/>
    <d v="2025-01-05T22:50:00"/>
    <d v="2025-01-06T17:46:00"/>
    <d v="2025-01-05T23:31:00"/>
    <n v="-1089.9305555520793"/>
    <n v="40.810185182635905"/>
    <x v="0"/>
    <d v="2025-01-06T20:05:00"/>
    <d v="2025-01-06T23:32:00"/>
    <n v="202.68750000410364"/>
    <s v="space consquents"/>
    <d v="2025-01-07T22:06:00"/>
    <d v="2025-01-07T23:03:00"/>
    <n v="55.81249999726424"/>
    <m/>
    <n v="1.9409722222189885"/>
    <n v="2"/>
    <n v="5.9027777781011537E-2"/>
    <n v="46.583333333255723"/>
    <n v="12"/>
    <n v="34.583333333255723"/>
    <n v="4.5108433735040991"/>
    <m/>
    <m/>
    <m/>
    <m/>
    <m/>
  </r>
  <r>
    <d v="2025-01-05T23:19:22"/>
    <x v="0"/>
    <m/>
    <s v="OMU06VORR"/>
    <s v="DJ"/>
    <x v="19"/>
    <s v="UBE 680K"/>
    <s v="Kato Investment Ltd -Mityana"/>
    <n v="156"/>
    <s v="A19880"/>
    <s v="OM"/>
    <n v="690"/>
    <n v="692"/>
    <n v="2"/>
    <m/>
    <d v="2025-01-06T12:15:00"/>
    <d v="2025-01-06T19:35:00"/>
    <d v="2025-01-06T13:31:00"/>
    <n v="-362.3148148069352"/>
    <n v="75.6481481444401"/>
    <x v="5"/>
    <d v="2025-01-07T16:11:00"/>
    <d v="2025-01-07T18:52:00"/>
    <n v="157.64583333424525"/>
    <m/>
    <d v="2025-01-08T09:45:00"/>
    <d v="2025-01-08T10:43:00"/>
    <n v="56.791666667122627"/>
    <m/>
    <n v="1.8430555555532919"/>
    <n v="2"/>
    <n v="0.15694444444670808"/>
    <n v="44.233333333279006"/>
    <n v="12"/>
    <n v="32.233333333279006"/>
    <n v="4.8397104446824075"/>
    <m/>
    <m/>
    <m/>
    <m/>
    <m/>
  </r>
  <r>
    <d v="2025-01-06T00:00:00"/>
    <x v="0"/>
    <m/>
    <s v="OM02L7T0"/>
    <s v="Manual"/>
    <x v="26"/>
    <s v="UBB 115P"/>
    <s v="Boniface Harera"/>
    <n v="156"/>
    <s v="F15684"/>
    <m/>
    <n v="470"/>
    <n v="469"/>
    <n v="-1"/>
    <m/>
    <d v="2025-01-06T07:58:00"/>
    <d v="2025-01-06T07:30:00"/>
    <d v="2025-01-06T08:38:00"/>
    <n v="67.685185186807459"/>
    <n v="39.814814819449872"/>
    <x v="0"/>
    <d v="2025-01-07T10:38:00"/>
    <d v="2025-01-07T13:16:00"/>
    <n v="154.70833333492919"/>
    <m/>
    <d v="2025-01-08T14:41:00"/>
    <d v="2025-01-08T15:39:00"/>
    <n v="56.791666667122627"/>
    <m/>
    <n v="2.2520833333328483"/>
    <n v="2"/>
    <n v="-0.25208333333284827"/>
    <n v="54.049999999988358"/>
    <n v="24"/>
    <n v="30.049999999988358"/>
    <n v="5.191347753745772"/>
    <m/>
    <m/>
    <m/>
    <m/>
    <m/>
  </r>
  <r>
    <d v="2025-01-06T00:00:00"/>
    <x v="0"/>
    <m/>
    <s v="OM02L7T9"/>
    <s v="Manual"/>
    <x v="26"/>
    <s v="UBB 115P"/>
    <s v="Kobusinge Steven-FPortal"/>
    <n v="156"/>
    <s v="Z82085"/>
    <m/>
    <n v="390"/>
    <n v="388"/>
    <n v="-2"/>
    <m/>
    <d v="2025-01-06T08:22:00"/>
    <d v="2025-01-06T07:30:00"/>
    <d v="2025-01-06T09:02:00"/>
    <n v="91.574074070134273"/>
    <n v="39.814814819449872"/>
    <x v="0"/>
    <d v="2025-01-07T10:32:00"/>
    <d v="2025-01-07T13:27:00"/>
    <n v="171.35416667122627"/>
    <m/>
    <d v="2025-01-08T11:15:12"/>
    <d v="2025-01-08T12:14:12"/>
    <n v="57.770833336981013"/>
    <m/>
    <n v="2.0924999999988358"/>
    <n v="2"/>
    <n v="-9.2499999998835847E-2"/>
    <n v="50.21999999997206"/>
    <n v="24"/>
    <n v="26.21999999997206"/>
    <n v="5.9496567505784226"/>
    <m/>
    <m/>
    <m/>
    <m/>
    <m/>
  </r>
  <r>
    <d v="2025-01-06T13:20:00"/>
    <x v="0"/>
    <m/>
    <s v="OMTGDUXRR"/>
    <s v="DJ"/>
    <x v="14"/>
    <s v="UBJ 988D"/>
    <s v="Rugoma Traders-Kanungu/Kihihi"/>
    <n v="153.60000000000002"/>
    <s v="F15682"/>
    <m/>
    <n v="414"/>
    <n v="413"/>
    <n v="-1"/>
    <m/>
    <d v="2025-01-06T14:53:00"/>
    <d v="2025-01-07T01:59:00"/>
    <d v="2025-01-06T15:33:00"/>
    <n v="-623.10185184930253"/>
    <n v="39.814814819449872"/>
    <x v="0"/>
    <d v="2025-01-07T12:17:00"/>
    <d v="2025-01-07T15:08:00"/>
    <n v="167.43750000205182"/>
    <m/>
    <d v="2025-01-08T12:56:00"/>
    <d v="2025-01-08T14:22:00"/>
    <n v="84.208333330825553"/>
    <s v="loading delays"/>
    <n v="1.890972222223354"/>
    <n v="2"/>
    <n v="0.10902777777664596"/>
    <n v="45.383333333360497"/>
    <n v="12"/>
    <n v="33.383333333360497"/>
    <n v="4.6010983524675497"/>
    <m/>
    <m/>
    <m/>
    <m/>
    <m/>
  </r>
  <r>
    <d v="2025-01-06T13:21:23"/>
    <x v="0"/>
    <m/>
    <s v="OM4O141RR"/>
    <s v="DJ"/>
    <x v="5"/>
    <s v="UBE 419T"/>
    <s v="Agaba Services"/>
    <n v="153.60000000000002"/>
    <s v="F15683"/>
    <m/>
    <n v="302"/>
    <n v="295"/>
    <n v="-7"/>
    <m/>
    <d v="2025-01-06T18:49:00"/>
    <d v="2025-01-07T04:15:00"/>
    <d v="2025-01-06T19:28:00"/>
    <n v="-524.56018518472172"/>
    <n v="38.819444445834961"/>
    <x v="0"/>
    <d v="2025-01-07T11:44:00"/>
    <d v="2025-01-07T14:31:00"/>
    <n v="163.52083333287737"/>
    <m/>
    <d v="2025-01-07T18:01:00"/>
    <d v="2025-01-07T18:57:00"/>
    <n v="54.833333337664953"/>
    <m/>
    <n v="0.93958333333284827"/>
    <n v="2"/>
    <n v="1.0604166666671517"/>
    <n v="22.549999999988358"/>
    <n v="0"/>
    <n v="22.549999999988358"/>
    <n v="6.8115299334846702"/>
    <m/>
    <m/>
    <m/>
    <m/>
    <m/>
  </r>
  <r>
    <d v="2025-01-06T14:10:46"/>
    <x v="0"/>
    <m/>
    <s v="OM76ZVYRR"/>
    <s v="Manual"/>
    <x v="13"/>
    <s v="UAV 051U"/>
    <s v="KATO INVESTMENTS LIMITED-MASAK"/>
    <n v="153.60000000000002"/>
    <s v="F15685"/>
    <m/>
    <n v="340"/>
    <n v="328"/>
    <n v="-12"/>
    <m/>
    <d v="2025-01-07T02:41:46"/>
    <d v="2025-01-07T02:10:46"/>
    <d v="2025-01-07T03:22:46"/>
    <n v="71.666666660409348"/>
    <n v="40.810185182635905"/>
    <x v="0"/>
    <d v="2025-01-07T06:35:46"/>
    <d v="2025-01-07T09:16:46"/>
    <n v="157.64583333424525"/>
    <m/>
    <d v="2025-01-08T01:51:46"/>
    <d v="2025-01-08T02:50:46"/>
    <n v="57.770833336981013"/>
    <m/>
    <n v="0.93680555555329192"/>
    <n v="2"/>
    <n v="1.0631944444467081"/>
    <n v="22.483333333279006"/>
    <n v="0"/>
    <n v="22.483333333279006"/>
    <n v="6.8317272053537952"/>
    <m/>
    <m/>
    <m/>
    <m/>
    <m/>
  </r>
  <r>
    <d v="2025-01-06T18:12:48"/>
    <x v="0"/>
    <m/>
    <s v="OMYKJ8LRR"/>
    <s v="DJ"/>
    <x v="4"/>
    <s v="UBE 422T"/>
    <s v="KATO INVESTMENTS LTD-KATIKARA"/>
    <n v="153.60000000000002"/>
    <s v="A19895"/>
    <m/>
    <n v="790"/>
    <n v="792"/>
    <n v="2"/>
    <m/>
    <d v="2025-01-06T17:23:00"/>
    <d v="2025-01-06T20:00:00"/>
    <d v="2025-01-06T18:26:00"/>
    <n v="-93.564814817364095"/>
    <n v="62.708333329161782"/>
    <x v="2"/>
    <d v="2025-01-07T18:26:00"/>
    <d v="2025-01-07T21:07:00"/>
    <n v="157.64583333424525"/>
    <m/>
    <d v="2025-01-09T09:51:00"/>
    <d v="2025-01-09T10:48:00"/>
    <n v="55.81249999726424"/>
    <m/>
    <n v="2.6423611111094942"/>
    <n v="3"/>
    <n v="0.35763888889050577"/>
    <n v="63.416666666627862"/>
    <n v="24"/>
    <n v="39.416666666627862"/>
    <n v="3.896828752646543"/>
    <m/>
    <m/>
    <m/>
    <m/>
    <m/>
  </r>
  <r>
    <d v="2025-01-06T18:14:21"/>
    <x v="0"/>
    <m/>
    <s v="OMSZNXIRR"/>
    <s v="DJ"/>
    <x v="1"/>
    <s v="UBJ 375N"/>
    <s v="KATO INVESTMENTS LTD- KALISIZO"/>
    <n v="153.60000000000002"/>
    <s v="F15686"/>
    <m/>
    <n v="350"/>
    <n v="343"/>
    <n v="-7"/>
    <m/>
    <d v="2025-01-07T17:42:00"/>
    <d v="2025-01-07T03:43:00"/>
    <d v="2025-01-07T18:22:00"/>
    <n v="874.93055554999353"/>
    <n v="39.814814819449872"/>
    <x v="0"/>
    <d v="2025-01-08T11:13:00"/>
    <d v="2025-01-08T17:13:00"/>
    <n v="352.5"/>
    <s v="slept at the RD and offloaded the next day"/>
    <d v="2025-01-09T10:20:00"/>
    <d v="2025-01-09T11:16:00"/>
    <n v="54.833333337664953"/>
    <m/>
    <n v="1.6652777777781012"/>
    <n v="2"/>
    <n v="0.33472222222189885"/>
    <n v="39.966666666674428"/>
    <n v="12"/>
    <n v="27.966666666674428"/>
    <n v="5.4922526817624817"/>
    <m/>
    <m/>
    <m/>
    <m/>
    <m/>
  </r>
  <r>
    <d v="2025-01-06T18:15:08"/>
    <x v="0"/>
    <m/>
    <s v="OMRF7ELRR"/>
    <s v="Manual"/>
    <x v="23"/>
    <s v="UAR 731Q"/>
    <s v="KATO INVESTMENTS LIMITED-MASAK"/>
    <n v="153.60000000000002"/>
    <s v="F15687"/>
    <m/>
    <n v="340"/>
    <n v="328"/>
    <n v="-12"/>
    <m/>
    <d v="2025-01-07T07:58:08"/>
    <d v="2025-01-07T07:30:08"/>
    <d v="2025-01-07T08:38:08"/>
    <n v="67.685185186807459"/>
    <n v="39.814814819449872"/>
    <x v="0"/>
    <d v="2025-01-07T11:51:08"/>
    <d v="2025-01-07T14:38:08"/>
    <n v="163.52083333287737"/>
    <m/>
    <d v="2025-01-08T07:23:08"/>
    <d v="2025-01-08T08:16:08"/>
    <n v="51.895833338348893"/>
    <m/>
    <n v="0.94791666666424135"/>
    <n v="2"/>
    <n v="1.0520833333357587"/>
    <n v="22.749999999941792"/>
    <n v="0"/>
    <n v="22.749999999941792"/>
    <n v="6.7516483516656276"/>
    <m/>
    <m/>
    <m/>
    <m/>
    <m/>
  </r>
  <r>
    <d v="2025-01-06T18:17:21"/>
    <x v="0"/>
    <m/>
    <s v="OMLA1GERR"/>
    <s v="Manual"/>
    <x v="22"/>
    <s v="UAT 351G"/>
    <s v="KATO INVESTMENTS LIMITED-MASAK"/>
    <n v="153.60000000000002"/>
    <s v="F15688"/>
    <m/>
    <n v="340"/>
    <n v="339"/>
    <n v="-1"/>
    <m/>
    <d v="2025-01-07T07:54:21"/>
    <d v="2025-01-07T07:30:21"/>
    <d v="2025-01-07T08:38:21"/>
    <n v="67.685185186807459"/>
    <n v="43.796296293051761"/>
    <x v="0"/>
    <d v="2025-01-07T11:51:21"/>
    <d v="2025-01-07T14:24:21"/>
    <n v="149.81249999589636"/>
    <m/>
    <d v="2025-01-08T07:27:21"/>
    <d v="2025-01-08T08:23:21"/>
    <n v="54.833333337664953"/>
    <m/>
    <n v="0.95069444444379769"/>
    <n v="2"/>
    <n v="1.0493055555562023"/>
    <n v="22.816666666651145"/>
    <n v="0"/>
    <n v="22.816666666651145"/>
    <n v="6.7319211103040697"/>
    <m/>
    <m/>
    <m/>
    <m/>
    <m/>
  </r>
  <r>
    <d v="2025-01-06T22:23:00"/>
    <x v="0"/>
    <m/>
    <s v="OMXCAB3RR"/>
    <s v="Manual"/>
    <x v="27"/>
    <s v="UBM 648D"/>
    <s v="Kabaco U Ltd"/>
    <n v="156"/>
    <s v="Z82086"/>
    <m/>
    <n v="320"/>
    <n v="323"/>
    <n v="3"/>
    <m/>
    <d v="2025-01-07T10:49:00"/>
    <d v="2025-01-07T10:23:00"/>
    <d v="2025-01-07T11:46:00"/>
    <n v="82.615740738886714"/>
    <n v="56.736111108330078"/>
    <x v="7"/>
    <d v="2025-01-07T17:46:00"/>
    <d v="2025-01-07T20:41:00"/>
    <n v="171.35416667122627"/>
    <m/>
    <d v="2025-01-08T19:30:00"/>
    <d v="2025-01-08T20:26:00"/>
    <n v="54.833333337664953"/>
    <m/>
    <n v="1.3222222222175333"/>
    <n v="2"/>
    <n v="0.67777777778246673"/>
    <n v="31.733333333220799"/>
    <n v="12"/>
    <n v="19.733333333220799"/>
    <n v="7.9054054054504883"/>
    <m/>
    <m/>
    <m/>
    <m/>
    <m/>
  </r>
  <r>
    <d v="2025-01-06T23:03:37"/>
    <x v="0"/>
    <m/>
    <s v="OMZ2EAARR"/>
    <s v="DJ"/>
    <x v="8"/>
    <s v="UBK 875R"/>
    <s v="Rugoma Traders-Kanungu/Kihihi"/>
    <n v="153.60000000000002"/>
    <s v="F15689"/>
    <m/>
    <n v="414"/>
    <n v="413"/>
    <n v="-1"/>
    <m/>
    <d v="2025-01-08T10:11:00"/>
    <d v="2025-01-07T08:00:00"/>
    <d v="2025-01-08T11:04:00"/>
    <n v="1616.4814814736019"/>
    <n v="52.75462963472819"/>
    <x v="8"/>
    <d v="2025-01-08T17:34:00"/>
    <d v="2025-01-08T20:21:00"/>
    <n v="163.52083333287737"/>
    <m/>
    <d v="2025-01-10T10:07:00"/>
    <d v="2025-01-10T11:03:00"/>
    <n v="54.833333337664953"/>
    <m/>
    <n v="1.9604166666686069"/>
    <n v="2"/>
    <n v="3.9583333331393078E-2"/>
    <n v="47.050000000046566"/>
    <n v="12"/>
    <n v="35.050000000046566"/>
    <n v="4.3823109843023094"/>
    <m/>
    <m/>
    <m/>
    <m/>
    <m/>
  </r>
  <r>
    <d v="2025-01-07T00:00:00"/>
    <x v="0"/>
    <m/>
    <s v="OM02L8B9"/>
    <s v="Manual"/>
    <x v="10"/>
    <s v="UBP 311H"/>
    <s v="Sawan Distributors Ltd-Kayabwe"/>
    <n v="156"/>
    <s v="A19916"/>
    <m/>
    <n v="382"/>
    <n v="381"/>
    <n v="-1"/>
    <m/>
    <d v="2025-01-07T07:59:00"/>
    <d v="2025-01-07T07:30:00"/>
    <d v="2025-01-07T08:42:00"/>
    <n v="71.666666660409348"/>
    <n v="42.80092592986572"/>
    <x v="0"/>
    <d v="2025-01-08T11:42:00"/>
    <d v="2025-01-08T14:15:00"/>
    <n v="149.81249999589636"/>
    <m/>
    <d v="2025-01-09T13:57:00"/>
    <d v="2025-01-09T14:56:00"/>
    <n v="57.770833336981013"/>
    <m/>
    <n v="2.21875"/>
    <n v="2"/>
    <n v="-0.21875"/>
    <n v="53.25"/>
    <n v="24"/>
    <n v="29.25"/>
    <n v="5.333333333333333"/>
    <m/>
    <m/>
    <m/>
    <m/>
    <m/>
  </r>
  <r>
    <d v="2025-01-07T00:00:00"/>
    <x v="0"/>
    <m/>
    <s v="OM02L801"/>
    <s v="Manual"/>
    <x v="10"/>
    <s v="UBK 866R"/>
    <s v="Kato Investment Ltd -Kagadi"/>
    <n v="156"/>
    <s v="A19901"/>
    <m/>
    <n v="670"/>
    <n v="612"/>
    <n v="-58"/>
    <m/>
    <d v="2025-01-07T08:08:00"/>
    <d v="2025-01-07T07:30:00"/>
    <d v="2025-01-07T08:47:00"/>
    <n v="76.643518518055018"/>
    <n v="38.819444445834961"/>
    <x v="0"/>
    <d v="2025-01-08T10:17:00"/>
    <d v="2025-01-08T14:44:00"/>
    <n v="261.43750000068394"/>
    <s v="Waited for empties from trade"/>
    <d v="2025-01-09T09:47:31"/>
    <d v="2025-01-09T10:45:31"/>
    <n v="56.791666667122627"/>
    <m/>
    <n v="2.0420277777811862"/>
    <n v="2"/>
    <n v="-4.202777778118616E-2"/>
    <n v="49.008666666748468"/>
    <n v="24"/>
    <n v="25.008666666748468"/>
    <n v="6.2378375496290515"/>
    <m/>
    <m/>
    <m/>
    <m/>
    <m/>
  </r>
  <r>
    <d v="2025-01-07T00:00:00"/>
    <x v="0"/>
    <m/>
    <s v="OM02L87X"/>
    <s v="Manual"/>
    <x v="10"/>
    <s v="UBP 311H"/>
    <s v="Boniface Harera"/>
    <n v="156"/>
    <s v="F15690"/>
    <m/>
    <n v="470"/>
    <n v="465"/>
    <n v="-5"/>
    <m/>
    <d v="2025-01-07T08:07:00"/>
    <d v="2025-01-07T07:30:00"/>
    <d v="2025-01-07T08:46:00"/>
    <n v="75.6481481444401"/>
    <n v="38.819444445834961"/>
    <x v="0"/>
    <d v="2025-01-08T10:16:00"/>
    <d v="2025-01-08T15:23:00"/>
    <n v="300.60416666165111"/>
    <s v="Reached late and offloaded the next day"/>
    <d v="2025-01-09T13:52:00"/>
    <d v="2025-01-09T14:48:00"/>
    <n v="54.833333337664953"/>
    <m/>
    <n v="2.2124999999941792"/>
    <n v="2"/>
    <n v="-0.21249999999417923"/>
    <n v="53.099999999860302"/>
    <n v="24"/>
    <n v="29.099999999860302"/>
    <n v="5.3608247422937767"/>
    <m/>
    <m/>
    <m/>
    <m/>
    <m/>
  </r>
  <r>
    <d v="2025-01-07T00:00:00"/>
    <x v="0"/>
    <m/>
    <s v="OM02L80B"/>
    <s v="Manual"/>
    <x v="10"/>
    <s v="UBK 866R"/>
    <s v="Kabaco U Ltd"/>
    <n v="156"/>
    <s v="Z82087"/>
    <m/>
    <n v="320"/>
    <n v="321"/>
    <n v="1"/>
    <m/>
    <d v="2025-01-07T07:58:00"/>
    <d v="2025-01-07T07:30:00"/>
    <d v="2025-01-07T08:38:00"/>
    <n v="67.685185186807459"/>
    <n v="39.814814819449872"/>
    <x v="0"/>
    <d v="2025-01-07T14:38:00"/>
    <d v="2025-01-07T17:07:00"/>
    <n v="145.89583333698101"/>
    <m/>
    <d v="2025-01-08T11:53:12"/>
    <d v="2025-01-08T12:49:12"/>
    <n v="54.833333337664953"/>
    <m/>
    <n v="1.1355555555564933"/>
    <n v="2"/>
    <n v="0.86444444444350665"/>
    <n v="27.25333333335584"/>
    <n v="12"/>
    <n v="15.25333333335584"/>
    <n v="10.227272727257636"/>
    <m/>
    <m/>
    <m/>
    <m/>
    <m/>
  </r>
  <r>
    <d v="2025-01-07T00:00:00"/>
    <x v="0"/>
    <m/>
    <s v="OM02L8AK"/>
    <s v="Manual"/>
    <x v="11"/>
    <s v="UBP 311H"/>
    <s v="Ntale and Sons Ltd-Kakiri"/>
    <n v="155.10000000000002"/>
    <s v="A19913"/>
    <m/>
    <n v="620"/>
    <n v="602"/>
    <n v="-18"/>
    <m/>
    <d v="2025-01-07T07:41:00"/>
    <d v="2025-01-07T07:30:00"/>
    <d v="2025-01-07T08:58:00"/>
    <n v="87.592592586103521"/>
    <n v="76.643518518055018"/>
    <x v="0"/>
    <d v="2025-01-08T08:28:00"/>
    <d v="2025-01-08T11:15:00"/>
    <n v="163.52083333287737"/>
    <m/>
    <d v="2025-01-09T10:02:36"/>
    <d v="2025-01-09T11:00:36"/>
    <n v="56.791666667122627"/>
    <m/>
    <n v="2.0448611111060018"/>
    <n v="3"/>
    <n v="0.95513888889399823"/>
    <n v="49.076666666544043"/>
    <n v="24"/>
    <n v="25.076666666544043"/>
    <n v="6.1850325668254067"/>
    <m/>
    <m/>
    <m/>
    <m/>
    <m/>
  </r>
  <r>
    <d v="2025-01-07T00:00:00"/>
    <x v="0"/>
    <m/>
    <s v="OM02L807"/>
    <s v="Manual"/>
    <x v="10"/>
    <s v="UBK 866R"/>
    <s v="Kato Investments Ltd- Kyegegwa"/>
    <n v="156"/>
    <s v="A19902"/>
    <s v="OM"/>
    <n v="600"/>
    <n v="572"/>
    <n v="-28"/>
    <m/>
    <d v="2025-01-07T08:13:00"/>
    <d v="2025-01-07T07:30:00"/>
    <d v="2025-01-07T09:02:00"/>
    <n v="91.574074070134273"/>
    <n v="48.77314815069743"/>
    <x v="1"/>
    <d v="2025-01-08T10:32:00"/>
    <d v="2025-01-08T13:27:00"/>
    <n v="171.35416667122627"/>
    <m/>
    <d v="2025-01-09T11:27:12"/>
    <d v="2025-01-09T12:24:12"/>
    <n v="55.81249999726424"/>
    <m/>
    <n v="2.1008333333375049"/>
    <n v="2"/>
    <n v="-0.10083333333750488"/>
    <n v="50.420000000100117"/>
    <n v="24"/>
    <n v="26.420000000100117"/>
    <n v="5.9046177138307661"/>
    <m/>
    <m/>
    <m/>
    <m/>
    <m/>
  </r>
  <r>
    <d v="2025-01-07T12:42:38"/>
    <x v="0"/>
    <m/>
    <s v="OM7OPDRRR"/>
    <s v="DJ"/>
    <x v="21"/>
    <s v="UBK 882R"/>
    <s v="Kato Investment Ltd -Mityana"/>
    <n v="187.20000000000002"/>
    <s v="A19903"/>
    <s v="OM"/>
    <n v="690"/>
    <n v="692"/>
    <n v="2"/>
    <m/>
    <d v="2025-01-07T12:01:00"/>
    <d v="2025-01-07T13:35:00"/>
    <d v="2025-01-07T12:44:00"/>
    <n v="-50.763888887498375"/>
    <n v="42.80092592986572"/>
    <x v="0"/>
    <d v="2025-01-08T12:56:00"/>
    <d v="2025-01-08T19:03:00"/>
    <n v="359.35416666849051"/>
    <s v="Waited for empties from trade"/>
    <d v="2025-01-09T10:49:00"/>
    <d v="2025-01-09T11:45:00"/>
    <n v="54.833333337664953"/>
    <m/>
    <n v="1.9201388888905058"/>
    <n v="3"/>
    <n v="1.0798611111094942"/>
    <n v="46.083333333372138"/>
    <n v="12"/>
    <n v="34.083333333372138"/>
    <n v="5.492420537891058"/>
    <m/>
    <m/>
    <m/>
    <m/>
    <m/>
  </r>
  <r>
    <d v="2025-01-07T12:59:15"/>
    <x v="0"/>
    <m/>
    <s v="OMCGJHRRR"/>
    <s v="DJ"/>
    <x v="12"/>
    <s v="UBJ 415C"/>
    <s v="Kabaco U Ltd-Mbarara"/>
    <n v="153.60000000000002"/>
    <s v="Z82089"/>
    <s v="OM"/>
    <n v="20"/>
    <n v="12"/>
    <n v="-8"/>
    <m/>
    <d v="2025-01-07T19:17:00"/>
    <d v="2025-01-07T15:00:00"/>
    <d v="2025-01-07T19:58:00"/>
    <n v="296.62037036735757"/>
    <n v="40.810185182635905"/>
    <x v="0"/>
    <d v="2025-01-08T11:07:00"/>
    <d v="2025-01-08T13:40:00"/>
    <n v="149.81249999589636"/>
    <m/>
    <d v="2025-01-08T14:26:00"/>
    <d v="2025-01-08T15:24:00"/>
    <n v="56.791666667122627"/>
    <m/>
    <n v="0.76944444444961846"/>
    <n v="2"/>
    <n v="1.2305555555503815"/>
    <n v="18.466666666790843"/>
    <n v="0"/>
    <n v="18.466666666790843"/>
    <n v="8.3176895306299912"/>
    <m/>
    <m/>
    <m/>
    <m/>
    <m/>
  </r>
  <r>
    <d v="2025-01-07T18:53:39"/>
    <x v="0"/>
    <m/>
    <s v="OMFEHYMRR"/>
    <s v="DJ"/>
    <x v="16"/>
    <s v="UBJ 707D"/>
    <s v="Kabaco U Ltd"/>
    <n v="153.60000000000002"/>
    <s v="Z82091"/>
    <s v="OM"/>
    <n v="320"/>
    <n v="317"/>
    <n v="-3"/>
    <m/>
    <d v="2025-01-07T18:50:00"/>
    <d v="2025-01-08T02:22:00"/>
    <d v="2025-01-07T19:33:00"/>
    <n v="-407.10648148403078"/>
    <n v="42.80092592986572"/>
    <x v="0"/>
    <d v="2025-01-08T10:58:00"/>
    <d v="2025-01-08T13:31:00"/>
    <n v="149.81249999589636"/>
    <m/>
    <d v="2025-01-10T07:51:00"/>
    <d v="2025-01-10T08:47:00"/>
    <n v="54.833333337664953"/>
    <m/>
    <n v="2.5124999999970896"/>
    <n v="2"/>
    <n v="-0.51249999999708962"/>
    <n v="60.299999999930151"/>
    <n v="24"/>
    <n v="36.299999999930151"/>
    <n v="4.2314049586858289"/>
    <m/>
    <m/>
    <m/>
    <m/>
    <m/>
  </r>
  <r>
    <d v="2025-01-07T18:54:46"/>
    <x v="0"/>
    <m/>
    <s v="OMIFRI4RR"/>
    <s v="DJ"/>
    <x v="7"/>
    <s v="UAY 526V"/>
    <s v="Agaba Services"/>
    <n v="153.60000000000002"/>
    <s v="F15691"/>
    <s v="OM"/>
    <n v="302"/>
    <n v="294"/>
    <n v="-8"/>
    <m/>
    <d v="2025-01-08T09:18:00"/>
    <d v="2025-01-08T04:15:00"/>
    <d v="2025-01-08T09:57:00"/>
    <n v="340.41666666040936"/>
    <n v="38.819444445834961"/>
    <x v="0"/>
    <d v="2025-01-08T15:29:00"/>
    <d v="2025-01-08T18:02:00"/>
    <n v="149.81249999589636"/>
    <m/>
    <d v="2025-01-09T08:58:00"/>
    <d v="2025-01-09T09:56:00"/>
    <n v="56.791666667122627"/>
    <m/>
    <n v="0.95902777778246673"/>
    <n v="2"/>
    <n v="1.0409722222175333"/>
    <n v="23.016666666779201"/>
    <n v="0"/>
    <n v="23.016666666779201"/>
    <n v="6.6734250542758451"/>
    <m/>
    <m/>
    <m/>
    <m/>
    <m/>
  </r>
  <r>
    <d v="2025-01-07T18:55:40"/>
    <x v="0"/>
    <m/>
    <s v="OM65I70RR"/>
    <s v="DJ"/>
    <x v="5"/>
    <s v="UBE 419T"/>
    <s v="Kabaco U Ltd-Mbarara"/>
    <n v="153.60000000000002"/>
    <s v="Z82092"/>
    <s v="OM"/>
    <n v="20"/>
    <n v="14"/>
    <n v="-6"/>
    <m/>
    <d v="2025-01-07T18:39:00"/>
    <d v="2025-01-08T07:42:00"/>
    <d v="2025-01-07T19:19:00"/>
    <n v="-739.56018518680742"/>
    <n v="39.814814819449872"/>
    <x v="0"/>
    <d v="2025-01-07T20:08:00"/>
    <d v="2025-01-07T22:41:00"/>
    <n v="149.81249999589636"/>
    <m/>
    <d v="2025-01-08T15:39:00"/>
    <d v="2025-01-08T16:38:00"/>
    <n v="57.770833336981013"/>
    <m/>
    <n v="0.84722222222626442"/>
    <n v="2"/>
    <n v="1.1527777777737356"/>
    <n v="20.333333333430346"/>
    <n v="0"/>
    <n v="20.333333333430346"/>
    <n v="7.5540983606196974"/>
    <m/>
    <m/>
    <m/>
    <m/>
    <m/>
  </r>
  <r>
    <d v="2025-01-07T19:03:53"/>
    <x v="0"/>
    <m/>
    <s v="OMBC2B0RR"/>
    <s v="DJ"/>
    <x v="24"/>
    <s v="UBP 298H"/>
    <s v="Rugoma Traders-Rukungiri"/>
    <n v="156"/>
    <s v="Z82093"/>
    <s v="OM"/>
    <n v="256"/>
    <n v="255"/>
    <n v="-1"/>
    <m/>
    <d v="2025-01-08T09:45:00"/>
    <d v="2025-01-08T04:04:00"/>
    <d v="2025-01-08T10:28:00"/>
    <n v="382.22222222708905"/>
    <n v="42.80092592986572"/>
    <x v="0"/>
    <d v="2025-01-08T17:08:00"/>
    <d v="2025-01-08T19:49:00"/>
    <n v="157.64583333424525"/>
    <m/>
    <d v="2025-01-09T16:46:00"/>
    <d v="2025-01-09T17:44:00"/>
    <n v="56.791666667122627"/>
    <m/>
    <n v="1.2624999999970896"/>
    <n v="2"/>
    <n v="0.73750000000291038"/>
    <n v="30.299999999930151"/>
    <n v="12"/>
    <n v="18.299999999930151"/>
    <n v="8.5245901639669643"/>
    <m/>
    <m/>
    <m/>
    <m/>
    <m/>
  </r>
  <r>
    <d v="2025-01-07T19:49:39"/>
    <x v="0"/>
    <m/>
    <s v="OM8ZA87RR"/>
    <s v="DJ"/>
    <x v="2"/>
    <s v="UBE 287X"/>
    <s v="KATO INVESTMENTS LIMITED-MASAK"/>
    <n v="153.60000000000002"/>
    <s v="F15692"/>
    <s v="OM"/>
    <n v="340"/>
    <n v="154"/>
    <n v="-186"/>
    <m/>
    <d v="2025-01-08T06:52:00"/>
    <d v="2025-01-08T04:14:00"/>
    <d v="2025-01-08T07:35:00"/>
    <n v="200.06944443957764"/>
    <n v="42.80092592986572"/>
    <x v="0"/>
    <d v="2025-01-08T10:35:00"/>
    <d v="2025-01-08T13:22:00"/>
    <n v="163.52083333287737"/>
    <m/>
    <d v="2025-01-09T08:37:00"/>
    <d v="2025-01-09T10:04:00"/>
    <n v="85.18750000068394"/>
    <s v="Traffic at gate"/>
    <n v="1.0430555555576575"/>
    <n v="2"/>
    <n v="0.9569444444423425"/>
    <n v="25.03333333338378"/>
    <n v="12"/>
    <n v="13.03333333338378"/>
    <n v="11.785166240363594"/>
    <m/>
    <m/>
    <m/>
    <m/>
    <m/>
  </r>
  <r>
    <d v="2025-01-07T19:50:22"/>
    <x v="0"/>
    <m/>
    <s v="OMDMEGIRR"/>
    <s v="Manual"/>
    <x v="10"/>
    <s v="UBF 379L"/>
    <s v="Kobusinge Steven-FPortal"/>
    <n v="156"/>
    <s v="Z82094"/>
    <s v="OM"/>
    <n v="390"/>
    <n v="392"/>
    <n v="2"/>
    <m/>
    <d v="2025-01-08T08:18:22"/>
    <d v="2025-01-08T07:50:22"/>
    <d v="2025-01-08T08:58:22"/>
    <n v="67.685185186807459"/>
    <n v="39.814814819449872"/>
    <x v="0"/>
    <d v="2025-01-09T10:28:22"/>
    <d v="2025-01-09T13:19:22"/>
    <n v="167.43750000205182"/>
    <m/>
    <d v="2025-01-10T12:13:29"/>
    <d v="2025-01-10T13:02:29"/>
    <n v="47.979166669174447"/>
    <m/>
    <n v="2.1354999999966822"/>
    <n v="2"/>
    <n v="-0.13549999999668216"/>
    <n v="51.251999999920372"/>
    <n v="24"/>
    <n v="27.251999999920372"/>
    <n v="5.7243505064015787"/>
    <m/>
    <m/>
    <m/>
    <m/>
    <m/>
  </r>
  <r>
    <d v="2025-01-07T19:53:28"/>
    <x v="0"/>
    <m/>
    <s v="OMTPUGSRR"/>
    <s v="Manual"/>
    <x v="10"/>
    <s v="UBJ 417C"/>
    <s v="Kato Investment Ltd -Mityana"/>
    <n v="156"/>
    <s v="A19912"/>
    <s v="OM"/>
    <n v="690"/>
    <n v="692"/>
    <n v="2"/>
    <m/>
    <d v="2025-01-08T08:22:28"/>
    <d v="2025-01-08T07:53:28"/>
    <d v="2025-01-08T09:05:28"/>
    <n v="71.666666660409348"/>
    <n v="42.80092592986572"/>
    <x v="0"/>
    <d v="2025-01-09T11:05:28"/>
    <d v="2025-01-09T16:52:28"/>
    <n v="339.77083333287737"/>
    <s v="Dj failure at customer"/>
    <d v="2025-01-10T11:21:47"/>
    <d v="2025-01-10T12:10:47"/>
    <n v="47.979166669174447"/>
    <m/>
    <n v="2.0946666666714009"/>
    <n v="3"/>
    <n v="0.90533333332859911"/>
    <n v="50.272000000113621"/>
    <n v="24"/>
    <n v="26.272000000113621"/>
    <n v="5.9378806333482537"/>
    <m/>
    <m/>
    <m/>
    <m/>
    <m/>
  </r>
  <r>
    <d v="2025-01-07T19:57:51"/>
    <x v="0"/>
    <m/>
    <s v="OM2GG6XRR"/>
    <s v="Manual"/>
    <x v="10"/>
    <s v="UBM 644D"/>
    <s v="Kabaco U Ltd"/>
    <n v="156"/>
    <s v="Z82095"/>
    <s v="OM"/>
    <n v="320"/>
    <n v="323"/>
    <n v="3"/>
    <m/>
    <d v="2025-01-07T20:05:51"/>
    <d v="2025-01-08T07:57:51"/>
    <d v="2025-01-07T20:46:51"/>
    <n v="-667.89351851596928"/>
    <n v="40.810185182635905"/>
    <x v="0"/>
    <d v="2025-01-08T14:46:51"/>
    <d v="2025-01-08T17:19:51"/>
    <n v="149.81249999589636"/>
    <m/>
    <d v="2025-01-09T12:33:03"/>
    <d v="2025-01-09T13:32:03"/>
    <n v="57.770833336981013"/>
    <m/>
    <n v="1.6570833333244082"/>
    <n v="2"/>
    <n v="0.34291666667559184"/>
    <n v="39.769999999785796"/>
    <n v="12"/>
    <n v="27.769999999785796"/>
    <n v="5.6175729204610478"/>
    <m/>
    <m/>
    <m/>
    <m/>
    <m/>
  </r>
  <r>
    <d v="2025-01-07T21:59:12"/>
    <x v="0"/>
    <m/>
    <s v="OM87MA9RR"/>
    <s v="Manual"/>
    <x v="10"/>
    <s v="UBP 301H"/>
    <s v="Kato Investment Ltd -Kagadi"/>
    <n v="156"/>
    <s v="A19918"/>
    <s v="OM"/>
    <n v="670"/>
    <n v="607"/>
    <n v="-63"/>
    <m/>
    <d v="2025-01-08T10:32:12"/>
    <d v="2025-01-08T09:59:12"/>
    <d v="2025-01-08T11:14:12"/>
    <n v="74.652777770825196"/>
    <n v="41.805555556250816"/>
    <x v="0"/>
    <d v="2025-01-09T12:44:12"/>
    <d v="2025-01-09T15:17:12"/>
    <n v="149.81249999589636"/>
    <m/>
    <d v="2025-01-10T11:55:43"/>
    <d v="2025-01-10T12:53:43"/>
    <n v="56.791666667122627"/>
    <m/>
    <n v="2.0288333333373885"/>
    <n v="2"/>
    <n v="-2.8833333337388467E-2"/>
    <n v="48.692000000097323"/>
    <n v="24"/>
    <n v="24.692000000097323"/>
    <n v="6.3178357362459554"/>
    <m/>
    <m/>
    <m/>
    <m/>
    <m/>
  </r>
  <r>
    <d v="2025-01-08T00:00:00"/>
    <x v="0"/>
    <m/>
    <s v="OM02L8JN"/>
    <s v="Manual"/>
    <x v="10"/>
    <s v="UBP 311H"/>
    <s v="Ntale and Sons Ltd-Kakiri"/>
    <n v="155.10000000000002"/>
    <s v="A19922"/>
    <s v="OM"/>
    <n v="620"/>
    <n v="602"/>
    <n v="-18"/>
    <m/>
    <d v="2025-01-08T07:58:00"/>
    <d v="2025-01-08T07:30:00"/>
    <d v="2025-01-08T08:38:00"/>
    <n v="67.685185186807459"/>
    <n v="39.814814819449872"/>
    <x v="0"/>
    <d v="2025-01-08T21:08:00"/>
    <d v="2025-01-08T23:55:00"/>
    <n v="163.52083333287737"/>
    <m/>
    <d v="2025-01-10T11:10:24"/>
    <d v="2025-01-10T12:08:24"/>
    <n v="56.791666667122627"/>
    <m/>
    <n v="2.1058333333348855"/>
    <n v="3"/>
    <n v="0.89416666666511446"/>
    <n v="50.540000000037253"/>
    <n v="24"/>
    <n v="26.540000000037253"/>
    <n v="5.8440090429458298"/>
    <m/>
    <m/>
    <m/>
    <m/>
    <m/>
  </r>
  <r>
    <d v="2025-01-08T00:00:00"/>
    <x v="0"/>
    <m/>
    <s v="OM02L8M9"/>
    <s v="Manual"/>
    <x v="10"/>
    <s v="UBE 678K"/>
    <s v="Kobusinge Steven-FPortal"/>
    <n v="156"/>
    <s v="Z82096"/>
    <s v="OM"/>
    <n v="390"/>
    <n v="388"/>
    <n v="-2"/>
    <m/>
    <d v="2025-01-08T08:02:00"/>
    <d v="2025-01-08T07:30:00"/>
    <d v="2025-01-08T08:42:00"/>
    <n v="71.666666660409348"/>
    <n v="39.814814819449872"/>
    <x v="0"/>
    <d v="2025-01-09T10:12:00"/>
    <d v="2025-01-09T16:02:00"/>
    <n v="342.70833333219343"/>
    <s v="found another truck at the RD"/>
    <d v="2025-01-10T09:34:34"/>
    <d v="2025-01-10T10:32:34"/>
    <n v="56.791666667122627"/>
    <m/>
    <n v="2.0365000000019791"/>
    <n v="2"/>
    <n v="-3.650000000197906E-2"/>
    <n v="48.876000000047497"/>
    <n v="24"/>
    <n v="24.876000000047497"/>
    <n v="6.2711046791969025"/>
    <m/>
    <m/>
    <m/>
    <m/>
    <m/>
  </r>
  <r>
    <d v="2025-01-08T00:00:00"/>
    <x v="0"/>
    <m/>
    <s v="OM02L8PX"/>
    <s v="Manual"/>
    <x v="11"/>
    <s v="UBP 311H"/>
    <s v="Kabaco U Ltd"/>
    <n v="156"/>
    <s v="Z82099"/>
    <s v="OM"/>
    <n v="320"/>
    <n v="323"/>
    <n v="3"/>
    <m/>
    <d v="2025-01-08T07:58:00"/>
    <d v="2025-01-08T07:30:00"/>
    <d v="2025-01-08T08:38:00"/>
    <n v="67.685185186807459"/>
    <n v="39.814814819449872"/>
    <x v="0"/>
    <d v="2025-01-08T14:38:00"/>
    <d v="2025-01-08T20:07:00"/>
    <n v="322.14583333698101"/>
    <s v="found another truck at the RD and offloaded the next day"/>
    <d v="2025-01-09T12:26:12"/>
    <d v="2025-01-09T13:22:12"/>
    <n v="54.833333337664953"/>
    <m/>
    <n v="1.1584722222251003"/>
    <n v="2"/>
    <n v="0.84152777777489973"/>
    <n v="27.803333333402406"/>
    <n v="12"/>
    <n v="15.803333333402406"/>
    <n v="9.8713351613152174"/>
    <m/>
    <m/>
    <m/>
    <m/>
    <m/>
  </r>
  <r>
    <d v="2025-01-08T00:00:00"/>
    <x v="0"/>
    <m/>
    <s v="OM02L8Q3"/>
    <s v="Manual"/>
    <x v="11"/>
    <s v="UBP 311H"/>
    <s v="Kobusinge Steven-Kamwenge"/>
    <n v="156"/>
    <s v="Z82101"/>
    <s v="OM"/>
    <n v="230"/>
    <n v="234"/>
    <n v="4"/>
    <m/>
    <d v="2025-01-08T08:18:00"/>
    <d v="2025-01-08T07:30:00"/>
    <d v="2025-01-08T08:58:00"/>
    <n v="87.592592586103521"/>
    <n v="39.814814819449872"/>
    <x v="0"/>
    <d v="2025-01-09T09:58:00"/>
    <d v="2025-01-09T19:25:00"/>
    <n v="555.18750000410364"/>
    <s v="Waited for empties from trade"/>
    <d v="2025-01-10T12:27:24"/>
    <d v="2025-01-10T13:17:24"/>
    <n v="48.958333328773733"/>
    <m/>
    <n v="2.1454166666662786"/>
    <n v="2"/>
    <n v="-0.14541666666627862"/>
    <n v="51.489999999990687"/>
    <n v="24"/>
    <n v="27.489999999990687"/>
    <n v="5.6747908330321151"/>
    <m/>
    <m/>
    <m/>
    <m/>
    <m/>
  </r>
  <r>
    <d v="2025-01-08T00:00:00"/>
    <x v="0"/>
    <m/>
    <s v="OM02L8Q4"/>
    <s v="Manual"/>
    <x v="10"/>
    <s v="UBP 311H"/>
    <s v="Kobusinge Acaali- Kyenjojo"/>
    <n v="156"/>
    <s v="Z82102"/>
    <s v="OM"/>
    <n v="480"/>
    <n v="479"/>
    <n v="-1"/>
    <m/>
    <d v="2025-01-08T07:58:00"/>
    <d v="2025-01-08T07:30:00"/>
    <d v="2025-01-08T08:38:00"/>
    <n v="67.685185186807459"/>
    <n v="39.814814819449872"/>
    <x v="0"/>
    <d v="2025-01-09T10:23:00"/>
    <d v="2025-01-09T17:12:00"/>
    <n v="400.47916666917445"/>
    <s v="found another truck at the RD"/>
    <d v="2025-01-10T19:38:44"/>
    <d v="2025-01-10T20:35:44"/>
    <n v="55.81249999726424"/>
    <m/>
    <n v="2.4588444444452762"/>
    <n v="2"/>
    <n v="-0.45884444444527617"/>
    <n v="59.012266666686628"/>
    <n v="24"/>
    <n v="35.012266666686628"/>
    <n v="4.4555812819862481"/>
    <m/>
    <m/>
    <m/>
    <m/>
    <m/>
  </r>
  <r>
    <d v="2025-01-08T12:07:41"/>
    <x v="0"/>
    <m/>
    <s v="OMAXS8ORR"/>
    <s v="Manual"/>
    <x v="10"/>
    <s v="UBJ 419C"/>
    <s v="Boniface Harera"/>
    <n v="156"/>
    <s v="F15694"/>
    <s v="OM"/>
    <n v="470"/>
    <n v="465"/>
    <n v="-5"/>
    <m/>
    <d v="2025-01-09T00:43:41"/>
    <d v="2025-01-09T00:07:41"/>
    <d v="2025-01-09T01:39:41"/>
    <n v="91.574074070134273"/>
    <n v="55.740740745144045"/>
    <x v="8"/>
    <d v="2025-01-10T01:39:41"/>
    <d v="2025-01-10T07:24:41"/>
    <n v="337.8125000034197"/>
    <s v="Waited for empties from trade"/>
    <d v="2025-01-11T07:17:29"/>
    <d v="2025-01-11T08:11:29"/>
    <n v="52.87499999794818"/>
    <m/>
    <n v="2.234583333338378"/>
    <n v="2"/>
    <n v="-0.234583333338378"/>
    <n v="53.630000000121072"/>
    <n v="24"/>
    <n v="29.630000000121072"/>
    <n v="5.2649341883011331"/>
    <m/>
    <m/>
    <m/>
    <m/>
    <m/>
  </r>
  <r>
    <d v="2025-01-08T12:58:25"/>
    <x v="0"/>
    <m/>
    <s v="OM6FUXCRR"/>
    <s v="DJ"/>
    <x v="28"/>
    <s v="UBJ 705D"/>
    <s v="Kato Investments Ltd- Kyegegwa"/>
    <n v="156"/>
    <s v="A19923"/>
    <s v="OM"/>
    <n v="600"/>
    <n v="603"/>
    <n v="3"/>
    <m/>
    <d v="2025-01-08T13:34:00"/>
    <d v="2025-01-08T20:24:00"/>
    <d v="2025-01-08T14:18:00"/>
    <n v="-364.30555555416504"/>
    <n v="43.796296293051761"/>
    <x v="0"/>
    <d v="2025-01-09T08:54:00"/>
    <d v="2025-01-09T11:53:00"/>
    <n v="175.27083333014161"/>
    <m/>
    <d v="2025-01-09T20:28:00"/>
    <d v="2025-01-09T21:24:00"/>
    <n v="54.833333337664953"/>
    <m/>
    <n v="1.2569444444452529"/>
    <n v="2"/>
    <n v="0.74305555555474712"/>
    <n v="30.166666666686069"/>
    <n v="12"/>
    <n v="18.166666666686069"/>
    <n v="8.587155963293581"/>
    <m/>
    <m/>
    <m/>
    <m/>
    <m/>
  </r>
  <r>
    <d v="2025-01-08T13:15:27"/>
    <x v="0"/>
    <m/>
    <s v="OMOMP47RR"/>
    <s v="Manual"/>
    <x v="13"/>
    <s v="UAV 051U"/>
    <s v="Rugoma Traders-Kanungu/Kihihi"/>
    <n v="153.60000000000002"/>
    <s v="F15695"/>
    <s v="OM"/>
    <n v="414"/>
    <n v="413"/>
    <n v="-1"/>
    <m/>
    <d v="2025-01-09T13:52:27"/>
    <d v="2025-01-09T01:15:27"/>
    <d v="2025-01-09T14:32:27"/>
    <n v="793.31018518472172"/>
    <n v="39.814814819449872"/>
    <x v="0"/>
    <d v="2025-01-09T21:07:27"/>
    <d v="2025-01-10T13:41:03"/>
    <n v="972.90000000328291"/>
    <s v="Waited for empties from trade"/>
    <d v="2025-01-11T07:55:27"/>
    <d v="2025-01-11T08:51:27"/>
    <n v="54.833333337664953"/>
    <m/>
    <n v="1.7243055555591127"/>
    <n v="2"/>
    <n v="0.27569444444088731"/>
    <n v="41.383333333418705"/>
    <n v="12"/>
    <n v="29.383333333418705"/>
    <n v="5.2274532047494189"/>
    <m/>
    <m/>
    <m/>
    <m/>
    <m/>
  </r>
  <r>
    <d v="2025-01-08T16:01:20"/>
    <x v="0"/>
    <m/>
    <s v="OMN3QBKRR"/>
    <s v="DJ"/>
    <x v="9"/>
    <s v="UAV 203T"/>
    <s v="KATO INVESTMENTS LIMITED-MASAK"/>
    <n v="153.60000000000002"/>
    <s v="F15696"/>
    <s v="OM"/>
    <n v="340"/>
    <n v="151"/>
    <n v="-189"/>
    <s v="Delivered to Lyatonde"/>
    <d v="2025-01-08T16:58:00"/>
    <d v="2025-01-09T04:14:00"/>
    <d v="2025-01-08T17:41:00"/>
    <n v="-630.06944444374915"/>
    <n v="42.80092592986572"/>
    <x v="0"/>
    <d v="2025-01-08T20:25:00"/>
    <d v="2025-01-09T13:01:00"/>
    <n v="975.24999999863212"/>
    <s v="Waited for empties from trade"/>
    <d v="2025-01-09T16:09:00"/>
    <d v="2025-01-09T17:05:00"/>
    <n v="54.833333337664953"/>
    <m/>
    <n v="0.93611111111385981"/>
    <n v="2"/>
    <n v="1.0638888888861402"/>
    <n v="22.466666666732635"/>
    <n v="0"/>
    <n v="22.466666666732635"/>
    <n v="6.8367952522054454"/>
    <m/>
    <m/>
    <m/>
    <m/>
    <m/>
  </r>
  <r>
    <d v="2025-01-08T18:51:08"/>
    <x v="0"/>
    <m/>
    <s v="OM7J2X1RR"/>
    <s v="DJ"/>
    <x v="3"/>
    <s v="UBK 881R"/>
    <s v="Ntale and Sons"/>
    <n v="153.60000000000002"/>
    <s v="A19929"/>
    <s v="OM"/>
    <n v="810"/>
    <n v="809"/>
    <n v="-1"/>
    <m/>
    <d v="2025-01-09T06:35:00"/>
    <d v="2025-01-08T20:00:00"/>
    <d v="2025-01-09T07:15:00"/>
    <n v="671.875"/>
    <n v="39.814814819449872"/>
    <x v="0"/>
    <d v="2025-01-09T18:37:00"/>
    <d v="2025-01-10T15:07:00"/>
    <n v="1204.3750000068394"/>
    <s v="Reached late and offloaded the next day"/>
    <d v="2025-01-11T17:05:00"/>
    <d v="2025-01-11T17:53:00"/>
    <n v="46.99999999931606"/>
    <m/>
    <n v="2.4097222222189885"/>
    <n v="3"/>
    <n v="0.59027777778101154"/>
    <n v="57.833333333255723"/>
    <n v="24"/>
    <n v="33.833333333255723"/>
    <n v="4.5399014778429274"/>
    <m/>
    <m/>
    <m/>
    <m/>
    <m/>
  </r>
  <r>
    <d v="2025-01-08T18:52:08"/>
    <x v="0"/>
    <m/>
    <s v="OM6MJPIRR"/>
    <s v="Manual"/>
    <x v="22"/>
    <s v="UAT 351G"/>
    <s v="Kabaco U Ltd-Mbarara"/>
    <n v="152.02500000000001"/>
    <s v="Z82097"/>
    <s v="OM"/>
    <n v="20"/>
    <n v="12"/>
    <n v="-8"/>
    <m/>
    <d v="2025-01-09T07:58:08"/>
    <d v="2025-01-09T07:30:08"/>
    <d v="2025-01-09T08:38:08"/>
    <n v="67.685185186807459"/>
    <n v="39.814814819449872"/>
    <x v="0"/>
    <d v="2025-01-09T09:20:08"/>
    <d v="2025-01-09T11:38:08"/>
    <n v="135.12499999931606"/>
    <m/>
    <d v="2025-01-09T12:10:08"/>
    <d v="2025-01-09T13:08:08"/>
    <n v="56.791666667122627"/>
    <m/>
    <n v="0.14722222222189885"/>
    <n v="2"/>
    <n v="1.8527777777781012"/>
    <n v="3.5333333333255723"/>
    <n v="0"/>
    <n v="3.5333333333255723"/>
    <n v="43.025943396320926"/>
    <m/>
    <m/>
    <m/>
    <m/>
    <m/>
  </r>
  <r>
    <d v="2025-01-08T18:55:50"/>
    <x v="0"/>
    <m/>
    <s v="OMGCPOPRR"/>
    <s v="DJ"/>
    <x v="6"/>
    <s v="UBK 858R"/>
    <s v="Rugoma Traders-Rukungiri"/>
    <n v="156"/>
    <s v="Z82098"/>
    <s v="OM"/>
    <n v="256"/>
    <n v="254"/>
    <n v="-2"/>
    <m/>
    <d v="2025-01-08T20:16:00"/>
    <d v="2025-01-09T04:04:00"/>
    <d v="2025-01-08T20:57:00"/>
    <n v="-425.0231481465259"/>
    <n v="40.810185182635905"/>
    <x v="0"/>
    <d v="2025-01-09T08:37:00"/>
    <d v="2025-01-09T17:57:00"/>
    <n v="548.33333333561313"/>
    <s v="space consquents"/>
    <d v="2025-01-10T09:01:00"/>
    <d v="2025-01-10T09:59:00"/>
    <n v="56.791666667122627"/>
    <m/>
    <n v="1.5027777777795563"/>
    <n v="2"/>
    <n v="0.49722222222044365"/>
    <n v="36.066666666709352"/>
    <n v="12"/>
    <n v="24.066666666709352"/>
    <n v="6.4819944598222987"/>
    <m/>
    <m/>
    <m/>
    <m/>
    <m/>
  </r>
  <r>
    <d v="2025-01-08T18:56:47"/>
    <x v="0"/>
    <m/>
    <s v="OM50BJLRR"/>
    <s v="DJ"/>
    <x v="12"/>
    <s v="UBJ 415C"/>
    <s v="Ntale and Sons"/>
    <n v="153.60000000000002"/>
    <s v="A19930"/>
    <s v="OM"/>
    <n v="810"/>
    <n v="804"/>
    <n v="-6"/>
    <m/>
    <d v="2025-01-08T19:11:00"/>
    <d v="2025-01-08T20:00:00"/>
    <d v="2025-01-08T19:52:00"/>
    <n v="-7.9629629680615226"/>
    <n v="40.810185182635905"/>
    <x v="0"/>
    <d v="2025-01-09T13:21:00"/>
    <d v="2025-01-10T13:30:00"/>
    <n v="1418.8124999979482"/>
    <s v="Reached late and offloaded the next day"/>
    <d v="2025-01-12T12:35:00"/>
    <d v="2025-01-12T13:34:00"/>
    <n v="57.770833336981013"/>
    <m/>
    <n v="3.6965277777781012"/>
    <n v="3"/>
    <n v="-0.69652777777810115"/>
    <n v="88.716666666674428"/>
    <n v="36"/>
    <n v="52.716666666674428"/>
    <n v="2.9136895352509153"/>
    <m/>
    <m/>
    <m/>
    <m/>
    <m/>
  </r>
  <r>
    <d v="2025-01-08T18:57:56"/>
    <x v="0"/>
    <m/>
    <s v="OM1NWRKRR"/>
    <s v="DJ"/>
    <x v="5"/>
    <s v="UBE 419T"/>
    <s v="Kato Investments Ltd-Bulenga"/>
    <n v="153.60000000000002"/>
    <s v="A19931"/>
    <s v="OM"/>
    <n v="560"/>
    <n v="559"/>
    <n v="-1"/>
    <m/>
    <d v="2025-01-08T18:51:00"/>
    <d v="2025-01-08T20:13:00"/>
    <d v="2025-01-08T19:31:00"/>
    <n v="-41.805555556250816"/>
    <n v="39.814814819449872"/>
    <x v="0"/>
    <d v="2025-01-09T14:15:00"/>
    <d v="2025-01-09T18:58:00"/>
    <n v="277.10416666712263"/>
    <s v="truck faulty"/>
    <d v="2025-01-10T17:24:00"/>
    <d v="2025-01-10T18:16:00"/>
    <n v="50.916666668490507"/>
    <m/>
    <n v="1.9118055555518367"/>
    <n v="3"/>
    <n v="1.0881944444481633"/>
    <n v="45.883333333244082"/>
    <n v="12"/>
    <n v="33.883333333244082"/>
    <n v="4.5332021643011693"/>
    <m/>
    <m/>
    <m/>
    <m/>
    <m/>
  </r>
  <r>
    <d v="2025-01-08T19:19:40"/>
    <x v="0"/>
    <m/>
    <s v="OM7S3B6RR"/>
    <s v="DJ"/>
    <x v="17"/>
    <s v="UBA 523T"/>
    <s v="KATO INVESTMENTS LIMITED-MASAK"/>
    <n v="153.60000000000002"/>
    <s v="F15697"/>
    <s v="OM"/>
    <n v="340"/>
    <n v="300"/>
    <n v="-40"/>
    <m/>
    <d v="2025-01-09T07:58:00"/>
    <d v="2025-01-09T04:14:00"/>
    <d v="2025-01-09T08:41:00"/>
    <n v="265.76388888958417"/>
    <n v="42.80092592986572"/>
    <x v="0"/>
    <d v="2025-01-09T10:57:00"/>
    <d v="2025-01-09T15:53:00"/>
    <n v="289.83333333424525"/>
    <s v="Waited for empties from trade"/>
    <d v="2025-01-10T12:03:00"/>
    <d v="2025-01-10T12:53:00"/>
    <n v="48.958333328773733"/>
    <m/>
    <n v="1.140277777776646"/>
    <n v="2"/>
    <n v="0.85972222222335404"/>
    <n v="27.366666666639503"/>
    <n v="12"/>
    <n v="15.366666666639503"/>
    <n v="9.995661605223745"/>
    <m/>
    <m/>
    <m/>
    <m/>
    <m/>
  </r>
  <r>
    <d v="2025-01-08T19:20:44"/>
    <x v="0"/>
    <m/>
    <s v="OM49LLCRR"/>
    <s v="DJ"/>
    <x v="19"/>
    <s v="UBE 680K"/>
    <s v="Kato Investments Ltd- Kyegegwa"/>
    <n v="156"/>
    <s v="A19933"/>
    <s v="OM"/>
    <n v="600"/>
    <n v="564"/>
    <n v="-36"/>
    <m/>
    <d v="2025-01-08T19:48:00"/>
    <d v="2025-01-08T20:24:00"/>
    <d v="2025-01-08T20:30:00"/>
    <n v="5.9722222208317062"/>
    <n v="41.805555556250816"/>
    <x v="0"/>
    <d v="2025-01-09T10:04:00"/>
    <d v="2025-01-09T16:14:00"/>
    <n v="362.29166666780657"/>
    <s v="found another truck to be offloaded"/>
    <d v="2025-01-10T06:49:00"/>
    <d v="2025-01-10T07:45:00"/>
    <n v="54.833333337664953"/>
    <m/>
    <n v="1.429861111115315"/>
    <n v="2"/>
    <n v="0.570138888884685"/>
    <n v="34.31666666676756"/>
    <n v="12"/>
    <n v="22.31666666676756"/>
    <n v="6.9902912621043196"/>
    <m/>
    <m/>
    <m/>
    <m/>
    <m/>
  </r>
  <r>
    <d v="2025-01-08T19:23:57"/>
    <x v="0"/>
    <m/>
    <s v="OMAQNGLRR"/>
    <s v="Manual"/>
    <x v="25"/>
    <s v="UBJ 420C"/>
    <s v="Kato Investment Ltd -Mityana"/>
    <n v="156"/>
    <s v="A19934"/>
    <s v="OM"/>
    <n v="690"/>
    <n v="692"/>
    <n v="2"/>
    <m/>
    <d v="2025-01-09T07:51:57"/>
    <d v="2025-01-09T07:23:57"/>
    <d v="2025-01-09T08:31:57"/>
    <n v="67.685185186807459"/>
    <n v="39.814814819449872"/>
    <x v="0"/>
    <d v="2025-01-10T10:31:57"/>
    <d v="2025-01-10T15:21:57"/>
    <n v="283.95833333561313"/>
    <s v="Dj failure at customer"/>
    <d v="2025-01-11T12:47:52"/>
    <d v="2025-01-11T13:46:52"/>
    <n v="57.770833336981013"/>
    <m/>
    <n v="2.1777222222226555"/>
    <n v="3"/>
    <n v="0.82227777777734445"/>
    <n v="52.265333333343733"/>
    <n v="24"/>
    <n v="28.265333333343733"/>
    <n v="5.5191282607649867"/>
    <m/>
    <m/>
    <m/>
    <m/>
    <m/>
  </r>
  <r>
    <d v="2025-01-10T00:00:00"/>
    <x v="0"/>
    <m/>
    <s v="OMFFWYQRR"/>
    <s v="Manual"/>
    <x v="8"/>
    <s v="UBK 875R"/>
    <s v="Kato Investments Ltd-Bulenga"/>
    <n v="153.6"/>
    <s v="A19983"/>
    <s v="OM"/>
    <n v="560"/>
    <n v="558"/>
    <n v="-2"/>
    <m/>
    <d v="2025-01-11T07:58:00"/>
    <d v="2025-01-11T07:30:00"/>
    <d v="2025-01-11T08:41:00"/>
    <n v="70.671296297223307"/>
    <n v="42.80092592986572"/>
    <x v="0"/>
    <d v="2025-01-10T14:03:00"/>
    <d v="2025-01-10T16:57:00"/>
    <n v="170.37500000136788"/>
    <m/>
    <d v="2025-01-13T11:55:00"/>
    <d v="2025-01-13T12:53:00"/>
    <n v="56.791666667122627"/>
    <m/>
    <n v="2.1347222222248092"/>
    <n v="3"/>
    <n v="0.86527777777519077"/>
    <n v="51.233333333395422"/>
    <n v="24"/>
    <n v="27.233333333395422"/>
    <n v="5.6401468788121107"/>
    <m/>
    <m/>
    <m/>
    <m/>
    <m/>
  </r>
  <r>
    <d v="2025-01-10T00:00:00"/>
    <x v="0"/>
    <m/>
    <s v="OMHK4MCRR"/>
    <s v="Manual"/>
    <x v="6"/>
    <s v="UBK 858R"/>
    <s v="Kato Investment Ltd -Kagadi"/>
    <n v="156"/>
    <s v="A19985"/>
    <s v="OM"/>
    <n v="670"/>
    <n v="669"/>
    <n v="-1"/>
    <m/>
    <d v="2025-01-11T07:58:00"/>
    <d v="2025-01-11T07:30:00"/>
    <d v="2025-01-11T08:41:00"/>
    <n v="70.671296297223307"/>
    <n v="42.80092592986572"/>
    <x v="0"/>
    <d v="2025-01-12T11:55:00"/>
    <d v="2025-01-12T14:22:00"/>
    <n v="143.93749999726424"/>
    <m/>
    <d v="2025-01-13T08:28:31"/>
    <d v="2025-01-13T09:24:31"/>
    <n v="54.833333337664953"/>
    <m/>
    <n v="1.9913333333315677"/>
    <n v="2"/>
    <n v="8.666666668432299E-3"/>
    <n v="47.791999999957625"/>
    <n v="12"/>
    <n v="35.791999999957625"/>
    <n v="4.358515869473198"/>
    <m/>
    <m/>
    <m/>
    <m/>
    <m/>
  </r>
  <r>
    <d v="2025-01-10T00:00:00"/>
    <x v="0"/>
    <m/>
    <s v="OM07GNXRR"/>
    <s v="Manual"/>
    <x v="22"/>
    <s v="UAT 351G"/>
    <s v="KATO INVESTMENTS LIMITED-MASAK"/>
    <n v="153.6"/>
    <s v="F15703"/>
    <s v="OM"/>
    <n v="298"/>
    <n v="295"/>
    <n v="-3"/>
    <m/>
    <d v="2025-01-11T08:11:00"/>
    <d v="2025-01-11T07:30:00"/>
    <d v="2025-01-11T08:54:00"/>
    <n v="83.611111112501632"/>
    <n v="42.80092592986572"/>
    <x v="0"/>
    <d v="2025-01-12T09:13:00"/>
    <d v="2025-01-12T12:07:00"/>
    <n v="170.37500000136788"/>
    <m/>
    <d v="2025-01-11T19:10:00"/>
    <d v="2025-01-11T20:07:00"/>
    <n v="55.81249999726424"/>
    <m/>
    <n v="0.42777777777519077"/>
    <n v="2"/>
    <n v="1.5722222222248092"/>
    <n v="10.266666666604578"/>
    <n v="0"/>
    <n v="10.266666666604578"/>
    <n v="14.961038961129438"/>
    <m/>
    <m/>
    <m/>
    <m/>
    <m/>
  </r>
  <r>
    <d v="2025-01-11T00:00:00"/>
    <x v="0"/>
    <m/>
    <s v="OM02L9W8"/>
    <s v="Manual"/>
    <x v="29"/>
    <s v="UBE 673K"/>
    <s v="Kabaco U Ltd "/>
    <n v="156"/>
    <s v="Z82141"/>
    <s v="OM"/>
    <n v="320"/>
    <n v="317"/>
    <n v="-3"/>
    <m/>
    <d v="2025-01-11T06:53:00"/>
    <d v="2025-01-11T07:30:00"/>
    <d v="2025-01-11T07:34:00"/>
    <n v="3.9814814840307613"/>
    <n v="40.810185182635905"/>
    <x v="0"/>
    <d v="2025-01-11T12:07:00"/>
    <d v="2025-01-11T14:59:00"/>
    <n v="168.41666666165111"/>
    <m/>
    <d v="2025-01-12T11:22:12"/>
    <d v="2025-01-12T12:20:12"/>
    <n v="56.791666667122627"/>
    <m/>
    <n v="1.1584722222251003"/>
    <n v="2"/>
    <n v="0.84152777777489973"/>
    <n v="27.803333333402406"/>
    <n v="12"/>
    <n v="15.803333333402406"/>
    <n v="9.8713351613152174"/>
    <m/>
    <m/>
    <m/>
    <m/>
    <m/>
  </r>
  <r>
    <d v="2025-01-11T00:00:00"/>
    <x v="0"/>
    <m/>
    <s v="OM02L9WM"/>
    <s v="Manual"/>
    <x v="10"/>
    <s v="UBK 866R"/>
    <s v="Kabaco U Ltd "/>
    <n v="156"/>
    <s v="Z82142"/>
    <s v="OM"/>
    <n v="320"/>
    <n v="319"/>
    <n v="-1"/>
    <m/>
    <d v="2025-01-11T07:21:00"/>
    <d v="2025-01-11T07:30:00"/>
    <d v="2025-01-11T08:04:00"/>
    <n v="33.842592598618161"/>
    <n v="42.80092592986572"/>
    <x v="0"/>
    <d v="2025-01-11T13:34:00"/>
    <d v="2025-01-11T16:46:00"/>
    <n v="187.99999999726424"/>
    <s v="Waited for empties from trade"/>
    <d v="2025-01-12T11:19:12"/>
    <d v="2025-01-12T12:18:12"/>
    <n v="57.770833336981013"/>
    <m/>
    <n v="1.1355555555564933"/>
    <n v="2"/>
    <n v="0.86444444444350665"/>
    <n v="27.25333333335584"/>
    <n v="12"/>
    <n v="15.25333333335584"/>
    <n v="10.227272727257636"/>
    <m/>
    <m/>
    <m/>
    <m/>
    <m/>
  </r>
  <r>
    <d v="2025-01-11T00:00:00"/>
    <x v="0"/>
    <m/>
    <s v="OM02L9X4"/>
    <s v="Manual"/>
    <x v="29"/>
    <s v="UBE 673K"/>
    <s v="KATO INVESTMENTS LTD-KATIKARA"/>
    <n v="156"/>
    <s v="A20003"/>
    <s v="OM"/>
    <n v="790"/>
    <n v="787"/>
    <n v="-3"/>
    <m/>
    <d v="2025-01-11T07:04:00"/>
    <d v="2025-01-11T07:30:00"/>
    <d v="2025-01-11T07:48:00"/>
    <n v="17.916666662495118"/>
    <n v="43.796296293051761"/>
    <x v="0"/>
    <d v="2025-01-12T09:52:00"/>
    <d v="2025-01-12T12:46:00"/>
    <n v="170.37500000136788"/>
    <m/>
    <d v="2025-01-13T18:37:00"/>
    <d v="2025-01-13T19:35:00"/>
    <n v="56.791666667122627"/>
    <m/>
    <n v="2.4506944444437977"/>
    <n v="3"/>
    <n v="0.54930555555620231"/>
    <n v="58.816666666651145"/>
    <n v="24"/>
    <n v="34.816666666651145"/>
    <n v="4.4806127333672441"/>
    <m/>
    <m/>
    <m/>
    <m/>
    <m/>
  </r>
  <r>
    <d v="2025-01-11T00:00:00"/>
    <x v="0"/>
    <m/>
    <s v="OM4DOVGRR"/>
    <s v="Manual"/>
    <x v="2"/>
    <s v="UBE 287X"/>
    <s v="KATO INVESTMENTS LTD- KALISIZO"/>
    <n v="153.6"/>
    <s v="F15704"/>
    <s v="OM"/>
    <n v="350"/>
    <n v="349"/>
    <n v="-1"/>
    <m/>
    <d v="2025-01-11T16:28:00"/>
    <d v="2025-01-11T16:16:00"/>
    <d v="2025-01-11T17:09:00"/>
    <n v="52.75462963472819"/>
    <n v="40.810185182635905"/>
    <x v="0"/>
    <d v="2025-01-12T09:16:00"/>
    <d v="2025-01-12T12:15:00"/>
    <n v="175.27083333014161"/>
    <m/>
    <d v="2025-01-13T13:59:00"/>
    <d v="2025-01-13T14:56:00"/>
    <n v="55.81249999726424"/>
    <m/>
    <n v="1.8680555555547471"/>
    <n v="2"/>
    <n v="0.13194444444525288"/>
    <n v="44.833333333313931"/>
    <n v="12"/>
    <n v="32.833333333313931"/>
    <n v="4.6781725888352517"/>
    <m/>
    <m/>
    <m/>
    <m/>
    <m/>
  </r>
  <r>
    <d v="2025-01-11T00:00:00"/>
    <x v="0"/>
    <m/>
    <s v="OMDBS1TRR"/>
    <s v="Manual"/>
    <x v="20"/>
    <s v="UAY 265V"/>
    <s v="Kato Investments Ltd-Bulenga"/>
    <n v="153.6"/>
    <s v="A19992"/>
    <s v="OM"/>
    <n v="560"/>
    <n v="561"/>
    <n v="1"/>
    <m/>
    <d v="2025-01-12T08:10:00"/>
    <d v="2025-01-12T07:30:00"/>
    <d v="2025-01-12T08:50:00"/>
    <n v="79.629629628470866"/>
    <n v="39.814814819449872"/>
    <x v="0"/>
    <d v="2025-01-12T09:09:00"/>
    <d v="2025-01-12T12:01:00"/>
    <n v="168.41666666165111"/>
    <m/>
    <d v="2025-01-14T14:21:12"/>
    <d v="2025-01-14T15:20:12"/>
    <n v="57.770833336981013"/>
    <m/>
    <n v="2.2300000000032014"/>
    <n v="3"/>
    <n v="0.76999999999679858"/>
    <n v="53.520000000076834"/>
    <n v="24"/>
    <n v="29.520000000076834"/>
    <n v="5.2032520325067821"/>
    <m/>
    <m/>
    <m/>
    <m/>
    <m/>
  </r>
  <r>
    <d v="2025-01-11T00:00:00"/>
    <x v="0"/>
    <m/>
    <s v="OM25K0CRR"/>
    <s v="DJ"/>
    <x v="3"/>
    <s v="UBK 881R"/>
    <s v="Kabaco U Ltd-Mbarara "/>
    <n v="153.6"/>
    <s v="Z82139"/>
    <s v="OM"/>
    <n v="20"/>
    <n v="19"/>
    <n v="-1"/>
    <m/>
    <d v="2025-01-12T07:10:00"/>
    <d v="2025-01-12T07:30:00"/>
    <d v="2025-01-12T07:51:00"/>
    <n v="20.902777772910969"/>
    <n v="40.810185182635905"/>
    <x v="0"/>
    <d v="2025-01-13T08:50:00"/>
    <d v="2025-01-13T12:00:00"/>
    <n v="186.04166666780657"/>
    <s v="Dj failure at customer"/>
    <d v="2025-01-12T14:18:00"/>
    <d v="2025-01-12T15:12:00"/>
    <n v="52.87499999794818"/>
    <m/>
    <n v="0.26875000000291038"/>
    <n v="1"/>
    <n v="0.73124999999708962"/>
    <n v="6.4500000000698492"/>
    <n v="0"/>
    <n v="6.4500000000698492"/>
    <n v="23.813953488114201"/>
    <m/>
    <m/>
    <m/>
    <m/>
    <m/>
  </r>
  <r>
    <d v="2025-01-11T00:00:00"/>
    <x v="0"/>
    <m/>
    <s v="OMJUD54RR"/>
    <s v="Manual"/>
    <x v="5"/>
    <s v="UBE 419T"/>
    <s v="KATO INVESTMENTS LIMITED-MASAK"/>
    <n v="153.6"/>
    <s v="F15709"/>
    <s v="OM"/>
    <n v="298"/>
    <n v="297"/>
    <n v="-1"/>
    <m/>
    <d v="2025-01-12T08:09:00"/>
    <d v="2025-01-12T07:30:00"/>
    <d v="2025-01-12T08:52:00"/>
    <n v="81.62037036527181"/>
    <n v="42.80092592986572"/>
    <x v="0"/>
    <d v="2025-01-12T09:17:24"/>
    <d v="2025-01-12T12:09:24"/>
    <n v="168.41666666165111"/>
    <m/>
    <d v="2025-01-13T07:38:00"/>
    <d v="2025-01-13T08:36:00"/>
    <n v="56.791666667122627"/>
    <m/>
    <n v="0.94861111111094942"/>
    <n v="2"/>
    <n v="1.0513888888890506"/>
    <n v="22.766666666662786"/>
    <n v="0"/>
    <n v="22.766666666662786"/>
    <n v="6.7467057101036385"/>
    <m/>
    <m/>
    <m/>
    <m/>
    <m/>
  </r>
  <r>
    <d v="2025-01-11T00:00:00"/>
    <x v="0"/>
    <m/>
    <s v="OM0X9GERR"/>
    <s v="Manual"/>
    <x v="22"/>
    <s v="UAT 351G"/>
    <s v="KATO INVESTMENTS LIMITED-MASAK"/>
    <n v="153.6"/>
    <s v="F15710"/>
    <s v="OM"/>
    <n v="298"/>
    <n v="297"/>
    <n v="-1"/>
    <m/>
    <d v="2025-01-12T07:52:00"/>
    <d v="2025-01-12T07:30:00"/>
    <d v="2025-01-12T08:35:00"/>
    <n v="64.699074065962733"/>
    <n v="42.80092592986572"/>
    <x v="0"/>
    <d v="2025-01-12T12:05:00"/>
    <d v="2025-01-12T14:57:00"/>
    <n v="168.41666666165111"/>
    <m/>
    <d v="2025-01-13T08:04:00"/>
    <d v="2025-01-13T09:00:00"/>
    <n v="54.833333337664953"/>
    <m/>
    <n v="0.97847222221753327"/>
    <n v="2"/>
    <n v="1.0215277777824667"/>
    <n v="23.483333333220799"/>
    <n v="0"/>
    <n v="23.483333333220799"/>
    <n v="6.5408090844884059"/>
    <m/>
    <m/>
    <m/>
    <m/>
    <m/>
  </r>
  <r>
    <d v="2025-01-12T00:00:00"/>
    <x v="0"/>
    <m/>
    <s v="OM02L9YT"/>
    <s v="Manual"/>
    <x v="10"/>
    <s v="UBK 866R"/>
    <s v="Kobusinge Steven-Kamwenge"/>
    <n v="156"/>
    <s v="Z82148"/>
    <s v="OM"/>
    <n v="288"/>
    <n v="289"/>
    <n v="1"/>
    <m/>
    <d v="2025-01-12T07:57:00"/>
    <d v="2025-01-12T07:30:00"/>
    <d v="2025-01-12T08:53:00"/>
    <n v="82.615740738886714"/>
    <n v="55.740740745144045"/>
    <x v="1"/>
    <d v="2025-01-12T11:48:00"/>
    <d v="2025-01-12T14:40:00"/>
    <n v="168.41666666165111"/>
    <m/>
    <d v="2025-01-14T10:12:24"/>
    <d v="2025-01-14T11:06:24"/>
    <n v="52.87499999794818"/>
    <m/>
    <n v="2.055138888892543"/>
    <n v="2"/>
    <n v="-5.5138888892543036E-2"/>
    <n v="49.323333333421033"/>
    <n v="24"/>
    <n v="25.323333333421033"/>
    <n v="6.1603264446278692"/>
    <m/>
    <m/>
    <m/>
    <m/>
    <m/>
  </r>
  <r>
    <d v="2025-01-13T00:00:00"/>
    <x v="0"/>
    <m/>
    <s v="OM02LA1G"/>
    <s v="Manual"/>
    <x v="10"/>
    <s v="UBE 678K"/>
    <s v="Kato Investment Ltd -Mityana"/>
    <n v="157.5"/>
    <s v="A20019"/>
    <s v="OM"/>
    <n v="690"/>
    <n v="689"/>
    <n v="-1"/>
    <m/>
    <d v="2025-01-13T07:58:00"/>
    <d v="2025-01-13T07:30:00"/>
    <d v="2025-01-13T08:37:00"/>
    <n v="66.689814813192541"/>
    <n v="38.819444445834961"/>
    <x v="0"/>
    <d v="2025-01-13T09:23:00"/>
    <d v="2025-01-13T11:50:00"/>
    <n v="143.93749999726424"/>
    <m/>
    <d v="2025-01-15T09:58:55"/>
    <d v="2025-01-15T10:56:55"/>
    <n v="56.791666667122627"/>
    <m/>
    <n v="2.0568888888810761"/>
    <n v="3"/>
    <n v="0.94311111111892387"/>
    <n v="49.365333333145827"/>
    <n v="24"/>
    <n v="25.365333333145827"/>
    <n v="6.209261984907128"/>
    <m/>
    <m/>
    <m/>
    <m/>
    <m/>
  </r>
  <r>
    <d v="2025-01-13T00:00:00"/>
    <x v="0"/>
    <m/>
    <s v="OMWT228RR"/>
    <s v="Manual"/>
    <x v="9"/>
    <s v="UAV 203T"/>
    <s v="Kabaco U Ltd-Mbarara "/>
    <n v="153.6"/>
    <s v="Z82152"/>
    <s v="OM"/>
    <n v="20"/>
    <n v="21"/>
    <n v="1"/>
    <m/>
    <d v="2025-01-13T12:43:00"/>
    <d v="2025-01-13T12:06:00"/>
    <d v="2025-01-13T13:26:00"/>
    <n v="79.629629628470866"/>
    <n v="42.80092592986572"/>
    <x v="0"/>
    <d v="2025-01-14T09:37:00"/>
    <d v="2025-01-14T12:27:00"/>
    <n v="166.45833333219343"/>
    <m/>
    <d v="2025-01-13T18:27:00"/>
    <d v="2025-01-13T19:25:00"/>
    <n v="56.791666667122627"/>
    <m/>
    <n v="0.20902777778246673"/>
    <n v="1"/>
    <n v="0.79097222221753327"/>
    <n v="5.0166666667792015"/>
    <n v="0"/>
    <n v="5.0166666667792015"/>
    <n v="30.617940198648721"/>
    <m/>
    <m/>
    <m/>
    <m/>
    <m/>
  </r>
  <r>
    <d v="2025-01-13T00:00:00"/>
    <x v="0"/>
    <m/>
    <s v="OMRIOMRRR"/>
    <s v="Manual"/>
    <x v="7"/>
    <s v="UAY 526V"/>
    <s v="Ntale and Sons"/>
    <n v="144"/>
    <s v="A20020"/>
    <s v="OM"/>
    <n v="810"/>
    <n v="811"/>
    <n v="1"/>
    <m/>
    <d v="2025-01-13T12:30:00"/>
    <d v="2025-01-13T12:07:00"/>
    <d v="2025-01-13T13:11:00"/>
    <n v="63.703703702776693"/>
    <n v="40.810185182635905"/>
    <x v="0"/>
    <d v="2025-01-13T14:02:00"/>
    <d v="2025-01-13T16:42:00"/>
    <n v="156.66666666438687"/>
    <m/>
    <d v="2025-01-18T14:51:48"/>
    <d v="2025-01-18T16:12:48"/>
    <n v="79.31250000205182"/>
    <s v="Traffic at gate"/>
    <n v="5.069999999999709"/>
    <n v="3"/>
    <n v="-2.069999999999709"/>
    <n v="121.67999999999302"/>
    <n v="60"/>
    <n v="61.679999999993015"/>
    <n v="2.3346303501948169"/>
    <m/>
    <m/>
    <m/>
    <m/>
    <m/>
  </r>
  <r>
    <d v="2025-01-13T00:00:00"/>
    <x v="0"/>
    <m/>
    <s v="OM7MQQSRR"/>
    <s v="Manual"/>
    <x v="13"/>
    <s v="UAV 051U"/>
    <s v="RUGOMA TRADERS CO. LTD NTUNGAM"/>
    <n v="153.6"/>
    <s v="F15714"/>
    <s v="OM"/>
    <n v="150"/>
    <n v="149"/>
    <n v="-1"/>
    <m/>
    <d v="2025-01-13T22:18:00"/>
    <d v="2025-01-13T22:06:00"/>
    <d v="2025-01-13T22:57:00"/>
    <n v="50.763888897927245"/>
    <n v="38.819444445834961"/>
    <x v="0"/>
    <d v="2025-01-14T19:11:00"/>
    <d v="2025-01-14T22:03:00"/>
    <n v="168.41666666165111"/>
    <m/>
    <d v="2025-01-14T18:37:00"/>
    <d v="2025-01-14T19:33:00"/>
    <n v="54.833333337664953"/>
    <m/>
    <n v="0.81944444444525288"/>
    <n v="1"/>
    <n v="0.18055555555474712"/>
    <n v="19.666666666686069"/>
    <n v="0"/>
    <n v="19.666666666686069"/>
    <n v="7.8101694915177182"/>
    <m/>
    <m/>
    <m/>
    <m/>
    <m/>
  </r>
  <r>
    <d v="2025-01-14T00:00:00"/>
    <x v="0"/>
    <m/>
    <s v="OM2878BRR"/>
    <s v="Manual"/>
    <x v="5"/>
    <s v="UBE 419T"/>
    <s v="Boniface Harera"/>
    <n v="153.6"/>
    <s v="F15715"/>
    <s v="OM"/>
    <n v="448"/>
    <n v="449"/>
    <n v="1"/>
    <m/>
    <d v="2025-01-15T07:10:00"/>
    <d v="2025-01-15T07:30:00"/>
    <d v="2025-01-15T07:50:00"/>
    <n v="19.907407409724936"/>
    <n v="39.814814819449872"/>
    <x v="0"/>
    <d v="2025-01-14T11:27:00"/>
    <d v="2025-01-14T15:29:00"/>
    <n v="236.95833333629707"/>
    <s v="Waited for empties from trade"/>
    <d v="2025-01-17T13:33:00"/>
    <d v="2025-01-17T14:30:00"/>
    <n v="55.81249999726424"/>
    <m/>
    <n v="2.2381944444423425"/>
    <n v="2"/>
    <n v="-0.2381944444423425"/>
    <n v="53.71666666661622"/>
    <n v="24"/>
    <n v="29.71666666661622"/>
    <n v="5.16881660124265"/>
    <m/>
    <m/>
    <m/>
    <m/>
    <m/>
  </r>
  <r>
    <d v="2025-01-14T00:00:00"/>
    <x v="0"/>
    <m/>
    <s v="OMMGTQTRR"/>
    <s v="Manual"/>
    <x v="2"/>
    <s v="UBE 287X"/>
    <s v="Kabaco U Ltd "/>
    <n v="153.6"/>
    <s v="Z82160"/>
    <s v="OM"/>
    <n v="320"/>
    <n v="319"/>
    <n v="-1"/>
    <m/>
    <d v="2025-01-15T06:57:00"/>
    <d v="2025-01-15T07:30:00"/>
    <d v="2025-01-15T07:36:00"/>
    <n v="5.9722222208317062"/>
    <n v="38.819444445834961"/>
    <x v="0"/>
    <d v="2025-01-16T09:50:00"/>
    <d v="2025-01-16T12:49:00"/>
    <n v="175.27083333014161"/>
    <m/>
    <d v="2025-01-16T11:22:12"/>
    <d v="2025-01-16T12:11:12"/>
    <n v="47.979166669174447"/>
    <m/>
    <n v="1.1570833333316841"/>
    <n v="2"/>
    <n v="0.84291666666831588"/>
    <n v="27.769999999960419"/>
    <n v="12"/>
    <n v="15.769999999960419"/>
    <n v="9.7400126823326261"/>
    <m/>
    <m/>
    <m/>
    <m/>
    <m/>
  </r>
  <r>
    <d v="2025-01-14T00:00:00"/>
    <x v="0"/>
    <m/>
    <s v="OMU6OH3RR"/>
    <s v="Manual"/>
    <x v="22"/>
    <s v="UAT 351G"/>
    <s v="Kabaco U Ltd-Mbarara "/>
    <n v="155.625"/>
    <s v="Z82159"/>
    <s v="OM"/>
    <n v="20"/>
    <n v="17"/>
    <n v="-3"/>
    <m/>
    <d v="2025-01-15T06:51:00"/>
    <d v="2025-01-15T07:30:00"/>
    <d v="2025-01-15T07:30:00"/>
    <n v="0"/>
    <n v="38.819444445834961"/>
    <x v="0"/>
    <d v="2025-01-15T13:36:00"/>
    <d v="2025-01-15T16:28:00"/>
    <n v="168.41666666165111"/>
    <m/>
    <d v="2025-01-15T11:58:00"/>
    <d v="2025-01-15T12:56:00"/>
    <n v="56.791666667122627"/>
    <m/>
    <n v="0.18611111111385981"/>
    <n v="1"/>
    <n v="0.81388888888614019"/>
    <n v="4.4666666667326353"/>
    <n v="0"/>
    <n v="4.4666666667326353"/>
    <n v="34.841417909933185"/>
    <m/>
    <m/>
    <m/>
    <m/>
    <m/>
  </r>
  <r>
    <d v="2025-01-15T00:00:00"/>
    <x v="0"/>
    <m/>
    <s v="OMIPYWZRR"/>
    <s v="Manual"/>
    <x v="22"/>
    <s v="UAT 351G"/>
    <s v="KATO INVESTMENTS LTD- KALISIZO"/>
    <n v="151.42500000000001"/>
    <s v="F15718"/>
    <s v="OM"/>
    <n v="350"/>
    <n v="349"/>
    <n v="-1"/>
    <m/>
    <d v="2025-01-15T17:19:00"/>
    <d v="2025-01-15T17:00:00"/>
    <d v="2025-01-15T18:02:00"/>
    <n v="61.712962955546878"/>
    <n v="42.80092592986572"/>
    <x v="0"/>
    <d v="2025-01-15T08:12:00"/>
    <d v="2025-01-15T11:12:00"/>
    <n v="176.25"/>
    <m/>
    <d v="2025-01-17T11:34:38"/>
    <d v="2025-01-17T12:30:38"/>
    <n v="54.833333337664953"/>
    <m/>
    <n v="1.7310000000070431"/>
    <n v="2"/>
    <n v="0.26899999999295687"/>
    <n v="41.544000000169035"/>
    <n v="12"/>
    <n v="29.544000000169035"/>
    <n v="5.1254061738130803"/>
    <m/>
    <m/>
    <m/>
    <m/>
    <m/>
  </r>
  <r>
    <d v="2025-01-15T00:00:00"/>
    <x v="0"/>
    <m/>
    <s v="OMK9VQKRR"/>
    <s v="Manual"/>
    <x v="19"/>
    <s v="UBE 680K"/>
    <s v="Ntale and Sons Ltd-Kakiri"/>
    <n v="156"/>
    <s v="A20070"/>
    <s v="OM"/>
    <n v="620"/>
    <n v="621"/>
    <n v="1"/>
    <m/>
    <d v="2025-01-16T07:14:00"/>
    <d v="2025-01-16T07:30:00"/>
    <d v="2025-01-16T07:55:00"/>
    <n v="24.884259256941732"/>
    <n v="40.810185182635905"/>
    <x v="0"/>
    <d v="2025-01-16T07:02:00"/>
    <d v="2025-01-16T10:02:00"/>
    <n v="176.25"/>
    <m/>
    <d v="2025-01-18T10:27:24"/>
    <d v="2025-01-18T11:24:24"/>
    <n v="55.81249999726424"/>
    <m/>
    <n v="2.1058333333348855"/>
    <n v="3"/>
    <n v="0.89416666666511446"/>
    <n v="50.540000000037253"/>
    <n v="24"/>
    <n v="26.540000000037253"/>
    <n v="5.87792012056447"/>
    <m/>
    <m/>
    <m/>
    <m/>
    <m/>
  </r>
  <r>
    <d v="2025-01-16T00:00:00"/>
    <x v="0"/>
    <m/>
    <s v="OM02LB8W"/>
    <s v="Manual"/>
    <x v="10"/>
    <s v="UBK 866R"/>
    <s v="Kato Investment Ltd -Mubende"/>
    <n v="156"/>
    <s v="A20086"/>
    <s v="OM"/>
    <n v="680"/>
    <n v="677"/>
    <n v="-3"/>
    <m/>
    <d v="2025-01-16T07:45:00"/>
    <d v="2025-01-16T07:30:00"/>
    <d v="2025-01-16T08:26:00"/>
    <n v="55.740740734715168"/>
    <n v="40.810185182635905"/>
    <x v="0"/>
    <d v="2025-01-16T20:25:00"/>
    <d v="2025-01-16T23:05:00"/>
    <n v="156.66666666438687"/>
    <m/>
    <d v="2025-01-18T16:03:17"/>
    <d v="2025-01-18T17:00:17"/>
    <n v="55.81249999726424"/>
    <m/>
    <n v="2.3175555555571918"/>
    <n v="3"/>
    <n v="0.68244444444280816"/>
    <n v="55.621333333372604"/>
    <n v="24"/>
    <n v="31.621333333372604"/>
    <n v="4.9333783099955602"/>
    <m/>
    <m/>
    <m/>
    <m/>
    <m/>
  </r>
  <r>
    <d v="2025-01-16T00:00:00"/>
    <x v="0"/>
    <m/>
    <s v="OM02LBA5"/>
    <s v="Manual"/>
    <x v="26"/>
    <s v="UBB 115P"/>
    <s v="Kobusinge Acaali- Kyenjojo"/>
    <n v="156"/>
    <s v="Z82195"/>
    <s v="OM"/>
    <n v="580"/>
    <n v="577"/>
    <n v="-3"/>
    <m/>
    <d v="2025-01-16T07:10:00"/>
    <d v="2025-01-16T07:30:00"/>
    <d v="2025-01-16T07:50:00"/>
    <n v="19.907407409724936"/>
    <n v="39.814814819449872"/>
    <x v="0"/>
    <d v="2025-01-17T10:43:00"/>
    <d v="2025-01-17T13:43:00"/>
    <n v="176.25"/>
    <m/>
    <d v="2025-01-18T16:47:58"/>
    <d v="2025-01-18T17:45:58"/>
    <n v="56.791666667122627"/>
    <m/>
    <n v="2.3735833333339542"/>
    <n v="2"/>
    <n v="-0.37358333333395422"/>
    <n v="56.966000000014901"/>
    <n v="24"/>
    <n v="32.966000000014901"/>
    <n v="4.7321482739771126"/>
    <m/>
    <m/>
    <m/>
    <m/>
    <m/>
  </r>
  <r>
    <d v="2025-01-16T00:00:00"/>
    <x v="0"/>
    <m/>
    <s v="OM02LB8X"/>
    <s v="Manual"/>
    <x v="10"/>
    <s v="UBK 866R"/>
    <s v="Bates Enterprises U Ltd"/>
    <n v="156"/>
    <s v="Z82190"/>
    <s v="OM"/>
    <n v="464"/>
    <n v="461"/>
    <n v="-3"/>
    <m/>
    <d v="2025-01-16T06:37:00"/>
    <d v="2025-01-16T07:30:00"/>
    <d v="2025-01-16T07:40:00"/>
    <n v="9.9537037048624679"/>
    <n v="62.708333329161782"/>
    <x v="2"/>
    <d v="2025-01-17T09:50:00"/>
    <d v="2025-01-17T12:33:00"/>
    <n v="159.60416666370293"/>
    <m/>
    <d v="2025-01-19T15:04:00"/>
    <d v="2025-01-19T16:00:00"/>
    <n v="54.833333337664953"/>
    <m/>
    <n v="3.3083333333343035"/>
    <n v="3"/>
    <n v="-0.30833333333430346"/>
    <n v="79.400000000023283"/>
    <n v="36"/>
    <n v="43.400000000023283"/>
    <n v="3.5944700460810211"/>
    <m/>
    <m/>
    <m/>
    <m/>
    <m/>
  </r>
  <r>
    <d v="2025-01-16T00:00:00"/>
    <x v="0"/>
    <m/>
    <s v="OM02LB8G"/>
    <s v="Manual"/>
    <x v="10"/>
    <s v="UBK 866R"/>
    <s v="Kabaco U Ltd "/>
    <n v="156"/>
    <s v="Z82186"/>
    <s v="OM"/>
    <n v="320"/>
    <n v="318"/>
    <n v="-2"/>
    <m/>
    <d v="2025-01-16T07:21:00"/>
    <d v="2025-01-16T07:30:00"/>
    <d v="2025-01-16T08:02:00"/>
    <n v="31.851851851388346"/>
    <n v="40.810185182635905"/>
    <x v="0"/>
    <d v="2025-01-18T07:40:00"/>
    <d v="2025-01-18T10:40:00"/>
    <n v="176.25"/>
    <m/>
    <d v="2025-01-17T11:08:12"/>
    <d v="2025-01-17T12:05:12"/>
    <n v="55.81249999726424"/>
    <m/>
    <n v="1.1293055555579485"/>
    <n v="2"/>
    <n v="0.87069444444205146"/>
    <n v="27.103333333390765"/>
    <n v="12"/>
    <n v="15.103333333390765"/>
    <n v="10.328845729380278"/>
    <m/>
    <m/>
    <m/>
    <m/>
    <m/>
  </r>
  <r>
    <d v="2025-01-16T00:00:00"/>
    <x v="0"/>
    <m/>
    <s v="OMGCR2FRR"/>
    <s v="Manual"/>
    <x v="20"/>
    <s v="UAY 265V"/>
    <s v="RUGOMA TRADERS CO. LTD NTUNGAM"/>
    <n v="153.6"/>
    <s v="F15725"/>
    <s v="OM"/>
    <n v="150"/>
    <n v="151"/>
    <n v="1"/>
    <m/>
    <d v="2025-01-17T08:02:00"/>
    <d v="2025-01-17T07:30:00"/>
    <d v="2025-01-17T08:42:00"/>
    <n v="71.666666660409348"/>
    <n v="39.814814819449872"/>
    <x v="0"/>
    <d v="2025-01-16T14:02:00"/>
    <d v="2025-01-16T16:54:00"/>
    <n v="168.41666666165111"/>
    <m/>
    <d v="2025-01-17T19:08:00"/>
    <d v="2025-01-17T20:05:00"/>
    <n v="55.81249999726424"/>
    <m/>
    <n v="0.43472222222771961"/>
    <n v="1"/>
    <n v="0.56527777777228039"/>
    <n v="10.433333333465271"/>
    <n v="0"/>
    <n v="10.433333333465271"/>
    <n v="14.722044728248333"/>
    <m/>
    <m/>
    <m/>
    <m/>
    <m/>
  </r>
  <r>
    <d v="2025-01-16T00:00:00"/>
    <x v="0"/>
    <m/>
    <s v="OML8B0JRR"/>
    <s v="Manual"/>
    <x v="10"/>
    <s v="UBF 379L"/>
    <s v="Kabaco U Ltd "/>
    <n v="154.34399999999999"/>
    <s v="Z82197"/>
    <s v="OM"/>
    <n v="320"/>
    <n v="319"/>
    <n v="-1"/>
    <m/>
    <d v="2025-01-17T08:11:00"/>
    <d v="2025-01-17T07:30:00"/>
    <d v="2025-01-17T08:52:00"/>
    <n v="81.62037036527181"/>
    <n v="40.810185182635905"/>
    <x v="0"/>
    <d v="2025-01-17T10:58:00"/>
    <d v="2025-01-17T13:58:00"/>
    <n v="176.25"/>
    <m/>
    <d v="2025-01-18T12:40:12"/>
    <d v="2025-01-18T13:36:12"/>
    <n v="54.833333337664953"/>
    <m/>
    <n v="1.1584722222251003"/>
    <n v="2"/>
    <n v="0.84152777777489973"/>
    <n v="27.803333333402406"/>
    <n v="12"/>
    <n v="15.803333333402406"/>
    <n v="9.7665471419104861"/>
    <m/>
    <m/>
    <m/>
    <m/>
    <m/>
  </r>
  <r>
    <d v="2025-01-16T00:00:00"/>
    <x v="0"/>
    <m/>
    <s v="OMFJAHBRR"/>
    <s v="Manual"/>
    <x v="10"/>
    <s v="UBJ 419C"/>
    <s v="KATO INVESTMENTS LTD-KATIKARA"/>
    <n v="156"/>
    <s v="A20095"/>
    <s v="OM"/>
    <n v="790"/>
    <n v="789"/>
    <n v="-1"/>
    <m/>
    <d v="2025-01-16T07:39:00"/>
    <d v="2025-01-16T07:30:00"/>
    <d v="2025-01-16T08:44:00"/>
    <n v="73.657407407639155"/>
    <n v="64.699074076391597"/>
    <x v="8"/>
    <d v="2025-01-17T14:52:00"/>
    <d v="2025-01-17T17:35:00"/>
    <n v="159.60416666370293"/>
    <m/>
    <d v="2025-01-18T19:46:00"/>
    <d v="2025-01-18T20:45:00"/>
    <n v="57.770833336981013"/>
    <m/>
    <n v="2.4597222222218988"/>
    <n v="3"/>
    <n v="0.54027777777810115"/>
    <n v="59.033333333325572"/>
    <n v="24"/>
    <n v="35.033333333325572"/>
    <n v="4.4529019980980369"/>
    <m/>
    <m/>
    <m/>
    <m/>
    <m/>
  </r>
  <r>
    <d v="2025-01-17T00:00:00"/>
    <x v="0"/>
    <m/>
    <s v="OM02LBK3"/>
    <s v="Manual"/>
    <x v="26"/>
    <s v="UBB 115P"/>
    <s v="Bates Enterprises U Ltd"/>
    <n v="156"/>
    <s v="Z82198"/>
    <s v="OM"/>
    <n v="464"/>
    <n v="465"/>
    <n v="1"/>
    <m/>
    <d v="2025-01-17T08:01:00"/>
    <d v="2025-01-17T07:30:00"/>
    <d v="2025-01-17T08:42:00"/>
    <n v="71.666666660409348"/>
    <n v="40.810185182635905"/>
    <x v="0"/>
    <d v="2025-01-17T09:59:00"/>
    <d v="2025-01-17T12:58:00"/>
    <n v="175.27083333014161"/>
    <m/>
    <d v="2025-01-20T16:16:00"/>
    <d v="2025-01-20T17:15:00"/>
    <n v="57.770833336981013"/>
    <m/>
    <n v="3.3152777777795563"/>
    <n v="3"/>
    <n v="-0.31527777777955635"/>
    <n v="79.566666666709352"/>
    <n v="36"/>
    <n v="43.566666666709352"/>
    <n v="3.5807192042811131"/>
    <m/>
    <m/>
    <m/>
    <m/>
    <m/>
  </r>
  <r>
    <d v="2025-01-17T00:00:00"/>
    <x v="0"/>
    <m/>
    <s v="OMC325YRR"/>
    <s v="Manual"/>
    <x v="2"/>
    <s v="UBE 287X"/>
    <s v="Rugoma Traders-Kanungu/Kihihi"/>
    <n v="153.6"/>
    <s v="F15726"/>
    <s v="OM"/>
    <n v="414"/>
    <n v="415"/>
    <n v="1"/>
    <m/>
    <d v="2025-01-17T14:19:00"/>
    <d v="2025-01-17T13:59:00"/>
    <d v="2025-01-17T15:00:00"/>
    <n v="60.717592592360838"/>
    <n v="40.810185182635905"/>
    <x v="0"/>
    <d v="2025-01-19T08:42:00"/>
    <d v="2025-01-19T13:34:00"/>
    <n v="285.91666666507081"/>
    <s v="truck faulty"/>
    <d v="2025-01-18T19:10:00"/>
    <d v="2025-01-18T20:32:00"/>
    <n v="80.291666661651107"/>
    <s v="dj failures at the gate"/>
    <n v="1.1736111111094942"/>
    <n v="2"/>
    <n v="0.82638888889050577"/>
    <n v="28.166666666627862"/>
    <n v="12"/>
    <n v="16.166666666627862"/>
    <n v="9.5010309278578564"/>
    <m/>
    <m/>
    <m/>
    <m/>
    <m/>
  </r>
  <r>
    <d v="2025-01-17T00:00:00"/>
    <x v="0"/>
    <m/>
    <s v="OMGBRN0RR"/>
    <s v="Manual"/>
    <x v="9"/>
    <s v="UAV 203T"/>
    <s v="KATO INVESTMENTS LIMITED-MASAK"/>
    <n v="153.6"/>
    <s v="F15727"/>
    <s v="OM"/>
    <n v="298"/>
    <n v="295"/>
    <n v="-3"/>
    <m/>
    <d v="2025-01-17T16:25:00"/>
    <d v="2025-01-17T15:53:00"/>
    <d v="2025-01-17T17:06:00"/>
    <n v="72.662037034024252"/>
    <n v="40.810185182635905"/>
    <x v="0"/>
    <d v="2025-01-18T07:35:00"/>
    <d v="2025-01-18T10:27:00"/>
    <n v="168.41666666165111"/>
    <m/>
    <d v="2025-01-18T15:22:00"/>
    <d v="2025-01-18T16:44:00"/>
    <n v="80.291666661651107"/>
    <s v="sorting delays"/>
    <n v="0.92777777777519077"/>
    <n v="2"/>
    <n v="1.0722222222248092"/>
    <n v="22.266666666604578"/>
    <n v="0"/>
    <n v="22.266666666604578"/>
    <n v="6.8982035928336058"/>
    <m/>
    <m/>
    <m/>
    <m/>
    <m/>
  </r>
  <r>
    <d v="2025-01-17T00:00:00"/>
    <x v="0"/>
    <m/>
    <s v="OMZ664MRR"/>
    <s v="Manual"/>
    <x v="24"/>
    <s v="UBP 298H"/>
    <s v="Kato Investment Ltd -Kagadi"/>
    <n v="156"/>
    <s v="A20123"/>
    <s v="OM"/>
    <n v="670"/>
    <n v="669"/>
    <n v="-1"/>
    <m/>
    <d v="2025-01-18T08:05:00"/>
    <d v="2025-01-18T07:30:00"/>
    <d v="2025-01-18T08:46:00"/>
    <n v="75.6481481444401"/>
    <n v="40.810185182635905"/>
    <x v="0"/>
    <d v="2025-01-18T08:19:00"/>
    <d v="2025-01-18T11:19:00"/>
    <n v="176.25"/>
    <m/>
    <d v="2025-01-20T09:34:31"/>
    <d v="2025-01-20T10:27:31"/>
    <n v="51.895833338348893"/>
    <m/>
    <n v="2.0336944444497931"/>
    <n v="2"/>
    <n v="-3.3694444449793082E-2"/>
    <n v="48.808666666795034"/>
    <n v="24"/>
    <n v="24.808666666795034"/>
    <n v="6.2881251175339052"/>
    <m/>
    <m/>
    <m/>
    <m/>
    <m/>
  </r>
  <r>
    <d v="2025-01-17T00:00:00"/>
    <x v="0"/>
    <m/>
    <s v="OM4B5TARR"/>
    <s v="Manual"/>
    <x v="10"/>
    <s v="UBM 648D"/>
    <s v="Kato Investment Ltd -Mityana"/>
    <n v="156"/>
    <s v="A20124"/>
    <s v="OM"/>
    <n v="690"/>
    <n v="687"/>
    <n v="-3"/>
    <m/>
    <d v="2025-01-17T08:11:00"/>
    <d v="2025-01-17T07:30:00"/>
    <d v="2025-01-17T08:55:00"/>
    <n v="84.606481475687659"/>
    <n v="43.796296293051761"/>
    <x v="0"/>
    <d v="2025-01-19T10:46:00"/>
    <d v="2025-01-19T13:38:00"/>
    <n v="168.41666666165111"/>
    <m/>
    <d v="2025-01-19T12:14:43"/>
    <d v="2025-01-19T13:11:43"/>
    <n v="55.81249999726424"/>
    <m/>
    <n v="2.1386944444457185"/>
    <n v="3"/>
    <n v="0.86130555555428145"/>
    <n v="51.328666666697245"/>
    <n v="24"/>
    <n v="27.328666666697245"/>
    <n v="5.7082916595452433"/>
    <m/>
    <m/>
    <m/>
    <m/>
    <m/>
  </r>
  <r>
    <d v="2025-01-18T00:00:00"/>
    <x v="0"/>
    <m/>
    <s v="OMN2SNYRR"/>
    <s v="Manual"/>
    <x v="14"/>
    <s v="UBJ 988D"/>
    <s v="RUGOMA TRADERS CO. LTD NTUNGAM"/>
    <n v="153.6"/>
    <s v="F15738"/>
    <s v="OM"/>
    <n v="150"/>
    <n v="151"/>
    <n v="1"/>
    <m/>
    <d v="2025-01-19T08:02:00"/>
    <d v="2025-01-19T07:30:00"/>
    <d v="2025-01-19T08:42:00"/>
    <n v="71.666666660409348"/>
    <n v="39.814814819449872"/>
    <x v="0"/>
    <d v="2025-01-18T10:55:00"/>
    <d v="2025-01-18T13:35:00"/>
    <n v="156.66666666438687"/>
    <m/>
    <d v="2025-01-19T19:28:00"/>
    <d v="2025-01-19T20:24:00"/>
    <n v="54.833333337664953"/>
    <m/>
    <n v="0.44861111111822538"/>
    <n v="1"/>
    <n v="0.55138888888177462"/>
    <n v="10.766666666837409"/>
    <n v="0"/>
    <n v="10.766666666837409"/>
    <n v="14.266253869742799"/>
    <m/>
    <m/>
    <m/>
    <m/>
    <m/>
  </r>
  <r>
    <d v="2025-01-19T00:00:00"/>
    <x v="0"/>
    <m/>
    <s v="OM02LBWD"/>
    <s v="Manual"/>
    <x v="10"/>
    <s v="UBP 311H"/>
    <s v="KATO INVESTMENTS LTD-KATIKARA"/>
    <n v="156"/>
    <s v="A20149"/>
    <s v="OM"/>
    <n v="790"/>
    <n v="787"/>
    <n v="-3"/>
    <m/>
    <d v="2025-01-19T06:58:00"/>
    <d v="2025-01-19T07:30:00"/>
    <d v="2025-01-19T07:42:00"/>
    <n v="11.944444441663412"/>
    <n v="43.796296293051761"/>
    <x v="0"/>
    <d v="2025-01-19T10:58:00"/>
    <d v="2025-01-19T13:41:00"/>
    <n v="159.60416666370293"/>
    <m/>
    <d v="2025-01-21T17:11:00"/>
    <d v="2025-01-21T18:07:00"/>
    <n v="54.833333337664953"/>
    <m/>
    <n v="2.3951388888890506"/>
    <n v="3"/>
    <n v="0.60486111111094942"/>
    <n v="57.483333333337214"/>
    <n v="24"/>
    <n v="33.483333333337214"/>
    <n v="4.6590343454449554"/>
    <m/>
    <m/>
    <m/>
    <m/>
    <m/>
  </r>
  <r>
    <d v="2025-01-19T00:00:00"/>
    <x v="0"/>
    <m/>
    <s v="OMFHMV5RR"/>
    <s v="Manual"/>
    <x v="2"/>
    <s v="UBE 287X"/>
    <s v="Kabaco U Ltd-Mbarara "/>
    <n v="153.6"/>
    <s v="Z82223"/>
    <s v="OM"/>
    <n v="20"/>
    <n v="19"/>
    <n v="-1"/>
    <m/>
    <d v="2025-01-19T14:18:00"/>
    <d v="2025-01-19T14:05:00"/>
    <d v="2025-01-19T15:19:00"/>
    <n v="73.657407407639155"/>
    <n v="60.717592592360838"/>
    <x v="7"/>
    <d v="2025-01-20T08:57:00"/>
    <d v="2025-01-20T11:45:00"/>
    <n v="164.50000000273576"/>
    <m/>
    <d v="2025-01-20T12:28:55"/>
    <d v="2025-01-20T13:17:55"/>
    <n v="47.979166669174447"/>
    <m/>
    <n v="0.88188888889271766"/>
    <n v="1"/>
    <n v="0.11811111110728234"/>
    <n v="21.165333333425224"/>
    <n v="0"/>
    <n v="21.165333333425224"/>
    <n v="7.2571500566649769"/>
    <m/>
    <m/>
    <m/>
    <m/>
    <m/>
  </r>
  <r>
    <d v="2025-01-19T00:00:00"/>
    <x v="0"/>
    <m/>
    <s v="OMZW8IMRR"/>
    <s v="Manual"/>
    <x v="4"/>
    <s v="UBE 422T"/>
    <s v="Rugoma Traders-Kanungu/Kihihi"/>
    <n v="153.6"/>
    <s v="F15740"/>
    <s v="OM"/>
    <n v="414"/>
    <n v="411"/>
    <n v="-3"/>
    <m/>
    <d v="2025-01-19T14:35:00"/>
    <d v="2025-01-19T14:07:00"/>
    <d v="2025-01-19T15:16:00"/>
    <n v="68.680555560422363"/>
    <n v="40.810185182635905"/>
    <x v="0"/>
    <d v="2025-01-19T15:46:00"/>
    <d v="2025-01-19T18:13:00"/>
    <n v="143.93749999726424"/>
    <m/>
    <d v="2025-01-20T19:40:00"/>
    <d v="2025-01-20T20:35:00"/>
    <n v="53.854166667806567"/>
    <m/>
    <n v="1.1833333333343035"/>
    <n v="2"/>
    <n v="0.81666666666569654"/>
    <n v="28.400000000023283"/>
    <n v="12"/>
    <n v="16.400000000023283"/>
    <n v="9.3658536585232888"/>
    <m/>
    <m/>
    <m/>
    <m/>
    <m/>
  </r>
  <r>
    <d v="2025-01-19T00:00:00"/>
    <x v="0"/>
    <m/>
    <s v="OMSRSHURR"/>
    <s v="Manual"/>
    <x v="5"/>
    <s v="UBE 419T"/>
    <s v="KATO INVESTMENTS LIMITED-MASAK"/>
    <n v="156"/>
    <s v="F15741"/>
    <s v="OM"/>
    <n v="298"/>
    <n v="295"/>
    <n v="-3"/>
    <m/>
    <d v="2025-01-19T14:41:00"/>
    <d v="2025-01-19T14:08:00"/>
    <d v="2025-01-19T15:22:00"/>
    <n v="73.657407407639155"/>
    <n v="40.810185182635905"/>
    <x v="0"/>
    <d v="2025-01-20T08:15:00"/>
    <d v="2025-01-20T12:38:00"/>
    <n v="257.52083333150949"/>
    <s v="Dj failure at customer"/>
    <d v="2025-01-20T15:58:12"/>
    <d v="2025-01-20T16:55:12"/>
    <n v="55.81249999726424"/>
    <m/>
    <n v="1.0251388888864312"/>
    <n v="2"/>
    <n v="0.97486111111356877"/>
    <n v="24.60333333327435"/>
    <n v="12"/>
    <n v="12.60333333327435"/>
    <n v="12.377677863057134"/>
    <m/>
    <m/>
    <m/>
    <m/>
    <m/>
  </r>
  <r>
    <d v="2025-01-19T00:00:00"/>
    <x v="0"/>
    <m/>
    <s v="OM07KFYRR"/>
    <s v="Manual"/>
    <x v="22"/>
    <s v="UAT 351G"/>
    <s v="RUGOMA TRADERS CO. LTD NTUNGAM"/>
    <n v="153.6"/>
    <s v="F15742"/>
    <s v="OM"/>
    <n v="150"/>
    <n v="148"/>
    <n v="-2"/>
    <m/>
    <d v="2025-01-19T14:46:00"/>
    <d v="2025-01-19T14:10:00"/>
    <d v="2025-01-19T15:27:00"/>
    <n v="76.643518518055018"/>
    <n v="40.810185182635905"/>
    <x v="0"/>
    <d v="2025-01-19T18:35:00"/>
    <d v="2025-01-19T21:35:00"/>
    <n v="176.25"/>
    <m/>
    <d v="2025-01-20T15:54:36"/>
    <d v="2025-01-20T16:51:36"/>
    <n v="55.81249999726424"/>
    <m/>
    <n v="1.0191666666723904"/>
    <n v="1"/>
    <n v="-1.916666667239042E-2"/>
    <n v="24.46000000013737"/>
    <n v="12"/>
    <n v="12.46000000013737"/>
    <n v="12.327447832929902"/>
    <m/>
    <m/>
    <m/>
    <m/>
    <m/>
  </r>
  <r>
    <d v="2025-01-19T00:00:00"/>
    <x v="0"/>
    <m/>
    <s v="OM2JT1CRR"/>
    <s v="Manual"/>
    <x v="12"/>
    <s v="UBJ 415C"/>
    <s v="KATO INVESTMENTS LTD- KALISIZO"/>
    <n v="153.6"/>
    <s v="F15743"/>
    <s v="OM"/>
    <n v="350"/>
    <n v="349"/>
    <n v="-1"/>
    <m/>
    <d v="2025-01-19T17:18:00"/>
    <d v="2025-01-19T16:51:00"/>
    <d v="2025-01-19T18:01:00"/>
    <n v="69.675925934037267"/>
    <n v="42.80092592986572"/>
    <x v="0"/>
    <d v="2025-01-19T17:27:00"/>
    <d v="2025-01-19T20:19:00"/>
    <n v="168.41666666165111"/>
    <m/>
    <d v="2025-01-22T08:43:14"/>
    <d v="2025-01-22T09:43:14"/>
    <n v="58.7499999965803"/>
    <m/>
    <n v="2.612666666667792"/>
    <n v="2"/>
    <n v="-0.61266666666779201"/>
    <n v="62.704000000027008"/>
    <n v="24"/>
    <n v="38.704000000027008"/>
    <n v="3.9685820586991736"/>
    <m/>
    <m/>
    <m/>
    <m/>
    <m/>
  </r>
  <r>
    <d v="2025-01-20T00:00:00"/>
    <x v="0"/>
    <m/>
    <s v="OM02LCCT"/>
    <s v="Manual"/>
    <x v="10"/>
    <s v="UBE 684K"/>
    <s v="Kato Investments Ltd- Kyegegwa"/>
    <n v="156"/>
    <s v="A20176"/>
    <s v="OM"/>
    <n v="600"/>
    <n v="599"/>
    <n v="-1"/>
    <m/>
    <d v="2025-01-20T07:01:00"/>
    <d v="2025-01-20T07:30:00"/>
    <d v="2025-01-20T07:41:00"/>
    <n v="10.949074078477375"/>
    <n v="39.814814819449872"/>
    <x v="0"/>
    <d v="2025-01-21T08:01:00"/>
    <d v="2025-01-21T10:53:00"/>
    <n v="168.41666666165111"/>
    <m/>
    <d v="2025-01-22T08:00:55"/>
    <d v="2025-01-22T08:53:55"/>
    <n v="51.895833338348893"/>
    <m/>
    <n v="2.0138333333379705"/>
    <n v="2"/>
    <n v="-1.3833333337970544E-2"/>
    <n v="48.332000000111293"/>
    <n v="24"/>
    <n v="24.332000000111293"/>
    <n v="6.4113102087492386"/>
    <m/>
    <m/>
    <m/>
    <m/>
    <m/>
  </r>
  <r>
    <d v="2025-01-20T00:00:00"/>
    <x v="0"/>
    <m/>
    <s v="OM02LCCD"/>
    <s v="Manual"/>
    <x v="10"/>
    <s v="UBF 379L"/>
    <s v="Kato Investment Ltd -Mityana"/>
    <n v="156"/>
    <s v="A20173"/>
    <s v="OM"/>
    <n v="690"/>
    <n v="687"/>
    <n v="-3"/>
    <m/>
    <d v="2025-01-20T07:17:00"/>
    <d v="2025-01-20T07:30:00"/>
    <d v="2025-01-20T07:58:00"/>
    <n v="27.870370377786458"/>
    <n v="40.810185182635905"/>
    <x v="0"/>
    <d v="2025-01-21T09:11:00"/>
    <d v="2025-01-21T11:38:00"/>
    <n v="143.93749999726424"/>
    <m/>
    <d v="2025-01-22T09:49:55"/>
    <d v="2025-01-22T11:12:55"/>
    <n v="81.270833331509493"/>
    <s v="found another truck at the gate"/>
    <n v="2.0777222222241107"/>
    <n v="3"/>
    <n v="0.92227777777588926"/>
    <n v="49.865333333378658"/>
    <n v="24"/>
    <n v="25.865333333378658"/>
    <n v="6.0312387236349805"/>
    <m/>
    <m/>
    <m/>
    <m/>
    <m/>
  </r>
  <r>
    <d v="2025-01-20T00:00:00"/>
    <x v="0"/>
    <m/>
    <s v="OMA4Y0IRR"/>
    <s v="Manual"/>
    <x v="24"/>
    <s v="UBP 298H"/>
    <s v="Boniface Harera"/>
    <n v="156"/>
    <s v="F15748"/>
    <s v="OM"/>
    <n v="448"/>
    <n v="445"/>
    <n v="-3"/>
    <m/>
    <d v="2025-01-21T08:14:00"/>
    <d v="2025-01-21T07:30:00"/>
    <d v="2025-01-21T08:57:00"/>
    <n v="86.59722222291748"/>
    <n v="42.80092592986572"/>
    <x v="0"/>
    <d v="2025-01-21T09:58:00"/>
    <d v="2025-01-21T12:58:00"/>
    <n v="176.25"/>
    <m/>
    <d v="2025-01-23T14:30:00"/>
    <d v="2025-01-23T15:22:00"/>
    <n v="50.916666668490507"/>
    <m/>
    <n v="2.2312499999970896"/>
    <n v="2"/>
    <n v="-0.23124999999708962"/>
    <n v="53.549999999930151"/>
    <n v="24"/>
    <n v="29.549999999930151"/>
    <n v="5.279187817271362"/>
    <m/>
    <m/>
    <m/>
    <m/>
    <m/>
  </r>
  <r>
    <d v="2025-01-20T00:00:00"/>
    <x v="0"/>
    <m/>
    <s v="OM6MVL0RR"/>
    <s v="Manual"/>
    <x v="6"/>
    <s v="UBK 858R"/>
    <s v="KATO INVESTMENTS LTD-KATIKARA"/>
    <n v="154.34399999999999"/>
    <s v="A20172"/>
    <s v="OM"/>
    <n v="790"/>
    <n v="788"/>
    <n v="-2"/>
    <m/>
    <d v="2025-01-20T19:45:00"/>
    <d v="2025-01-21T07:30:00"/>
    <d v="2025-01-20T20:27:00"/>
    <n v="-659.93055555833655"/>
    <n v="41.805555556250816"/>
    <x v="0"/>
    <d v="2025-01-22T10:27:00"/>
    <d v="2025-01-22T14:28:00"/>
    <n v="235.97916666643869"/>
    <s v="Reached late and offloaded the next day"/>
    <d v="2025-01-23T07:36:00"/>
    <d v="2025-01-23T08:30:00"/>
    <n v="52.87499999794818"/>
    <m/>
    <n v="2.4645833333343035"/>
    <n v="3"/>
    <n v="0.53541666666569654"/>
    <n v="59.150000000023283"/>
    <n v="24"/>
    <n v="35.150000000023283"/>
    <n v="4.3910099573228383"/>
    <m/>
    <m/>
    <m/>
    <m/>
    <m/>
  </r>
  <r>
    <d v="2025-01-20T00:00:00"/>
    <x v="0"/>
    <m/>
    <s v="OM4DE3NRR"/>
    <s v="Manual"/>
    <x v="16"/>
    <s v="UBJ 707D"/>
    <s v="KATO INVESTMENTS LIMITED-MASAK"/>
    <n v="148.80000000000001"/>
    <s v="F15753"/>
    <s v="OM"/>
    <n v="298"/>
    <n v="297"/>
    <n v="-1"/>
    <m/>
    <d v="2025-01-21T07:06:00"/>
    <d v="2025-01-21T07:30:00"/>
    <d v="2025-01-21T07:46:00"/>
    <n v="15.925925925694173"/>
    <n v="39.814814819449872"/>
    <x v="0"/>
    <d v="2025-01-21T21:42:00"/>
    <d v="2025-01-22T00:34:00"/>
    <n v="168.41666666165111"/>
    <m/>
    <d v="2025-01-21T18:47:00"/>
    <d v="2025-01-21T19:44:00"/>
    <n v="55.81249999726424"/>
    <m/>
    <n v="0.45902777777519077"/>
    <n v="2"/>
    <n v="1.5409722222248092"/>
    <n v="11.016666666604578"/>
    <n v="0"/>
    <n v="11.016666666604578"/>
    <n v="13.506807866944504"/>
    <m/>
    <m/>
    <m/>
    <m/>
    <m/>
  </r>
  <r>
    <d v="2025-01-21T00:00:00"/>
    <x v="0"/>
    <m/>
    <s v="OM02LCU3"/>
    <s v="Manual"/>
    <x v="26"/>
    <s v="UBB 115P"/>
    <s v="Kobusinge Steven-FPortal"/>
    <n v="156"/>
    <s v="Z82255"/>
    <s v="OM"/>
    <n v="304"/>
    <n v="303"/>
    <n v="-1"/>
    <m/>
    <d v="2025-01-21T07:22:00"/>
    <d v="2025-01-21T07:30:00"/>
    <d v="2025-01-21T08:03:00"/>
    <n v="32.847222225003257"/>
    <n v="40.810185182635905"/>
    <x v="0"/>
    <d v="2025-01-21T10:59:00"/>
    <d v="2025-01-21T13:39:00"/>
    <n v="156.66666666438687"/>
    <m/>
    <d v="2025-01-23T11:18:07"/>
    <d v="2025-01-23T12:14:07"/>
    <n v="54.833333337664953"/>
    <m/>
    <n v="2.1354999999966822"/>
    <n v="2"/>
    <n v="-0.13549999999668216"/>
    <n v="51.251999999920372"/>
    <n v="24"/>
    <n v="27.251999999920372"/>
    <n v="5.7243505064015787"/>
    <m/>
    <m/>
    <m/>
    <m/>
    <m/>
  </r>
  <r>
    <d v="2025-01-21T00:00:00"/>
    <x v="0"/>
    <m/>
    <s v="OM02LCVC"/>
    <s v="Manual"/>
    <x v="19"/>
    <s v="UBE 680K"/>
    <s v="Kobusinge Steven-FPortal"/>
    <n v="156"/>
    <s v="Z82267"/>
    <s v="OM"/>
    <n v="304"/>
    <n v="301"/>
    <n v="-3"/>
    <m/>
    <d v="2025-01-21T07:09:00"/>
    <d v="2025-01-21T07:30:00"/>
    <d v="2025-01-21T07:50:00"/>
    <n v="19.907407409724936"/>
    <n v="40.810185182635905"/>
    <x v="0"/>
    <d v="2025-01-22T09:33:00"/>
    <d v="2025-01-22T12:33:00"/>
    <n v="176.25"/>
    <m/>
    <d v="2025-01-23T07:59:22"/>
    <d v="2025-01-23T08:52:22"/>
    <n v="51.895833338348893"/>
    <m/>
    <n v="2.0065000000031432"/>
    <n v="2"/>
    <n v="-6.5000000031432137E-3"/>
    <n v="48.156000000075437"/>
    <n v="24"/>
    <n v="24.156000000075437"/>
    <n v="6.4580228514453069"/>
    <m/>
    <m/>
    <m/>
    <m/>
    <m/>
  </r>
  <r>
    <d v="2025-01-21T00:00:00"/>
    <x v="0"/>
    <m/>
    <s v="OM02LCUL"/>
    <s v="Manual"/>
    <x v="10"/>
    <s v="UBP 311H"/>
    <s v="KATO INVESTMENTS LTD-KATIKARA"/>
    <n v="154.34399999999999"/>
    <s v="A20191"/>
    <s v="OM"/>
    <n v="790"/>
    <n v="789"/>
    <n v="-1"/>
    <m/>
    <d v="2025-01-21T07:11:00"/>
    <d v="2025-01-21T07:30:00"/>
    <d v="2025-01-21T07:51:00"/>
    <n v="20.902777783339843"/>
    <n v="39.814814819449872"/>
    <x v="0"/>
    <d v="2025-01-22T09:20:00"/>
    <d v="2025-01-22T12:48:00"/>
    <n v="203.66666666370293"/>
    <s v="truck faulty"/>
    <d v="2025-01-23T17:15:00"/>
    <d v="2025-01-23T18:11:00"/>
    <n v="54.833333337664953"/>
    <m/>
    <n v="2.3916666666627862"/>
    <n v="3"/>
    <n v="0.60833333333721384"/>
    <n v="57.399999999906868"/>
    <n v="24"/>
    <n v="33.399999999906868"/>
    <n v="4.6210778443242626"/>
    <m/>
    <m/>
    <m/>
    <m/>
    <m/>
  </r>
  <r>
    <d v="2025-01-21T00:00:00"/>
    <x v="0"/>
    <m/>
    <s v="OM02LCVL"/>
    <s v="Manual"/>
    <x v="10"/>
    <s v="UBP 311H"/>
    <s v="Ntale and Sons Ltd-Kakiri"/>
    <n v="156"/>
    <s v="A20194"/>
    <s v="OM"/>
    <n v="620"/>
    <n v="621"/>
    <n v="1"/>
    <m/>
    <d v="2025-01-21T06:48:00"/>
    <d v="2025-01-21T07:30:00"/>
    <d v="2025-01-21T07:30:00"/>
    <n v="0"/>
    <n v="41.805555556250816"/>
    <x v="0"/>
    <d v="2025-01-22T09:06:00"/>
    <d v="2025-01-22T11:58:00"/>
    <n v="168.41666666165111"/>
    <m/>
    <d v="2025-01-23T12:12:00"/>
    <d v="2025-01-23T13:10:00"/>
    <n v="56.791666667122627"/>
    <m/>
    <n v="2.195833333338669"/>
    <n v="3"/>
    <n v="0.80416666666133096"/>
    <n v="52.700000000128057"/>
    <n v="24"/>
    <n v="28.700000000128057"/>
    <n v="5.4355400696621583"/>
    <m/>
    <m/>
    <m/>
    <m/>
    <m/>
  </r>
  <r>
    <d v="2025-01-22T00:00:00"/>
    <x v="0"/>
    <m/>
    <s v="OMK2QQ0RR"/>
    <s v="Manual"/>
    <x v="12"/>
    <s v="UBJ 415C"/>
    <s v="Kato Investments Ltd-Bulenga"/>
    <n v="153.6"/>
    <s v="A20201"/>
    <s v="OM"/>
    <n v="560"/>
    <n v="557"/>
    <n v="-3"/>
    <m/>
    <d v="2025-01-23T07:23:00"/>
    <d v="2025-01-23T07:30:00"/>
    <d v="2025-01-23T08:04:00"/>
    <n v="33.842592598618161"/>
    <n v="40.810185182635905"/>
    <x v="0"/>
    <d v="2025-01-22T08:58:00"/>
    <d v="2025-01-22T11:50:00"/>
    <n v="168.41666666165111"/>
    <m/>
    <d v="2025-01-25T08:04:00"/>
    <d v="2025-01-25T09:22:00"/>
    <n v="76.37500000273576"/>
    <s v="dj failures at the gate"/>
    <n v="2"/>
    <n v="3"/>
    <n v="1"/>
    <n v="48"/>
    <n v="24"/>
    <n v="24"/>
    <n v="6.3999999999999995"/>
    <m/>
    <m/>
    <m/>
    <m/>
    <m/>
  </r>
  <r>
    <d v="2025-01-23T00:00:00"/>
    <x v="0"/>
    <m/>
    <s v="OMI94BXRR"/>
    <s v="Manual"/>
    <x v="10"/>
    <s v="UBJ 417C"/>
    <s v="Ntale and Sons Ltd-Kakiri"/>
    <n v="156"/>
    <s v="A20219"/>
    <s v="OM"/>
    <n v="620"/>
    <n v="617"/>
    <n v="-3"/>
    <m/>
    <d v="2025-01-23T22:02:00"/>
    <d v="2025-01-23T07:30:00"/>
    <d v="2025-01-23T22:45:00"/>
    <n v="910.76388889584143"/>
    <n v="42.80092592986572"/>
    <x v="0"/>
    <d v="2025-01-24T08:04:00"/>
    <d v="2025-01-24T10:56:00"/>
    <n v="168.41666666165111"/>
    <m/>
    <d v="2025-01-26T09:50:02"/>
    <d v="2025-01-26T10:47:02"/>
    <n v="55.81249999726424"/>
    <m/>
    <n v="2.4618333333346527"/>
    <n v="3"/>
    <n v="0.53816666666534729"/>
    <n v="59.084000000031665"/>
    <n v="24"/>
    <n v="35.084000000031665"/>
    <n v="4.4464713259565389"/>
    <m/>
    <m/>
    <m/>
    <m/>
    <m/>
  </r>
  <r>
    <d v="2025-01-23T00:00:00"/>
    <x v="0"/>
    <m/>
    <s v="OM30TK9RR"/>
    <s v="Manual"/>
    <x v="10"/>
    <s v="UBR 540W"/>
    <s v="Ntale and Sons Ltd-Kakiri"/>
    <n v="156"/>
    <s v="A20220"/>
    <s v="OM"/>
    <n v="620"/>
    <n v="621"/>
    <n v="1"/>
    <m/>
    <d v="2025-01-23T19:49:00"/>
    <d v="2025-01-23T07:30:00"/>
    <d v="2025-01-23T20:30:00"/>
    <n v="776.3888888854126"/>
    <n v="40.810185182635905"/>
    <x v="0"/>
    <d v="2025-01-24T11:15:00"/>
    <d v="2025-01-24T14:07:00"/>
    <n v="168.41666666165111"/>
    <m/>
    <d v="2025-01-26T10:12:00"/>
    <d v="2025-01-26T11:09:00"/>
    <n v="55.81249999726424"/>
    <m/>
    <n v="2.5708333333313931"/>
    <n v="3"/>
    <n v="0.42916666666860692"/>
    <n v="61.699999999953434"/>
    <n v="24"/>
    <n v="37.699999999953434"/>
    <n v="4.1379310344878695"/>
    <m/>
    <m/>
    <m/>
    <m/>
    <m/>
  </r>
  <r>
    <d v="2025-01-23T00:00:00"/>
    <x v="0"/>
    <m/>
    <s v="OMFZR75RR"/>
    <s v="Manual"/>
    <x v="10"/>
    <s v="UBR 903Y"/>
    <s v="KATO INVESTMENTS LTD-KATIKARA"/>
    <n v="156"/>
    <s v="A20230"/>
    <s v="OM"/>
    <n v="790"/>
    <n v="787"/>
    <n v="-3"/>
    <m/>
    <d v="2025-01-24T07:59:00"/>
    <d v="2025-01-23T07:30:00"/>
    <d v="2025-01-24T08:39:00"/>
    <n v="1502.0138888833269"/>
    <n v="39.814814819449872"/>
    <x v="0"/>
    <d v="2025-01-24T09:00:00"/>
    <d v="2025-01-24T11:54:00"/>
    <n v="170.37500000136788"/>
    <m/>
    <d v="2025-01-26T19:58:00"/>
    <d v="2025-01-26T20:54:00"/>
    <n v="54.833333337664953"/>
    <m/>
    <n v="2.4715277777722804"/>
    <n v="3"/>
    <n v="0.52847222222771961"/>
    <n v="59.316666666534729"/>
    <n v="24"/>
    <n v="35.316666666534729"/>
    <n v="4.4171779141269312"/>
    <m/>
    <m/>
    <m/>
    <m/>
    <m/>
  </r>
  <r>
    <d v="2025-01-23T00:00:00"/>
    <x v="0"/>
    <m/>
    <s v="OM81ATSRR"/>
    <s v="Manual"/>
    <x v="1"/>
    <s v="UBJ 375N"/>
    <s v="KATO INVESTMENTS LIMITED-MASAK"/>
    <n v="153.6"/>
    <s v="F15768"/>
    <s v="OM"/>
    <n v="298"/>
    <n v="295"/>
    <n v="-3"/>
    <m/>
    <d v="2025-01-24T07:58:00"/>
    <d v="2025-01-23T07:30:00"/>
    <d v="2025-01-24T08:39:00"/>
    <n v="1502.0138888833269"/>
    <n v="40.810185182635905"/>
    <x v="0"/>
    <d v="2025-01-25T10:24:00"/>
    <d v="2025-01-25T13:16:00"/>
    <n v="168.41666666165111"/>
    <m/>
    <d v="2025-01-25T09:47:00"/>
    <d v="2025-01-25T10:39:00"/>
    <n v="50.916666668490507"/>
    <m/>
    <n v="1.047222222223354"/>
    <n v="2"/>
    <n v="0.95277777777664596"/>
    <n v="25.133333333360497"/>
    <n v="12"/>
    <n v="13.133333333360497"/>
    <n v="11.695431472057029"/>
    <m/>
    <m/>
    <m/>
    <m/>
    <m/>
  </r>
  <r>
    <d v="2025-01-23T00:00:00"/>
    <x v="0"/>
    <m/>
    <s v="OMY60JXRR"/>
    <s v="Manual"/>
    <x v="5"/>
    <s v="UBE 419T"/>
    <s v="Kato Investments Ltd-Bulenga"/>
    <n v="153.6"/>
    <s v="A20235"/>
    <s v="OM"/>
    <n v="560"/>
    <n v="558"/>
    <n v="-2"/>
    <m/>
    <d v="2025-01-24T07:56:00"/>
    <d v="2025-01-23T07:30:00"/>
    <d v="2025-01-24T08:39:00"/>
    <n v="1502.0138888833269"/>
    <n v="42.80092592986572"/>
    <x v="0"/>
    <d v="2025-01-24T11:52:00"/>
    <d v="2025-01-24T14:42:00"/>
    <n v="166.45833333219343"/>
    <m/>
    <d v="2025-01-26T14:10:12"/>
    <d v="2025-01-26T14:55:12"/>
    <n v="44.0625"/>
    <m/>
    <n v="2.2300000000032014"/>
    <n v="3"/>
    <n v="0.76999999999679858"/>
    <n v="53.520000000076834"/>
    <n v="24"/>
    <n v="29.520000000076834"/>
    <n v="5.2032520325067821"/>
    <m/>
    <m/>
    <m/>
    <m/>
    <m/>
  </r>
  <r>
    <d v="2025-01-23T00:00:00"/>
    <x v="0"/>
    <m/>
    <s v="OM8UP1NRR"/>
    <s v="Manual"/>
    <x v="4"/>
    <s v="UBE 422T"/>
    <s v="Ntale and Sons"/>
    <n v="153.6"/>
    <s v="A20237"/>
    <s v="OM"/>
    <n v="810"/>
    <n v="807"/>
    <n v="-3"/>
    <m/>
    <d v="2025-01-24T08:09:00"/>
    <d v="2025-01-23T07:30:00"/>
    <d v="2025-01-24T08:52:00"/>
    <n v="1514.9537036986051"/>
    <n v="42.80092592986572"/>
    <x v="0"/>
    <d v="2025-01-25T08:39:00"/>
    <d v="2025-01-25T11:33:00"/>
    <n v="170.37500000136788"/>
    <m/>
    <d v="2025-01-27T07:34:00"/>
    <d v="2025-01-27T08:31:00"/>
    <n v="55.81249999726424"/>
    <m/>
    <n v="2.9458333333313931"/>
    <n v="3"/>
    <n v="5.4166666668606922E-2"/>
    <n v="70.699999999953434"/>
    <n v="24"/>
    <n v="46.699999999953434"/>
    <n v="3.2890792291253352"/>
    <m/>
    <m/>
    <m/>
    <m/>
    <m/>
  </r>
  <r>
    <d v="2025-01-24T00:00:00"/>
    <x v="0"/>
    <m/>
    <s v="OMW08D3RR"/>
    <s v="Manual"/>
    <x v="10"/>
    <s v="UBK 862R"/>
    <s v="KATO INVESTMENTS LTD-KATIKARA"/>
    <n v="156"/>
    <s v="A20270"/>
    <s v="OM"/>
    <n v="790"/>
    <n v="787"/>
    <n v="-3"/>
    <m/>
    <d v="2025-01-24T19:45:00"/>
    <d v="2025-01-25T07:30:00"/>
    <d v="2025-01-24T20:28:00"/>
    <n v="-658.93518518472172"/>
    <n v="42.80092592986572"/>
    <x v="0"/>
    <d v="2025-01-25T14:52:00"/>
    <d v="2025-01-25T17:42:00"/>
    <n v="166.45833333219343"/>
    <m/>
    <d v="2025-01-27T07:30:00"/>
    <d v="2025-01-27T08:26:00"/>
    <n v="54.833333337664953"/>
    <m/>
    <n v="2.4597222222218988"/>
    <n v="3"/>
    <n v="0.54027777777810115"/>
    <n v="59.033333333325572"/>
    <n v="24"/>
    <n v="35.033333333325572"/>
    <n v="4.4529019980980369"/>
    <m/>
    <m/>
    <m/>
    <m/>
    <m/>
  </r>
  <r>
    <d v="2025-01-24T00:00:00"/>
    <x v="0"/>
    <m/>
    <s v="OMX3L21RR"/>
    <s v="Manual"/>
    <x v="25"/>
    <s v="UBJ 420C"/>
    <s v="Kato Investment Ltd -Mubende"/>
    <n v="156"/>
    <s v="A20274"/>
    <s v="OM"/>
    <n v="680"/>
    <n v="678"/>
    <n v="-2"/>
    <m/>
    <d v="2025-01-25T08:13:00"/>
    <d v="2025-01-25T07:30:00"/>
    <d v="2025-01-25T08:53:00"/>
    <n v="82.615740738886714"/>
    <n v="39.814814819449872"/>
    <x v="0"/>
    <d v="2025-01-25T21:43:00"/>
    <d v="2025-01-26T00:33:00"/>
    <n v="166.45833333219343"/>
    <m/>
    <d v="2025-01-27T18:47:48"/>
    <d v="2025-01-27T19:47:48"/>
    <n v="58.7499999965803"/>
    <m/>
    <n v="2.4130555555530009"/>
    <n v="3"/>
    <n v="0.58694444444699911"/>
    <n v="57.913333333272021"/>
    <n v="24"/>
    <n v="33.913333333272021"/>
    <n v="4.5999606841050333"/>
    <m/>
    <m/>
    <m/>
    <m/>
    <m/>
  </r>
  <r>
    <d v="2025-01-25T00:00:00"/>
    <x v="0"/>
    <m/>
    <s v="OM02LEAV"/>
    <s v="Manual"/>
    <x v="10"/>
    <s v="UBP 311H"/>
    <s v="Kato Investment Ltd -Kagadi"/>
    <n v="156"/>
    <s v="A20299"/>
    <s v="OM"/>
    <n v="670"/>
    <n v="671"/>
    <n v="1"/>
    <m/>
    <d v="2025-01-25T09:00:00"/>
    <d v="2025-01-25T07:30:00"/>
    <d v="2025-01-25T09:41:00"/>
    <n v="130.39351852639811"/>
    <n v="40.810185182635905"/>
    <x v="0"/>
    <d v="2025-01-26T11:10:00"/>
    <d v="2025-01-26T14:02:00"/>
    <n v="168.41666666165111"/>
    <m/>
    <d v="2025-01-27T10:40:31"/>
    <d v="2025-01-27T11:37:31"/>
    <n v="55.81249999726424"/>
    <m/>
    <n v="2.0413333333344781"/>
    <n v="2"/>
    <n v="-4.1333333334478084E-2"/>
    <n v="48.992000000027474"/>
    <n v="24"/>
    <n v="24.992000000027474"/>
    <n v="6.2419974391736757"/>
    <m/>
    <m/>
    <m/>
    <m/>
    <m/>
  </r>
  <r>
    <d v="2025-01-25T00:00:00"/>
    <x v="0"/>
    <m/>
    <s v="OM02LEB2"/>
    <s v="Manual"/>
    <x v="10"/>
    <s v="UBE 678K"/>
    <s v="Kobusinge Steven-Kamwenge"/>
    <n v="156"/>
    <s v="Z82334"/>
    <s v="OM"/>
    <n v="288"/>
    <n v="286"/>
    <n v="-2"/>
    <m/>
    <d v="2025-01-25T07:14:00"/>
    <d v="2025-01-25T07:30:00"/>
    <d v="2025-01-25T07:55:00"/>
    <n v="24.884259256941732"/>
    <n v="40.810185182635905"/>
    <x v="0"/>
    <d v="2025-01-26T11:41:00"/>
    <d v="2025-01-26T14:41:00"/>
    <n v="176.25"/>
    <m/>
    <d v="2025-01-26T18:04:00"/>
    <d v="2025-01-26T19:02:00"/>
    <n v="56.791666667122627"/>
    <m/>
    <n v="1.4229166666627862"/>
    <n v="2"/>
    <n v="0.57708333333721384"/>
    <n v="34.149999999906868"/>
    <n v="12"/>
    <n v="22.149999999906868"/>
    <n v="7.0428893905488001"/>
    <m/>
    <m/>
    <m/>
    <m/>
    <m/>
  </r>
  <r>
    <d v="2025-01-25T00:00:00"/>
    <x v="0"/>
    <m/>
    <s v="OM02LEB0"/>
    <s v="Manual"/>
    <x v="10"/>
    <s v="UBP 311H"/>
    <s v="Kobusinge Steven-Kamwenge"/>
    <n v="156"/>
    <s v="Z82333"/>
    <s v="OM"/>
    <n v="288"/>
    <n v="287"/>
    <n v="-1"/>
    <m/>
    <d v="2025-01-25T06:09:00"/>
    <d v="2025-01-25T07:30:00"/>
    <d v="2025-01-25T06:52:00"/>
    <n v="-37.824074082648927"/>
    <n v="42.80092592986572"/>
    <x v="0"/>
    <d v="2025-01-26T08:47:00"/>
    <d v="2025-01-26T11:37:00"/>
    <n v="166.45833333219343"/>
    <m/>
    <d v="2025-01-27T08:41:24"/>
    <d v="2025-01-27T09:40:24"/>
    <n v="57.770833336981013"/>
    <m/>
    <n v="2.0759722222283017"/>
    <n v="2"/>
    <n v="-7.5972222228301689E-2"/>
    <n v="49.823333333479241"/>
    <n v="24"/>
    <n v="25.823333333479241"/>
    <n v="6.0410481476359328"/>
    <m/>
    <m/>
    <m/>
    <m/>
    <m/>
  </r>
  <r>
    <d v="2025-01-25T00:00:00"/>
    <x v="0"/>
    <m/>
    <s v="OM02LEAY"/>
    <s v="Manual"/>
    <x v="10"/>
    <s v="UBP 311H"/>
    <s v="Kobusinge Steven-FPortal"/>
    <n v="156"/>
    <s v="Z82332"/>
    <s v="OM"/>
    <n v="304"/>
    <n v="301"/>
    <n v="-3"/>
    <m/>
    <d v="2025-01-25T07:58:00"/>
    <d v="2025-01-25T07:30:00"/>
    <d v="2025-01-25T08:38:00"/>
    <n v="67.685185186807459"/>
    <n v="39.814814819449872"/>
    <x v="0"/>
    <d v="2025-01-26T07:22:00"/>
    <d v="2025-01-26T10:14:00"/>
    <n v="168.41666666165111"/>
    <m/>
    <d v="2025-01-27T13:15:12"/>
    <d v="2025-01-27T14:08:12"/>
    <n v="51.895833338348893"/>
    <m/>
    <n v="2.1924999999973807"/>
    <n v="2"/>
    <n v="-0.19249999999738066"/>
    <n v="52.619999999937136"/>
    <n v="24"/>
    <n v="28.619999999937136"/>
    <n v="5.4507337526325177"/>
    <m/>
    <m/>
    <m/>
    <m/>
    <m/>
  </r>
  <r>
    <d v="2025-01-25T00:00:00"/>
    <x v="0"/>
    <m/>
    <s v="OMYYR0JRR"/>
    <s v="Manual"/>
    <x v="12"/>
    <s v="UBJ 415C"/>
    <s v="Kato Investments Ltd-Bulenga"/>
    <n v="153.6"/>
    <s v="A20290"/>
    <s v="OM"/>
    <n v="560"/>
    <n v="559"/>
    <n v="-1"/>
    <m/>
    <d v="2025-01-25T14:54:00"/>
    <d v="2025-01-25T14:26:00"/>
    <d v="2025-01-25T15:33:00"/>
    <n v="66.689814813192541"/>
    <n v="38.819444445834961"/>
    <x v="0"/>
    <d v="2025-01-26T10:08:00"/>
    <d v="2025-01-26T13:00:00"/>
    <n v="168.41666666165111"/>
    <m/>
    <d v="2025-01-27T16:45:00"/>
    <d v="2025-01-27T17:43:00"/>
    <n v="56.791666667122627"/>
    <m/>
    <n v="2.0500000000029104"/>
    <n v="3"/>
    <n v="0.94999999999708962"/>
    <n v="49.200000000069849"/>
    <n v="24"/>
    <n v="25.200000000069849"/>
    <n v="6.0952380952212"/>
    <m/>
    <m/>
    <m/>
    <m/>
    <m/>
  </r>
  <r>
    <d v="2025-01-25T00:00:00"/>
    <x v="0"/>
    <m/>
    <s v="OM9EIJURR"/>
    <s v="Manual"/>
    <x v="10"/>
    <s v="UBM 644D"/>
    <s v="Kobusinge Acaali- Kyenjojo"/>
    <n v="156"/>
    <s v="Z82324"/>
    <s v="OM"/>
    <n v="580"/>
    <n v="577"/>
    <n v="-3"/>
    <m/>
    <d v="2025-01-25T14:50:00"/>
    <d v="2025-01-25T14:22:00"/>
    <d v="2025-01-25T15:29:00"/>
    <n v="66.689814813192541"/>
    <n v="38.819444445834961"/>
    <x v="0"/>
    <d v="2025-01-26T15:33:00"/>
    <d v="2025-01-26T18:33:00"/>
    <n v="176.25"/>
    <m/>
    <d v="2025-01-28T18:22:48"/>
    <d v="2025-01-28T19:19:48"/>
    <n v="55.81249999726424"/>
    <m/>
    <n v="3.1206944444493274"/>
    <n v="2"/>
    <n v="-1.1206944444493274"/>
    <n v="74.896666666783858"/>
    <n v="36"/>
    <n v="38.896666666783858"/>
    <n v="4.0106264461272598"/>
    <m/>
    <m/>
    <m/>
    <m/>
    <m/>
  </r>
  <r>
    <d v="2025-01-25T00:00:00"/>
    <x v="0"/>
    <m/>
    <s v="OM1IHTVRR"/>
    <s v="Manual"/>
    <x v="30"/>
    <s v="UBR 540W"/>
    <s v="KATO INVESTMENTS LTD-KATIKARA"/>
    <n v="156"/>
    <s v="A20291"/>
    <s v="OM"/>
    <n v="790"/>
    <n v="791"/>
    <n v="1"/>
    <m/>
    <d v="2025-01-25T15:25:00"/>
    <d v="2025-01-25T14:30:00"/>
    <d v="2025-01-25T16:09:00"/>
    <n v="98.541666675009765"/>
    <n v="43.796296293051761"/>
    <x v="0"/>
    <d v="2025-01-26T17:54:00"/>
    <d v="2025-01-26T20:46:00"/>
    <n v="168.41666666165111"/>
    <m/>
    <d v="2025-01-28T04:58:00"/>
    <d v="2025-01-28T05:58:00"/>
    <n v="58.7499999965803"/>
    <m/>
    <n v="2.5340277777795563"/>
    <n v="3"/>
    <n v="0.46597222222044365"/>
    <n v="60.816666666709352"/>
    <n v="24"/>
    <n v="36.816666666709352"/>
    <n v="4.2372114078719543"/>
    <m/>
    <m/>
    <m/>
    <m/>
    <m/>
  </r>
  <r>
    <d v="2025-01-25T00:00:00"/>
    <x v="0"/>
    <m/>
    <s v="OM7D5ZMRR"/>
    <s v="Manual"/>
    <x v="10"/>
    <s v="UBF 379L"/>
    <s v="Boniface Harera"/>
    <n v="156"/>
    <s v="F15778"/>
    <s v="OM"/>
    <n v="448"/>
    <n v="446"/>
    <n v="-2"/>
    <m/>
    <d v="2025-01-25T15:34:00"/>
    <d v="2025-01-25T14:40:00"/>
    <d v="2025-01-25T16:17:00"/>
    <n v="96.55092593820882"/>
    <n v="42.80092592986572"/>
    <x v="0"/>
    <d v="2025-01-26T17:24:00"/>
    <d v="2025-01-26T20:14:00"/>
    <n v="166.45833333219343"/>
    <m/>
    <d v="2025-01-27T16:36:48"/>
    <d v="2025-01-27T17:31:48"/>
    <n v="53.854166667806567"/>
    <m/>
    <n v="2.0137499999982538"/>
    <n v="2"/>
    <n v="-1.374999999825377E-2"/>
    <n v="48.32999999995809"/>
    <n v="24"/>
    <n v="24.32999999995809"/>
    <n v="6.4118372379888502"/>
    <m/>
    <m/>
    <m/>
    <m/>
    <m/>
  </r>
  <r>
    <d v="2025-01-26T00:00:00"/>
    <x v="0"/>
    <m/>
    <s v="OM02LEE4"/>
    <s v="Manual"/>
    <x v="10"/>
    <s v="UBK 866R"/>
    <s v="Kabaco U Ltd"/>
    <n v="156"/>
    <s v="Z82343"/>
    <s v="OM"/>
    <n v="320"/>
    <n v="319"/>
    <n v="-1"/>
    <m/>
    <d v="2025-01-26T07:58:00"/>
    <d v="2025-01-26T07:30:00"/>
    <d v="2025-01-26T08:37:00"/>
    <n v="66.689814813192541"/>
    <n v="38.819444445834961"/>
    <x v="0"/>
    <d v="2025-01-26T16:17:00"/>
    <d v="2025-01-26T19:00:00"/>
    <n v="159.60416666370293"/>
    <m/>
    <d v="2025-01-27T11:43:12"/>
    <d v="2025-01-27T12:42:12"/>
    <n v="57.770833336981013"/>
    <m/>
    <n v="1.1293055555579485"/>
    <n v="2"/>
    <n v="0.87069444444205146"/>
    <n v="27.103333333390765"/>
    <n v="12"/>
    <n v="15.103333333390765"/>
    <n v="10.328845729380278"/>
    <m/>
    <m/>
    <m/>
    <m/>
    <m/>
  </r>
  <r>
    <d v="2025-01-26T00:00:00"/>
    <x v="0"/>
    <m/>
    <s v="OMQV2WDRR"/>
    <s v="Manual"/>
    <x v="10"/>
    <s v="UBR 535W"/>
    <s v="Kabaco U Ltd"/>
    <n v="156"/>
    <s v="Z82339"/>
    <s v="OM"/>
    <n v="320"/>
    <n v="319"/>
    <n v="-1"/>
    <m/>
    <d v="2025-01-26T13:18:00"/>
    <d v="2025-01-26T12:50:00"/>
    <d v="2025-01-26T13:57:00"/>
    <n v="66.689814823621418"/>
    <n v="38.819444445834961"/>
    <x v="0"/>
    <d v="2025-01-26T14:37:00"/>
    <d v="2025-01-26T18:47:00"/>
    <n v="244.79166666438687"/>
    <s v="Waited for empties from trade"/>
    <d v="2025-01-27T17:12:12"/>
    <d v="2025-01-27T18:09:12"/>
    <n v="55.81249999726424"/>
    <m/>
    <n v="1.1355555555564933"/>
    <n v="2"/>
    <n v="0.86444444444350665"/>
    <n v="27.25333333335584"/>
    <n v="12"/>
    <n v="15.25333333335584"/>
    <n v="10.227272727257636"/>
    <m/>
    <m/>
    <m/>
    <m/>
    <m/>
  </r>
  <r>
    <d v="2025-01-27T00:00:00"/>
    <x v="0"/>
    <m/>
    <s v="OM02LEQX"/>
    <s v="Manual"/>
    <x v="10"/>
    <s v="UBP 311H"/>
    <s v="Kobusinge Steven-Kamwenge"/>
    <n v="156"/>
    <s v="Z82356"/>
    <s v="OM"/>
    <n v="288"/>
    <n v="289"/>
    <n v="1"/>
    <m/>
    <d v="2025-01-27T06:40:00"/>
    <d v="2025-01-27T07:30:00"/>
    <d v="2025-01-27T07:41:00"/>
    <n v="10.949074078477375"/>
    <n v="60.717592592360838"/>
    <x v="1"/>
    <d v="2025-01-26T19:57:00"/>
    <d v="2025-01-26T22:49:00"/>
    <n v="168.41666666165111"/>
    <m/>
    <d v="2025-01-28T19:29:00"/>
    <d v="2025-01-28T20:26:00"/>
    <n v="55.81249999726424"/>
    <m/>
    <n v="1.4916666666686069"/>
    <n v="2"/>
    <n v="0.50833333333139308"/>
    <n v="35.800000000046566"/>
    <n v="12"/>
    <n v="23.800000000046566"/>
    <n v="6.5546218487266712"/>
    <m/>
    <m/>
    <m/>
    <m/>
    <m/>
  </r>
  <r>
    <d v="2025-01-27T00:00:00"/>
    <x v="0"/>
    <m/>
    <s v="OM1NA56RR"/>
    <s v="Manual"/>
    <x v="22"/>
    <s v="UAT 351G"/>
    <s v="KATO INVESTMENTS LIMITED-MASAK"/>
    <n v="153.6"/>
    <s v="F15782"/>
    <s v="OM"/>
    <n v="298"/>
    <n v="297"/>
    <n v="-1"/>
    <m/>
    <d v="2025-01-27T16:11:00"/>
    <d v="2025-01-27T15:17:00"/>
    <d v="2025-01-27T16:52:00"/>
    <n v="94.560185180550135"/>
    <n v="40.810185182635905"/>
    <x v="0"/>
    <d v="2025-01-28T08:33:00"/>
    <d v="2025-01-28T11:23:00"/>
    <n v="166.45833333219343"/>
    <m/>
    <d v="2025-01-28T15:43:00"/>
    <d v="2025-01-28T16:41:00"/>
    <n v="56.791666667122627"/>
    <m/>
    <n v="0.95208333332993789"/>
    <n v="2"/>
    <n v="1.0479166666700621"/>
    <n v="22.849999999918509"/>
    <n v="0"/>
    <n v="22.849999999918509"/>
    <n v="6.7221006564791148"/>
    <m/>
    <m/>
    <m/>
    <m/>
    <m/>
  </r>
  <r>
    <d v="2025-01-27T00:00:00"/>
    <x v="0"/>
    <m/>
    <s v="OM59X9SRR"/>
    <s v="Manual"/>
    <x v="31"/>
    <s v="UBR 537W"/>
    <s v="Kobusinge Steven-FPortal"/>
    <n v="156"/>
    <s v="Z82357"/>
    <s v="OM"/>
    <n v="304"/>
    <n v="302"/>
    <n v="-2"/>
    <m/>
    <d v="2025-01-27T16:08:00"/>
    <d v="2025-01-27T15:32:00"/>
    <d v="2025-01-27T16:49:00"/>
    <n v="76.643518518055018"/>
    <n v="40.810185182635905"/>
    <x v="0"/>
    <d v="2025-01-28T08:05:00"/>
    <d v="2025-01-28T10:57:00"/>
    <n v="168.41666666165111"/>
    <m/>
    <d v="2025-01-29T13:58:22"/>
    <d v="2025-01-29T14:57:22"/>
    <n v="57.770833336981013"/>
    <m/>
    <n v="1.8815000000031432"/>
    <n v="2"/>
    <n v="0.11849999999685679"/>
    <n v="45.156000000075437"/>
    <n v="12"/>
    <n v="33.156000000075437"/>
    <n v="4.7050307636519806"/>
    <m/>
    <m/>
    <m/>
    <m/>
    <m/>
  </r>
  <r>
    <d v="2025-01-27T00:00:00"/>
    <x v="0"/>
    <m/>
    <s v="OM1UO8SRR"/>
    <s v="Manual"/>
    <x v="10"/>
    <s v="UBM 644D"/>
    <s v="Kobusinge Acaali- Kyenjojo"/>
    <n v="156"/>
    <s v="Z82358"/>
    <s v="OM"/>
    <n v="580"/>
    <n v="579"/>
    <n v="-1"/>
    <m/>
    <d v="2025-01-27T16:13:00"/>
    <d v="2025-01-27T15:36:00"/>
    <d v="2025-01-27T16:53:00"/>
    <n v="76.643518518055018"/>
    <n v="39.814814819449872"/>
    <x v="0"/>
    <d v="2025-01-28T15:19:00"/>
    <d v="2025-01-28T18:07:00"/>
    <n v="164.50000000273576"/>
    <m/>
    <d v="2025-01-30T16:42:48"/>
    <d v="2025-01-30T17:39:48"/>
    <n v="55.81249999726424"/>
    <m/>
    <n v="2.9929166666697711"/>
    <n v="2"/>
    <n v="-0.99291666666977108"/>
    <n v="71.830000000074506"/>
    <n v="24"/>
    <n v="47.830000000074506"/>
    <n v="3.2615513276135686"/>
    <m/>
    <m/>
    <m/>
    <m/>
    <m/>
  </r>
  <r>
    <d v="2025-01-27T00:00:00"/>
    <x v="0"/>
    <m/>
    <s v="OM8EHZZRR"/>
    <s v="Manual"/>
    <x v="25"/>
    <s v="UBJ 420C"/>
    <s v="Kabaco U Ltd"/>
    <n v="156"/>
    <s v="Z82359"/>
    <s v="OM"/>
    <n v="320"/>
    <n v="317"/>
    <n v="-3"/>
    <m/>
    <d v="2025-01-27T16:43:00"/>
    <d v="2025-01-27T16:12:00"/>
    <d v="2025-01-27T17:24:00"/>
    <n v="71.666666660409348"/>
    <n v="40.810185182635905"/>
    <x v="0"/>
    <d v="2025-01-28T18:38:00"/>
    <d v="2025-01-28T21:30:00"/>
    <n v="168.41666666165111"/>
    <m/>
    <d v="2025-01-28T19:40:00"/>
    <d v="2025-01-28T20:36:00"/>
    <n v="54.833333337664953"/>
    <m/>
    <n v="1.0944444444394321"/>
    <n v="2"/>
    <n v="0.90555555556056788"/>
    <n v="26.266666666546371"/>
    <n v="12"/>
    <n v="14.266666666546371"/>
    <n v="10.934579439344537"/>
    <m/>
    <m/>
    <m/>
    <m/>
    <m/>
  </r>
  <r>
    <d v="2025-01-27T00:00:00"/>
    <x v="0"/>
    <m/>
    <s v="OMJV7ZARR"/>
    <s v="Manual"/>
    <x v="10"/>
    <s v="UBR 538W"/>
    <s v="Kabaco U Ltd"/>
    <n v="156"/>
    <s v="Z82360"/>
    <s v="OM"/>
    <n v="320"/>
    <n v="317"/>
    <n v="-3"/>
    <m/>
    <d v="2025-01-27T16:49:00"/>
    <d v="2025-01-27T16:18:00"/>
    <d v="2025-01-27T17:30:00"/>
    <n v="71.666666660409348"/>
    <n v="40.810185182635905"/>
    <x v="0"/>
    <d v="2025-01-28T09:24:00"/>
    <d v="2025-01-28T12:18:00"/>
    <n v="170.37500000136788"/>
    <m/>
    <d v="2025-01-28T17:56:00"/>
    <d v="2025-01-28T18:53:00"/>
    <n v="55.81249999726424"/>
    <m/>
    <n v="1.0180555555489263"/>
    <n v="2"/>
    <n v="0.98194444445107365"/>
    <n v="24.433333333174232"/>
    <n v="12"/>
    <n v="12.433333333174232"/>
    <n v="12.546916890240983"/>
    <m/>
    <m/>
    <m/>
    <m/>
    <m/>
  </r>
  <r>
    <d v="2025-02-01T00:00:00"/>
    <x v="1"/>
    <m/>
    <s v="A20492"/>
    <s v="Manual"/>
    <x v="32"/>
    <s v="UBJ 703D"/>
    <s v="Sawan Distributors Ltd-Nabingo"/>
    <n v="156"/>
    <s v="A20492"/>
    <s v="OM"/>
    <n v="560"/>
    <n v="558"/>
    <n v="-2"/>
    <m/>
    <d v="2025-01-31T14:56:00"/>
    <d v="2025-01-31T15:25:00"/>
    <d v="2025-01-31T15:36:00"/>
    <n v="10.949074078477375"/>
    <n v="39.814814819449872"/>
    <x v="0"/>
    <d v="2025-02-03T12:54:00"/>
    <d v="2025-02-03T15:18:00"/>
    <n v="140.99999999794818"/>
    <m/>
    <d v="2025-02-03T10:08:00"/>
    <d v="2025-02-03T10:56:00"/>
    <n v="46.99999999931606"/>
    <m/>
    <n v="2.7722222222218988"/>
    <n v="2"/>
    <n v="-0.77222222222189885"/>
    <n v="66.533333333325572"/>
    <n v="24"/>
    <n v="42.533333333325572"/>
    <n v="3.6677115987467506"/>
    <m/>
    <m/>
    <m/>
    <m/>
    <m/>
  </r>
  <r>
    <d v="2025-02-01T00:00:00"/>
    <x v="1"/>
    <m/>
    <s v="A20493"/>
    <s v="Manual"/>
    <x v="10"/>
    <s v="UBR 535W"/>
    <s v="Kato Investments Ltd- Kakumiro"/>
    <n v="156"/>
    <s v="A20493"/>
    <s v="OM"/>
    <n v="790"/>
    <n v="788"/>
    <n v="-2"/>
    <m/>
    <d v="2025-01-31T13:36:00"/>
    <d v="2025-01-31T14:13:00"/>
    <d v="2025-01-31T14:17:00"/>
    <n v="3.9814814736018889"/>
    <n v="40.810185182635905"/>
    <x v="0"/>
    <d v="2025-02-02T09:48:00"/>
    <d v="2025-02-02T12:27:00"/>
    <n v="155.68750000478758"/>
    <m/>
    <d v="2025-02-03T10:08:00"/>
    <d v="2025-02-03T11:32:00"/>
    <n v="82.25000000136788"/>
    <s v="dj failures at the gate"/>
    <n v="2.8270833333372138"/>
    <n v="2"/>
    <n v="-0.82708333333721384"/>
    <n v="67.850000000093132"/>
    <n v="24"/>
    <n v="43.850000000093132"/>
    <n v="3.5575826681794451"/>
    <m/>
    <m/>
    <m/>
    <m/>
    <m/>
  </r>
  <r>
    <d v="2025-02-01T00:00:00"/>
    <x v="1"/>
    <m/>
    <s v="Z82476"/>
    <s v="Manual"/>
    <x v="27"/>
    <s v="UBM 648D"/>
    <s v="Kobusinge Steven-Kamwenge"/>
    <n v="156"/>
    <s v="Z82476"/>
    <s v="OM"/>
    <n v="288"/>
    <n v="285"/>
    <n v="-3"/>
    <m/>
    <d v="2025-01-31T20:51:00"/>
    <d v="2025-01-31T20:44:00"/>
    <d v="2025-01-31T21:25:00"/>
    <n v="40.810185182635905"/>
    <n v="33.842592588189291"/>
    <x v="0"/>
    <d v="2025-02-01T17:26:00"/>
    <d v="2025-02-02T09:17:00"/>
    <n v="931.18749999863212"/>
    <s v="slept at the RD and offloaded the next day"/>
    <d v="2025-02-03T12:40:00"/>
    <d v="2025-02-03T13:40:00"/>
    <n v="58.7499999965803"/>
    <m/>
    <n v="2.6354166666715173"/>
    <n v="2"/>
    <n v="-0.63541666667151731"/>
    <n v="63.250000000116415"/>
    <n v="24"/>
    <n v="39.250000000116415"/>
    <n v="3.9745222929818422"/>
    <m/>
    <m/>
    <m/>
    <m/>
    <m/>
  </r>
  <r>
    <d v="2025-02-01T00:00:00"/>
    <x v="1"/>
    <m/>
    <s v="A20494"/>
    <s v="Manual"/>
    <x v="33"/>
    <s v="UBR 541W"/>
    <s v="KATO INVESTMENTS LTD-KATIKARA"/>
    <n v="156"/>
    <s v="A20494"/>
    <s v="OM"/>
    <n v="790"/>
    <n v="788"/>
    <n v="-2"/>
    <m/>
    <d v="2025-01-31T13:07:00"/>
    <d v="2025-01-31T13:24:00"/>
    <d v="2025-01-31T13:47:00"/>
    <n v="22.893518520140788"/>
    <n v="39.814814819449872"/>
    <x v="0"/>
    <d v="2025-02-01T10:33:00"/>
    <d v="2025-02-01T13:15:00"/>
    <n v="158.62500000410364"/>
    <m/>
    <d v="2025-02-03T12:40:00"/>
    <d v="2025-02-03T13:38:00"/>
    <n v="56.791666667122627"/>
    <m/>
    <n v="2.953472222223354"/>
    <n v="2"/>
    <n v="-0.95347222222335404"/>
    <n v="70.883333333360497"/>
    <n v="24"/>
    <n v="46.883333333360497"/>
    <n v="3.3274084607161667"/>
    <m/>
    <m/>
    <m/>
    <m/>
    <m/>
  </r>
  <r>
    <d v="2025-02-01T00:00:00"/>
    <x v="1"/>
    <m/>
    <s v="A20497"/>
    <s v="Manual"/>
    <x v="34"/>
    <s v="UBP 301H"/>
    <s v="Kato Investment Ltd -Mityana"/>
    <n v="156"/>
    <s v="A20497"/>
    <s v="OM"/>
    <n v="690"/>
    <n v="692"/>
    <n v="2"/>
    <m/>
    <d v="2025-01-31T15:15:00"/>
    <d v="2025-01-31T15:05:00"/>
    <d v="2025-01-31T15:56:00"/>
    <n v="50.763888887498375"/>
    <n v="40.810185182635905"/>
    <x v="0"/>
    <d v="2025-02-02T17:32:00"/>
    <d v="2025-02-02T20:34:00"/>
    <n v="178.20833332945767"/>
    <m/>
    <d v="2025-02-03T15:12:00"/>
    <d v="2025-02-03T16:05:00"/>
    <n v="51.895833338348893"/>
    <m/>
    <n v="2.9694444444394321"/>
    <n v="3"/>
    <n v="3.0555555560567882E-2"/>
    <n v="71.266666666546371"/>
    <n v="24"/>
    <n v="47.266666666546371"/>
    <n v="3.3004231311790626"/>
    <m/>
    <m/>
    <m/>
    <m/>
    <m/>
  </r>
  <r>
    <d v="2025-02-01T00:00:00"/>
    <x v="1"/>
    <m/>
    <s v="Z82469"/>
    <s v="Manual"/>
    <x v="35"/>
    <s v="UBP 312H"/>
    <s v="Bates Enterprises Ltd-Ntoroko"/>
    <n v="156"/>
    <s v="Z82469"/>
    <s v="OM"/>
    <n v="464"/>
    <n v="463"/>
    <n v="-1"/>
    <m/>
    <d v="2025-01-31T14:57:00"/>
    <d v="2025-01-31T15:23:00"/>
    <d v="2025-01-31T15:37:00"/>
    <n v="13.935185188893229"/>
    <n v="39.814814819449872"/>
    <x v="0"/>
    <d v="2025-02-03T15:13:00"/>
    <d v="2025-02-03T17:42:00"/>
    <n v="145.89583333698101"/>
    <m/>
    <d v="2025-02-03T15:12:00"/>
    <d v="2025-02-03T16:09:00"/>
    <n v="55.81249999726424"/>
    <m/>
    <n v="2.9826388888905058"/>
    <n v="3"/>
    <n v="1.7361111109494232E-2"/>
    <n v="71.583333333372138"/>
    <n v="24"/>
    <n v="47.583333333372138"/>
    <n v="3.2784588441304261"/>
    <m/>
    <m/>
    <m/>
    <m/>
    <m/>
  </r>
  <r>
    <d v="2025-02-01T00:00:00"/>
    <x v="1"/>
    <m/>
    <s v="Z82472"/>
    <s v="Manual"/>
    <x v="10"/>
    <s v="UBR 534W"/>
    <s v="Kobusinge Steven-FPortal"/>
    <n v="156"/>
    <s v="Z82472"/>
    <s v="OM"/>
    <n v="304"/>
    <n v="302"/>
    <n v="-2"/>
    <m/>
    <d v="2025-01-31T21:42:00"/>
    <d v="2025-01-31T21:44:00"/>
    <d v="2025-01-31T22:25:00"/>
    <n v="40.810185182635905"/>
    <n v="42.80092592986572"/>
    <x v="0"/>
    <d v="2025-02-03T10:52:00"/>
    <d v="2025-02-03T19:08:00"/>
    <n v="485.66666666985839"/>
    <s v="found another truck at the RD"/>
    <d v="2025-02-03T10:40:00"/>
    <d v="2025-02-03T11:38:00"/>
    <n v="56.791666667122627"/>
    <m/>
    <n v="2.5104166666642413"/>
    <n v="2"/>
    <n v="-0.51041666666424135"/>
    <n v="60.249999999941792"/>
    <n v="24"/>
    <n v="36.249999999941792"/>
    <n v="4.3034482758689787"/>
    <m/>
    <m/>
    <m/>
    <m/>
    <m/>
  </r>
  <r>
    <d v="2025-02-01T00:00:00"/>
    <x v="1"/>
    <m/>
    <s v="Z82475"/>
    <s v="Manual"/>
    <x v="36"/>
    <s v="UBE 680K"/>
    <s v="Kobusinge Acaali- Kyenjojo"/>
    <n v="156"/>
    <s v="Z82475"/>
    <s v="OM"/>
    <n v="580"/>
    <n v="579"/>
    <n v="-1"/>
    <m/>
    <d v="2025-01-31T15:06:00"/>
    <d v="2025-01-31T14:16:00"/>
    <d v="2025-01-31T15:47:00"/>
    <n v="90.578703706948247"/>
    <n v="40.810185182635905"/>
    <x v="0"/>
    <d v="2025-02-01T10:57:00"/>
    <d v="2025-02-02T13:39:00"/>
    <n v="1568.6249999938445"/>
    <s v="found another truck at the RD and offloaded the next day"/>
    <d v="2025-02-03T15:12:00"/>
    <d v="2025-02-03T16:00:00"/>
    <n v="46.99999999931606"/>
    <m/>
    <n v="2.9756944444452529"/>
    <n v="2"/>
    <n v="-0.97569444444525288"/>
    <n v="71.416666666686069"/>
    <n v="24"/>
    <n v="47.416666666686069"/>
    <n v="3.2899824253062109"/>
    <m/>
    <m/>
    <m/>
    <m/>
    <m/>
  </r>
  <r>
    <d v="2025-02-02T00:00:00"/>
    <x v="1"/>
    <m/>
    <s v="A20508"/>
    <s v="Manual"/>
    <x v="10"/>
    <s v="UBR 903Y"/>
    <s v="Kato Investment Ltd -Kagadi"/>
    <n v="156"/>
    <s v="A20508"/>
    <s v="OM"/>
    <n v="670"/>
    <n v="671"/>
    <n v="1"/>
    <m/>
    <d v="2025-01-31T15:56:00"/>
    <d v="2025-01-31T15:55:00"/>
    <d v="2025-01-31T16:36:00"/>
    <n v="40.810185182635905"/>
    <n v="39.814814819449872"/>
    <x v="0"/>
    <d v="2025-02-03T15:13:00"/>
    <d v="2025-02-03T17:42:00"/>
    <n v="145.89583333698101"/>
    <m/>
    <d v="2025-02-03T15:12:00"/>
    <d v="2025-02-03T16:05:00"/>
    <n v="51.895833338348893"/>
    <m/>
    <n v="2.9416666666656965"/>
    <n v="2"/>
    <n v="-0.94166666666569654"/>
    <n v="70.599999999976717"/>
    <n v="24"/>
    <n v="46.599999999976717"/>
    <n v="3.3476394849802134"/>
    <m/>
    <m/>
    <m/>
    <m/>
    <m/>
  </r>
  <r>
    <d v="2025-02-02T00:00:00"/>
    <x v="1"/>
    <m/>
    <s v="A20506"/>
    <s v="Manual"/>
    <x v="37"/>
    <s v="UBK 866R"/>
    <s v="KATO INVESTMENTS LTD-KATIKARA"/>
    <n v="156"/>
    <s v="A20506"/>
    <s v="OM"/>
    <n v="790"/>
    <n v="788"/>
    <n v="-2"/>
    <m/>
    <d v="2025-01-31T16:57:00"/>
    <d v="2025-01-31T17:20:00"/>
    <d v="2025-01-31T17:37:00"/>
    <n v="16.921296299309081"/>
    <n v="39.814814819449872"/>
    <x v="0"/>
    <d v="2025-02-03T10:52:00"/>
    <d v="2025-02-03T19:08:00"/>
    <n v="485.66666666985839"/>
    <s v="Waited for empties from trade"/>
    <d v="2025-02-03T10:08:00"/>
    <d v="2025-02-03T10:57:00"/>
    <n v="47.979166669174447"/>
    <m/>
    <n v="2.6881944444467081"/>
    <n v="2"/>
    <n v="-0.68819444444670808"/>
    <n v="64.516666666720994"/>
    <n v="24"/>
    <n v="40.516666666720994"/>
    <n v="3.8502673796739817"/>
    <m/>
    <m/>
    <m/>
    <m/>
    <m/>
  </r>
  <r>
    <d v="2025-02-02T00:00:00"/>
    <x v="1"/>
    <m/>
    <s v="A20510"/>
    <s v="Manual"/>
    <x v="38"/>
    <s v="UBK 862R"/>
    <s v="Kato Investment Ltd -Mityana"/>
    <n v="156"/>
    <s v="A20510"/>
    <s v="OM"/>
    <n v="690"/>
    <n v="692"/>
    <n v="2"/>
    <m/>
    <d v="2025-02-03T07:13:00"/>
    <d v="2025-02-03T07:46:00"/>
    <d v="2025-02-03T07:54:00"/>
    <n v="7.9629629680615226"/>
    <n v="40.810185182635905"/>
    <x v="0"/>
    <d v="2025-02-01T10:57:00"/>
    <d v="2025-02-02T13:39:00"/>
    <n v="1568.6249999938445"/>
    <s v="found another truck at the RD"/>
    <d v="2025-02-03T12:44:00"/>
    <d v="2025-02-03T13:40:00"/>
    <n v="54.833333337664953"/>
    <m/>
    <n v="0.20138888888322981"/>
    <n v="2"/>
    <n v="1.7986111111167702"/>
    <n v="4.8333333331975155"/>
    <n v="0"/>
    <n v="4.8333333331975155"/>
    <n v="32.275862069872474"/>
    <m/>
    <m/>
    <m/>
    <m/>
    <m/>
  </r>
  <r>
    <d v="2025-02-02T00:00:00"/>
    <x v="1"/>
    <m/>
    <s v="A20509"/>
    <s v="Manual"/>
    <x v="39"/>
    <s v="UBJ 705D"/>
    <s v="Kato Investment Ltd -Kagadi"/>
    <n v="156"/>
    <s v="A20509"/>
    <s v="OM"/>
    <n v="670"/>
    <n v="672"/>
    <n v="2"/>
    <m/>
    <d v="2025-02-02T11:14:00"/>
    <d v="2025-02-02T11:00:00"/>
    <d v="2025-02-02T11:54:00"/>
    <n v="53.749999997914223"/>
    <n v="39.814814819449872"/>
    <x v="0"/>
    <d v="2025-02-02T14:16:00"/>
    <d v="2025-02-02T17:07:00"/>
    <n v="167.43749999179272"/>
    <m/>
    <d v="2025-02-03T14:59:00"/>
    <d v="2025-02-03T15:48:00"/>
    <n v="47.979166669174447"/>
    <m/>
    <n v="1.1284722222189885"/>
    <n v="2"/>
    <n v="0.87152777778101154"/>
    <n v="27.083333333255723"/>
    <n v="12"/>
    <n v="15.083333333255723"/>
    <n v="10.342541436517305"/>
    <m/>
    <m/>
    <m/>
    <m/>
    <m/>
  </r>
  <r>
    <d v="2025-02-03T00:00:00"/>
    <x v="1"/>
    <m/>
    <s v="OMRYT3NRR"/>
    <s v="DJ"/>
    <x v="1"/>
    <s v="UBJ 375N"/>
    <s v="RUGOMA TRADERS CO. LTD NTUNGAM "/>
    <n v="153.6"/>
    <s v="OMRYT3NRR"/>
    <s v="OM"/>
    <n v="150"/>
    <n v="149"/>
    <n v="-1"/>
    <m/>
    <d v="2025-02-02T14:54:00"/>
    <d v="2025-02-02T14:17:00"/>
    <d v="2025-02-02T15:34:00"/>
    <n v="76.643518518055018"/>
    <n v="39.814814819449872"/>
    <x v="0"/>
    <d v="2025-02-02T11:08:00"/>
    <d v="2025-02-02T14:02:00"/>
    <n v="170.37500000136788"/>
    <m/>
    <d v="2025-02-04T07:49:00"/>
    <d v="2025-02-04T08:47:00"/>
    <n v="56.791666667122627"/>
    <m/>
    <n v="1.6770833333357587"/>
    <n v="1"/>
    <n v="-0.67708333333575865"/>
    <n v="40.250000000058208"/>
    <n v="12"/>
    <n v="28.250000000058208"/>
    <n v="5.4371681415817168"/>
    <m/>
    <m/>
    <m/>
    <m/>
    <m/>
  </r>
  <r>
    <d v="2025-02-03T00:00:00"/>
    <x v="1"/>
    <m/>
    <s v="OMRYT3NRR"/>
    <s v="DJ"/>
    <x v="1"/>
    <s v="UBJ 375N"/>
    <s v="KATO INVESTMENTS LIMITED-MASAK "/>
    <n v="153.6"/>
    <m/>
    <s v="OM"/>
    <n v="298"/>
    <n v="299"/>
    <n v="1"/>
    <m/>
    <d v="2025-02-01T15:40:00"/>
    <d v="2025-02-01T15:58:00"/>
    <d v="2025-02-01T16:21:00"/>
    <n v="22.893518520140788"/>
    <n v="40.810185182635905"/>
    <x v="0"/>
    <d v="2025-02-01T10:04:00"/>
    <d v="2025-02-01T15:02:00"/>
    <n v="291.79166666370293"/>
    <s v="Waited for empties from trade"/>
    <d v="2025-02-04T10:47:00"/>
    <d v="2025-02-04T12:09:00"/>
    <n v="80.291666661651107"/>
    <s v="dj failures at the gate"/>
    <n v="2.7680555555562023"/>
    <n v="2"/>
    <n v="-0.76805555555620231"/>
    <n v="66.433333333348855"/>
    <n v="24"/>
    <n v="42.433333333348855"/>
    <n v="3.6197957580505218"/>
    <m/>
    <m/>
    <m/>
    <m/>
    <m/>
  </r>
  <r>
    <d v="2025-02-03T00:00:00"/>
    <x v="1"/>
    <m/>
    <s v="OM1JESFRR"/>
    <s v="DJ"/>
    <x v="7"/>
    <s v="UAY 526V"/>
    <s v="Kabaco U Ltd-Mbarara"/>
    <n v="153.6"/>
    <s v="OM1JESFRR"/>
    <s v="OM"/>
    <n v="20"/>
    <n v="21"/>
    <n v="1"/>
    <m/>
    <d v="2025-02-03T17:17:00"/>
    <d v="2025-02-03T06:15:00"/>
    <d v="2025-02-03T17:57:00"/>
    <n v="698.75000000417151"/>
    <n v="39.814814819449872"/>
    <x v="0"/>
    <d v="2025-02-04T08:57:00"/>
    <d v="2025-02-04T15:39:00"/>
    <n v="393.62500000068394"/>
    <s v="Waited for empties from trade"/>
    <d v="2025-02-04T17:39:00"/>
    <d v="2025-02-04T18:35:00"/>
    <n v="54.833333337664953"/>
    <m/>
    <n v="0.98750000000291038"/>
    <n v="2"/>
    <n v="1.0124999999970896"/>
    <n v="23.700000000069849"/>
    <n v="0"/>
    <n v="23.700000000069849"/>
    <n v="6.4810126582087468"/>
    <m/>
    <m/>
    <m/>
    <m/>
    <m/>
  </r>
  <r>
    <d v="2025-02-03T00:00:00"/>
    <x v="1"/>
    <m/>
    <s v="OMRGR92RR"/>
    <s v="DJ"/>
    <x v="2"/>
    <s v="UBE 287X"/>
    <s v="RUGOMA TRADERS CO. LTD NTUNGAM "/>
    <n v="153.6"/>
    <s v="OMRGR92RR"/>
    <s v="OM"/>
    <n v="150"/>
    <n v="149"/>
    <n v="-1"/>
    <m/>
    <d v="2025-02-03T19:46:00"/>
    <d v="2025-02-03T02:30:00"/>
    <d v="2025-02-03T20:30:00"/>
    <n v="1075"/>
    <n v="43.796296293051761"/>
    <x v="0"/>
    <d v="2025-02-03T16:01:00"/>
    <d v="2025-02-04T11:01:00"/>
    <n v="1116.2499999965803"/>
    <s v="Reached late and offloaded the next day"/>
    <d v="2025-02-05T12:14:00"/>
    <d v="2025-02-05T13:32:00"/>
    <n v="76.37500000273576"/>
    <s v="Failed batteries at the gate"/>
    <n v="1.6555555555605679"/>
    <n v="1"/>
    <n v="-0.65555555556056788"/>
    <n v="39.733333333453629"/>
    <n v="12"/>
    <n v="27.733333333453629"/>
    <n v="5.5384615384375149"/>
    <m/>
    <m/>
    <m/>
    <m/>
    <m/>
  </r>
  <r>
    <d v="2025-02-04T00:00:00"/>
    <x v="1"/>
    <m/>
    <s v="Z82492"/>
    <s v="Manual"/>
    <x v="10"/>
    <s v="UBP 305H"/>
    <s v="Kabaco U Ltd "/>
    <n v="156"/>
    <s v="Z82492"/>
    <s v="OM"/>
    <n v="320"/>
    <n v="317"/>
    <n v="-3"/>
    <m/>
    <d v="2025-02-03T18:27:00"/>
    <d v="2025-02-03T04:14:00"/>
    <d v="2025-02-03T19:03:00"/>
    <n v="884.88425925485592"/>
    <n v="35.833333335419105"/>
    <x v="0"/>
    <d v="2025-02-03T08:30:00"/>
    <d v="2025-02-03T12:12:00"/>
    <n v="217.37500000068394"/>
    <s v="Waited for empties from trade"/>
    <d v="2025-02-03T20:24:00"/>
    <d v="2025-02-03T21:16:00"/>
    <n v="50.916666668490507"/>
    <m/>
    <n v="5.6250000001455192E-2"/>
    <n v="2"/>
    <n v="1.9437499999985448"/>
    <n v="1.3500000000349246"/>
    <n v="0"/>
    <n v="1.3500000000349246"/>
    <n v="115.55555555256612"/>
    <m/>
    <m/>
    <m/>
    <m/>
    <m/>
  </r>
  <r>
    <d v="2025-02-04T00:00:00"/>
    <x v="1"/>
    <m/>
    <s v="Z82491"/>
    <s v="Manual"/>
    <x v="10"/>
    <s v="UBR 868Y"/>
    <s v="Kabaco U Ltd "/>
    <n v="156"/>
    <s v="Z82491"/>
    <s v="OM"/>
    <n v="320"/>
    <n v="58"/>
    <n v="-262"/>
    <m/>
    <d v="2025-02-03T19:18:00"/>
    <d v="2025-02-03T07:42:00"/>
    <d v="2025-02-03T19:54:00"/>
    <n v="728.61111111875891"/>
    <n v="35.833333335419105"/>
    <x v="0"/>
    <d v="2025-02-04T12:10:00"/>
    <d v="2025-02-04T14:16:00"/>
    <n v="123.37500000205182"/>
    <m/>
    <d v="2025-02-04T13:03:00"/>
    <d v="2025-02-04T13:58:00"/>
    <n v="53.854166667806567"/>
    <m/>
    <n v="0.7145833333270275"/>
    <n v="2"/>
    <n v="1.2854166666729725"/>
    <n v="17.14999999984866"/>
    <n v="0"/>
    <n v="17.14999999984866"/>
    <n v="9.0962099126167129"/>
    <m/>
    <m/>
    <m/>
    <m/>
    <m/>
  </r>
  <r>
    <d v="2025-02-04T00:00:00"/>
    <x v="1"/>
    <m/>
    <s v="F15836"/>
    <s v="Manual"/>
    <x v="10"/>
    <s v="UBG 237J"/>
    <s v="Boniface Harera"/>
    <n v="156"/>
    <s v="F15836"/>
    <s v="OM"/>
    <n v="448"/>
    <n v="450"/>
    <n v="2"/>
    <m/>
    <d v="2025-02-01T20:12:00"/>
    <d v="2025-02-01T20:03:00"/>
    <d v="2025-02-01T20:44:00"/>
    <n v="40.810185182635905"/>
    <n v="31.851851851388346"/>
    <x v="0"/>
    <d v="2025-02-04T19:57:00"/>
    <d v="2025-02-05T20:09:00"/>
    <n v="1421.7499999972642"/>
    <s v="space consquents"/>
    <d v="2025-02-06T14:55:00"/>
    <d v="2025-02-06T15:40:00"/>
    <n v="44.0625"/>
    <m/>
    <n v="4.757638888891961"/>
    <n v="2"/>
    <n v="-2.757638888891961"/>
    <n v="114.18333333340706"/>
    <n v="48"/>
    <n v="66.183333333407063"/>
    <n v="2.3570888944823905"/>
    <m/>
    <m/>
    <m/>
    <m/>
    <m/>
  </r>
  <r>
    <d v="2025-02-04T00:00:00"/>
    <x v="1"/>
    <m/>
    <s v="OMEA2E9RR"/>
    <s v="DJ"/>
    <x v="12"/>
    <s v="UBJ 415C"/>
    <s v="Sawan Distributors Ltd-Kayabwe "/>
    <n v="153.6"/>
    <s v="OMEA2E9RR"/>
    <s v="OM"/>
    <n v="382"/>
    <n v="384"/>
    <n v="2"/>
    <m/>
    <d v="2025-02-03T09:14:00"/>
    <d v="2025-02-03T08:25:00"/>
    <d v="2025-02-03T09:54:00"/>
    <n v="88.587962959718425"/>
    <n v="39.814814819449872"/>
    <x v="0"/>
    <d v="2025-02-04T17:17:00"/>
    <d v="2025-02-04T19:24:00"/>
    <n v="124.35416667191021"/>
    <m/>
    <d v="2025-02-05T12:44:00"/>
    <d v="2025-02-05T14:04:00"/>
    <n v="78.333333332193433"/>
    <s v="sorting delays"/>
    <n v="2.1180555555547471"/>
    <n v="2"/>
    <n v="-0.11805555555474712"/>
    <n v="50.833333333313931"/>
    <n v="24"/>
    <n v="26.833333333313931"/>
    <n v="5.7242236024886113"/>
    <m/>
    <m/>
    <m/>
    <m/>
    <m/>
  </r>
  <r>
    <d v="2025-02-04T00:00:00"/>
    <x v="1"/>
    <m/>
    <s v="OMGW63URR"/>
    <s v="DJ"/>
    <x v="2"/>
    <s v="UBE 287X"/>
    <s v="Sawan Distributors Ltd-Kayabwe "/>
    <n v="153.6"/>
    <s v="OMGW63URR"/>
    <s v="OM"/>
    <n v="382"/>
    <n v="379"/>
    <n v="-3"/>
    <m/>
    <d v="2025-02-02T11:12:00"/>
    <d v="2025-02-02T11:43:00"/>
    <d v="2025-02-02T11:54:00"/>
    <n v="10.949074078477375"/>
    <n v="41.805555556250816"/>
    <x v="0"/>
    <d v="2025-02-04T11:56:00"/>
    <d v="2025-02-04T14:38:00"/>
    <n v="158.62500000410364"/>
    <m/>
    <d v="2025-02-05T14:24:00"/>
    <d v="2025-02-05T15:10:00"/>
    <n v="45.041666669858387"/>
    <m/>
    <n v="3.1041666666642413"/>
    <n v="2"/>
    <n v="-1.1041666666642413"/>
    <n v="74.499999999941792"/>
    <n v="36"/>
    <n v="38.499999999941792"/>
    <n v="3.9896103896164212"/>
    <m/>
    <m/>
    <m/>
    <m/>
    <m/>
  </r>
  <r>
    <d v="2025-02-05T00:00:00"/>
    <x v="1"/>
    <m/>
    <s v="A20570"/>
    <s v="Manual"/>
    <x v="10"/>
    <s v="UBR 533W"/>
    <s v="Kato Investment Ltd -Mityana"/>
    <n v="156"/>
    <s v="A20570"/>
    <s v="OM"/>
    <n v="690"/>
    <n v="689"/>
    <n v="-1"/>
    <m/>
    <d v="2025-02-04T18:58:00"/>
    <d v="2025-02-04T02:30:00"/>
    <d v="2025-02-04T19:36:00"/>
    <n v="1021.2500000020858"/>
    <n v="37.82407407222005"/>
    <x v="0"/>
    <d v="2025-02-04T11:56:00"/>
    <d v="2025-02-04T14:38:00"/>
    <n v="158.62500000410364"/>
    <m/>
    <d v="2025-02-05T14:24:00"/>
    <d v="2025-02-05T15:43:00"/>
    <n v="77.354166662335047"/>
    <s v="dj failures at the gate"/>
    <n v="0.78333333333284827"/>
    <n v="3"/>
    <n v="2.2166666666671517"/>
    <n v="18.799999999988358"/>
    <n v="0"/>
    <n v="18.799999999988358"/>
    <n v="8.2978723404306702"/>
    <m/>
    <m/>
    <m/>
    <m/>
    <m/>
  </r>
  <r>
    <d v="2025-02-05T00:00:00"/>
    <x v="1"/>
    <m/>
    <s v="Z82522"/>
    <s v="Manual"/>
    <x v="40"/>
    <s v="UBP 311H"/>
    <s v="Kabaco U Ltd "/>
    <n v="156"/>
    <s v="Z82522"/>
    <s v="OM"/>
    <n v="320"/>
    <n v="319"/>
    <n v="-1"/>
    <m/>
    <d v="2025-02-04T17:29:00"/>
    <d v="2025-02-04T04:19:00"/>
    <d v="2025-02-04T18:10:00"/>
    <n v="827.15277778333984"/>
    <n v="40.810185182635905"/>
    <x v="0"/>
    <d v="2025-02-04T17:17:00"/>
    <d v="2025-02-04T19:54:00"/>
    <n v="153.72916667532991"/>
    <m/>
    <d v="2025-02-05T12:44:00"/>
    <d v="2025-02-05T13:40:00"/>
    <n v="54.833333337664953"/>
    <m/>
    <n v="0.77361111110803904"/>
    <n v="2"/>
    <n v="1.226388888891961"/>
    <n v="18.566666666592937"/>
    <n v="0"/>
    <n v="18.566666666592937"/>
    <n v="8.4021543985970997"/>
    <m/>
    <m/>
    <m/>
    <m/>
    <m/>
  </r>
  <r>
    <d v="2025-02-05T00:00:00"/>
    <x v="1"/>
    <m/>
    <s v="A20568"/>
    <s v="Manual"/>
    <x v="41"/>
    <s v="UBF 379L"/>
    <s v="Kato Investments Ltd-Bulenga"/>
    <n v="156"/>
    <s v="A20568"/>
    <s v="OM"/>
    <n v="560"/>
    <n v="559"/>
    <n v="-1"/>
    <m/>
    <d v="2025-02-05T13:54:00"/>
    <d v="2025-02-05T13:02:00"/>
    <d v="2025-02-05T14:37:00"/>
    <n v="94.560185180550135"/>
    <n v="42.80092592986572"/>
    <x v="0"/>
    <d v="2025-02-06T09:07:00"/>
    <d v="2025-02-06T11:25:00"/>
    <n v="135.12499999931606"/>
    <m/>
    <d v="2025-02-07T15:31:00"/>
    <d v="2025-02-07T16:24:00"/>
    <n v="51.895833338348893"/>
    <m/>
    <n v="2.0374999999985448"/>
    <n v="3"/>
    <n v="0.96250000000145519"/>
    <n v="48.899999999965075"/>
    <n v="24"/>
    <n v="24.899999999965075"/>
    <n v="6.2650602409726428"/>
    <m/>
    <m/>
    <m/>
    <m/>
    <m/>
  </r>
  <r>
    <d v="2025-02-05T00:00:00"/>
    <x v="1"/>
    <m/>
    <s v="Z82524"/>
    <s v="Manual"/>
    <x v="42"/>
    <s v="UBK 858R"/>
    <s v="Kobusinge Steven-Kamwenge"/>
    <n v="156"/>
    <s v="Z82524"/>
    <s v="OM"/>
    <n v="288"/>
    <n v="290"/>
    <n v="2"/>
    <m/>
    <d v="2025-02-05T13:05:00"/>
    <d v="2025-02-05T12:59:00"/>
    <d v="2025-02-05T13:42:00"/>
    <n v="42.80092592986572"/>
    <n v="36.828703698605146"/>
    <x v="0"/>
    <d v="2025-02-05T22:10:00"/>
    <d v="2025-02-06T10:26:00"/>
    <n v="720.66666666643869"/>
    <s v="Reached late and offloaded the next day"/>
    <d v="2025-02-07T12:35:00"/>
    <d v="2025-02-07T13:28:00"/>
    <n v="51.895833338348893"/>
    <m/>
    <n v="1.953472222223354"/>
    <n v="2"/>
    <n v="4.6527777776645962E-2"/>
    <n v="46.883333333360497"/>
    <n v="12"/>
    <n v="34.883333333360497"/>
    <n v="4.4720496894375117"/>
    <m/>
    <m/>
    <m/>
    <m/>
    <m/>
  </r>
  <r>
    <d v="2025-02-05T00:00:00"/>
    <x v="1"/>
    <m/>
    <s v="Z82527"/>
    <s v="Manual"/>
    <x v="43"/>
    <s v="UBJ 419C"/>
    <s v="Kabaco U Ltd "/>
    <n v="156"/>
    <s v="Z82527"/>
    <s v="OM"/>
    <n v="320"/>
    <n v="321"/>
    <n v="1"/>
    <m/>
    <d v="2025-02-05T12:42:00"/>
    <d v="2025-02-05T12:43:00"/>
    <d v="2025-02-05T13:24:00"/>
    <n v="40.810185182635905"/>
    <n v="41.805555556250816"/>
    <x v="0"/>
    <d v="2025-02-05T18:58:00"/>
    <d v="2025-02-06T12:58:00"/>
    <n v="1057.5"/>
    <s v="truck faulty"/>
    <d v="2025-02-07T12:35:00"/>
    <d v="2025-02-07T13:23:00"/>
    <n v="46.99999999931606"/>
    <m/>
    <n v="1.9659722222204437"/>
    <n v="2"/>
    <n v="3.4027777779556345E-2"/>
    <n v="47.183333333290648"/>
    <n v="12"/>
    <n v="35.183333333290648"/>
    <n v="4.4339175746145694"/>
    <m/>
    <m/>
    <m/>
    <m/>
    <m/>
  </r>
  <r>
    <d v="2025-02-05T00:00:00"/>
    <x v="1"/>
    <m/>
    <s v="F15854"/>
    <s v="Manual"/>
    <x v="44"/>
    <s v="UBE 684K"/>
    <s v="Boniface Harera"/>
    <n v="156"/>
    <s v="F15854"/>
    <s v="OM"/>
    <n v="448"/>
    <n v="445"/>
    <n v="-3"/>
    <m/>
    <d v="2025-02-05T12:18:00"/>
    <d v="2025-02-05T12:06:00"/>
    <d v="2025-02-05T13:00:00"/>
    <n v="53.749999997914223"/>
    <n v="41.805555556250816"/>
    <x v="0"/>
    <d v="2025-02-05T16:34:00"/>
    <d v="2025-02-05T19:39:00"/>
    <n v="181.14583332877373"/>
    <s v="Waited for empties from trade"/>
    <d v="2025-02-05T21:47:00"/>
    <d v="2025-02-05T22:43:00"/>
    <n v="54.833333337664953"/>
    <m/>
    <n v="0.36597222222189885"/>
    <n v="2"/>
    <n v="1.6340277777781012"/>
    <n v="8.7833333333255723"/>
    <n v="0"/>
    <n v="8.7833333333255723"/>
    <n v="17.760910815954972"/>
    <m/>
    <m/>
    <m/>
    <m/>
    <m/>
  </r>
  <r>
    <d v="2025-02-05T00:00:00"/>
    <x v="1"/>
    <m/>
    <s v="Z82525"/>
    <s v="Manual"/>
    <x v="45"/>
    <s v="UBP 310H"/>
    <s v="Kobusinge Acaali- Kyenjojo"/>
    <n v="156"/>
    <s v="Z82525"/>
    <s v="OM"/>
    <n v="580"/>
    <n v="582"/>
    <n v="2"/>
    <m/>
    <d v="2025-02-05T17:26:00"/>
    <d v="2025-02-05T16:47:00"/>
    <d v="2025-02-05T18:04:00"/>
    <n v="76.643518518055018"/>
    <n v="37.82407407222005"/>
    <x v="0"/>
    <d v="2025-02-06T10:57:00"/>
    <d v="2025-02-06T18:31:00"/>
    <n v="444.54166665891535"/>
    <s v="found another truck to be offloaded"/>
    <d v="2025-02-07T15:46:00"/>
    <d v="2025-02-07T16:46:00"/>
    <n v="58.7499999965803"/>
    <m/>
    <n v="1.9041666666671517"/>
    <n v="2"/>
    <n v="9.5833333332848269E-2"/>
    <n v="45.700000000011642"/>
    <n v="12"/>
    <n v="33.700000000011642"/>
    <n v="4.6290801186927633"/>
    <m/>
    <m/>
    <m/>
    <m/>
    <m/>
  </r>
  <r>
    <d v="2025-02-05T00:00:00"/>
    <x v="1"/>
    <m/>
    <s v="OM08QBORR"/>
    <s v="DJ"/>
    <x v="7"/>
    <s v="UAY 526V"/>
    <s v="Kato Investment Ltd -Mityana "/>
    <n v="153.6"/>
    <s v="OM08QBORR"/>
    <s v="OM"/>
    <n v="690"/>
    <n v="689"/>
    <n v="-1"/>
    <m/>
    <d v="2025-02-05T11:57:00"/>
    <d v="2025-02-05T11:59:00"/>
    <d v="2025-02-05T12:40:00"/>
    <n v="40.810185182635905"/>
    <n v="42.80092592986572"/>
    <x v="0"/>
    <d v="2025-02-06T11:17:00"/>
    <d v="2025-02-06T17:01:00"/>
    <n v="336.83333333356131"/>
    <s v="Dj failure at customer"/>
    <d v="2025-02-08T10:54:00"/>
    <d v="2025-02-08T11:52:00"/>
    <n v="56.791666667122627"/>
    <m/>
    <n v="2.9263888888890506"/>
    <n v="2"/>
    <n v="-0.92638888888905058"/>
    <n v="70.233333333337214"/>
    <n v="24"/>
    <n v="46.233333333337214"/>
    <n v="3.3222782984856618"/>
    <m/>
    <m/>
    <m/>
    <m/>
    <m/>
  </r>
  <r>
    <d v="2025-02-05T00:00:00"/>
    <x v="1"/>
    <m/>
    <s v="OM2G8SKRR"/>
    <s v="DJ"/>
    <x v="20"/>
    <s v="UAY 265V"/>
    <s v="Kato Investments Ltd-Bulenga"/>
    <n v="153.6"/>
    <s v="OM2G8SKRR"/>
    <s v="OM"/>
    <n v="560"/>
    <n v="561"/>
    <n v="1"/>
    <m/>
    <d v="2025-02-04T13:43:00"/>
    <d v="2025-02-04T14:08:00"/>
    <d v="2025-02-04T14:25:00"/>
    <n v="16.921296299309081"/>
    <n v="41.805555556250816"/>
    <x v="0"/>
    <d v="2025-02-06T11:34:00"/>
    <d v="2025-02-06T16:34:00"/>
    <n v="293.7500000034197"/>
    <s v="Waited for empties from trade"/>
    <d v="2025-02-07T14:38:00"/>
    <d v="2025-02-07T15:31:00"/>
    <n v="51.895833338348893"/>
    <m/>
    <n v="3.0090277777781012"/>
    <n v="2"/>
    <n v="-1.0090277777781012"/>
    <n v="72.216666666674428"/>
    <n v="36"/>
    <n v="36.216666666674428"/>
    <n v="4.2411412793364125"/>
    <m/>
    <m/>
    <m/>
    <m/>
    <m/>
  </r>
  <r>
    <d v="2025-02-05T00:00:00"/>
    <x v="1"/>
    <m/>
    <s v="OM3FY6QRR"/>
    <s v="DJ"/>
    <x v="8"/>
    <s v="UBK 875R"/>
    <s v="Kato Investment Ltd -Mityana "/>
    <n v="153.6"/>
    <s v="OM3FY6QRR"/>
    <s v="OM"/>
    <n v="690"/>
    <n v="692"/>
    <n v="2"/>
    <m/>
    <d v="2025-02-05T08:05:00"/>
    <d v="2025-02-05T07:17:00"/>
    <d v="2025-02-05T08:46:00"/>
    <n v="88.587962959718425"/>
    <n v="40.810185182635905"/>
    <x v="0"/>
    <d v="2025-02-06T15:34:00"/>
    <d v="2025-02-07T08:33:00"/>
    <n v="997.77083333356131"/>
    <s v="less casuals and offloaded the next day"/>
    <d v="2025-02-08T14:54:00"/>
    <d v="2025-02-08T15:46:00"/>
    <n v="50.916666668490507"/>
    <m/>
    <n v="3.2555555555591127"/>
    <n v="2"/>
    <n v="-1.2555555555591127"/>
    <n v="78.133333333418705"/>
    <n v="36"/>
    <n v="42.133333333418705"/>
    <n v="3.6455696202457779"/>
    <m/>
    <m/>
    <m/>
    <m/>
    <m/>
  </r>
  <r>
    <d v="2025-02-05T00:00:00"/>
    <x v="1"/>
    <m/>
    <s v="OMGYL7CRR"/>
    <s v="DJ"/>
    <x v="14"/>
    <s v="UBJ 988D"/>
    <s v="KATO INVESTMENTS LTD- KALISIZO "/>
    <n v="153.6"/>
    <s v="OMGYL7CRR"/>
    <s v="OM"/>
    <n v="350"/>
    <n v="352"/>
    <n v="2"/>
    <m/>
    <d v="2025-02-05T13:55:00"/>
    <d v="2025-02-04T20:00:00"/>
    <d v="2025-02-05T14:37:00"/>
    <n v="1111.8287036986051"/>
    <n v="41.805555556250816"/>
    <x v="0"/>
    <d v="2025-02-11T09:57:00"/>
    <d v="2025-02-11T13:11:00"/>
    <n v="189.95833333698101"/>
    <s v="First offloaded their route sale trucks"/>
    <d v="2025-02-05T21:47:00"/>
    <d v="2025-02-05T22:44:00"/>
    <n v="55.81249999726424"/>
    <m/>
    <n v="0.29861111110949423"/>
    <n v="2"/>
    <n v="1.7013888888905058"/>
    <n v="7.1666666666278616"/>
    <n v="0"/>
    <n v="7.1666666666278616"/>
    <n v="21.432558139650933"/>
    <m/>
    <m/>
    <m/>
    <m/>
    <m/>
  </r>
  <r>
    <d v="2025-02-05T00:00:00"/>
    <x v="1"/>
    <m/>
    <s v="OMMK06ORR"/>
    <s v="DJ"/>
    <x v="17"/>
    <s v="UBA 523T"/>
    <s v="Ntale and Sons"/>
    <n v="153.6"/>
    <s v="OMMK06ORR"/>
    <s v="OM"/>
    <n v="810"/>
    <n v="812"/>
    <n v="2"/>
    <m/>
    <d v="2025-02-05T12:43:00"/>
    <d v="2025-02-04T20:13:00"/>
    <d v="2025-02-05T13:24:00"/>
    <n v="1026.2268518493026"/>
    <n v="40.810185182635905"/>
    <x v="0"/>
    <d v="2025-02-10T18:37:00"/>
    <d v="2025-02-11T09:23:00"/>
    <n v="867.54166667327809"/>
    <s v="slept at the RD and offloaded the next day"/>
    <d v="2025-02-08T10:54:00"/>
    <d v="2025-02-08T11:44:00"/>
    <n v="48.958333328773733"/>
    <m/>
    <n v="2.8958333333357587"/>
    <n v="3"/>
    <n v="0.10416666666424135"/>
    <n v="69.500000000058208"/>
    <n v="24"/>
    <n v="45.500000000058208"/>
    <n v="3.3758241758198571"/>
    <m/>
    <m/>
    <m/>
    <m/>
    <m/>
  </r>
  <r>
    <d v="2025-02-06T00:00:00"/>
    <x v="1"/>
    <m/>
    <s v="OM2T10KRR"/>
    <s v="DJ"/>
    <x v="12"/>
    <s v="UBJ 415C"/>
    <s v="Kabaco U Ltd "/>
    <n v="153.6"/>
    <s v="OM2T10KRR"/>
    <s v="OM"/>
    <n v="320"/>
    <n v="322"/>
    <n v="2"/>
    <m/>
    <d v="2025-02-05T12:40:00"/>
    <d v="2025-02-04T20:13:00"/>
    <d v="2025-02-05T13:24:00"/>
    <n v="1026.2268518493026"/>
    <n v="43.796296293051761"/>
    <x v="0"/>
    <d v="2025-02-06T10:57:00"/>
    <d v="2025-02-06T18:31:00"/>
    <n v="444.54166665891535"/>
    <s v="found another truck at RD"/>
    <d v="2025-02-07T15:46:00"/>
    <d v="2025-02-07T16:37:00"/>
    <n v="49.93749999863212"/>
    <m/>
    <n v="2.0986111111124046"/>
    <n v="2"/>
    <n v="-9.8611111112404615E-2"/>
    <n v="50.366666666697711"/>
    <n v="24"/>
    <n v="26.366666666697711"/>
    <n v="5.8255372945569839"/>
    <m/>
    <m/>
    <m/>
    <m/>
    <m/>
  </r>
  <r>
    <d v="2025-02-06T00:00:00"/>
    <x v="1"/>
    <m/>
    <s v="OMF1N6TRR"/>
    <s v="DJ"/>
    <x v="16"/>
    <s v="UBJ 707D"/>
    <s v="KATO INVESTMENTS LIMITED-MASAK"/>
    <n v="153.6"/>
    <s v="OMF1N6TRR"/>
    <s v="OM"/>
    <n v="298"/>
    <n v="148"/>
    <n v="-150"/>
    <m/>
    <d v="2025-02-05T12:17:00"/>
    <d v="2025-02-04T20:00:00"/>
    <d v="2025-02-05T13:00:00"/>
    <n v="1015.2777777708252"/>
    <n v="42.80092592986572"/>
    <x v="0"/>
    <d v="2025-02-06T15:34:00"/>
    <d v="2025-02-07T08:33:00"/>
    <n v="997.77083333356131"/>
    <s v="Not enough casuals to offload"/>
    <d v="2025-02-08T14:54:00"/>
    <d v="2025-02-08T15:43:00"/>
    <n v="47.979166669174447"/>
    <m/>
    <n v="3.0791666666700621"/>
    <n v="2"/>
    <n v="-1.0791666666700621"/>
    <n v="73.900000000081491"/>
    <n v="36"/>
    <n v="37.900000000081491"/>
    <n v="4.0527704485400982"/>
    <m/>
    <m/>
    <m/>
    <m/>
    <m/>
  </r>
  <r>
    <d v="2025-02-06T00:00:00"/>
    <x v="1"/>
    <m/>
    <s v="OMMMFQSRR"/>
    <s v="DJ"/>
    <x v="2"/>
    <s v="UBE 287X"/>
    <s v="RUGOMA TRADERS CO. LTD NTUNGAM"/>
    <n v="153.6"/>
    <s v="OMMMFQSRR"/>
    <s v="OM"/>
    <n v="150"/>
    <n v="149"/>
    <n v="-1"/>
    <m/>
    <d v="2025-02-05T17:20:00"/>
    <d v="2025-02-05T03:43:00"/>
    <d v="2025-02-05T18:04:00"/>
    <n v="857.01388888749841"/>
    <n v="43.796296293051761"/>
    <x v="0"/>
    <d v="2025-02-06T11:34:00"/>
    <d v="2025-02-06T16:34:00"/>
    <n v="293.7500000034197"/>
    <s v="Waited for empties from trade"/>
    <d v="2025-02-07T14:38:00"/>
    <d v="2025-02-07T15:32:00"/>
    <n v="52.87499999794818"/>
    <m/>
    <n v="1.8569444444437977"/>
    <n v="1"/>
    <n v="-0.85694444444379769"/>
    <n v="44.566666666651145"/>
    <n v="12"/>
    <n v="32.566666666651145"/>
    <n v="4.7164790174024525"/>
    <m/>
    <m/>
    <m/>
    <m/>
    <m/>
  </r>
  <r>
    <d v="2025-02-06T00:00:00"/>
    <x v="1"/>
    <m/>
    <s v="OMOHRI9RR"/>
    <s v="DJ"/>
    <x v="25"/>
    <s v="UBJ 420C"/>
    <s v="Rugoma Traders-Rukungiri "/>
    <n v="153.6"/>
    <s v="OMOHRI9RR"/>
    <s v="OM"/>
    <n v="256"/>
    <n v="255"/>
    <n v="-1"/>
    <m/>
    <d v="2025-02-07T18:43:00"/>
    <d v="2025-02-06T04:14:00"/>
    <d v="2025-02-07T19:26:00"/>
    <n v="2341.1111111083301"/>
    <n v="42.80092592986572"/>
    <x v="0"/>
    <d v="2025-02-12T15:42:00"/>
    <d v="2025-02-12T17:50:00"/>
    <n v="125.33333333150949"/>
    <m/>
    <d v="2025-02-10T13:48:00"/>
    <d v="2025-02-10T14:39:00"/>
    <n v="49.93749999863212"/>
    <m/>
    <n v="2.765277777776646"/>
    <n v="2"/>
    <n v="-0.76527777777664596"/>
    <n v="66.366666666639503"/>
    <n v="24"/>
    <n v="42.366666666639503"/>
    <n v="3.62549173879068"/>
    <m/>
    <m/>
    <m/>
    <m/>
    <m/>
  </r>
  <r>
    <d v="2025-02-06T00:00:00"/>
    <x v="1"/>
    <m/>
    <s v="OMPH45PRR"/>
    <s v="DJ"/>
    <x v="0"/>
    <s v="UBJ 417C"/>
    <s v="Boniface Harera "/>
    <n v="153.6"/>
    <s v="OMPH45PRR"/>
    <s v="OM"/>
    <n v="448"/>
    <n v="450"/>
    <n v="2"/>
    <m/>
    <d v="2025-02-06T19:26:00"/>
    <d v="2025-02-06T06:15:00"/>
    <d v="2025-02-06T20:08:00"/>
    <n v="829.14351852014079"/>
    <n v="41.805555556250816"/>
    <x v="0"/>
    <d v="2025-02-07T10:12:00"/>
    <d v="2025-02-07T18:32:00"/>
    <n v="489.58333332877373"/>
    <s v="found another truck at the RD"/>
    <d v="2025-02-08T09:00:00"/>
    <d v="2025-02-08T09:50:00"/>
    <n v="48.958333328773733"/>
    <m/>
    <n v="1.5361111111124046"/>
    <n v="2"/>
    <n v="0.46388888888759539"/>
    <n v="36.866666666697711"/>
    <n v="12"/>
    <n v="24.866666666697711"/>
    <n v="6.176943699724192"/>
    <m/>
    <m/>
    <m/>
    <m/>
    <m/>
  </r>
  <r>
    <d v="2025-02-07T00:00:00"/>
    <x v="1"/>
    <m/>
    <s v="A20596"/>
    <s v="Manual"/>
    <x v="36"/>
    <s v="UBE 680K"/>
    <s v="Kato Investments Ltd- Kyegegwa"/>
    <n v="156"/>
    <s v="A20596"/>
    <s v="OM"/>
    <n v="600"/>
    <n v="602"/>
    <n v="2"/>
    <m/>
    <d v="2025-02-06T10:11:00"/>
    <d v="2025-02-06T02:22:00"/>
    <d v="2025-02-06T10:55:00"/>
    <n v="510.62499999582843"/>
    <n v="43.796296293051761"/>
    <x v="0"/>
    <d v="2025-02-09T18:55:00"/>
    <d v="2025-02-10T13:15:00"/>
    <n v="1077.0833333356131"/>
    <s v="space consquents"/>
    <d v="2025-02-10T15:52:00"/>
    <d v="2025-02-10T16:48:00"/>
    <n v="54.833333337664953"/>
    <m/>
    <n v="4.2062500000029104"/>
    <n v="3"/>
    <n v="-1.2062500000029104"/>
    <n v="100.95000000006985"/>
    <n v="48"/>
    <n v="52.950000000069849"/>
    <n v="2.9461756373898811"/>
    <m/>
    <m/>
    <m/>
    <m/>
    <m/>
  </r>
  <r>
    <d v="2025-02-07T00:00:00"/>
    <x v="1"/>
    <m/>
    <s v="Z82547"/>
    <s v="Manual"/>
    <x v="25"/>
    <s v="UBJ 420C"/>
    <s v="Kobusinge Steven-FPortal"/>
    <n v="156"/>
    <s v="Z82547"/>
    <s v="OM"/>
    <n v="304"/>
    <n v="306"/>
    <n v="2"/>
    <m/>
    <d v="2025-02-06T21:55:00"/>
    <d v="2025-02-06T04:04:00"/>
    <d v="2025-02-06T22:38:00"/>
    <n v="1108.8425925986182"/>
    <n v="42.80092592986572"/>
    <x v="0"/>
    <d v="2025-02-06T10:31:00"/>
    <d v="2025-02-06T15:45:00"/>
    <n v="307.45833333014161"/>
    <s v="Waited for empties from trade"/>
    <d v="2025-02-07T19:55:00"/>
    <d v="2025-02-07T20:43:00"/>
    <n v="46.99999999931606"/>
    <m/>
    <n v="0.88680555555038154"/>
    <n v="2"/>
    <n v="1.1131944444496185"/>
    <n v="21.283333333209157"/>
    <n v="0"/>
    <n v="21.283333333209157"/>
    <n v="7.3296789350466804"/>
    <m/>
    <m/>
    <m/>
    <m/>
    <m/>
  </r>
  <r>
    <d v="2025-02-07T00:00:00"/>
    <x v="1"/>
    <m/>
    <s v="A20594"/>
    <s v="Manual"/>
    <x v="40"/>
    <s v="UBP 311H"/>
    <s v="Kato Investments Ltd-Bulenga"/>
    <n v="156"/>
    <s v="A20594"/>
    <s v="OM"/>
    <n v="560"/>
    <n v="558"/>
    <n v="-2"/>
    <m/>
    <d v="2025-02-06T19:13:00"/>
    <d v="2025-02-06T01:30:00"/>
    <d v="2025-02-06T19:55:00"/>
    <n v="1099.8842592569417"/>
    <n v="41.805555556250816"/>
    <x v="0"/>
    <d v="2025-02-06T12:42:00"/>
    <d v="2025-02-06T18:36:00"/>
    <n v="346.62500000136788"/>
    <s v="Not enough casuals to offload"/>
    <d v="2025-02-07T13:36:00"/>
    <d v="2025-02-07T14:32:00"/>
    <n v="54.833333337664953"/>
    <m/>
    <n v="0.73680555555620231"/>
    <n v="3"/>
    <n v="2.2631944444437977"/>
    <n v="17.683333333348855"/>
    <n v="0"/>
    <n v="17.683333333348855"/>
    <n v="8.8218661639884868"/>
    <m/>
    <m/>
    <m/>
    <m/>
    <m/>
  </r>
  <r>
    <d v="2025-02-07T00:00:00"/>
    <x v="1"/>
    <m/>
    <s v="A20595"/>
    <s v="Manual"/>
    <x v="44"/>
    <s v="UBE 684K"/>
    <s v="Kato Investment Ltd -Mubende"/>
    <n v="156"/>
    <s v="A20595"/>
    <s v="OM"/>
    <n v="680"/>
    <n v="678"/>
    <n v="-2"/>
    <m/>
    <d v="2025-02-26T09:18:00"/>
    <d v="2025-02-26T09:37:00"/>
    <d v="2025-02-26T10:00:00"/>
    <n v="22.893518520140788"/>
    <n v="41.805555556250816"/>
    <x v="0"/>
    <d v="2025-02-27T14:49:00"/>
    <d v="2025-02-28T17:33:00"/>
    <n v="1570.5833333335613"/>
    <m/>
    <d v="2025-03-01T19:39:00"/>
    <d v="2025-03-01T20:28:00"/>
    <n v="47.979166669174447"/>
    <m/>
    <n v="3.4020833333343035"/>
    <n v="2"/>
    <n v="-1.4020833333343035"/>
    <n v="81.650000000023283"/>
    <n v="36"/>
    <n v="45.650000000023283"/>
    <n v="3.4173055859785419"/>
    <m/>
    <m/>
    <m/>
    <m/>
    <m/>
  </r>
  <r>
    <d v="2025-02-07T00:00:00"/>
    <x v="1"/>
    <m/>
    <s v="Z82552"/>
    <s v="Manual"/>
    <x v="43"/>
    <s v="UBJ 419C"/>
    <s v="Kobusinge Steven-Kamwenge"/>
    <n v="156"/>
    <s v="Z82552"/>
    <s v="OM"/>
    <n v="288"/>
    <n v="290"/>
    <n v="2"/>
    <m/>
    <d v="2025-02-26T14:19:00"/>
    <d v="2025-02-26T14:03:00"/>
    <d v="2025-02-26T15:00:00"/>
    <n v="56.736111108330078"/>
    <n v="40.810185182635905"/>
    <x v="0"/>
    <d v="2025-02-07T13:10:00"/>
    <d v="2025-02-07T15:40:00"/>
    <n v="146.8750000068394"/>
    <m/>
    <d v="2025-02-28T19:39:00"/>
    <d v="2025-02-28T20:39:00"/>
    <n v="58.7499999965803"/>
    <m/>
    <n v="2.1937499999985448"/>
    <n v="2"/>
    <n v="-0.19374999999854481"/>
    <n v="52.649999999965075"/>
    <n v="24"/>
    <n v="28.649999999965075"/>
    <n v="5.445026178017109"/>
    <m/>
    <m/>
    <m/>
    <m/>
    <m/>
  </r>
  <r>
    <d v="2025-02-07T00:00:00"/>
    <x v="1"/>
    <m/>
    <s v="Z82546"/>
    <s v="Manual"/>
    <x v="32"/>
    <s v="UBJ 703D"/>
    <s v="Bates Enterprises U Ltd"/>
    <n v="156"/>
    <s v="Z82546"/>
    <s v="OM"/>
    <n v="414"/>
    <n v="417"/>
    <n v="3"/>
    <m/>
    <d v="2025-02-26T18:22:00"/>
    <d v="2025-02-26T18:40:00"/>
    <d v="2025-02-26T19:03:00"/>
    <n v="22.893518520140788"/>
    <n v="40.810185182635905"/>
    <x v="0"/>
    <d v="2025-02-27T15:28:00"/>
    <d v="2025-02-27T17:30:00"/>
    <n v="119.45833333287737"/>
    <m/>
    <d v="2025-02-28T10:03:00"/>
    <d v="2025-02-28T10:56:00"/>
    <n v="51.895833338348893"/>
    <m/>
    <n v="1.625"/>
    <n v="3"/>
    <n v="1.375"/>
    <n v="39"/>
    <n v="12"/>
    <n v="27"/>
    <n v="5.7777777777777777"/>
    <m/>
    <m/>
    <m/>
    <m/>
    <m/>
  </r>
  <r>
    <d v="2025-02-07T00:00:00"/>
    <x v="1"/>
    <m/>
    <s v="F15865"/>
    <s v="Manual"/>
    <x v="45"/>
    <s v="UBP 310H"/>
    <s v="Boniface Harera"/>
    <n v="156"/>
    <s v="F15865"/>
    <s v="OM"/>
    <n v="448"/>
    <n v="450"/>
    <n v="2"/>
    <m/>
    <d v="2025-02-28T18:19:00"/>
    <d v="2025-02-28T18:40:00"/>
    <d v="2025-02-28T19:03:00"/>
    <n v="22.893518520140788"/>
    <n v="43.796296293051761"/>
    <x v="0"/>
    <d v="2025-02-28T12:24:00"/>
    <d v="2025-02-28T17:56:00"/>
    <n v="325.08333332603797"/>
    <s v="Waited for empties from trade"/>
    <d v="2025-03-01T19:31:00"/>
    <d v="2025-03-01T20:21:00"/>
    <n v="48.958333328773733"/>
    <m/>
    <n v="1.0194444444496185"/>
    <n v="2"/>
    <n v="0.98055555555038154"/>
    <n v="24.466666666790843"/>
    <n v="12"/>
    <n v="12.466666666790843"/>
    <n v="12.513368983832578"/>
    <m/>
    <m/>
    <m/>
    <m/>
    <m/>
  </r>
  <r>
    <d v="2025-02-07T00:00:00"/>
    <x v="1"/>
    <m/>
    <s v="F15863"/>
    <s v="Manual"/>
    <x v="42"/>
    <s v="UBK 858R"/>
    <s v="Boniface Harera"/>
    <n v="156"/>
    <s v="F15863"/>
    <s v="OM"/>
    <n v="448"/>
    <n v="450"/>
    <n v="2"/>
    <m/>
    <d v="2025-03-01T06:59:00"/>
    <d v="2025-03-01T07:09:00"/>
    <d v="2025-03-01T07:40:00"/>
    <n v="30.856481477773439"/>
    <n v="40.810185182635905"/>
    <x v="0"/>
    <d v="2025-03-01T18:34:00"/>
    <d v="2025-03-02T20:55:00"/>
    <n v="1548.0625000088912"/>
    <m/>
    <d v="2025-03-03T16:21:00"/>
    <d v="2025-03-03T17:10:00"/>
    <n v="47.979166669174447"/>
    <m/>
    <n v="2.3618055555562023"/>
    <n v="2"/>
    <n v="-0.36180555555620231"/>
    <n v="56.683333333348855"/>
    <n v="24"/>
    <n v="32.683333333348855"/>
    <n v="4.7730749617519406"/>
    <m/>
    <m/>
    <m/>
    <m/>
    <m/>
  </r>
  <r>
    <d v="2025-02-07T00:00:00"/>
    <x v="1"/>
    <m/>
    <s v="OMSF49ZRR"/>
    <s v="DJ"/>
    <x v="3"/>
    <s v="UBK 881R"/>
    <s v="Kabaco U Ltd-Mbarara "/>
    <n v="153.6"/>
    <s v="OMSF49ZRR"/>
    <s v="OM"/>
    <n v="20"/>
    <n v="19"/>
    <n v="-1"/>
    <m/>
    <d v="2025-02-28T18:22:00"/>
    <d v="2025-02-28T18:40:00"/>
    <d v="2025-02-28T19:03:00"/>
    <n v="22.893518520140788"/>
    <n v="40.810185182635905"/>
    <x v="0"/>
    <d v="2025-03-01T10:40:00"/>
    <d v="2025-03-01T13:13:00"/>
    <n v="149.81249999589636"/>
    <m/>
    <d v="2025-03-01T19:39:00"/>
    <d v="2025-03-01T20:33:00"/>
    <n v="52.87499999794818"/>
    <m/>
    <n v="1.0250000000014552"/>
    <n v="1"/>
    <n v="-2.5000000001455192E-2"/>
    <n v="24.600000000034925"/>
    <n v="12"/>
    <n v="12.600000000034925"/>
    <n v="12.1904761904424"/>
    <m/>
    <m/>
    <m/>
    <m/>
    <m/>
  </r>
  <r>
    <d v="2025-02-07T00:00:00"/>
    <x v="1"/>
    <m/>
    <s v="OMT67LPRR"/>
    <s v="DJ"/>
    <x v="24"/>
    <s v="UBP 298H"/>
    <s v="Kobusinge Acaali- Kyenjojo"/>
    <n v="156"/>
    <s v="OMT67LPRR"/>
    <s v="OM"/>
    <n v="580"/>
    <n v="582"/>
    <n v="2"/>
    <m/>
    <d v="2025-03-12T14:10:00"/>
    <d v="2025-03-12T14:11:00"/>
    <d v="2025-03-12T14:52:00"/>
    <n v="40.810185182635905"/>
    <n v="41.805555556250816"/>
    <x v="0"/>
    <d v="2025-03-12T12:15:00"/>
    <d v="2025-03-13T14:29:00"/>
    <n v="1541.2083333404007"/>
    <m/>
    <d v="2025-03-14T19:39:00"/>
    <d v="2025-03-14T20:27:00"/>
    <n v="46.99999999931606"/>
    <m/>
    <n v="2.1993055555576575"/>
    <n v="2"/>
    <n v="-0.1993055555576575"/>
    <n v="52.78333333338378"/>
    <n v="24"/>
    <n v="28.78333333338378"/>
    <n v="5.4198031267999971"/>
    <m/>
    <m/>
    <m/>
    <m/>
    <m/>
  </r>
  <r>
    <d v="2025-02-08T00:00:00"/>
    <x v="1"/>
    <m/>
    <s v="Z82558"/>
    <s v="Manual"/>
    <x v="39"/>
    <s v="UBJ 705D"/>
    <s v="Bates Enterprises Ltd-Ntoroko"/>
    <n v="156"/>
    <s v="Z82558"/>
    <s v="OM"/>
    <n v="464"/>
    <n v="462"/>
    <n v="-2"/>
    <m/>
    <d v="2025-02-07T15:04:00"/>
    <d v="2025-02-07T15:31:00"/>
    <d v="2025-02-07T15:48:00"/>
    <n v="16.921296299309081"/>
    <n v="43.796296293051761"/>
    <x v="0"/>
    <d v="2025-02-07T22:12:00"/>
    <d v="2025-02-08T13:51:00"/>
    <n v="919.43749999110878"/>
    <s v="slept at the RD and offloaded the next day"/>
    <d v="2025-02-08T16:21:00"/>
    <d v="2025-02-08T17:17:00"/>
    <n v="54.833333337664953"/>
    <m/>
    <n v="1.0229166666686069"/>
    <n v="2"/>
    <n v="0.97708333333139308"/>
    <n v="24.550000000046566"/>
    <n v="12"/>
    <n v="12.550000000046566"/>
    <n v="12.43027888441603"/>
    <m/>
    <m/>
    <m/>
    <m/>
    <m/>
  </r>
  <r>
    <d v="2025-02-08T00:00:00"/>
    <x v="1"/>
    <m/>
    <s v="Z82559"/>
    <s v="Manual"/>
    <x v="30"/>
    <s v="UBR 540W"/>
    <s v="Bates Enterprises U Ltd"/>
    <n v="156"/>
    <s v="Z82559"/>
    <s v="OM"/>
    <n v="414"/>
    <n v="413"/>
    <n v="-1"/>
    <m/>
    <d v="2025-02-07T09:27:00"/>
    <d v="2025-02-07T07:42:00"/>
    <d v="2025-02-07T10:09:00"/>
    <n v="146.31944445209228"/>
    <n v="41.805555556250816"/>
    <x v="0"/>
    <d v="2025-02-11T09:57:00"/>
    <d v="2025-02-11T13:11:00"/>
    <n v="189.95833333698101"/>
    <s v="found another truck at the RD"/>
    <d v="2025-02-09T10:03:00"/>
    <d v="2025-02-09T10:56:00"/>
    <n v="51.895833338348893"/>
    <m/>
    <n v="1.9958333333270275"/>
    <n v="3"/>
    <n v="1.0041666666729725"/>
    <n v="47.89999999984866"/>
    <n v="12"/>
    <n v="35.89999999984866"/>
    <n v="4.3454038997397673"/>
    <m/>
    <m/>
    <m/>
    <m/>
    <m/>
  </r>
  <r>
    <d v="2025-02-08T00:00:00"/>
    <x v="1"/>
    <m/>
    <s v="F15867"/>
    <s v="Manual"/>
    <x v="38"/>
    <s v="UBK 862R"/>
    <s v="Boniface Harera"/>
    <n v="156"/>
    <s v="F15867"/>
    <s v="OM"/>
    <n v="448"/>
    <n v="449"/>
    <n v="1"/>
    <m/>
    <d v="2025-02-07T10:32:00"/>
    <d v="2025-02-07T03:17:00"/>
    <d v="2025-02-07T11:15:00"/>
    <n v="475.78703703402425"/>
    <n v="42.80092592986572"/>
    <x v="0"/>
    <d v="2025-02-10T18:37:00"/>
    <d v="2025-02-11T09:23:00"/>
    <n v="867.54166667327809"/>
    <s v="found another truck at the RD and offloaded the next day"/>
    <d v="2025-02-07T16:21:00"/>
    <d v="2025-02-07T17:14:00"/>
    <n v="51.895833338348893"/>
    <m/>
    <n v="0.21250000000145519"/>
    <n v="2"/>
    <n v="1.7874999999985448"/>
    <n v="5.1000000000349246"/>
    <n v="0"/>
    <n v="5.1000000000349246"/>
    <n v="30.588235293908181"/>
    <m/>
    <m/>
    <m/>
    <m/>
    <m/>
  </r>
  <r>
    <d v="2025-02-08T00:00:00"/>
    <x v="1"/>
    <m/>
    <s v="OM6CYJIRR"/>
    <s v="DJ"/>
    <x v="25"/>
    <s v="UBJ 420C"/>
    <s v="Kobusinge Steven-Fporta"/>
    <n v="156"/>
    <s v="OM6CYJIRR"/>
    <s v="OM"/>
    <n v="304"/>
    <n v="302"/>
    <n v="-2"/>
    <m/>
    <d v="2025-02-07T10:31:00"/>
    <d v="2025-02-07T03:17:00"/>
    <d v="2025-02-07T11:15:00"/>
    <n v="475.78703703402425"/>
    <n v="43.796296293051761"/>
    <x v="0"/>
    <d v="2025-02-11T09:57:00"/>
    <d v="2025-02-11T13:11:00"/>
    <n v="189.95833333698101"/>
    <s v="Waited for empties from trade"/>
    <d v="2025-02-09T10:03:00"/>
    <d v="2025-02-09T10:57:00"/>
    <n v="52.87499999794818"/>
    <m/>
    <n v="1.9499999999970896"/>
    <n v="2"/>
    <n v="5.0000000002910383E-2"/>
    <n v="46.799999999930151"/>
    <n v="12"/>
    <n v="34.799999999930151"/>
    <n v="4.4827586206986529"/>
    <m/>
    <m/>
    <m/>
    <m/>
    <m/>
  </r>
  <r>
    <d v="2025-02-08T00:00:00"/>
    <x v="1"/>
    <m/>
    <s v="OM97USARR"/>
    <s v="DJ"/>
    <x v="20"/>
    <s v="UAY 265V"/>
    <s v="KATO INVESTMENTS LIMITED-MASAK "/>
    <n v="153.6"/>
    <s v="OM97USARR"/>
    <s v="OM"/>
    <n v="298"/>
    <n v="295"/>
    <n v="-3"/>
    <m/>
    <d v="2025-02-07T09:28:00"/>
    <d v="2025-02-07T07:42:00"/>
    <d v="2025-02-07T10:09:00"/>
    <n v="146.31944445209228"/>
    <n v="40.810185182635905"/>
    <x v="0"/>
    <d v="2025-02-11T10:12:00"/>
    <d v="2025-02-11T12:04:00"/>
    <n v="109.66666666507081"/>
    <m/>
    <d v="2025-02-07T16:21:00"/>
    <d v="2025-02-07T17:15:00"/>
    <n v="52.87499999794818"/>
    <m/>
    <n v="0.25833333333139308"/>
    <n v="2"/>
    <n v="1.7416666666686069"/>
    <n v="6.1999999999534339"/>
    <n v="0"/>
    <n v="6.1999999999534339"/>
    <n v="24.774193548573166"/>
    <m/>
    <m/>
    <m/>
    <m/>
    <m/>
  </r>
  <r>
    <d v="2025-02-08T00:00:00"/>
    <x v="1"/>
    <m/>
    <s v="OMGBWDPRR"/>
    <s v="DJ"/>
    <x v="7"/>
    <s v="UAY 526V"/>
    <s v="Kabaco U Ltd-Mbarara "/>
    <n v="153.6"/>
    <s v="OMGBWDPRR"/>
    <s v="OM"/>
    <n v="20"/>
    <n v="19"/>
    <n v="-1"/>
    <m/>
    <d v="2025-02-07T18:14:00"/>
    <d v="2025-02-07T18:14:00"/>
    <d v="2025-02-07T18:55:00"/>
    <n v="40.810185182635905"/>
    <n v="40.810185182635905"/>
    <x v="0"/>
    <d v="2025-02-12T15:42:00"/>
    <d v="2025-02-12T17:50:00"/>
    <n v="125.33333333150949"/>
    <m/>
    <d v="2025-02-09T16:27:00"/>
    <d v="2025-02-09T17:20:00"/>
    <n v="51.895833338348893"/>
    <m/>
    <n v="1.8972222222218988"/>
    <n v="3"/>
    <n v="1.1027777777781012"/>
    <n v="45.533333333325572"/>
    <n v="12"/>
    <n v="33.533333333325572"/>
    <n v="4.5805168986094102"/>
    <m/>
    <m/>
    <m/>
    <m/>
    <m/>
  </r>
  <r>
    <d v="2025-02-08T00:00:00"/>
    <x v="1"/>
    <m/>
    <s v="OMPS7Y0RR"/>
    <s v="DJ"/>
    <x v="3"/>
    <s v="UBK 881R"/>
    <s v="Kabaco U Ltd-Mbarara "/>
    <n v="153.6"/>
    <s v="OMPS7Y0RR"/>
    <s v="OM"/>
    <n v="20"/>
    <n v="21"/>
    <n v="1"/>
    <m/>
    <d v="2025-02-08T07:14:00"/>
    <d v="2025-02-08T07:13:00"/>
    <d v="2025-02-08T07:56:00"/>
    <n v="42.80092592986572"/>
    <n v="41.805555556250816"/>
    <x v="0"/>
    <d v="2025-02-08T08:38:00"/>
    <d v="2025-02-08T15:07:00"/>
    <n v="380.89583333356131"/>
    <s v="Waited for empties from trade"/>
    <d v="2025-02-08T15:39:00"/>
    <d v="2025-02-08T16:32:00"/>
    <n v="51.895833338348893"/>
    <m/>
    <n v="0.32152777777810115"/>
    <n v="3"/>
    <n v="2.6784722222218988"/>
    <n v="7.7166666666744277"/>
    <n v="0"/>
    <n v="7.7166666666744277"/>
    <n v="19.904967602571773"/>
    <m/>
    <m/>
    <m/>
    <m/>
    <m/>
  </r>
  <r>
    <d v="2025-02-09T00:00:00"/>
    <x v="1"/>
    <m/>
    <s v="Z82566"/>
    <s v="Manual"/>
    <x v="35"/>
    <s v="UBP 312H"/>
    <s v="Kabaco U Ltd "/>
    <n v="6.3"/>
    <s v="Z82566"/>
    <s v="OM"/>
    <n v="320"/>
    <n v="319"/>
    <n v="-1"/>
    <m/>
    <d v="2025-02-08T12:03:00"/>
    <d v="2025-02-08T07:42:00"/>
    <d v="2025-02-08T12:45:00"/>
    <n v="301.59722222500324"/>
    <n v="41.805555556250816"/>
    <x v="0"/>
    <d v="2025-02-11T10:12:00"/>
    <d v="2025-02-11T12:04:00"/>
    <n v="109.66666666507081"/>
    <m/>
    <d v="2025-02-08T15:39:00"/>
    <d v="2025-02-08T16:32:00"/>
    <n v="51.895833338348893"/>
    <m/>
    <n v="0.12083333333430346"/>
    <n v="2"/>
    <n v="1.8791666666656965"/>
    <n v="2.9000000000232831"/>
    <n v="0"/>
    <n v="2.9000000000232831"/>
    <n v="2.1724137930860068"/>
    <m/>
    <m/>
    <m/>
    <m/>
    <m/>
  </r>
  <r>
    <d v="2025-02-09T00:00:00"/>
    <x v="1"/>
    <m/>
    <s v="A20629"/>
    <s v="Manual"/>
    <x v="10"/>
    <s v="UBR 903Y"/>
    <s v="KATO INVESTMENTS LTD-KATIKARA"/>
    <n v="6.3"/>
    <s v="A20629"/>
    <s v="OM"/>
    <n v="790"/>
    <n v="792"/>
    <n v="2"/>
    <m/>
    <d v="2025-02-08T05:43:00"/>
    <d v="2025-02-07T20:30:00"/>
    <d v="2025-02-08T06:25:00"/>
    <n v="592.24537037152913"/>
    <n v="41.805555556250816"/>
    <x v="0"/>
    <d v="2025-02-12T15:42:00"/>
    <d v="2025-02-12T17:50:00"/>
    <n v="125.33333333150949"/>
    <m/>
    <d v="2025-02-10T09:38:00"/>
    <d v="2025-02-10T10:31:00"/>
    <n v="51.895833338348893"/>
    <m/>
    <n v="2.1340277777781012"/>
    <n v="3"/>
    <n v="0.86597222222189885"/>
    <n v="51.216666666674428"/>
    <n v="24"/>
    <n v="27.216666666674428"/>
    <n v="0.23147581139001361"/>
    <m/>
    <m/>
    <m/>
    <m/>
    <m/>
  </r>
  <r>
    <d v="2025-02-09T00:00:00"/>
    <x v="1"/>
    <m/>
    <s v="Z82562"/>
    <s v="Manual"/>
    <x v="46"/>
    <s v="UBE 678K"/>
    <s v="Kabaco U Ltd "/>
    <n v="156"/>
    <s v="Z82562"/>
    <s v="OM"/>
    <n v="320"/>
    <n v="322"/>
    <n v="2"/>
    <m/>
    <d v="2025-02-08T12:01:00"/>
    <d v="2025-02-08T07:42:00"/>
    <d v="2025-02-08T12:45:00"/>
    <n v="301.59722222500324"/>
    <n v="43.796296293051761"/>
    <x v="0"/>
    <d v="2025-02-08T13:15:00"/>
    <d v="2025-02-08T19:22:00"/>
    <n v="359.35416665823141"/>
    <s v="Dj failure at customer"/>
    <d v="2025-02-08T20:14:00"/>
    <d v="2025-02-08T21:10:00"/>
    <n v="54.833333337664953"/>
    <m/>
    <n v="0.31180555555329192"/>
    <n v="2"/>
    <n v="1.6881944444467081"/>
    <n v="7.4833333332790062"/>
    <n v="0"/>
    <n v="7.4833333332790062"/>
    <n v="20.8463251671892"/>
    <m/>
    <m/>
    <m/>
    <m/>
    <m/>
  </r>
  <r>
    <d v="2025-02-09T00:00:00"/>
    <x v="1"/>
    <m/>
    <s v="A20628"/>
    <s v="Manual"/>
    <x v="33"/>
    <s v="UBR 541W"/>
    <s v="Kato Investments Ltd- Kyegegwa"/>
    <n v="70.8"/>
    <s v="A20628"/>
    <s v="OM"/>
    <n v="600"/>
    <n v="602"/>
    <n v="2"/>
    <m/>
    <d v="2025-02-08T07:15:00"/>
    <d v="2025-02-08T07:42:00"/>
    <d v="2025-02-08T07:56:00"/>
    <n v="13.935185188893229"/>
    <n v="40.810185182635905"/>
    <x v="0"/>
    <d v="2025-02-08T08:38:00"/>
    <d v="2025-02-08T15:07:00"/>
    <n v="380.89583333356131"/>
    <s v="Waited for empties from trade"/>
    <d v="2025-02-08T15:39:00"/>
    <d v="2025-02-08T16:33:00"/>
    <n v="52.87499999794818"/>
    <m/>
    <n v="0.32152777777810115"/>
    <n v="3"/>
    <n v="2.6784722222218988"/>
    <n v="7.7166666666744277"/>
    <n v="0"/>
    <n v="7.7166666666744277"/>
    <n v="9.1749460043104261"/>
    <m/>
    <m/>
    <m/>
    <m/>
    <m/>
  </r>
  <r>
    <d v="2025-02-09T00:00:00"/>
    <x v="1"/>
    <m/>
    <s v="Z82563"/>
    <s v="Manual"/>
    <x v="10"/>
    <s v="UBF 369L"/>
    <s v="Rugoma Traders-Rukungiri"/>
    <n v="156"/>
    <s v="Z82563"/>
    <s v="OM"/>
    <n v="256"/>
    <n v="258"/>
    <n v="2"/>
    <m/>
    <d v="2025-02-09T07:13:00"/>
    <d v="2025-02-09T07:14:00"/>
    <d v="2025-02-09T07:55:00"/>
    <n v="40.810185182635905"/>
    <n v="41.805555556250816"/>
    <x v="0"/>
    <d v="2025-02-09T07:04:00"/>
    <d v="2025-02-09T22:06:00"/>
    <n v="883.20833332945767"/>
    <s v="found another truck at the RD"/>
    <d v="2025-02-10T16:21:00"/>
    <d v="2025-02-10T17:19:00"/>
    <n v="56.791666667122627"/>
    <m/>
    <n v="1.351388888891961"/>
    <n v="2"/>
    <n v="0.64861111110803904"/>
    <n v="32.433333333407063"/>
    <n v="12"/>
    <n v="20.433333333407063"/>
    <n v="7.6345840130230229"/>
    <m/>
    <m/>
    <m/>
    <m/>
    <m/>
  </r>
  <r>
    <d v="2025-02-09T00:00:00"/>
    <x v="1"/>
    <m/>
    <s v="F15868"/>
    <s v="Manual"/>
    <x v="10"/>
    <s v="UBR 868Y"/>
    <s v="Boniface Harera"/>
    <n v="156"/>
    <s v="F15868"/>
    <s v="OM"/>
    <n v="448"/>
    <n v="447"/>
    <n v="-1"/>
    <m/>
    <d v="2025-02-08T18:04:00"/>
    <d v="2025-02-08T17:54:00"/>
    <d v="2025-02-08T18:45:00"/>
    <n v="50.763888887498375"/>
    <n v="40.810185182635905"/>
    <x v="0"/>
    <d v="2025-02-09T13:54:00"/>
    <d v="2025-02-09T16:28:00"/>
    <n v="150.79166666575475"/>
    <m/>
    <d v="2025-02-11T09:40:00"/>
    <d v="2025-02-11T10:31:00"/>
    <n v="49.93749999863212"/>
    <m/>
    <n v="2.6215277777810115"/>
    <n v="2"/>
    <n v="-0.62152777778101154"/>
    <n v="62.916666666744277"/>
    <n v="24"/>
    <n v="38.916666666744277"/>
    <n v="4.0085653104845109"/>
    <m/>
    <m/>
    <m/>
    <m/>
    <m/>
  </r>
  <r>
    <d v="2025-02-09T00:00:00"/>
    <x v="1"/>
    <m/>
    <s v="F15870"/>
    <s v="Manual"/>
    <x v="10"/>
    <s v="UBR 534W"/>
    <s v="KATO INVESTMENTS LIMITED-MASAK"/>
    <n v="156"/>
    <s v="F15870"/>
    <s v="OM"/>
    <n v="298"/>
    <n v="297"/>
    <n v="-1"/>
    <s v="Delievered to kalangala"/>
    <d v="2025-02-09T07:22:00"/>
    <d v="2025-02-09T07:53:00"/>
    <d v="2025-02-09T08:03:00"/>
    <n v="9.9537037048624679"/>
    <n v="40.810185182635905"/>
    <x v="0"/>
    <d v="2025-02-10T20:22:00"/>
    <d v="2025-02-11T11:48:00"/>
    <n v="906.70833333424525"/>
    <s v="Waited for empties from trade"/>
    <d v="2025-02-10T18:39:00"/>
    <d v="2025-02-10T19:37:00"/>
    <n v="56.791666667122627"/>
    <m/>
    <n v="1.4416666666656965"/>
    <n v="2"/>
    <n v="0.55833333333430346"/>
    <n v="34.599999999976717"/>
    <n v="12"/>
    <n v="22.599999999976717"/>
    <n v="6.9026548672637489"/>
    <m/>
    <m/>
    <m/>
    <m/>
    <m/>
  </r>
  <r>
    <d v="2025-02-09T00:00:00"/>
    <x v="1"/>
    <m/>
    <s v="Z82565"/>
    <s v="Manual"/>
    <x v="47"/>
    <s v="UBR 538W"/>
    <s v="Kobusinge Acaali- Kyenjojo"/>
    <n v="5.5439999999999996"/>
    <s v="Z82565"/>
    <s v="OM"/>
    <n v="580"/>
    <n v="579"/>
    <n v="-1"/>
    <m/>
    <d v="2025-02-08T21:53:00"/>
    <d v="2025-02-08T22:12:00"/>
    <d v="2025-02-08T22:35:00"/>
    <n v="22.893518520140788"/>
    <n v="41.805555556250816"/>
    <x v="0"/>
    <d v="2025-02-08T18:54:00"/>
    <d v="2025-02-08T21:21:00"/>
    <n v="143.93749999726424"/>
    <m/>
    <d v="2025-02-10T18:39:00"/>
    <d v="2025-02-10T19:39:00"/>
    <n v="58.7499999965803"/>
    <m/>
    <n v="1.836111111115315"/>
    <n v="2"/>
    <n v="0.163888888884685"/>
    <n v="44.06666666676756"/>
    <n v="12"/>
    <n v="32.06666666676756"/>
    <n v="0.17288981288926891"/>
    <m/>
    <m/>
    <m/>
    <m/>
    <m/>
  </r>
  <r>
    <d v="2025-02-09T00:00:00"/>
    <x v="1"/>
    <m/>
    <s v="OM3EGIHRR"/>
    <s v="DJ"/>
    <x v="2"/>
    <s v="UBE 287X"/>
    <s v="Sawan Distributors Ltd-Nabingo "/>
    <n v="153.6"/>
    <s v="OM3EGIHRR"/>
    <s v="OM"/>
    <n v="560"/>
    <n v="561"/>
    <n v="1"/>
    <m/>
    <d v="2025-02-09T09:44:00"/>
    <d v="2025-02-09T10:11:00"/>
    <d v="2025-02-09T10:28:00"/>
    <n v="16.921296299309081"/>
    <n v="43.796296293051761"/>
    <x v="0"/>
    <d v="2025-02-09T16:04:00"/>
    <d v="2025-02-09T18:14:00"/>
    <n v="127.29166667122627"/>
    <m/>
    <d v="2025-02-11T07:31:00"/>
    <d v="2025-02-11T08:29:00"/>
    <n v="56.791666667122627"/>
    <m/>
    <n v="1.8770833333328483"/>
    <n v="2"/>
    <n v="0.12291666666715173"/>
    <n v="45.049999999988358"/>
    <n v="12"/>
    <n v="33.049999999988358"/>
    <n v="4.6475037821498972"/>
    <m/>
    <m/>
    <m/>
    <m/>
    <m/>
  </r>
  <r>
    <d v="2025-02-09T00:00:00"/>
    <x v="1"/>
    <m/>
    <s v="OMWUMP8RR"/>
    <s v="DJ"/>
    <x v="8"/>
    <s v="UBK 875R"/>
    <s v="Kato Investment Ltd -Mityana "/>
    <n v="153.6"/>
    <s v="OMWUMP8RR"/>
    <s v="OM"/>
    <n v="690"/>
    <n v="689"/>
    <n v="-1"/>
    <m/>
    <d v="2025-02-08T18:50:00"/>
    <d v="2025-02-08T19:08:00"/>
    <d v="2025-02-08T19:31:00"/>
    <n v="22.893518520140788"/>
    <n v="40.810185182635905"/>
    <x v="0"/>
    <d v="2025-02-09T18:01:00"/>
    <d v="2025-02-09T20:54:00"/>
    <n v="169.39583333150949"/>
    <m/>
    <d v="2025-02-11T07:31:00"/>
    <d v="2025-02-11T08:31:00"/>
    <n v="58.7499999965803"/>
    <m/>
    <n v="2.5"/>
    <n v="2"/>
    <n v="-0.5"/>
    <n v="60"/>
    <n v="24"/>
    <n v="36"/>
    <n v="4.2666666666666666"/>
    <m/>
    <m/>
    <m/>
    <m/>
    <m/>
  </r>
  <r>
    <d v="2025-02-09T00:00:00"/>
    <x v="1"/>
    <m/>
    <s v="OMZIMCMRR"/>
    <s v="DJ"/>
    <x v="7"/>
    <s v="UAY 526V"/>
    <s v="KATO INVESTMENTS LIMITED-MASAK"/>
    <n v="153.6"/>
    <s v="OMZIMCMRR"/>
    <s v="OM"/>
    <n v="298"/>
    <n v="300"/>
    <n v="2"/>
    <m/>
    <d v="2025-02-10T12:21:00"/>
    <d v="2025-02-10T12:51:00"/>
    <d v="2025-02-10T13:03:00"/>
    <n v="11.944444441663412"/>
    <n v="41.805555556250816"/>
    <x v="0"/>
    <d v="2025-02-10T14:18:00"/>
    <d v="2025-02-10T16:48:00"/>
    <n v="146.8749999965803"/>
    <m/>
    <d v="2025-02-11T08:03:00"/>
    <d v="2025-02-11T08:56:00"/>
    <n v="51.895833338348893"/>
    <m/>
    <n v="0.79166666667151731"/>
    <n v="2"/>
    <n v="1.2083333333284827"/>
    <n v="19.000000000116415"/>
    <n v="0"/>
    <n v="19.000000000116415"/>
    <n v="8.084210526266256"/>
    <m/>
    <m/>
    <m/>
    <m/>
    <m/>
  </r>
  <r>
    <d v="2025-02-09T00:00:00"/>
    <x v="1"/>
    <m/>
    <s v="OMU699YRR"/>
    <s v="DJ"/>
    <x v="4"/>
    <s v="UBE 422T"/>
    <s v="Kato Investment Ltd -Mityana "/>
    <n v="153.6"/>
    <s v="OMU699YRR"/>
    <s v="OM"/>
    <n v="690"/>
    <n v="688"/>
    <n v="-2"/>
    <m/>
    <d v="2025-02-09T07:21:00"/>
    <d v="2025-02-09T07:20:00"/>
    <d v="2025-02-09T08:03:00"/>
    <n v="42.80092592986572"/>
    <n v="41.805555556250816"/>
    <x v="0"/>
    <d v="2025-02-10T10:06:00"/>
    <d v="2025-02-10T18:15:00"/>
    <n v="478.81250000136788"/>
    <s v="Not enough casuals to offload"/>
    <d v="2025-02-11T19:54:00"/>
    <d v="2025-02-11T20:48:00"/>
    <n v="52.87499999794818"/>
    <m/>
    <n v="2.4937500000014552"/>
    <n v="2"/>
    <n v="-0.49375000000145519"/>
    <n v="59.850000000034925"/>
    <n v="24"/>
    <n v="35.850000000034925"/>
    <n v="4.2845188284477089"/>
    <m/>
    <m/>
    <m/>
    <m/>
    <m/>
  </r>
  <r>
    <d v="2025-02-09T00:00:00"/>
    <x v="1"/>
    <m/>
    <s v="OMAKGLLRR"/>
    <s v="DJ"/>
    <x v="3"/>
    <s v="UBK 881R"/>
    <s v="KATO INVESTMENTS LIMITED-MASAK"/>
    <n v="153.6"/>
    <s v="OMAKGLLRR"/>
    <s v="OM"/>
    <n v="560"/>
    <n v="562"/>
    <n v="2"/>
    <m/>
    <d v="2025-02-10T07:19:00"/>
    <d v="2025-02-09T09:00:00"/>
    <d v="2025-02-10T08:03:00"/>
    <n v="1376.5972222250032"/>
    <n v="43.796296293051761"/>
    <x v="0"/>
    <d v="2025-02-11T09:57:00"/>
    <d v="2025-02-11T13:11:00"/>
    <n v="189.95833333698101"/>
    <s v="Waited for empties from trade"/>
    <d v="2025-02-12T06:43:00"/>
    <d v="2025-02-12T07:39:00"/>
    <n v="54.833333337664953"/>
    <m/>
    <n v="1.9444444444452529"/>
    <n v="2"/>
    <n v="5.5555555554747116E-2"/>
    <n v="46.666666666686069"/>
    <n v="12"/>
    <n v="34.666666666686069"/>
    <n v="4.4307692307667503"/>
    <m/>
    <m/>
    <m/>
    <m/>
    <m/>
  </r>
  <r>
    <d v="2025-02-10T00:00:00"/>
    <x v="1"/>
    <m/>
    <s v="Z82576"/>
    <s v="Manual"/>
    <x v="32"/>
    <s v="UBJ 703D"/>
    <s v="Kobusinge Steven-FPortal"/>
    <n v="156"/>
    <s v="Z82576"/>
    <s v="OM"/>
    <n v="298"/>
    <n v="300"/>
    <n v="2"/>
    <m/>
    <d v="2025-02-10T10:57:00"/>
    <d v="2025-02-09T10:00:00"/>
    <d v="2025-02-10T11:38:00"/>
    <n v="1530.8796296347282"/>
    <n v="40.810185182635905"/>
    <x v="0"/>
    <d v="2025-02-11T09:57:00"/>
    <d v="2025-02-11T13:11:00"/>
    <n v="189.95833333698101"/>
    <s v="slept at the RD and offloaded the next day"/>
    <d v="2025-02-10T14:54:00"/>
    <d v="2025-02-10T15:43:00"/>
    <n v="47.979166669174447"/>
    <m/>
    <n v="0.13611111111094942"/>
    <n v="2"/>
    <n v="1.8638888888890506"/>
    <n v="3.2666666666627862"/>
    <n v="0"/>
    <n v="3.2666666666627862"/>
    <n v="47.755102040873055"/>
    <m/>
    <m/>
    <m/>
    <m/>
    <m/>
  </r>
  <r>
    <d v="2025-02-10T00:00:00"/>
    <x v="1"/>
    <m/>
    <s v="Z82578"/>
    <s v="Manual"/>
    <x v="34"/>
    <s v="UBP 301H"/>
    <s v="Kobusinge Steven-Kamwenge"/>
    <n v="156"/>
    <s v="Z82578"/>
    <s v="OM"/>
    <n v="288"/>
    <n v="285"/>
    <n v="-3"/>
    <m/>
    <d v="2025-02-10T10:54:00"/>
    <d v="2025-02-09T10:00:00"/>
    <d v="2025-02-10T11:38:00"/>
    <n v="1530.8796296347282"/>
    <n v="43.796296293051761"/>
    <x v="0"/>
    <d v="2025-02-11T10:12:00"/>
    <d v="2025-02-11T12:04:00"/>
    <n v="109.66666666507081"/>
    <m/>
    <d v="2025-02-12T06:43:00"/>
    <d v="2025-02-12T07:39:00"/>
    <n v="54.833333337664953"/>
    <m/>
    <n v="1.7951388888905058"/>
    <n v="2"/>
    <n v="0.20486111110949423"/>
    <n v="43.083333333372138"/>
    <n v="12"/>
    <n v="31.083333333372138"/>
    <n v="5.0187667560259062"/>
    <m/>
    <m/>
    <m/>
    <m/>
    <m/>
  </r>
  <r>
    <d v="2025-02-10T00:00:00"/>
    <x v="1"/>
    <m/>
    <s v="Z82584"/>
    <s v="Manual"/>
    <x v="43"/>
    <s v="UBJ 419C"/>
    <s v="Kabaco U Ltd "/>
    <n v="156"/>
    <s v="Z82584"/>
    <s v="OM"/>
    <n v="320"/>
    <n v="322"/>
    <n v="2"/>
    <m/>
    <d v="2025-02-10T07:20:00"/>
    <d v="2025-02-09T09:00:00"/>
    <d v="2025-02-10T08:03:00"/>
    <n v="1376.5972222250032"/>
    <n v="42.80092592986572"/>
    <x v="0"/>
    <d v="2025-02-12T15:42:00"/>
    <d v="2025-02-12T17:50:00"/>
    <n v="125.33333333150949"/>
    <m/>
    <d v="2025-02-11T09:53:00"/>
    <d v="2025-02-11T10:49:00"/>
    <n v="54.833333337664953"/>
    <m/>
    <n v="1.0763888888905058"/>
    <n v="2"/>
    <n v="0.92361111110949423"/>
    <n v="25.833333333372138"/>
    <n v="12"/>
    <n v="13.833333333372138"/>
    <n v="11.277108433703305"/>
    <m/>
    <m/>
    <m/>
    <m/>
    <m/>
  </r>
  <r>
    <d v="2025-02-10T00:00:00"/>
    <x v="1"/>
    <m/>
    <s v="Z82579"/>
    <s v="Manual"/>
    <x v="36"/>
    <s v="UBE 680K"/>
    <s v="Rugoma Traders-Rukungiri"/>
    <n v="5.04"/>
    <s v="Z82579"/>
    <s v="OM"/>
    <n v="256"/>
    <n v="253"/>
    <n v="-3"/>
    <m/>
    <d v="2025-02-10T10:05:00"/>
    <d v="2025-02-09T19:35:00"/>
    <d v="2025-02-10T10:49:00"/>
    <n v="909.7685185222266"/>
    <n v="43.796296293051761"/>
    <x v="0"/>
    <d v="2025-02-10T10:06:00"/>
    <d v="2025-02-10T18:15:00"/>
    <n v="478.81250000136788"/>
    <s v="Waited for empties from trade"/>
    <d v="2025-02-11T19:54:00"/>
    <d v="2025-02-11T20:48:00"/>
    <n v="52.87499999794818"/>
    <m/>
    <n v="1.3784722222262644"/>
    <n v="2"/>
    <n v="0.62152777777373558"/>
    <n v="33.083333333430346"/>
    <n v="12"/>
    <n v="21.083333333430346"/>
    <n v="0.23905138339810952"/>
    <m/>
    <m/>
    <m/>
    <m/>
    <m/>
  </r>
  <r>
    <d v="2025-02-10T00:00:00"/>
    <x v="1"/>
    <m/>
    <s v="Z82582"/>
    <s v="Manual"/>
    <x v="25"/>
    <s v="UBJ 420C"/>
    <s v="Kabaco U Ltd "/>
    <n v="5.04"/>
    <s v="Z82582"/>
    <s v="OM"/>
    <n v="320"/>
    <n v="321"/>
    <n v="1"/>
    <m/>
    <d v="2025-02-10T09:47:00"/>
    <d v="2025-02-09T19:37:00"/>
    <d v="2025-02-10T10:28:00"/>
    <n v="886.87500000208581"/>
    <n v="40.810185182635905"/>
    <x v="0"/>
    <d v="2025-02-10T09:50:00"/>
    <d v="2025-02-10T18:58:00"/>
    <n v="536.58333333834889"/>
    <s v="found another truck at the RD"/>
    <d v="2025-02-11T15:58:00"/>
    <d v="2025-02-11T16:52:00"/>
    <n v="52.87499999794818"/>
    <m/>
    <n v="1.2291666666642413"/>
    <n v="2"/>
    <n v="0.77083333333575865"/>
    <n v="29.499999999941792"/>
    <n v="12"/>
    <n v="17.499999999941792"/>
    <n v="0.28800000000095793"/>
    <m/>
    <m/>
    <m/>
    <m/>
    <m/>
  </r>
  <r>
    <d v="2025-02-10T00:00:00"/>
    <x v="1"/>
    <m/>
    <s v="A20645"/>
    <s v="Manual"/>
    <x v="27"/>
    <s v="UBM 648D"/>
    <s v="Kato Investment Ltd -Mubende"/>
    <n v="156"/>
    <s v="A20645"/>
    <s v="OM"/>
    <n v="680"/>
    <n v="679"/>
    <n v="-1"/>
    <m/>
    <d v="2025-02-10T12:20:00"/>
    <d v="2025-02-10T02:22:00"/>
    <d v="2025-02-10T13:03:00"/>
    <n v="638.03240740138187"/>
    <n v="42.80092592986572"/>
    <x v="0"/>
    <d v="2025-02-09T15:00:00"/>
    <d v="2025-02-09T19:18:00"/>
    <n v="252.62500000273576"/>
    <s v="Waited for empties from trade"/>
    <d v="2025-02-10T14:54:00"/>
    <d v="2025-02-10T15:50:00"/>
    <n v="54.833333337664953"/>
    <m/>
    <n v="7.7083333337213844E-2"/>
    <n v="3"/>
    <n v="2.9229166666627862"/>
    <n v="1.8500000000931323"/>
    <n v="0"/>
    <n v="1.8500000000931323"/>
    <n v="84.324324320079285"/>
    <m/>
    <m/>
    <m/>
    <m/>
    <m/>
  </r>
  <r>
    <d v="2025-02-10T00:00:00"/>
    <x v="1"/>
    <m/>
    <s v="Z82577"/>
    <s v="Manual"/>
    <x v="10"/>
    <s v="UBR 537W"/>
    <s v="Kobusinge Steven-Kamwenge"/>
    <n v="156"/>
    <s v="Z82577"/>
    <s v="OM"/>
    <n v="288"/>
    <n v="290"/>
    <n v="2"/>
    <m/>
    <d v="2025-02-10T20:29:00"/>
    <d v="2025-02-10T20:30:00"/>
    <d v="2025-02-10T21:13:00"/>
    <n v="42.80092592986572"/>
    <n v="43.796296293051761"/>
    <x v="0"/>
    <d v="2025-02-10T17:14:00"/>
    <d v="2025-02-10T20:51:00"/>
    <n v="212.47916667191021"/>
    <s v="Waited for empties from trade"/>
    <d v="2025-02-13T17:07:00"/>
    <d v="2025-02-13T17:56:00"/>
    <n v="47.979166669174447"/>
    <m/>
    <n v="2.8291666666627862"/>
    <n v="2"/>
    <n v="-0.82916666666278616"/>
    <n v="67.899999999906868"/>
    <n v="24"/>
    <n v="43.899999999906868"/>
    <n v="3.5535307517159671"/>
    <m/>
    <m/>
    <m/>
    <m/>
    <m/>
  </r>
  <r>
    <d v="2025-02-10T00:00:00"/>
    <x v="1"/>
    <m/>
    <s v="Z82575"/>
    <s v="Manual"/>
    <x v="24"/>
    <s v="UBP 298H"/>
    <s v="Kobusinge Acaali- Kyenjojo"/>
    <n v="156"/>
    <s v="Z82575"/>
    <s v="OM"/>
    <n v="580"/>
    <n v="579"/>
    <n v="-1"/>
    <m/>
    <d v="2025-02-10T09:14:00"/>
    <d v="2025-02-10T09:51:00"/>
    <d v="2025-02-10T09:55:00"/>
    <n v="3.9814814840307613"/>
    <n v="40.810185182635905"/>
    <x v="0"/>
    <d v="2025-02-10T10:03:00"/>
    <d v="2025-02-10T13:29:00"/>
    <n v="201.70833333424525"/>
    <s v="Reached late and offloaded the next day"/>
    <d v="2025-02-12T10:00:00"/>
    <d v="2025-02-12T10:54:00"/>
    <n v="52.87499999794818"/>
    <m/>
    <n v="2.0034722222189885"/>
    <n v="2"/>
    <n v="-3.4722222189884633E-3"/>
    <n v="48.083333333255723"/>
    <n v="24"/>
    <n v="24.083333333255723"/>
    <n v="6.4775086505399058"/>
    <m/>
    <m/>
    <m/>
    <m/>
    <m/>
  </r>
  <r>
    <d v="2025-02-10T00:00:00"/>
    <x v="1"/>
    <m/>
    <s v="Z82583"/>
    <s v="Manual"/>
    <x v="48"/>
    <s v="UBM 644D"/>
    <s v="Kobusinge Steven-FPortal"/>
    <n v="148.80000000000001"/>
    <s v="Z82583"/>
    <s v="OM"/>
    <n v="304"/>
    <n v="306"/>
    <n v="2"/>
    <m/>
    <d v="2025-02-10T19:36:00"/>
    <d v="2025-02-10T19:37:00"/>
    <d v="2025-02-10T20:20:00"/>
    <n v="42.80092592986572"/>
    <n v="43.796296293051761"/>
    <x v="0"/>
    <d v="2025-02-10T11:01:00"/>
    <d v="2025-02-10T13:14:00"/>
    <n v="130.22916667054233"/>
    <m/>
    <d v="2025-02-11T21:30:00"/>
    <d v="2025-02-11T22:24:00"/>
    <n v="52.87499999794818"/>
    <m/>
    <n v="1.0486111111167702"/>
    <n v="2"/>
    <n v="0.95138888888322981"/>
    <n v="25.166666666802485"/>
    <n v="12"/>
    <n v="13.166666666802485"/>
    <n v="11.301265822668235"/>
    <m/>
    <m/>
    <m/>
    <m/>
    <m/>
  </r>
  <r>
    <d v="2025-02-10T00:00:00"/>
    <x v="1"/>
    <m/>
    <s v="A20647"/>
    <s v="Manual"/>
    <x v="37"/>
    <s v="UBK 866R"/>
    <s v="Kato Investments Ltd- Kyegegwa"/>
    <n v="156"/>
    <s v="A20647"/>
    <s v="OM"/>
    <n v="600"/>
    <n v="602"/>
    <n v="2"/>
    <m/>
    <d v="2025-02-09T19:10:00"/>
    <d v="2025-02-09T19:09:00"/>
    <d v="2025-02-09T19:52:00"/>
    <n v="42.80092592986572"/>
    <n v="41.805555556250816"/>
    <x v="0"/>
    <d v="2025-02-11T11:35:00"/>
    <d v="2025-02-11T13:47:00"/>
    <n v="129.25000000068394"/>
    <m/>
    <d v="2025-02-12T12:41:00"/>
    <d v="2025-02-12T13:41:00"/>
    <n v="58.7499999965803"/>
    <m/>
    <n v="2.7006944444437977"/>
    <n v="2"/>
    <n v="-0.70069444444379769"/>
    <n v="64.816666666651145"/>
    <n v="24"/>
    <n v="40.816666666651145"/>
    <n v="3.8219681502668679"/>
    <m/>
    <m/>
    <m/>
    <m/>
    <m/>
  </r>
  <r>
    <d v="2025-02-10T00:00:00"/>
    <x v="1"/>
    <m/>
    <s v="Z82574"/>
    <s v="Manual"/>
    <x v="10"/>
    <s v="UBR 533W"/>
    <s v="Kobusinge Acaali- Kyenjojo"/>
    <n v="156"/>
    <s v="Z82574"/>
    <s v="OM"/>
    <n v="580"/>
    <n v="581"/>
    <n v="1"/>
    <m/>
    <d v="2025-02-10T08:52:00"/>
    <d v="2025-02-10T08:50:00"/>
    <d v="2025-02-10T09:33:00"/>
    <n v="42.80092592986572"/>
    <n v="40.810185182635905"/>
    <x v="0"/>
    <d v="2025-02-13T12:57:00"/>
    <d v="2025-02-13T15:00:00"/>
    <n v="120.43750000273576"/>
    <m/>
    <d v="2025-02-12T08:42:00"/>
    <d v="2025-02-12T09:29:00"/>
    <n v="46.020833329457673"/>
    <m/>
    <n v="1.9645833333343035"/>
    <n v="2"/>
    <n v="3.5416666665696539E-2"/>
    <n v="47.150000000023283"/>
    <n v="12"/>
    <n v="35.150000000023283"/>
    <n v="4.4381223328562349"/>
    <m/>
    <m/>
    <m/>
    <m/>
    <m/>
  </r>
  <r>
    <d v="2025-02-11T00:00:00"/>
    <x v="1"/>
    <m/>
    <s v="A20657"/>
    <s v="Manual"/>
    <x v="10"/>
    <s v="UBR 534W"/>
    <s v="Kato Investments Ltd- Kakumiro"/>
    <n v="36"/>
    <s v="A20657"/>
    <s v="OM"/>
    <n v="790"/>
    <n v="792"/>
    <n v="2"/>
    <m/>
    <d v="2025-02-10T19:38:00"/>
    <d v="2025-02-10T19:37:00"/>
    <d v="2025-02-10T20:20:00"/>
    <n v="42.80092592986572"/>
    <n v="41.805555556250816"/>
    <x v="0"/>
    <d v="2025-02-12T09:43:00"/>
    <d v="2025-02-12T12:37:00"/>
    <n v="170.37500000136788"/>
    <m/>
    <d v="2025-02-13T17:07:00"/>
    <d v="2025-02-13T17:52:00"/>
    <n v="44.0625"/>
    <m/>
    <n v="2.8659722222218988"/>
    <n v="2"/>
    <n v="-0.86597222222189885"/>
    <n v="68.783333333325572"/>
    <n v="24"/>
    <n v="44.783333333325572"/>
    <n v="0.80387048753270351"/>
    <m/>
    <m/>
    <m/>
    <m/>
    <m/>
  </r>
  <r>
    <d v="2025-02-11T00:00:00"/>
    <x v="1"/>
    <m/>
    <s v="A20659"/>
    <s v="Manual"/>
    <x v="49"/>
    <s v="UBR 539W"/>
    <s v="Kato Investment Ltd -Mubende"/>
    <n v="156"/>
    <s v="A20659"/>
    <s v="OM"/>
    <n v="680"/>
    <n v="678"/>
    <n v="-2"/>
    <m/>
    <d v="2025-02-10T20:30:00"/>
    <d v="2025-02-10T19:48:00"/>
    <d v="2025-02-10T21:13:00"/>
    <n v="84.606481486116536"/>
    <n v="42.80092592986572"/>
    <x v="0"/>
    <d v="2025-02-11T09:57:00"/>
    <d v="2025-02-11T13:11:00"/>
    <n v="189.95833333698101"/>
    <s v="less casuals and offloaded the next day"/>
    <d v="2025-02-12T10:00:00"/>
    <d v="2025-02-12T11:00:00"/>
    <n v="58.7499999965803"/>
    <m/>
    <n v="1.5326388888861402"/>
    <n v="2"/>
    <n v="0.46736111111385981"/>
    <n v="36.783333333267365"/>
    <n v="12"/>
    <n v="24.783333333267365"/>
    <n v="6.2945527908708234"/>
    <m/>
    <m/>
    <m/>
    <m/>
    <m/>
  </r>
  <r>
    <d v="2025-02-11T00:00:00"/>
    <x v="1"/>
    <m/>
    <s v="Z82591"/>
    <s v="Manual"/>
    <x v="45"/>
    <s v="UBP 310H"/>
    <s v="Kabaco U Ltd "/>
    <n v="156"/>
    <s v="Z82591"/>
    <s v="OM"/>
    <n v="320"/>
    <n v="319"/>
    <n v="-1"/>
    <m/>
    <d v="2025-02-10T09:13:00"/>
    <d v="2025-02-10T09:44:00"/>
    <d v="2025-02-10T09:55:00"/>
    <n v="10.949074078477375"/>
    <n v="41.805555556250816"/>
    <x v="0"/>
    <d v="2025-02-10T18:37:00"/>
    <d v="2025-02-11T09:23:00"/>
    <n v="867.54166667327809"/>
    <m/>
    <d v="2025-02-11T21:30:00"/>
    <d v="2025-02-11T22:15:00"/>
    <n v="44.0625"/>
    <m/>
    <n v="1.4826388888905058"/>
    <n v="2"/>
    <n v="0.51736111110949423"/>
    <n v="35.583333333372138"/>
    <n v="12"/>
    <n v="23.583333333372138"/>
    <n v="6.6148409893884086"/>
    <m/>
    <m/>
    <m/>
    <m/>
    <m/>
  </r>
  <r>
    <d v="2025-02-11T00:00:00"/>
    <x v="1"/>
    <m/>
    <s v="Z82590"/>
    <s v="Manual"/>
    <x v="10"/>
    <s v="UBG 084B"/>
    <s v="Kobusinge Steven-FPortal"/>
    <n v="134.4"/>
    <s v="Z82590"/>
    <s v="OM"/>
    <n v="304"/>
    <n v="302"/>
    <n v="-2"/>
    <m/>
    <d v="2025-02-10T08:52:00"/>
    <d v="2025-02-10T08:20:00"/>
    <d v="2025-02-10T09:33:00"/>
    <n v="72.662037034024252"/>
    <n v="40.810185182635905"/>
    <x v="0"/>
    <d v="2025-02-12T09:43:00"/>
    <d v="2025-02-12T12:21:00"/>
    <n v="154.70833333492919"/>
    <m/>
    <d v="2025-02-12T12:41:00"/>
    <d v="2025-02-12T13:37:00"/>
    <n v="54.833333337664953"/>
    <m/>
    <n v="2.1305555555518367"/>
    <n v="2"/>
    <n v="-0.13055555555183673"/>
    <n v="51.133333333244082"/>
    <n v="24"/>
    <n v="27.133333333244082"/>
    <n v="4.9533169533332471"/>
    <m/>
    <m/>
    <m/>
    <m/>
    <m/>
  </r>
  <r>
    <d v="2025-02-11T00:00:00"/>
    <x v="1"/>
    <m/>
    <s v="F15881"/>
    <s v="Manual"/>
    <x v="10"/>
    <s v="UBR 535W"/>
    <s v="Boniface Harera"/>
    <n v="148.80000000000001"/>
    <s v="F15881"/>
    <s v="OM"/>
    <n v="448"/>
    <n v="449"/>
    <n v="1"/>
    <m/>
    <d v="2025-02-10T20:31:00"/>
    <d v="2025-02-10T20:32:00"/>
    <d v="2025-02-10T21:13:00"/>
    <n v="40.810185182635905"/>
    <n v="41.805555556250816"/>
    <x v="0"/>
    <d v="2025-02-11T09:43:00"/>
    <d v="2025-02-11T11:45:00"/>
    <n v="119.45833333287737"/>
    <m/>
    <d v="2025-02-12T12:41:00"/>
    <d v="2025-02-12T13:30:00"/>
    <n v="47.979166669174447"/>
    <m/>
    <n v="1.6444444444423425"/>
    <n v="2"/>
    <n v="0.3555555555576575"/>
    <n v="39.46666666661622"/>
    <n v="12"/>
    <n v="27.46666666661622"/>
    <n v="5.4174757281652903"/>
    <m/>
    <m/>
    <m/>
    <m/>
    <m/>
  </r>
  <r>
    <d v="2025-02-11T00:00:00"/>
    <x v="1"/>
    <m/>
    <s v="OM2FJTZRR"/>
    <s v="DJ"/>
    <x v="2"/>
    <s v="UBE 287X"/>
    <s v="KATO INVESTMENTS LIMITED-MASAK "/>
    <n v="153.6"/>
    <s v="OM2FJTZRR"/>
    <s v="OM"/>
    <n v="298"/>
    <n v="295"/>
    <n v="-3"/>
    <m/>
    <d v="2025-02-13T19:36:00"/>
    <d v="2025-02-13T20:05:00"/>
    <d v="2025-02-13T20:17:00"/>
    <n v="11.944444441663412"/>
    <n v="40.810185182635905"/>
    <x v="0"/>
    <d v="2025-02-11T10:12:00"/>
    <d v="2025-02-11T12:04:00"/>
    <n v="109.66666666507081"/>
    <m/>
    <d v="2025-02-14T19:21:00"/>
    <d v="2025-02-14T20:16:00"/>
    <n v="53.854166667806567"/>
    <m/>
    <n v="0.961111111115315"/>
    <n v="2"/>
    <n v="1.038888888884685"/>
    <n v="23.06666666676756"/>
    <n v="0"/>
    <n v="23.06666666676756"/>
    <n v="6.6589595375431276"/>
    <m/>
    <m/>
    <m/>
    <m/>
    <m/>
  </r>
  <r>
    <d v="2025-02-11T00:00:00"/>
    <x v="1"/>
    <m/>
    <s v="OM5KX1ZRR"/>
    <s v="DJ"/>
    <x v="25"/>
    <s v="UBJ 420C"/>
    <s v="Kabaco U Ltd "/>
    <n v="156"/>
    <s v="OM5KX1ZRR"/>
    <s v="OM"/>
    <n v="320"/>
    <n v="58"/>
    <n v="-262"/>
    <m/>
    <d v="2025-02-13T16:44:00"/>
    <d v="2025-02-13T16:13:00"/>
    <d v="2025-02-13T17:26:00"/>
    <n v="72.662037034024252"/>
    <n v="41.805555556250816"/>
    <x v="0"/>
    <d v="2025-02-12T15:42:00"/>
    <d v="2025-02-12T17:50:00"/>
    <n v="125.33333333150949"/>
    <m/>
    <d v="2025-02-14T12:52:00"/>
    <d v="2025-02-14T13:40:00"/>
    <n v="46.99999999931606"/>
    <m/>
    <n v="0.80972222222044365"/>
    <n v="2"/>
    <n v="1.1902777777795563"/>
    <n v="19.433333333290648"/>
    <n v="0"/>
    <n v="19.433333333290648"/>
    <n v="8.0274442538769808"/>
    <m/>
    <m/>
    <m/>
    <m/>
    <m/>
  </r>
  <r>
    <d v="2025-02-11T00:00:00"/>
    <x v="1"/>
    <m/>
    <s v="OMATXRURR"/>
    <s v="DJ"/>
    <x v="8"/>
    <s v="UBK 875R"/>
    <s v="Ntale and Sons"/>
    <n v="153.6"/>
    <s v="OMATXRURR"/>
    <s v="OM"/>
    <n v="810"/>
    <n v="807"/>
    <n v="-3"/>
    <m/>
    <d v="2025-02-13T14:25:00"/>
    <d v="2025-02-13T13:54:00"/>
    <d v="2025-02-13T15:07:00"/>
    <n v="72.662037034024252"/>
    <n v="41.805555556250816"/>
    <x v="0"/>
    <d v="2025-02-11T14:14:00"/>
    <d v="2025-02-11T16:52:00"/>
    <n v="154.70833333492919"/>
    <m/>
    <d v="2025-02-14T13:47:00"/>
    <d v="2025-02-14T14:38:00"/>
    <n v="49.93749999863212"/>
    <m/>
    <n v="0.94444444444525288"/>
    <n v="3"/>
    <n v="2.0555555555547471"/>
    <n v="22.666666666686069"/>
    <n v="0"/>
    <n v="22.666666666686069"/>
    <n v="6.7764705882294933"/>
    <m/>
    <m/>
    <m/>
    <m/>
    <m/>
  </r>
  <r>
    <d v="2025-02-11T00:00:00"/>
    <x v="1"/>
    <m/>
    <s v="OMJBBX8RR"/>
    <s v="DJ"/>
    <x v="12"/>
    <s v="UBJ 415C"/>
    <s v="KATO INVESTMENTS LIMITED-MASAK "/>
    <n v="153.6"/>
    <s v="OMJBBX8RR"/>
    <s v="OM"/>
    <n v="298"/>
    <n v="296"/>
    <n v="-2"/>
    <m/>
    <d v="2025-02-13T13:29:00"/>
    <d v="2025-02-13T13:29:00"/>
    <d v="2025-02-13T14:10:00"/>
    <n v="40.810185182635905"/>
    <n v="40.810185182635905"/>
    <x v="0"/>
    <d v="2025-02-12T07:12:00"/>
    <d v="2025-02-12T16:14:00"/>
    <n v="530.70833332945767"/>
    <s v="space consquents"/>
    <d v="2025-02-13T18:31:00"/>
    <d v="2025-02-13T19:26:00"/>
    <n v="53.854166667806567"/>
    <m/>
    <n v="0.18124999999417923"/>
    <n v="2"/>
    <n v="1.8187500000058208"/>
    <n v="4.3499999998603016"/>
    <n v="0"/>
    <n v="4.3499999998603016"/>
    <n v="35.310344828720183"/>
    <m/>
    <m/>
    <m/>
    <m/>
    <m/>
  </r>
  <r>
    <d v="2025-02-11T00:00:00"/>
    <x v="1"/>
    <m/>
    <s v="OMN4OBMRR"/>
    <s v="DJ"/>
    <x v="20"/>
    <s v="UAY 265V"/>
    <s v="Ntale and Sons"/>
    <n v="153.6"/>
    <s v="OMN4OBMRR"/>
    <s v="OM"/>
    <n v="810"/>
    <n v="812"/>
    <n v="2"/>
    <m/>
    <d v="2025-02-11T09:18:00"/>
    <d v="2025-02-11T09:21:00"/>
    <d v="2025-02-11T10:02:00"/>
    <n v="40.810185182635905"/>
    <n v="43.796296293051761"/>
    <x v="0"/>
    <d v="2025-02-14T10:22:00"/>
    <d v="2025-02-14T13:16:00"/>
    <n v="170.37500000136788"/>
    <m/>
    <d v="2025-02-16T11:44:00"/>
    <d v="2025-02-16T12:34:00"/>
    <n v="48.958333328773733"/>
    <m/>
    <n v="5.0708333333313931"/>
    <n v="2"/>
    <n v="-3.0708333333313931"/>
    <n v="121.69999999995343"/>
    <n v="60"/>
    <n v="61.699999999953434"/>
    <n v="2.4894651539727053"/>
    <m/>
    <m/>
    <m/>
    <m/>
    <m/>
  </r>
  <r>
    <d v="2025-02-11T00:00:00"/>
    <x v="1"/>
    <m/>
    <s v="OMOF3KLRR"/>
    <s v="DJ"/>
    <x v="1"/>
    <s v="UBJ 375N"/>
    <s v="KATO INVESTMENTS LIMITED-MASAK "/>
    <n v="153.6"/>
    <s v="OMOF3KLRR"/>
    <s v="OM"/>
    <n v="298"/>
    <n v="148"/>
    <n v="-150"/>
    <s v="Delievered to Lyantonde"/>
    <d v="2025-02-11T14:52:00"/>
    <d v="2025-02-11T15:17:00"/>
    <d v="2025-02-11T15:36:00"/>
    <n v="18.912037036110025"/>
    <n v="43.796296293051761"/>
    <x v="0"/>
    <d v="2025-02-15T18:17:00"/>
    <d v="2025-02-15T20:34:00"/>
    <n v="134.14583332945767"/>
    <m/>
    <d v="2025-02-17T09:41:00"/>
    <d v="2025-02-17T10:35:00"/>
    <n v="52.87499999794818"/>
    <m/>
    <n v="5.7534722222189885"/>
    <n v="2"/>
    <n v="-3.7534722222189885"/>
    <n v="138.08333333325572"/>
    <n v="60"/>
    <n v="78.083333333255723"/>
    <n v="1.9671291355409093"/>
    <m/>
    <m/>
    <m/>
    <m/>
    <m/>
  </r>
  <r>
    <d v="2025-02-11T00:00:00"/>
    <x v="1"/>
    <m/>
    <s v="OMWCMJWRR"/>
    <s v="DJ"/>
    <x v="7"/>
    <s v="UAY 526V"/>
    <s v="RUGOMA TRADERS CO. LTD NTUNGAM "/>
    <n v="153.6"/>
    <s v="OMWCMJWRR"/>
    <s v="OM"/>
    <n v="150"/>
    <n v="149"/>
    <n v="-1"/>
    <m/>
    <d v="2025-02-11T12:17:00"/>
    <d v="2025-02-11T12:16:00"/>
    <d v="2025-02-11T12:59:00"/>
    <n v="42.80092592986572"/>
    <n v="41.805555556250816"/>
    <x v="0"/>
    <d v="2025-02-15T08:03:00"/>
    <d v="2025-02-15T14:44:00"/>
    <n v="392.64583333082555"/>
    <s v="Waited for empties from trade"/>
    <d v="2025-02-16T20:14:00"/>
    <d v="2025-02-16T21:10:00"/>
    <n v="54.833333337664953"/>
    <m/>
    <n v="5.3020833333284827"/>
    <n v="1"/>
    <n v="-4.3020833333284827"/>
    <n v="127.24999999988358"/>
    <n v="60"/>
    <n v="67.249999999883585"/>
    <n v="2.2840148698924296"/>
    <m/>
    <m/>
    <m/>
    <m/>
    <m/>
  </r>
  <r>
    <d v="2025-02-12T00:00:00"/>
    <x v="1"/>
    <m/>
    <s v="Z82603"/>
    <s v="Manual"/>
    <x v="10"/>
    <s v="UBR 537W"/>
    <s v="Kabaco U Ltd "/>
    <n v="156"/>
    <s v="Z82603"/>
    <s v="OM"/>
    <n v="320"/>
    <n v="317"/>
    <n v="-3"/>
    <m/>
    <d v="2025-02-13T19:36:00"/>
    <d v="2025-02-10T21:55:00"/>
    <d v="2025-02-13T20:17:00"/>
    <n v="4202.4537036986048"/>
    <n v="40.810185182635905"/>
    <x v="0"/>
    <d v="2025-02-15T08:03:00"/>
    <d v="2025-02-15T14:44:00"/>
    <n v="392.64583333082555"/>
    <s v="Dj failure at customer"/>
    <d v="2025-02-16T20:14:00"/>
    <d v="2025-02-16T21:12:00"/>
    <n v="56.791666667122627"/>
    <m/>
    <n v="2.9979166666671517"/>
    <n v="2"/>
    <n v="-0.99791666666715173"/>
    <n v="71.950000000011642"/>
    <n v="24"/>
    <n v="47.950000000011642"/>
    <n v="3.2533889468188137"/>
    <m/>
    <m/>
    <m/>
    <m/>
    <m/>
  </r>
  <r>
    <d v="2025-02-12T00:00:00"/>
    <x v="1"/>
    <m/>
    <s v="A20677"/>
    <s v="Manual"/>
    <x v="33"/>
    <s v="UBR 541W"/>
    <s v="Kato Investments Ltd- Kakumiro"/>
    <n v="156"/>
    <s v="A20677"/>
    <s v="OM"/>
    <n v="790"/>
    <n v="792"/>
    <n v="2"/>
    <m/>
    <d v="2025-02-13T16:45:00"/>
    <d v="2025-02-11T11:00:00"/>
    <d v="2025-02-13T17:26:00"/>
    <n v="3250.8796296305568"/>
    <n v="40.810185182635905"/>
    <x v="0"/>
    <d v="2025-02-14T09:56:00"/>
    <d v="2025-02-14T19:53:00"/>
    <n v="584.56249999726424"/>
    <s v="Waited for empties from trade"/>
    <d v="2025-02-14T22:23:00"/>
    <d v="2025-02-14T23:23:00"/>
    <n v="58.7499999965803"/>
    <m/>
    <n v="1.2062499999956344"/>
    <n v="3"/>
    <n v="1.7937500000043656"/>
    <n v="28.949999999895226"/>
    <n v="12"/>
    <n v="16.949999999895226"/>
    <n v="9.2035398230657393"/>
    <m/>
    <m/>
    <m/>
    <m/>
    <m/>
  </r>
  <r>
    <d v="2025-02-12T00:00:00"/>
    <x v="1"/>
    <m/>
    <s v="Z82600"/>
    <s v="Manual"/>
    <x v="43"/>
    <s v="UBJ 419C"/>
    <s v="Kobusinge Steven-Kamwenge"/>
    <n v="156"/>
    <s v="Z82600"/>
    <s v="OM"/>
    <n v="288"/>
    <n v="290"/>
    <n v="2"/>
    <m/>
    <d v="2025-02-13T14:25:00"/>
    <d v="2025-02-11T16:40:00"/>
    <d v="2025-02-13T15:07:00"/>
    <n v="2774.0972222229175"/>
    <n v="41.805555556250816"/>
    <x v="0"/>
    <d v="2025-02-14T10:22:00"/>
    <d v="2025-02-14T13:14:00"/>
    <n v="168.41666666165111"/>
    <m/>
    <d v="2025-02-16T11:44:00"/>
    <d v="2025-02-16T12:42:00"/>
    <n v="56.791666667122627"/>
    <m/>
    <n v="2.859027777776646"/>
    <n v="2"/>
    <n v="-0.85902777777664596"/>
    <n v="68.616666666639503"/>
    <n v="24"/>
    <n v="44.616666666639503"/>
    <n v="3.4964512514029504"/>
    <m/>
    <m/>
    <m/>
    <m/>
    <m/>
  </r>
  <r>
    <d v="2025-02-12T00:00:00"/>
    <x v="1"/>
    <m/>
    <s v="Z82599"/>
    <s v="Manual"/>
    <x v="10"/>
    <s v="UBR 868Y"/>
    <s v="Kobusinge Acaali- Kyenjojo"/>
    <n v="156"/>
    <s v="Z82599"/>
    <s v="OM"/>
    <n v="580"/>
    <n v="582"/>
    <n v="2"/>
    <m/>
    <d v="2025-02-11T14:53:00"/>
    <d v="2025-02-11T04:14:00"/>
    <d v="2025-02-11T15:36:00"/>
    <n v="678.84259259444661"/>
    <n v="42.80092592986572"/>
    <x v="0"/>
    <d v="2025-02-12T15:42:00"/>
    <d v="2025-02-12T17:50:00"/>
    <n v="125.33333333150949"/>
    <m/>
    <d v="2025-02-13T13:47:00"/>
    <d v="2025-02-13T14:47:00"/>
    <n v="58.7499999965803"/>
    <m/>
    <n v="1.9243055555562023"/>
    <n v="2"/>
    <n v="7.5694444443797693E-2"/>
    <n v="46.183333333348855"/>
    <n v="12"/>
    <n v="34.183333333348855"/>
    <n v="4.5636274987790104"/>
    <m/>
    <m/>
    <m/>
    <m/>
    <m/>
  </r>
  <r>
    <d v="2025-02-12T00:00:00"/>
    <x v="1"/>
    <m/>
    <s v="F15884"/>
    <s v="Manual"/>
    <x v="10"/>
    <s v="UBF 369L"/>
    <s v="Boniface Harera"/>
    <n v="156"/>
    <s v="F15884"/>
    <s v="OM"/>
    <n v="448"/>
    <n v="450"/>
    <n v="2"/>
    <m/>
    <d v="2025-02-11T12:17:00"/>
    <d v="2025-02-11T02:22:00"/>
    <d v="2025-02-11T12:59:00"/>
    <n v="634.05092592777999"/>
    <n v="41.805555556250816"/>
    <x v="0"/>
    <d v="2025-02-12T07:12:00"/>
    <d v="2025-02-12T16:14:00"/>
    <n v="530.70833332945767"/>
    <s v="slept at the RD and offloaded the next day"/>
    <d v="2025-02-12T18:31:00"/>
    <d v="2025-02-12T19:25:00"/>
    <n v="52.87499999794818"/>
    <m/>
    <n v="1.2305555555503815"/>
    <n v="2"/>
    <n v="0.76944444444961846"/>
    <n v="29.533333333209157"/>
    <n v="12"/>
    <n v="17.533333333209157"/>
    <n v="8.8973384031048379"/>
    <m/>
    <m/>
    <m/>
    <m/>
    <m/>
  </r>
  <r>
    <d v="2025-02-12T00:00:00"/>
    <x v="1"/>
    <m/>
    <s v="Z82602"/>
    <s v="Manual"/>
    <x v="30"/>
    <s v="UBR 540W"/>
    <s v="Bates Enterprises Ltd-Ntoroko"/>
    <n v="100"/>
    <s v="Z82602"/>
    <s v="OM"/>
    <n v="464"/>
    <n v="466"/>
    <n v="2"/>
    <m/>
    <d v="2025-02-11T09:34:00"/>
    <d v="2025-02-11T04:14:00"/>
    <d v="2025-02-11T10:18:00"/>
    <n v="362.31481481736409"/>
    <n v="43.796296293051761"/>
    <x v="0"/>
    <d v="2025-02-15T18:17:00"/>
    <d v="2025-02-15T20:34:00"/>
    <n v="134.14583332945767"/>
    <m/>
    <d v="2025-02-17T09:41:00"/>
    <d v="2025-02-17T10:37:00"/>
    <n v="54.833333337664953"/>
    <m/>
    <n v="5.9743055555518367"/>
    <n v="3"/>
    <n v="-2.9743055555518367"/>
    <n v="143.38333333324408"/>
    <n v="60"/>
    <n v="83.383333333244082"/>
    <n v="1.1992804317422392"/>
    <m/>
    <m/>
    <m/>
    <m/>
    <m/>
  </r>
  <r>
    <d v="2025-02-12T00:00:00"/>
    <x v="1"/>
    <m/>
    <s v="Z82604"/>
    <s v="Manual"/>
    <x v="39"/>
    <s v="UBJ 705D"/>
    <s v="Kobusinge Steven-FPortal"/>
    <n v="148.80000000000001"/>
    <s v="Z82604"/>
    <s v="OM"/>
    <n v="304"/>
    <n v="302"/>
    <n v="-2"/>
    <m/>
    <d v="2025-02-11T13:51:00"/>
    <d v="2025-02-11T09:00:00"/>
    <d v="2025-02-11T14:32:00"/>
    <n v="330.46296296597575"/>
    <n v="40.810185182635905"/>
    <x v="0"/>
    <d v="2025-02-11T17:02:00"/>
    <d v="2025-02-11T21:29:00"/>
    <n v="261.43750000068394"/>
    <s v="found another truck at the RD and offloaded the next day"/>
    <d v="2025-02-12T11:04:00"/>
    <d v="2025-02-12T12:02:00"/>
    <n v="56.791666667122627"/>
    <m/>
    <n v="0.85555555555038154"/>
    <n v="2"/>
    <n v="1.1444444444496185"/>
    <n v="20.533333333209157"/>
    <n v="0"/>
    <n v="20.533333333209157"/>
    <n v="7.2467532467970726"/>
    <m/>
    <m/>
    <m/>
    <m/>
    <m/>
  </r>
  <r>
    <d v="2025-02-12T00:00:00"/>
    <x v="1"/>
    <m/>
    <s v="Z82606"/>
    <s v="Manual"/>
    <x v="38"/>
    <s v="UBK 862R"/>
    <s v="Kobusinge Steven-Kamwenge"/>
    <n v="148.80000000000001"/>
    <s v="Z82606"/>
    <s v="OM"/>
    <n v="288"/>
    <n v="285"/>
    <n v="-3"/>
    <m/>
    <d v="2025-02-11T21:28:00"/>
    <d v="2025-02-11T03:17:00"/>
    <d v="2025-02-11T22:10:00"/>
    <n v="1127.7546296242992"/>
    <n v="41.805555556250816"/>
    <x v="0"/>
    <d v="2025-02-11T14:14:00"/>
    <d v="2025-02-11T17:08:00"/>
    <n v="170.37500000136788"/>
    <m/>
    <d v="2025-02-12T19:21:00"/>
    <d v="2025-02-12T20:15:00"/>
    <n v="52.87499999794818"/>
    <m/>
    <n v="0.88263888889196096"/>
    <n v="2"/>
    <n v="1.117361111108039"/>
    <n v="21.183333333407063"/>
    <n v="0"/>
    <n v="21.183333333407063"/>
    <n v="7.024390243877991"/>
    <m/>
    <m/>
    <m/>
    <m/>
    <m/>
  </r>
  <r>
    <d v="2025-02-12T00:00:00"/>
    <x v="1"/>
    <m/>
    <s v="A20678"/>
    <s v="Manual"/>
    <x v="35"/>
    <s v="UBP 312H"/>
    <s v="Sawan Distributors Ltd-Kayabwe"/>
    <n v="156"/>
    <s v="A20678"/>
    <s v="OM"/>
    <n v="382"/>
    <n v="384"/>
    <n v="2"/>
    <m/>
    <d v="2025-02-11T08:20:00"/>
    <d v="2025-02-11T08:22:00"/>
    <d v="2025-02-11T09:03:00"/>
    <n v="40.810185182635905"/>
    <n v="42.80092592986572"/>
    <x v="0"/>
    <d v="2025-02-13T10:48:00"/>
    <d v="2025-02-13T12:49:00"/>
    <n v="118.47916667327809"/>
    <m/>
    <d v="2025-02-14T15:30:00"/>
    <d v="2025-02-14T16:40:00"/>
    <n v="68.541666664386867"/>
    <s v="fueling delays"/>
    <n v="3.2687500000029104"/>
    <n v="2"/>
    <n v="-1.2687500000029104"/>
    <n v="78.450000000069849"/>
    <n v="36"/>
    <n v="42.450000000069849"/>
    <n v="3.6749116607713384"/>
    <m/>
    <m/>
    <m/>
    <m/>
    <m/>
  </r>
  <r>
    <d v="2025-02-12T00:00:00"/>
    <x v="1"/>
    <m/>
    <s v="OMBYEG6RR"/>
    <s v="DJ"/>
    <x v="4"/>
    <s v="UBE 422T"/>
    <s v="Rugoma Traders-Kanungu/Kihih"/>
    <n v="153.6"/>
    <s v="OMBYEG6RR"/>
    <s v="OM"/>
    <n v="414"/>
    <n v="413"/>
    <n v="-1"/>
    <m/>
    <d v="2025-02-11T17:39:00"/>
    <d v="2025-02-11T17:06:00"/>
    <d v="2025-02-11T18:23:00"/>
    <n v="76.643518518055018"/>
    <n v="43.796296293051761"/>
    <x v="0"/>
    <d v="2025-02-13T15:45:00"/>
    <d v="2025-02-13T18:04:00"/>
    <n v="136.10416666917445"/>
    <m/>
    <d v="2025-02-13T09:21:00"/>
    <d v="2025-02-13T10:17:00"/>
    <n v="54.833333337664953"/>
    <m/>
    <n v="1.6236111111065838"/>
    <n v="2"/>
    <n v="0.37638888889341615"/>
    <n v="38.966666666558012"/>
    <n v="12"/>
    <n v="26.966666666558012"/>
    <n v="5.6959208900105889"/>
    <m/>
    <m/>
    <m/>
    <m/>
    <m/>
  </r>
  <r>
    <d v="2025-02-12T00:00:00"/>
    <x v="1"/>
    <m/>
    <s v="OMMT37ZRR"/>
    <s v="DJ"/>
    <x v="3"/>
    <s v="UBK 881R"/>
    <s v="KATO INVESTMENTS LTD- KALISIZO"/>
    <n v="153.6"/>
    <s v="OMMT37ZRR"/>
    <s v="OM"/>
    <n v="350"/>
    <n v="348"/>
    <n v="-2"/>
    <m/>
    <d v="2025-02-10T21:28:00"/>
    <d v="2025-02-10T21:47:00"/>
    <d v="2025-02-10T22:10:00"/>
    <n v="22.893518520140788"/>
    <n v="41.805555556250816"/>
    <x v="0"/>
    <d v="2025-02-12T17:30:00"/>
    <d v="2025-02-12T20:24:00"/>
    <n v="170.37500000136788"/>
    <m/>
    <d v="2025-02-14T08:51:00"/>
    <d v="2025-02-14T09:49:00"/>
    <n v="56.791666667122627"/>
    <m/>
    <n v="3.445138888891961"/>
    <n v="2"/>
    <n v="-1.445138888891961"/>
    <n v="82.683333333407063"/>
    <n v="36"/>
    <n v="46.683333333407063"/>
    <n v="3.2902534808944819"/>
    <m/>
    <m/>
    <m/>
    <m/>
    <m/>
  </r>
  <r>
    <d v="2025-02-13T00:00:00"/>
    <x v="1"/>
    <m/>
    <s v="A20691"/>
    <s v="Manual"/>
    <x v="36"/>
    <s v="UBE 680K"/>
    <s v="Kato Investment Ltd -Mityana"/>
    <n v="63.6"/>
    <s v="A20691"/>
    <s v="OM"/>
    <n v="690"/>
    <n v="689"/>
    <n v="-1"/>
    <m/>
    <d v="2025-02-11T22:12:00"/>
    <d v="2025-02-11T22:41:00"/>
    <d v="2025-02-11T22:53:00"/>
    <n v="11.944444441663412"/>
    <n v="40.810185182635905"/>
    <x v="0"/>
    <d v="2025-02-12T08:47:00"/>
    <d v="2025-02-12T13:33:00"/>
    <n v="280.04166666643869"/>
    <s v="Reached late and offloaded the next day"/>
    <d v="2025-02-13T11:08:00"/>
    <d v="2025-02-13T12:04:00"/>
    <n v="54.833333337664953"/>
    <m/>
    <n v="1.5104166666642413"/>
    <n v="2"/>
    <n v="0.48958333333575865"/>
    <n v="36.249999999941792"/>
    <n v="12"/>
    <n v="24.249999999941792"/>
    <n v="2.6226804123774294"/>
    <m/>
    <m/>
    <m/>
    <m/>
    <m/>
  </r>
  <r>
    <d v="2025-02-13T00:00:00"/>
    <x v="1"/>
    <m/>
    <s v="Z82617"/>
    <s v="Manual"/>
    <x v="10"/>
    <s v="UBR 533W"/>
    <s v="Kabaco U Ltd "/>
    <n v="156"/>
    <s v="Z82617"/>
    <s v="OM"/>
    <n v="320"/>
    <n v="57"/>
    <n v="-263"/>
    <m/>
    <d v="2025-02-11T21:39:00"/>
    <d v="2025-02-11T22:12:00"/>
    <d v="2025-02-11T22:23:00"/>
    <n v="10.949074078477375"/>
    <n v="43.796296293051761"/>
    <x v="0"/>
    <d v="2025-02-12T19:20:00"/>
    <d v="2025-02-13T09:58:00"/>
    <n v="859.70833333492919"/>
    <s v="truck faulty"/>
    <d v="2025-02-12T09:52:00"/>
    <d v="2025-02-12T11:08:00"/>
    <n v="74.416666663018987"/>
    <s v="pre trip inspections"/>
    <n v="0.47847222222480923"/>
    <n v="2"/>
    <n v="1.5215277777751908"/>
    <n v="11.483333333395422"/>
    <n v="0"/>
    <n v="11.483333333395422"/>
    <n v="13.584905660303907"/>
    <m/>
    <m/>
    <m/>
    <m/>
    <m/>
  </r>
  <r>
    <d v="2025-02-13T00:00:00"/>
    <x v="1"/>
    <m/>
    <s v="Z82618"/>
    <s v="Manual"/>
    <x v="32"/>
    <s v="UBJ 703D"/>
    <s v="Kabaco U Ltd "/>
    <n v="156"/>
    <s v="Z82618"/>
    <s v="OM"/>
    <n v="320"/>
    <n v="319"/>
    <n v="-1"/>
    <m/>
    <d v="2025-02-11T21:09:00"/>
    <d v="2025-02-11T20:57:00"/>
    <d v="2025-02-11T21:51:00"/>
    <n v="53.749999997914223"/>
    <n v="41.805555556250816"/>
    <x v="0"/>
    <d v="2025-02-12T16:28:00"/>
    <d v="2025-02-12T20:46:00"/>
    <n v="252.62499999247666"/>
    <s v="Waited for empties from trade"/>
    <d v="2025-02-17T20:49:00"/>
    <d v="2025-02-17T21:49:00"/>
    <n v="58.7499999965803"/>
    <m/>
    <n v="5.9569444444423425"/>
    <n v="2"/>
    <n v="-3.9569444444423425"/>
    <n v="142.96666666661622"/>
    <n v="60"/>
    <n v="82.96666666661622"/>
    <n v="1.8802732020903357"/>
    <m/>
    <m/>
    <m/>
    <m/>
    <m/>
  </r>
  <r>
    <d v="2025-02-13T00:00:00"/>
    <x v="1"/>
    <m/>
    <s v="Z82616"/>
    <s v="Manual"/>
    <x v="47"/>
    <s v="UBR 538W"/>
    <s v="Rugoma Traders-Rukungiri"/>
    <n v="5.5439999999999996"/>
    <s v="Z82616"/>
    <s v="OM"/>
    <n v="256"/>
    <n v="253"/>
    <n v="-3"/>
    <m/>
    <d v="2025-02-10T21:51:00"/>
    <d v="2025-02-10T22:12:00"/>
    <d v="2025-02-10T22:33:00"/>
    <n v="20.902777772910969"/>
    <n v="41.805555556250816"/>
    <x v="0"/>
    <d v="2025-02-11T15:51:00"/>
    <d v="2025-02-11T17:56:00"/>
    <n v="122.39583333219343"/>
    <m/>
    <d v="2025-02-14T17:28:00"/>
    <d v="2025-02-14T18:19:00"/>
    <n v="49.93749999863212"/>
    <m/>
    <n v="3.7881944444452529"/>
    <n v="2"/>
    <n v="-1.7881944444452529"/>
    <n v="90.916666666686069"/>
    <n v="36"/>
    <n v="54.916666666686069"/>
    <n v="0.10095295902879589"/>
    <m/>
    <m/>
    <m/>
    <m/>
    <m/>
  </r>
  <r>
    <d v="2025-02-13T00:00:00"/>
    <x v="1"/>
    <m/>
    <s v="F15889"/>
    <s v="Manual"/>
    <x v="46"/>
    <s v="UBE 678K"/>
    <s v="Boniface Harera"/>
    <n v="156"/>
    <s v="F15889"/>
    <s v="OM"/>
    <n v="448"/>
    <n v="447"/>
    <n v="-1"/>
    <m/>
    <d v="2025-02-13T13:26:00"/>
    <d v="2025-02-12T01:59:00"/>
    <d v="2025-02-13T14:10:00"/>
    <n v="2160.9490740784772"/>
    <n v="43.796296293051761"/>
    <x v="0"/>
    <d v="2025-02-13T19:19:00"/>
    <d v="2025-02-13T22:12:00"/>
    <n v="169.39583333150949"/>
    <m/>
    <d v="2025-02-14T17:28:00"/>
    <d v="2025-02-14T18:22:00"/>
    <n v="52.87499999794818"/>
    <m/>
    <n v="1.1374999999970896"/>
    <n v="2"/>
    <n v="0.86250000000291038"/>
    <n v="27.299999999930151"/>
    <n v="12"/>
    <n v="15.299999999930151"/>
    <n v="10.196078431419098"/>
    <m/>
    <m/>
    <m/>
    <m/>
    <m/>
  </r>
  <r>
    <d v="2025-02-13T00:00:00"/>
    <x v="1"/>
    <m/>
    <s v="A20693"/>
    <s v="Manual"/>
    <x v="10"/>
    <s v="UBR 903Y"/>
    <s v="Ntale and Sons Ltd-Kakiri"/>
    <n v="156"/>
    <s v="A20693"/>
    <s v="OM"/>
    <n v="620"/>
    <n v="617"/>
    <n v="-3"/>
    <m/>
    <d v="2025-02-12T16:09:00"/>
    <d v="2025-02-12T03:43:00"/>
    <d v="2025-02-12T16:51:00"/>
    <n v="784.35185184304521"/>
    <n v="41.805555556250816"/>
    <x v="0"/>
    <d v="2025-02-11T21:47:00"/>
    <d v="2025-02-12T13:38:00"/>
    <n v="931.18750000889122"/>
    <s v="found another truck at the RD and offloaded the next day"/>
    <d v="2025-02-12T18:32:00"/>
    <d v="2025-02-12T19:32:00"/>
    <n v="58.7499999965803"/>
    <m/>
    <n v="7.013888889196096E-2"/>
    <n v="3"/>
    <n v="2.929861111108039"/>
    <n v="1.683333333407063"/>
    <n v="0"/>
    <n v="1.683333333407063"/>
    <n v="92.673267322673595"/>
    <m/>
    <m/>
    <m/>
    <m/>
    <m/>
  </r>
  <r>
    <d v="2025-02-13T00:00:00"/>
    <x v="1"/>
    <m/>
    <s v="A20689"/>
    <s v="Manual"/>
    <x v="34"/>
    <s v="UBP 301H"/>
    <s v="Kato Investment Ltd -Kagadi"/>
    <n v="5.04"/>
    <s v="A20689"/>
    <s v="OM"/>
    <n v="670"/>
    <n v="668"/>
    <n v="-2"/>
    <m/>
    <d v="2025-02-16T07:47:00"/>
    <d v="2025-02-16T08:07:00"/>
    <d v="2025-02-16T08:28:00"/>
    <n v="20.902777772910969"/>
    <n v="40.810185182635905"/>
    <x v="0"/>
    <d v="2025-02-16T15:14:00"/>
    <d v="2025-02-17T16:58:00"/>
    <n v="1511.8333333267219"/>
    <m/>
    <d v="2025-02-17T18:02:00"/>
    <d v="2025-02-17T19:00:00"/>
    <n v="56.791666667122627"/>
    <m/>
    <n v="1.398611111108039"/>
    <n v="2"/>
    <n v="0.60138888889196096"/>
    <n v="33.566666666592937"/>
    <n v="12"/>
    <n v="21.566666666592937"/>
    <n v="0.23369397218008794"/>
    <m/>
    <m/>
    <m/>
    <m/>
    <m/>
  </r>
  <r>
    <d v="2025-02-13T00:00:00"/>
    <x v="1"/>
    <m/>
    <s v="Z82619"/>
    <s v="Manual"/>
    <x v="24"/>
    <s v="UBP 298H"/>
    <s v="Kobusinge Steven-FPortal"/>
    <n v="156"/>
    <s v="Z82619"/>
    <s v="OM"/>
    <n v="304"/>
    <n v="306"/>
    <n v="2"/>
    <m/>
    <d v="2025-02-14T07:37:00"/>
    <d v="2025-02-14T08:01:00"/>
    <d v="2025-02-14T08:20:00"/>
    <n v="18.912037036110025"/>
    <n v="42.80092592986572"/>
    <x v="0"/>
    <d v="2025-02-14T17:23:00"/>
    <d v="2025-02-14T19:32:00"/>
    <n v="126.31249999110878"/>
    <m/>
    <d v="2025-02-14T13:26:00"/>
    <d v="2025-02-14T14:39:00"/>
    <n v="71.479166663702927"/>
    <s v="pre trip inspections"/>
    <n v="0.21250000000145519"/>
    <n v="2"/>
    <n v="1.7874999999985448"/>
    <n v="5.1000000000349246"/>
    <n v="0"/>
    <n v="5.1000000000349246"/>
    <n v="30.588235293908181"/>
    <m/>
    <m/>
    <m/>
    <m/>
    <m/>
  </r>
  <r>
    <d v="2025-02-13T00:00:00"/>
    <x v="1"/>
    <m/>
    <s v="Z82620"/>
    <s v="Manual"/>
    <x v="44"/>
    <s v="UBE 684K"/>
    <s v="Kobusinge Steven-Kamwenge"/>
    <n v="156"/>
    <s v="Z82620"/>
    <s v="OM"/>
    <n v="288"/>
    <n v="285"/>
    <n v="-3"/>
    <m/>
    <d v="2025-02-15T09:20:00"/>
    <d v="2025-02-15T09:23:00"/>
    <d v="2025-02-15T10:04:00"/>
    <n v="40.810185182635905"/>
    <n v="43.796296293051761"/>
    <x v="0"/>
    <d v="2025-02-14T17:04:00"/>
    <d v="2025-02-14T19:56:00"/>
    <n v="168.41666666165111"/>
    <m/>
    <d v="2025-02-15T15:40:00"/>
    <d v="2025-02-15T16:26:00"/>
    <n v="45.041666669858387"/>
    <m/>
    <n v="0.23333333333721384"/>
    <n v="2"/>
    <n v="1.7666666666627862"/>
    <n v="5.6000000000931323"/>
    <n v="0"/>
    <n v="5.6000000000931323"/>
    <n v="27.857142856679573"/>
    <m/>
    <m/>
    <m/>
    <m/>
    <m/>
  </r>
  <r>
    <d v="2025-02-13T00:00:00"/>
    <x v="1"/>
    <m/>
    <s v="A20688"/>
    <s v="Manual"/>
    <x v="40"/>
    <s v="UBP 311H"/>
    <s v="Sawan Distributors Ltd-Kayabwe"/>
    <n v="156"/>
    <s v="A20688"/>
    <s v="OM"/>
    <n v="382"/>
    <n v="379"/>
    <n v="-3"/>
    <m/>
    <d v="2025-02-14T08:08:00"/>
    <d v="2025-02-14T08:08:00"/>
    <d v="2025-02-14T08:49:00"/>
    <n v="40.810185182635905"/>
    <n v="40.810185182635905"/>
    <x v="0"/>
    <d v="2025-02-14T14:29:00"/>
    <d v="2025-02-14T19:01:00"/>
    <n v="266.33333332945767"/>
    <s v="Waited for empties from trade"/>
    <d v="2025-02-16T06:54:00"/>
    <d v="2025-02-16T07:50:00"/>
    <n v="54.833333337664953"/>
    <m/>
    <n v="1.9201388888905058"/>
    <n v="2"/>
    <n v="7.9861111109494232E-2"/>
    <n v="46.083333333372138"/>
    <n v="12"/>
    <n v="34.083333333372138"/>
    <n v="4.5770171149092143"/>
    <m/>
    <m/>
    <m/>
    <m/>
    <m/>
  </r>
  <r>
    <d v="2025-02-13T00:00:00"/>
    <x v="1"/>
    <m/>
    <s v="F15890"/>
    <s v="Manual"/>
    <x v="37"/>
    <s v="UBK 866R"/>
    <s v="Boniface Harera"/>
    <n v="156"/>
    <s v="F15890"/>
    <s v="OM"/>
    <n v="448"/>
    <n v="450"/>
    <n v="2"/>
    <m/>
    <d v="2025-02-13T19:05:00"/>
    <d v="2025-02-13T19:31:00"/>
    <d v="2025-02-13T19:47:00"/>
    <n v="15.925925925694173"/>
    <n v="41.805555556250816"/>
    <x v="0"/>
    <d v="2025-02-13T13:14:00"/>
    <d v="2025-02-13T16:08:00"/>
    <n v="170.37500000136788"/>
    <m/>
    <d v="2025-02-17T11:11:00"/>
    <d v="2025-02-17T12:08:00"/>
    <n v="55.81249999726424"/>
    <m/>
    <n v="3.6416666666627862"/>
    <n v="2"/>
    <n v="-1.6416666666627862"/>
    <n v="87.399999999906868"/>
    <n v="36"/>
    <n v="51.399999999906868"/>
    <n v="3.0350194552584173"/>
    <m/>
    <m/>
    <m/>
    <m/>
    <m/>
  </r>
  <r>
    <d v="2025-02-13T00:00:00"/>
    <x v="1"/>
    <m/>
    <s v="OM7QN6ORR"/>
    <s v="DJ"/>
    <x v="3"/>
    <s v="UBK 881R"/>
    <s v="Kabaco U Ltd-Mbarara "/>
    <n v="153.6"/>
    <s v="OM7QN6ORR"/>
    <s v="OM"/>
    <n v="20"/>
    <n v="22"/>
    <n v="2"/>
    <m/>
    <d v="2025-02-14T08:06:00"/>
    <d v="2025-02-14T08:27:00"/>
    <d v="2025-02-14T08:48:00"/>
    <n v="20.902777772910969"/>
    <n v="41.805555556250816"/>
    <x v="0"/>
    <d v="2025-02-14T17:10:00"/>
    <d v="2025-02-14T19:12:00"/>
    <n v="119.45833333287737"/>
    <m/>
    <d v="2025-02-17T11:11:00"/>
    <d v="2025-02-17T12:07:00"/>
    <n v="54.833333337664953"/>
    <m/>
    <n v="3.0993055555518367"/>
    <n v="3"/>
    <n v="-9.9305555551836733E-2"/>
    <n v="74.383333333244082"/>
    <n v="36"/>
    <n v="38.383333333244082"/>
    <n v="4.0017368649680547"/>
    <m/>
    <m/>
    <m/>
    <m/>
    <m/>
  </r>
  <r>
    <d v="2025-02-13T00:00:00"/>
    <x v="1"/>
    <m/>
    <s v="OMM0QETRR"/>
    <s v="DJ"/>
    <x v="2"/>
    <s v="UBE 287X"/>
    <s v="Rugoma Traders-Kanungu/Kihihi"/>
    <n v="153.6"/>
    <s v="OMM0QETRR"/>
    <s v="OM"/>
    <n v="414"/>
    <n v="413"/>
    <n v="-1"/>
    <m/>
    <d v="2025-02-14T10:21:00"/>
    <d v="2025-02-14T10:11:00"/>
    <d v="2025-02-14T11:05:00"/>
    <n v="53.749999997914223"/>
    <n v="43.796296293051761"/>
    <x v="0"/>
    <d v="2025-02-14T17:17:00"/>
    <d v="2025-02-14T20:11:00"/>
    <n v="170.37500000136788"/>
    <m/>
    <d v="2025-02-16T09:30:00"/>
    <d v="2025-02-16T10:24:00"/>
    <n v="52.87499999794818"/>
    <m/>
    <n v="1.9340277777810115"/>
    <n v="2"/>
    <n v="6.5972222218988463E-2"/>
    <n v="46.416666666744277"/>
    <n v="12"/>
    <n v="34.416666666744277"/>
    <n v="4.4629539951473207"/>
    <m/>
    <m/>
    <m/>
    <m/>
    <m/>
  </r>
  <r>
    <d v="2025-02-14T00:00:00"/>
    <x v="1"/>
    <m/>
    <s v="A20708"/>
    <s v="Manual"/>
    <x v="49"/>
    <s v="UBR 539W"/>
    <s v="Kato Investment Ltd -Mubende"/>
    <n v="70.8"/>
    <s v="A20708"/>
    <s v="OM"/>
    <n v="680"/>
    <n v="679"/>
    <n v="-1"/>
    <m/>
    <d v="2025-02-14T08:33:00"/>
    <d v="2025-02-14T08:56:00"/>
    <d v="2025-02-14T09:17:00"/>
    <n v="20.902777772910969"/>
    <n v="43.796296293051761"/>
    <x v="0"/>
    <d v="2025-02-12T17:32:00"/>
    <d v="2025-02-12T20:26:00"/>
    <n v="170.37500000136788"/>
    <m/>
    <d v="2025-02-15T13:45:00"/>
    <d v="2025-02-15T14:39:00"/>
    <n v="52.87499999794818"/>
    <m/>
    <n v="1.1861111111065838"/>
    <n v="2"/>
    <n v="0.81388888889341615"/>
    <n v="28.466666666558012"/>
    <n v="12"/>
    <n v="16.466666666558012"/>
    <n v="4.2995951417287754"/>
    <m/>
    <m/>
    <m/>
    <m/>
    <m/>
  </r>
  <r>
    <d v="2025-02-14T00:00:00"/>
    <x v="1"/>
    <m/>
    <s v="Z82629"/>
    <s v="Manual"/>
    <x v="10"/>
    <s v="UBR 534W"/>
    <s v="Kobusinge Steven-Kamwenge"/>
    <n v="156"/>
    <s v="Z82629"/>
    <s v="OM"/>
    <n v="288"/>
    <n v="290"/>
    <n v="2"/>
    <m/>
    <d v="2025-02-12T13:44:00"/>
    <d v="2025-02-12T13:44:00"/>
    <d v="2025-02-12T14:25:00"/>
    <n v="40.810185182635905"/>
    <n v="40.810185182635905"/>
    <x v="0"/>
    <d v="2025-02-12T19:03:00"/>
    <d v="2025-02-13T10:45:00"/>
    <n v="922.37500000068394"/>
    <s v="found another truck to be offloaded"/>
    <d v="2025-02-15T13:45:00"/>
    <d v="2025-02-15T14:42:00"/>
    <n v="55.81249999726424"/>
    <m/>
    <n v="2.9722222222189885"/>
    <n v="2"/>
    <n v="-0.97222222221898846"/>
    <n v="71.333333333255723"/>
    <n v="24"/>
    <n v="47.333333333255723"/>
    <n v="3.2957746478927277"/>
    <m/>
    <m/>
    <m/>
    <m/>
    <m/>
  </r>
  <r>
    <d v="2025-02-14T00:00:00"/>
    <x v="1"/>
    <m/>
    <s v="Z82628"/>
    <s v="Manual"/>
    <x v="35"/>
    <s v="UBP 312H"/>
    <s v="Kabaco U Ltd "/>
    <n v="141.6"/>
    <s v="Z82628"/>
    <s v="OM"/>
    <n v="320"/>
    <n v="321"/>
    <n v="1"/>
    <m/>
    <d v="2025-02-12T11:37:00"/>
    <d v="2025-02-12T12:08:00"/>
    <d v="2025-02-12T12:19:00"/>
    <n v="10.949074078477375"/>
    <n v="41.805555556250816"/>
    <x v="0"/>
    <d v="2025-02-13T07:02:00"/>
    <d v="2025-02-13T11:35:00"/>
    <n v="267.31249999931606"/>
    <s v="Dj failure at customer"/>
    <d v="2025-02-14T12:25:00"/>
    <d v="2025-02-14T13:18:00"/>
    <n v="51.895833338348893"/>
    <m/>
    <n v="2.0041666666656965"/>
    <n v="2"/>
    <n v="-4.166666665696539E-3"/>
    <n v="48.099999999976717"/>
    <n v="24"/>
    <n v="24.099999999976717"/>
    <n v="5.875518672204846"/>
    <m/>
    <m/>
    <m/>
    <m/>
    <m/>
  </r>
  <r>
    <d v="2025-02-14T00:00:00"/>
    <x v="1"/>
    <m/>
    <s v="A20710"/>
    <s v="Manual"/>
    <x v="38"/>
    <s v="UBK 862R"/>
    <s v="Kato Investment Ltd -Mityana"/>
    <n v="70.8"/>
    <s v="A20710"/>
    <s v="OM"/>
    <n v="690"/>
    <n v="689"/>
    <n v="-1"/>
    <m/>
    <d v="2025-02-13T20:06:00"/>
    <d v="2025-02-13T19:52:00"/>
    <d v="2025-02-13T20:47:00"/>
    <n v="54.745370371529134"/>
    <n v="40.810185182635905"/>
    <x v="0"/>
    <d v="2025-02-13T12:46:00"/>
    <d v="2025-02-13T14:47:00"/>
    <n v="118.47916666301899"/>
    <m/>
    <d v="2025-02-14T16:48:00"/>
    <d v="2025-02-14T17:46:00"/>
    <n v="56.791666667122627"/>
    <m/>
    <n v="0.83402777777519077"/>
    <n v="3"/>
    <n v="2.1659722222248092"/>
    <n v="20.016666666604578"/>
    <n v="0"/>
    <n v="20.016666666604578"/>
    <n v="3.5370524562973991"/>
    <m/>
    <m/>
    <m/>
    <m/>
    <m/>
  </r>
  <r>
    <d v="2025-02-14T00:00:00"/>
    <x v="1"/>
    <m/>
    <s v="A20712"/>
    <s v="Manual"/>
    <x v="45"/>
    <s v="UBP 310H"/>
    <s v="KATO INVESTMENTS LTD-KATIKARA"/>
    <n v="134.4"/>
    <s v="A20712"/>
    <s v="OM"/>
    <n v="790"/>
    <n v="792"/>
    <n v="2"/>
    <m/>
    <d v="2025-02-13T10:50:00"/>
    <d v="2025-02-13T11:11:00"/>
    <d v="2025-02-13T11:34:00"/>
    <n v="22.893518520140788"/>
    <n v="43.796296293051761"/>
    <x v="0"/>
    <d v="2025-02-13T18:42:00"/>
    <d v="2025-02-13T21:26:00"/>
    <n v="160.58333333356131"/>
    <m/>
    <d v="2025-02-15T11:46:00"/>
    <d v="2025-02-15T12:42:00"/>
    <n v="54.833333337664953"/>
    <m/>
    <n v="2.0083333333313931"/>
    <n v="2"/>
    <n v="-8.333333331393078E-3"/>
    <n v="48.199999999953434"/>
    <n v="24"/>
    <n v="24.199999999953434"/>
    <n v="5.5537190082751495"/>
    <m/>
    <m/>
    <m/>
    <m/>
    <m/>
  </r>
  <r>
    <d v="2025-02-14T00:00:00"/>
    <x v="1"/>
    <m/>
    <s v="A20715"/>
    <s v="Manual"/>
    <x v="32"/>
    <s v="UBJ 703D"/>
    <s v="Kato Investments Ltd-Bulenga"/>
    <n v="148.80000000000001"/>
    <s v="A20715"/>
    <s v="OM"/>
    <n v="560"/>
    <n v="558"/>
    <n v="-2"/>
    <m/>
    <d v="2025-02-13T14:31:00"/>
    <d v="2025-02-13T14:31:00"/>
    <d v="2025-02-13T15:12:00"/>
    <n v="40.810185182635905"/>
    <n v="40.810185182635905"/>
    <x v="0"/>
    <d v="2025-02-15T12:28:00"/>
    <d v="2025-02-15T14:48:00"/>
    <n v="137.08333333903283"/>
    <m/>
    <d v="2025-02-16T06:54:00"/>
    <d v="2025-02-16T07:45:00"/>
    <n v="49.93749999863212"/>
    <m/>
    <n v="2.6541666666671517"/>
    <n v="2"/>
    <n v="-0.65416666666715173"/>
    <n v="63.700000000011642"/>
    <n v="24"/>
    <n v="39.700000000011642"/>
    <n v="3.7481108312331579"/>
    <m/>
    <m/>
    <m/>
    <m/>
    <m/>
  </r>
  <r>
    <d v="2025-02-14T00:00:00"/>
    <x v="1"/>
    <m/>
    <s v="A20713"/>
    <s v="Manual"/>
    <x v="10"/>
    <s v="UBR 535W"/>
    <s v="KATO INVESTMENTS LTD-KATIKARA"/>
    <n v="5.04"/>
    <s v="A20713"/>
    <s v="OM"/>
    <n v="790"/>
    <n v="792"/>
    <n v="2"/>
    <m/>
    <d v="2025-02-13T13:30:00"/>
    <d v="2025-02-13T13:32:00"/>
    <d v="2025-02-13T14:13:00"/>
    <n v="40.810185182635905"/>
    <n v="42.80092592986572"/>
    <x v="0"/>
    <d v="2025-02-14T12:08:00"/>
    <d v="2025-02-14T16:20:00"/>
    <n v="246.74999999384454"/>
    <s v="Waited for empties from trade"/>
    <d v="2025-02-16T09:30:00"/>
    <d v="2025-02-16T10:26:00"/>
    <n v="54.833333337664953"/>
    <m/>
    <n v="2.8034722222218988"/>
    <n v="2"/>
    <n v="-0.80347222222189885"/>
    <n v="67.283333333325572"/>
    <n v="24"/>
    <n v="43.283333333325572"/>
    <n v="0.1164420485175411"/>
    <m/>
    <m/>
    <m/>
    <m/>
    <m/>
  </r>
  <r>
    <d v="2025-02-14T00:00:00"/>
    <x v="1"/>
    <m/>
    <s v="Z82625"/>
    <s v="Manual"/>
    <x v="41"/>
    <s v="UBF 379L"/>
    <s v="Kobusinge Steven-FPortal"/>
    <n v="156"/>
    <s v="Z82625"/>
    <s v="OM"/>
    <n v="304"/>
    <n v="302"/>
    <n v="-2"/>
    <m/>
    <d v="2025-02-13T09:59:00"/>
    <d v="2025-02-13T08:00:00"/>
    <d v="2025-02-13T10:41:00"/>
    <n v="160.25462963055665"/>
    <n v="41.805555556250816"/>
    <x v="0"/>
    <d v="2025-02-13T11:18:00"/>
    <d v="2025-02-13T15:24:00"/>
    <n v="240.87500000547152"/>
    <s v="found another truck at RD"/>
    <d v="2025-02-13T16:48:00"/>
    <d v="2025-02-13T17:44:00"/>
    <n v="54.833333337664953"/>
    <m/>
    <n v="0.25486111110512866"/>
    <n v="2"/>
    <n v="1.7451388888948713"/>
    <n v="6.1166666665230878"/>
    <n v="0"/>
    <n v="6.1166666665230878"/>
    <n v="25.504087194059156"/>
    <m/>
    <m/>
    <m/>
    <m/>
    <m/>
  </r>
  <r>
    <d v="2025-02-14T00:00:00"/>
    <x v="1"/>
    <m/>
    <s v="A20705"/>
    <s v="Manual"/>
    <x v="27"/>
    <s v="UBM 648D"/>
    <s v="Ntale and Sons Ltd-Kakiri"/>
    <n v="70.8"/>
    <s v="A20705"/>
    <s v="OM"/>
    <n v="620"/>
    <n v="619"/>
    <n v="-1"/>
    <m/>
    <d v="2025-02-13T22:16:00"/>
    <d v="2025-02-13T22:03:00"/>
    <d v="2025-02-13T22:58:00"/>
    <n v="54.745370371529134"/>
    <n v="41.805555556250816"/>
    <x v="0"/>
    <d v="2025-02-15T16:31:00"/>
    <d v="2025-02-15T18:39:00"/>
    <n v="125.33333333150949"/>
    <m/>
    <d v="2025-02-20T19:16:00"/>
    <d v="2025-02-20T20:11:00"/>
    <n v="53.854166667806567"/>
    <m/>
    <n v="6.8458333333328483"/>
    <n v="3"/>
    <n v="-3.8458333333328483"/>
    <n v="164.29999999998836"/>
    <n v="72"/>
    <n v="92.299999999988358"/>
    <n v="0.76706392199359619"/>
    <m/>
    <m/>
    <m/>
    <m/>
    <m/>
  </r>
  <r>
    <d v="2025-02-14T00:00:00"/>
    <x v="1"/>
    <m/>
    <s v="Z82627"/>
    <s v="Manual"/>
    <x v="48"/>
    <s v="UBM 644D"/>
    <s v="Bates Enterprises U Ltd"/>
    <n v="56"/>
    <s v="Z82627"/>
    <s v="OM"/>
    <n v="414"/>
    <n v="416"/>
    <n v="2"/>
    <m/>
    <d v="2025-02-13T11:30:00"/>
    <d v="2025-02-13T11:50:00"/>
    <d v="2025-02-13T12:11:00"/>
    <n v="20.902777772910969"/>
    <n v="40.810185182635905"/>
    <x v="0"/>
    <d v="2025-02-14T19:18:00"/>
    <d v="2025-02-15T10:22:00"/>
    <n v="885.16666665891535"/>
    <s v="Reached late and offloaded the next day"/>
    <d v="2025-02-14T16:49:00"/>
    <d v="2025-02-14T17:47:00"/>
    <n v="56.791666667122627"/>
    <m/>
    <n v="1.1930555555518367"/>
    <n v="3"/>
    <n v="1.8069444444481633"/>
    <n v="28.633333333244082"/>
    <n v="12"/>
    <n v="16.633333333244082"/>
    <n v="3.3667334669519331"/>
    <m/>
    <m/>
    <m/>
    <m/>
    <m/>
  </r>
  <r>
    <d v="2025-02-14T00:00:00"/>
    <x v="1"/>
    <m/>
    <s v="Z82630"/>
    <s v="Manual"/>
    <x v="39"/>
    <s v="UBJ 705D"/>
    <s v="Kobusinge Acaali- Kyenjojo"/>
    <n v="31.2"/>
    <s v="Z82630"/>
    <s v="OM"/>
    <n v="580"/>
    <n v="582"/>
    <n v="2"/>
    <m/>
    <d v="2025-02-15T14:05:00"/>
    <d v="2025-02-15T14:26:00"/>
    <d v="2025-02-15T14:47:00"/>
    <n v="20.902777772910969"/>
    <n v="41.805555556250816"/>
    <x v="0"/>
    <d v="2025-02-14T08:36:00"/>
    <d v="2025-02-14T14:44:00"/>
    <n v="360.33333333834889"/>
    <s v="found another truck at the RD"/>
    <d v="2025-02-16T08:18:00"/>
    <d v="2025-02-16T09:14:00"/>
    <n v="54.833333337664953"/>
    <m/>
    <n v="0.72986111111094942"/>
    <n v="2"/>
    <n v="1.2701388888890506"/>
    <n v="17.516666666662786"/>
    <n v="0"/>
    <n v="17.516666666662786"/>
    <n v="1.7811607992392147"/>
    <m/>
    <m/>
    <m/>
    <m/>
    <m/>
  </r>
  <r>
    <d v="2025-02-14T00:00:00"/>
    <x v="1"/>
    <m/>
    <s v="A20714"/>
    <s v="Manual"/>
    <x v="10"/>
    <s v="UBR 868Y"/>
    <s v="Sawan Distributors Ltd-Nabingo"/>
    <n v="156"/>
    <s v="A20714"/>
    <s v="OM"/>
    <n v="560"/>
    <n v="562"/>
    <n v="2"/>
    <m/>
    <d v="2025-02-14T12:13:00"/>
    <d v="2025-02-14T12:38:00"/>
    <d v="2025-02-14T12:57:00"/>
    <n v="18.912037036110025"/>
    <n v="43.796296293051761"/>
    <x v="0"/>
    <d v="2025-02-14T14:26:00"/>
    <d v="2025-02-14T17:50:00"/>
    <n v="199.74999999452848"/>
    <s v="space consquents"/>
    <d v="2025-02-16T08:18:00"/>
    <d v="2025-02-16T09:15:00"/>
    <n v="55.81249999726424"/>
    <m/>
    <n v="1.8062500000014552"/>
    <n v="2"/>
    <n v="0.19374999999854481"/>
    <n v="43.350000000034925"/>
    <n v="12"/>
    <n v="31.350000000034925"/>
    <n v="4.9760765550183796"/>
    <m/>
    <m/>
    <m/>
    <m/>
    <m/>
  </r>
  <r>
    <d v="2025-02-14T00:00:00"/>
    <x v="1"/>
    <m/>
    <s v="A20706"/>
    <s v="Manual"/>
    <x v="10"/>
    <s v="UBR 537W"/>
    <s v="Kato Investment Ltd -Mityana"/>
    <n v="78.75"/>
    <s v="A20706"/>
    <s v="OM"/>
    <n v="690"/>
    <n v="692"/>
    <n v="2"/>
    <m/>
    <d v="2025-02-13T17:17:00"/>
    <d v="2025-02-13T17:51:00"/>
    <d v="2025-02-13T17:59:00"/>
    <n v="7.9629629680615226"/>
    <n v="41.805555556250816"/>
    <x v="0"/>
    <d v="2025-02-16T14:10:00"/>
    <d v="2025-02-16T16:46:00"/>
    <n v="152.74999999521242"/>
    <m/>
    <d v="2025-02-15T07:38:00"/>
    <d v="2025-02-15T08:25:00"/>
    <n v="46.020833329457673"/>
    <m/>
    <n v="1.5687500000058208"/>
    <n v="3"/>
    <n v="1.4312499999941792"/>
    <n v="37.650000000139698"/>
    <n v="12"/>
    <n v="25.650000000139698"/>
    <n v="3.0701754385797702"/>
    <m/>
    <m/>
    <m/>
    <m/>
    <m/>
  </r>
  <r>
    <d v="2025-02-14T00:00:00"/>
    <x v="1"/>
    <m/>
    <s v="F15895"/>
    <s v="Manual"/>
    <x v="10"/>
    <s v="UBR 533W"/>
    <s v="Boniface Harera"/>
    <n v="156"/>
    <s v="F15895"/>
    <s v="OM"/>
    <n v="448"/>
    <n v="445"/>
    <n v="-3"/>
    <m/>
    <d v="2025-02-16T07:44:00"/>
    <d v="2025-02-16T08:20:00"/>
    <d v="2025-02-16T08:28:00"/>
    <n v="7.9629629680615226"/>
    <n v="43.796296293051761"/>
    <x v="0"/>
    <d v="2025-02-15T13:04:00"/>
    <d v="2025-02-15T18:25:00"/>
    <n v="314.31249999863212"/>
    <s v="less casuals and offloaded the next day"/>
    <d v="2025-02-17T13:31:00"/>
    <d v="2025-02-17T14:28:00"/>
    <n v="55.81249999726424"/>
    <m/>
    <n v="1.2104166666686069"/>
    <n v="2"/>
    <n v="0.78958333333139308"/>
    <n v="29.050000000046566"/>
    <n v="12"/>
    <n v="17.050000000046566"/>
    <n v="9.1495601172770638"/>
    <m/>
    <m/>
    <m/>
    <m/>
    <m/>
  </r>
  <r>
    <d v="2025-02-14T00:00:00"/>
    <x v="1"/>
    <m/>
    <s v="Z82631"/>
    <s v="Manual"/>
    <x v="43"/>
    <s v="UBJ 419C"/>
    <s v="Bates Enterprises Ltd-Ntoroko"/>
    <n v="100"/>
    <s v="Z82631"/>
    <s v="OM"/>
    <n v="464"/>
    <n v="462"/>
    <n v="-2"/>
    <m/>
    <d v="2025-02-14T08:05:00"/>
    <d v="2025-02-14T08:18:00"/>
    <d v="2025-02-14T08:49:00"/>
    <n v="30.856481477773439"/>
    <n v="43.796296293051761"/>
    <x v="0"/>
    <d v="2025-02-15T16:02:00"/>
    <d v="2025-02-15T18:21:00"/>
    <n v="136.10416665891535"/>
    <m/>
    <d v="2025-02-17T13:03:00"/>
    <d v="2025-02-17T14:03:00"/>
    <n v="58.7499999965803"/>
    <m/>
    <n v="3.1763888888890506"/>
    <n v="2"/>
    <n v="-1.1763888888890506"/>
    <n v="76.233333333337214"/>
    <n v="36"/>
    <n v="40.233333333337214"/>
    <n v="2.4855012427503818"/>
    <m/>
    <m/>
    <m/>
    <m/>
    <m/>
  </r>
  <r>
    <d v="2025-02-14T00:00:00"/>
    <x v="1"/>
    <m/>
    <s v="OMD8HUDRR"/>
    <s v="DJ"/>
    <x v="3"/>
    <s v="UBK 881R"/>
    <s v="Boniface Harera"/>
    <n v="153.6"/>
    <s v="OMD8HUDRR"/>
    <s v="OM"/>
    <n v="448"/>
    <n v="450"/>
    <n v="2"/>
    <m/>
    <d v="2025-02-14T08:36:00"/>
    <d v="2025-02-14T08:54:00"/>
    <d v="2025-02-14T09:17:00"/>
    <n v="22.893518520140788"/>
    <n v="40.810185182635905"/>
    <x v="0"/>
    <d v="2025-02-15T09:43:00"/>
    <d v="2025-02-15T11:55:00"/>
    <n v="129.25000000068394"/>
    <m/>
    <d v="2025-02-16T14:55:00"/>
    <d v="2025-02-16T15:55:00"/>
    <n v="58.7499999965803"/>
    <m/>
    <n v="2.234722222223354"/>
    <n v="2"/>
    <n v="-0.23472222222335404"/>
    <n v="53.633333333360497"/>
    <n v="24"/>
    <n v="29.633333333360497"/>
    <n v="5.1833520809851246"/>
    <m/>
    <m/>
    <m/>
    <m/>
    <m/>
  </r>
  <r>
    <d v="2025-02-14T00:00:00"/>
    <x v="1"/>
    <m/>
    <s v="OM881JIRR"/>
    <s v="DJ"/>
    <x v="0"/>
    <s v="UBJ 417C"/>
    <s v="Ntale and Sons"/>
    <n v="153.6"/>
    <s v="OM881JIRR"/>
    <s v="OM"/>
    <n v="810"/>
    <n v="809"/>
    <n v="-1"/>
    <s v="Deviated due to road mantanance"/>
    <d v="2025-02-12T13:44:00"/>
    <d v="2025-02-12T14:13:00"/>
    <d v="2025-02-12T14:25:00"/>
    <n v="11.944444441663412"/>
    <n v="40.810185182635905"/>
    <x v="0"/>
    <d v="2025-02-15T16:13:00"/>
    <d v="2025-02-15T19:02:00"/>
    <n v="165.47916667259415"/>
    <m/>
    <d v="2025-02-15T07:52:00"/>
    <d v="2025-02-15T08:50:00"/>
    <n v="56.791666667122627"/>
    <m/>
    <n v="2.7270833333313931"/>
    <n v="2"/>
    <n v="-0.72708333333139308"/>
    <n v="65.449999999953434"/>
    <n v="24"/>
    <n v="41.449999999953434"/>
    <n v="3.7056694813069373"/>
    <m/>
    <m/>
    <m/>
    <m/>
    <m/>
  </r>
  <r>
    <d v="2025-02-14T00:00:00"/>
    <x v="1"/>
    <m/>
    <s v="OMTDJ66RR"/>
    <s v="DJ"/>
    <x v="24"/>
    <s v="UBP 298H"/>
    <s v="KATO INVESTMENTS LTD- KALISIZO "/>
    <n v="153.6"/>
    <s v="OMTDJ66RR"/>
    <s v="OM"/>
    <n v="350"/>
    <n v="352"/>
    <n v="2"/>
    <m/>
    <d v="2025-02-12T11:37:00"/>
    <d v="2025-02-12T10:50:00"/>
    <d v="2025-02-12T12:19:00"/>
    <n v="88.587962959718425"/>
    <n v="41.805555556250816"/>
    <x v="0"/>
    <d v="2025-02-15T16:31:00"/>
    <d v="2025-02-15T19:39:00"/>
    <n v="184.08333332808979"/>
    <s v="Waited for empties from trade"/>
    <d v="2025-02-19T18:12:00"/>
    <d v="2025-02-19T19:10:00"/>
    <n v="56.791666667122627"/>
    <m/>
    <n v="7.2451388888875954"/>
    <n v="2"/>
    <n v="-5.2451388888875954"/>
    <n v="173.88333333330229"/>
    <n v="84"/>
    <n v="89.883333333302289"/>
    <n v="1.7088818839241948"/>
    <m/>
    <m/>
    <m/>
    <m/>
    <m/>
  </r>
  <r>
    <d v="2025-02-15T00:00:00"/>
    <x v="1"/>
    <m/>
    <s v="A20728"/>
    <s v="Manual"/>
    <x v="44"/>
    <s v="UBE 684K"/>
    <s v="KATO INVESTMENTS LTD-KATIKARA"/>
    <n v="156"/>
    <s v="A20728"/>
    <s v="OM"/>
    <n v="790"/>
    <n v="792"/>
    <n v="2"/>
    <m/>
    <d v="2025-02-13T20:04:00"/>
    <d v="2025-02-13T20:04:00"/>
    <d v="2025-02-13T20:47:00"/>
    <n v="42.80092592986572"/>
    <n v="42.80092592986572"/>
    <x v="0"/>
    <d v="2025-02-14T19:18:00"/>
    <d v="2025-02-15T10:22:00"/>
    <n v="885.16666665891535"/>
    <s v="Reached late and offloaded the next day"/>
    <d v="2025-02-16T08:18:00"/>
    <d v="2025-02-16T09:13:00"/>
    <n v="53.854166667806567"/>
    <m/>
    <n v="2.4798611111109494"/>
    <n v="2"/>
    <n v="-0.47986111111094942"/>
    <n v="59.516666666662786"/>
    <n v="24"/>
    <n v="35.516666666662786"/>
    <n v="4.3923040825908135"/>
    <m/>
    <m/>
    <m/>
    <m/>
    <m/>
  </r>
  <r>
    <d v="2025-02-15T00:00:00"/>
    <x v="1"/>
    <m/>
    <s v="A20734"/>
    <s v="Manual"/>
    <x v="30"/>
    <s v="UBR 540W"/>
    <s v="Kato Investment Ltd -Mityana"/>
    <n v="156"/>
    <s v="A20734"/>
    <s v="OM"/>
    <n v="690"/>
    <n v="692"/>
    <n v="2"/>
    <m/>
    <d v="2025-02-13T10:50:00"/>
    <d v="2025-02-13T10:37:00"/>
    <d v="2025-02-13T11:34:00"/>
    <n v="56.736111108330078"/>
    <n v="43.796296293051761"/>
    <x v="0"/>
    <d v="2025-02-14T08:36:00"/>
    <d v="2025-02-14T14:44:00"/>
    <n v="360.33333333834889"/>
    <s v="Waited for empties from trade"/>
    <d v="2025-02-16T08:18:00"/>
    <d v="2025-02-16T09:14:00"/>
    <n v="54.833333337664953"/>
    <m/>
    <n v="2.8638888888890506"/>
    <n v="3"/>
    <n v="0.13611111111094942"/>
    <n v="68.733333333337214"/>
    <n v="24"/>
    <n v="44.733333333337214"/>
    <n v="3.4873323397910538"/>
    <m/>
    <m/>
    <m/>
    <m/>
    <m/>
  </r>
  <r>
    <d v="2025-02-15T00:00:00"/>
    <x v="1"/>
    <m/>
    <s v="A20735"/>
    <s v="Manual"/>
    <x v="36"/>
    <s v="UBE 680K"/>
    <s v="Kato Investments Ltd- Kakumiro"/>
    <n v="156"/>
    <s v="A20735"/>
    <s v="OM"/>
    <n v="790"/>
    <n v="788"/>
    <n v="-2"/>
    <m/>
    <d v="2025-02-13T14:29:00"/>
    <d v="2025-02-13T14:55:00"/>
    <d v="2025-02-13T15:12:00"/>
    <n v="16.921296299309081"/>
    <n v="42.80092592986572"/>
    <x v="0"/>
    <d v="2025-02-14T14:26:00"/>
    <d v="2025-02-14T17:50:00"/>
    <n v="199.74999999452848"/>
    <s v="space consquents"/>
    <d v="2025-02-15T07:38:00"/>
    <d v="2025-02-15T08:38:00"/>
    <n v="58.7499999965803"/>
    <m/>
    <n v="1.6847222222277196"/>
    <n v="2"/>
    <n v="0.31527777777228039"/>
    <n v="40.433333333465271"/>
    <n v="12"/>
    <n v="28.433333333465271"/>
    <n v="5.4865181711351507"/>
    <m/>
    <m/>
    <m/>
    <m/>
    <m/>
  </r>
  <r>
    <d v="2025-02-15T00:00:00"/>
    <x v="1"/>
    <m/>
    <s v="A20731"/>
    <s v="Manual"/>
    <x v="47"/>
    <s v="UBR 538W"/>
    <s v="Kato Investments Ltd- Kyegegwa"/>
    <n v="156"/>
    <s v="A20731"/>
    <s v="OM"/>
    <n v="600"/>
    <n v="602"/>
    <n v="2"/>
    <m/>
    <d v="2025-02-12T18:26:00"/>
    <d v="2025-02-12T19:03:00"/>
    <d v="2025-02-12T19:07:00"/>
    <n v="3.9814814840307613"/>
    <n v="40.810185182635905"/>
    <x v="0"/>
    <d v="2025-02-16T14:10:00"/>
    <d v="2025-02-16T16:46:00"/>
    <n v="152.74999999521242"/>
    <m/>
    <d v="2025-02-15T09:15:00"/>
    <d v="2025-02-15T10:06:00"/>
    <n v="49.93749999863212"/>
    <m/>
    <n v="2.5888888888875954"/>
    <n v="3"/>
    <n v="0.41111111111240461"/>
    <n v="62.133333333302289"/>
    <n v="24"/>
    <n v="38.133333333302289"/>
    <n v="4.0909090909124215"/>
    <m/>
    <m/>
    <m/>
    <m/>
    <m/>
  </r>
  <r>
    <d v="2025-02-15T00:00:00"/>
    <x v="1"/>
    <m/>
    <s v="Z82636"/>
    <s v="Manual"/>
    <x v="10"/>
    <s v="UBG 084B"/>
    <s v="Kabaco U Ltd "/>
    <n v="156"/>
    <s v="Z82636"/>
    <s v="OM"/>
    <n v="320"/>
    <n v="319"/>
    <n v="-1"/>
    <m/>
    <d v="2025-02-12T17:00:00"/>
    <d v="2025-02-12T16:22:00"/>
    <d v="2025-02-12T17:44:00"/>
    <n v="81.62037036527181"/>
    <n v="43.796296293051761"/>
    <x v="0"/>
    <d v="2025-02-14T11:08:00"/>
    <d v="2025-02-14T17:13:00"/>
    <n v="357.39583333903283"/>
    <s v="truck faulty"/>
    <d v="2025-02-17T13:31:00"/>
    <d v="2025-02-17T14:27:00"/>
    <n v="54.833333337664953"/>
    <m/>
    <n v="4.8243055555576575"/>
    <n v="2"/>
    <n v="-2.8243055555576575"/>
    <n v="115.78333333338378"/>
    <n v="48"/>
    <n v="67.78333333338378"/>
    <n v="2.3014507007605198"/>
    <m/>
    <m/>
    <m/>
    <m/>
    <m/>
  </r>
  <r>
    <d v="2025-02-15T00:00:00"/>
    <x v="1"/>
    <m/>
    <s v="Z82637"/>
    <s v="Manual"/>
    <x v="35"/>
    <s v="UBP 312H"/>
    <s v="Rugoma Traders-Rukungiri"/>
    <n v="156"/>
    <s v="Z82637"/>
    <s v="OM"/>
    <n v="256"/>
    <n v="255"/>
    <n v="-1"/>
    <m/>
    <d v="2025-02-13T13:30:00"/>
    <d v="2025-02-13T14:01:00"/>
    <d v="2025-02-13T14:13:00"/>
    <n v="11.944444441663412"/>
    <n v="42.80092592986572"/>
    <x v="0"/>
    <d v="2025-02-14T08:43:00"/>
    <d v="2025-02-14T10:46:00"/>
    <n v="120.43750000273576"/>
    <m/>
    <d v="2025-02-16T08:18:00"/>
    <d v="2025-02-16T09:15:00"/>
    <n v="55.81249999726424"/>
    <m/>
    <n v="2.7534722222189885"/>
    <n v="2"/>
    <n v="-0.75347222221898846"/>
    <n v="66.083333333255723"/>
    <n v="24"/>
    <n v="42.083333333255723"/>
    <n v="3.7069306930761434"/>
    <m/>
    <m/>
    <m/>
    <m/>
    <m/>
  </r>
  <r>
    <d v="2025-02-15T00:00:00"/>
    <x v="1"/>
    <m/>
    <s v="A20730"/>
    <s v="Manual"/>
    <x v="10"/>
    <s v="UBR 534W"/>
    <s v="Kato Investment Ltd -Mityana"/>
    <n v="156"/>
    <s v="A20730"/>
    <s v="OM"/>
    <n v="690"/>
    <n v="692"/>
    <n v="2"/>
    <m/>
    <d v="2025-02-14T12:56:00"/>
    <d v="2025-02-14T13:32:00"/>
    <d v="2025-02-14T13:40:00"/>
    <n v="7.9629629680615226"/>
    <n v="43.796296293051761"/>
    <x v="0"/>
    <d v="2025-02-15T13:04:00"/>
    <d v="2025-02-15T18:25:00"/>
    <n v="314.31249999863212"/>
    <s v="found another truck to be offloaded"/>
    <d v="2025-02-16T08:18:00"/>
    <d v="2025-02-16T09:28:00"/>
    <n v="68.541666664386867"/>
    <s v="pre trip inspections"/>
    <n v="1.7763888888875954"/>
    <n v="3"/>
    <n v="1.2236111111124046"/>
    <n v="42.633333333302289"/>
    <n v="12"/>
    <n v="30.633333333302289"/>
    <n v="5.0924918389605471"/>
    <m/>
    <m/>
    <m/>
    <m/>
    <m/>
  </r>
  <r>
    <d v="2025-02-15T00:00:00"/>
    <x v="1"/>
    <m/>
    <s v="A20736"/>
    <s v="Manual"/>
    <x v="24"/>
    <s v="UBP 298H"/>
    <s v="KATO INVESTMENTS LTD-KATIKARA"/>
    <n v="156"/>
    <s v="A20736"/>
    <s v="OM"/>
    <n v="790"/>
    <n v="792"/>
    <n v="2"/>
    <m/>
    <d v="2025-02-12T21:44:00"/>
    <d v="2025-02-12T21:17:00"/>
    <d v="2025-02-12T22:27:00"/>
    <n v="69.675925923608403"/>
    <n v="42.80092592986572"/>
    <x v="0"/>
    <d v="2025-02-14T13:52:00"/>
    <d v="2025-02-14T16:39:00"/>
    <n v="163.52083333287737"/>
    <m/>
    <d v="2025-02-15T07:38:00"/>
    <d v="2025-02-15T08:36:00"/>
    <n v="56.791666667122627"/>
    <m/>
    <n v="2.382638888891961"/>
    <n v="3"/>
    <n v="0.61736111110803904"/>
    <n v="57.183333333407063"/>
    <n v="24"/>
    <n v="33.183333333407063"/>
    <n v="4.7011551983823221"/>
    <m/>
    <m/>
    <m/>
    <m/>
    <m/>
  </r>
  <r>
    <d v="2025-02-15T00:00:00"/>
    <x v="1"/>
    <m/>
    <s v="Z82639"/>
    <s v="Manual"/>
    <x v="34"/>
    <s v="UBP 301H"/>
    <s v="Kobusinge Steven-FPortal"/>
    <n v="156"/>
    <s v="Z82639"/>
    <s v="OM"/>
    <n v="304"/>
    <n v="306"/>
    <n v="2"/>
    <m/>
    <d v="2025-02-12T17:30:00"/>
    <d v="2025-02-12T17:01:00"/>
    <d v="2025-02-12T18:11:00"/>
    <n v="69.675925923608403"/>
    <n v="40.810185182635905"/>
    <x v="0"/>
    <d v="2025-02-15T11:12:00"/>
    <d v="2025-02-15T14:08:00"/>
    <n v="172.33333333082555"/>
    <m/>
    <d v="2025-02-15T07:38:00"/>
    <d v="2025-02-15T08:32:00"/>
    <n v="52.87499999794818"/>
    <m/>
    <n v="2.5604166666671517"/>
    <n v="2"/>
    <n v="-0.56041666666715173"/>
    <n v="61.450000000011642"/>
    <n v="24"/>
    <n v="37.450000000011642"/>
    <n v="4.1655540720948334"/>
    <m/>
    <m/>
    <m/>
    <m/>
    <m/>
  </r>
  <r>
    <d v="2025-02-15T00:00:00"/>
    <x v="1"/>
    <m/>
    <s v="A20726"/>
    <s v="Manual"/>
    <x v="10"/>
    <s v="UBF 369L"/>
    <s v="Sawan Distributors Ltd-Nabingo"/>
    <n v="156"/>
    <s v="A20726"/>
    <s v="OM"/>
    <n v="560"/>
    <n v="561"/>
    <n v="1"/>
    <m/>
    <d v="2025-02-15T12:59:00"/>
    <d v="2025-02-14T16:40:00"/>
    <d v="2025-02-15T13:40:00"/>
    <n v="1254.1666666666667"/>
    <n v="40.810185182635905"/>
    <x v="0"/>
    <d v="2025-02-15T11:17:00"/>
    <d v="2025-02-15T19:00:00"/>
    <n v="453.35416666712263"/>
    <s v="First offloaded their route sale trucks"/>
    <d v="2025-02-19T18:12:00"/>
    <d v="2025-02-19T19:10:00"/>
    <n v="56.791666667122627"/>
    <m/>
    <n v="4.1888888888861402"/>
    <n v="2"/>
    <n v="-2.1888888888861402"/>
    <n v="100.53333333326736"/>
    <n v="48"/>
    <n v="52.533333333267365"/>
    <n v="2.969543147211851"/>
    <m/>
    <m/>
    <m/>
    <m/>
    <m/>
  </r>
  <r>
    <d v="2025-02-15T00:00:00"/>
    <x v="1"/>
    <m/>
    <s v="A20729"/>
    <s v="Manual"/>
    <x v="33"/>
    <s v="UBR 541W"/>
    <s v="Kato Investment Ltd -Kagadi"/>
    <n v="156"/>
    <s v="A20729"/>
    <s v="OM"/>
    <n v="670"/>
    <n v="671"/>
    <n v="1"/>
    <m/>
    <d v="2025-02-14T22:15:00"/>
    <d v="2025-02-14T09:00:00"/>
    <d v="2025-02-14T22:58:00"/>
    <n v="834.12037036735762"/>
    <n v="42.80092592986572"/>
    <x v="0"/>
    <d v="2025-02-14T15:56:00"/>
    <d v="2025-02-14T19:14:00"/>
    <n v="193.87499999589636"/>
    <s v="First offloaded their route sale trucks"/>
    <d v="2025-02-15T07:52:00"/>
    <d v="2025-02-15T08:48:00"/>
    <n v="54.833333337664953"/>
    <m/>
    <n v="0.37083333333430346"/>
    <n v="2"/>
    <n v="1.6291666666656965"/>
    <n v="8.9000000000232831"/>
    <n v="0"/>
    <n v="8.9000000000232831"/>
    <n v="17.528089887594593"/>
    <m/>
    <m/>
    <m/>
    <m/>
    <m/>
  </r>
  <r>
    <d v="2025-02-15T00:00:00"/>
    <x v="1"/>
    <m/>
    <s v="OM1QUZPRR"/>
    <s v="DJ"/>
    <x v="2"/>
    <s v="UBE 287X"/>
    <s v="KATO INVESTMENTS LIMITED-MASAK "/>
    <n v="153.6"/>
    <s v="OM1QUZPRR"/>
    <s v="OM"/>
    <n v="298"/>
    <n v="300"/>
    <n v="2"/>
    <m/>
    <d v="2025-02-15T10:10:00"/>
    <d v="2025-02-15T08:52:00"/>
    <d v="2025-02-15T10:53:00"/>
    <n v="120.43981482153565"/>
    <n v="42.80092592986572"/>
    <x v="0"/>
    <d v="2025-02-17T16:57:00"/>
    <d v="2025-02-17T19:12:00"/>
    <n v="132.1875"/>
    <m/>
    <d v="2025-02-20T19:16:00"/>
    <d v="2025-02-20T20:14:00"/>
    <n v="56.791666667122627"/>
    <m/>
    <n v="5.3493055555518367"/>
    <n v="2"/>
    <n v="-3.3493055555518367"/>
    <n v="128.38333333324408"/>
    <n v="60"/>
    <n v="68.383333333244082"/>
    <n v="2.2461613453599871"/>
    <m/>
    <m/>
    <m/>
    <m/>
    <m/>
  </r>
  <r>
    <d v="2025-02-15T00:00:00"/>
    <x v="1"/>
    <m/>
    <s v="OMD3RE6RR"/>
    <s v="DJ"/>
    <x v="7"/>
    <s v="UAY 526V"/>
    <s v="Rugoma Traders-Kanungu/Kihihi"/>
    <n v="153.6"/>
    <s v="OMD3RE6RR"/>
    <s v="OM"/>
    <n v="414"/>
    <n v="413"/>
    <n v="-1"/>
    <m/>
    <d v="2025-02-15T09:01:00"/>
    <d v="2025-02-15T09:23:00"/>
    <d v="2025-02-15T10:04:00"/>
    <n v="40.810185182635905"/>
    <n v="62.708333329161782"/>
    <x v="1"/>
    <d v="2025-02-15T12:40:00"/>
    <d v="2025-02-15T16:15:00"/>
    <n v="210.52083333219343"/>
    <s v="found another truck at RD"/>
    <d v="2025-02-16T09:41:00"/>
    <d v="2025-02-16T10:38:00"/>
    <n v="55.81249999726424"/>
    <m/>
    <n v="0.98402777777664596"/>
    <n v="2"/>
    <n v="1.015972222223354"/>
    <n v="23.616666666639503"/>
    <n v="0"/>
    <n v="23.616666666639503"/>
    <n v="6.5038814396687368"/>
    <m/>
    <m/>
    <m/>
    <m/>
    <m/>
  </r>
  <r>
    <d v="2025-02-15T00:00:00"/>
    <x v="1"/>
    <m/>
    <s v="OM117K8RR"/>
    <s v="DJ"/>
    <x v="1"/>
    <s v="UBJ 375N"/>
    <s v="Rugoma Traders-Kanungu/Kihihi"/>
    <n v="153.6"/>
    <s v="OM117K8RR"/>
    <s v="OM"/>
    <n v="414"/>
    <n v="412"/>
    <n v="-2"/>
    <m/>
    <d v="2025-02-15T14:13:00"/>
    <d v="2025-02-15T13:37:00"/>
    <d v="2025-02-15T14:57:00"/>
    <n v="79.629629628470866"/>
    <n v="43.796296293051761"/>
    <x v="0"/>
    <d v="2025-02-16T09:23:00"/>
    <d v="2025-02-16T11:25:00"/>
    <n v="119.45833333287737"/>
    <m/>
    <d v="2025-02-16T06:58:00"/>
    <d v="2025-02-16T07:54:00"/>
    <n v="54.833333337664953"/>
    <m/>
    <n v="0.66736111111094942"/>
    <n v="2"/>
    <n v="1.3326388888890506"/>
    <n v="16.016666666662786"/>
    <n v="0"/>
    <n v="16.016666666662786"/>
    <n v="9.5900104058295863"/>
    <m/>
    <m/>
    <m/>
    <m/>
    <m/>
  </r>
  <r>
    <d v="2025-02-15T00:00:00"/>
    <x v="1"/>
    <m/>
    <s v="OMK83DARR"/>
    <s v="DJ"/>
    <x v="4"/>
    <s v="UBE 422T"/>
    <s v="KATO INVESTMENTS LIMITED-MASAK "/>
    <n v="153.6"/>
    <s v="OMK83DARR"/>
    <s v="OM"/>
    <n v="298"/>
    <n v="300"/>
    <n v="2"/>
    <m/>
    <d v="2025-02-15T16:10:00"/>
    <d v="2025-02-15T16:11:00"/>
    <d v="2025-02-15T16:52:00"/>
    <n v="40.810185182635905"/>
    <n v="41.805555556250816"/>
    <x v="0"/>
    <d v="2025-02-16T09:39:00"/>
    <d v="2025-02-16T12:00:00"/>
    <n v="138.06249999863212"/>
    <m/>
    <d v="2025-02-16T13:29:00"/>
    <d v="2025-02-16T14:27:00"/>
    <n v="56.791666667122627"/>
    <m/>
    <n v="0.85902777777664596"/>
    <n v="2"/>
    <n v="1.140972222223354"/>
    <n v="20.616666666639503"/>
    <n v="0"/>
    <n v="20.616666666639503"/>
    <n v="7.4502829426128878"/>
    <m/>
    <m/>
    <m/>
    <m/>
    <m/>
  </r>
  <r>
    <d v="2025-02-15T00:00:00"/>
    <x v="1"/>
    <m/>
    <s v="OMG1H0FRR"/>
    <s v="DJ"/>
    <x v="4"/>
    <s v="UBE 422T"/>
    <s v="Kabaco U Ltd "/>
    <n v="153.6"/>
    <s v="OMG1H0FRR"/>
    <s v="OM"/>
    <n v="320"/>
    <n v="60"/>
    <n v="-260"/>
    <m/>
    <d v="2025-02-15T15:50:00"/>
    <d v="2025-02-15T15:43:00"/>
    <d v="2025-02-15T16:34:00"/>
    <n v="50.763888887498375"/>
    <n v="43.796296293051761"/>
    <x v="0"/>
    <d v="2025-02-15T10:05:00"/>
    <d v="2025-02-15T12:06:00"/>
    <n v="118.47916666301899"/>
    <m/>
    <d v="2025-02-16T15:14:00"/>
    <d v="2025-02-16T16:14:00"/>
    <n v="58.7499999965803"/>
    <m/>
    <n v="0.94444444444525288"/>
    <n v="2"/>
    <n v="1.0555555555547471"/>
    <n v="22.666666666686069"/>
    <n v="0"/>
    <n v="22.666666666686069"/>
    <n v="6.7764705882294933"/>
    <m/>
    <m/>
    <m/>
    <m/>
    <m/>
  </r>
  <r>
    <d v="2025-02-15T00:00:00"/>
    <x v="1"/>
    <m/>
    <s v="OMRKN18RR"/>
    <s v="DJ"/>
    <x v="17"/>
    <s v="UBA 523T"/>
    <s v="KATO INVESTMENTS LIMITED-MASAK"/>
    <n v="153.6"/>
    <s v="OMRKN18RR"/>
    <s v="OM"/>
    <n v="298"/>
    <n v="299"/>
    <n v="1"/>
    <m/>
    <d v="2025-02-15T10:17:00"/>
    <d v="2025-02-15T09:44:00"/>
    <d v="2025-02-15T11:01:00"/>
    <n v="76.643518518055018"/>
    <n v="43.796296293051761"/>
    <x v="0"/>
    <d v="2025-02-17T11:39:00"/>
    <d v="2025-02-17T17:36:00"/>
    <n v="349.56249999042484"/>
    <s v="found another truck at the RD"/>
    <d v="2025-02-16T06:55:00"/>
    <d v="2025-02-16T07:55:00"/>
    <n v="58.7499999965803"/>
    <m/>
    <n v="0.82916666667006211"/>
    <n v="2"/>
    <n v="1.1708333333299379"/>
    <n v="19.900000000081491"/>
    <n v="0"/>
    <n v="19.900000000081491"/>
    <n v="7.7185929647925127"/>
    <m/>
    <m/>
    <m/>
    <m/>
    <m/>
  </r>
  <r>
    <d v="2025-02-16T00:00:00"/>
    <x v="1"/>
    <m/>
    <s v="Z82644"/>
    <s v="Manual"/>
    <x v="46"/>
    <s v="UBE 678K"/>
    <s v="Kobusinge Steven-Kamwenge"/>
    <n v="156"/>
    <s v="Z82644"/>
    <s v="OM"/>
    <n v="288"/>
    <n v="290"/>
    <n v="2"/>
    <m/>
    <d v="2025-02-15T09:17:00"/>
    <d v="2025-02-15T08:50:00"/>
    <d v="2025-02-15T10:00:00"/>
    <n v="69.675925923608403"/>
    <n v="42.80092592986572"/>
    <x v="0"/>
    <d v="2025-02-15T07:23:00"/>
    <d v="2025-02-15T16:12:00"/>
    <n v="517.97916667259415"/>
    <s v="space consquents"/>
    <d v="2025-02-17T11:06:00"/>
    <d v="2025-02-17T12:00:00"/>
    <n v="52.87499999794818"/>
    <m/>
    <n v="2.0458333333372138"/>
    <n v="2"/>
    <n v="-4.5833333337213844E-2"/>
    <n v="49.100000000093132"/>
    <n v="24"/>
    <n v="25.100000000093132"/>
    <n v="6.2151394422080148"/>
    <m/>
    <m/>
    <m/>
    <m/>
    <m/>
  </r>
  <r>
    <d v="2025-02-16T00:00:00"/>
    <x v="1"/>
    <m/>
    <s v="A20741"/>
    <s v="Manual"/>
    <x v="37"/>
    <s v="UBK 866R"/>
    <s v="KATO INVESTMENTS LTD-KATIKARA"/>
    <n v="156"/>
    <s v="A20741"/>
    <s v="OM"/>
    <n v="790"/>
    <n v="788"/>
    <n v="-2"/>
    <m/>
    <d v="2025-02-15T10:00:00"/>
    <d v="2025-02-15T10:32:00"/>
    <d v="2025-02-15T10:44:00"/>
    <n v="11.944444441663412"/>
    <n v="43.796296293051761"/>
    <x v="0"/>
    <d v="2025-02-15T16:44:00"/>
    <d v="2025-02-15T18:32:00"/>
    <n v="105.74999999589636"/>
    <m/>
    <d v="2025-02-17T11:06:00"/>
    <d v="2025-02-17T12:04:00"/>
    <n v="56.791666667122627"/>
    <m/>
    <n v="2.015277777776646"/>
    <n v="3"/>
    <n v="0.98472222222335404"/>
    <n v="48.366666666639503"/>
    <n v="24"/>
    <n v="24.366666666639503"/>
    <n v="6.4021887824968768"/>
    <m/>
    <m/>
    <m/>
    <m/>
    <m/>
  </r>
  <r>
    <d v="2025-02-16T00:00:00"/>
    <x v="1"/>
    <m/>
    <s v="Z82645"/>
    <s v="Manual"/>
    <x v="32"/>
    <s v="UBJ 703D"/>
    <s v="Kabaco U Ltd "/>
    <n v="156"/>
    <s v="Z82645"/>
    <s v="OM"/>
    <n v="320"/>
    <n v="322"/>
    <n v="2"/>
    <m/>
    <d v="2025-02-15T06:49:00"/>
    <d v="2025-02-15T05:59:00"/>
    <d v="2025-02-15T07:30:00"/>
    <n v="90.578703706948247"/>
    <n v="40.810185182635905"/>
    <x v="0"/>
    <d v="2025-02-16T11:14:00"/>
    <d v="2025-02-16T14:33:00"/>
    <n v="194.85416666575475"/>
    <s v="Not enough casuals to offload"/>
    <d v="2025-02-15T15:48:00"/>
    <d v="2025-02-15T16:44:00"/>
    <n v="54.833333337664953"/>
    <m/>
    <n v="0.34583333333284827"/>
    <n v="2"/>
    <n v="1.6541666666671517"/>
    <n v="8.2999999999883585"/>
    <n v="0"/>
    <n v="8.2999999999883585"/>
    <n v="18.795180722917927"/>
    <m/>
    <m/>
    <m/>
    <m/>
    <m/>
  </r>
  <r>
    <d v="2025-02-16T00:00:00"/>
    <x v="1"/>
    <m/>
    <s v="A20740"/>
    <s v="Manual"/>
    <x v="39"/>
    <s v="UBJ 705D"/>
    <s v="Kato Investments Ltd-Bulenga"/>
    <n v="156"/>
    <s v="A20740"/>
    <s v="OM"/>
    <n v="560"/>
    <n v="562"/>
    <n v="2"/>
    <m/>
    <d v="2025-02-15T16:50:00"/>
    <d v="2025-02-15T16:42:00"/>
    <d v="2025-02-15T17:33:00"/>
    <n v="50.763888887498375"/>
    <n v="42.80092592986572"/>
    <x v="0"/>
    <d v="2025-02-16T12:17:00"/>
    <d v="2025-02-16T15:57:00"/>
    <n v="215.41666666096717"/>
    <s v="Waited for empties from trade"/>
    <d v="2025-02-16T19:27:00"/>
    <d v="2025-02-16T20:22:00"/>
    <n v="53.854166667806567"/>
    <m/>
    <n v="1.0791666666700621"/>
    <n v="2"/>
    <n v="0.92083333332993789"/>
    <n v="25.900000000081491"/>
    <n v="12"/>
    <n v="13.900000000081491"/>
    <n v="11.223021582668016"/>
    <m/>
    <m/>
    <m/>
    <m/>
    <m/>
  </r>
  <r>
    <d v="2025-02-16T00:00:00"/>
    <x v="1"/>
    <m/>
    <s v="F15906"/>
    <s v="Manual"/>
    <x v="27"/>
    <s v="UBM 648D"/>
    <s v="Boniface Harera"/>
    <n v="156"/>
    <s v="F15906"/>
    <s v="OM"/>
    <n v="448"/>
    <n v="450"/>
    <n v="2"/>
    <m/>
    <d v="2025-02-14T11:39:00"/>
    <d v="2025-02-14T12:18:00"/>
    <d v="2025-02-14T12:22:00"/>
    <n v="3.9814814840307613"/>
    <n v="42.80092592986572"/>
    <x v="0"/>
    <d v="2025-02-15T20:06:00"/>
    <d v="2025-02-15T23:00:00"/>
    <n v="170.37500000136788"/>
    <m/>
    <d v="2025-02-16T18:18:00"/>
    <d v="2025-02-16T19:18:00"/>
    <n v="58.7499999965803"/>
    <m/>
    <n v="2.2472222222204437"/>
    <n v="2"/>
    <n v="-0.24722222222044365"/>
    <n v="53.933333333290648"/>
    <n v="24"/>
    <n v="29.933333333290648"/>
    <n v="5.2115812917668976"/>
    <m/>
    <m/>
    <m/>
    <m/>
    <m/>
  </r>
  <r>
    <d v="2025-02-16T00:00:00"/>
    <x v="1"/>
    <m/>
    <s v="Z82649"/>
    <s v="Manual"/>
    <x v="45"/>
    <s v=" UBP 310H"/>
    <s v="Kobusinge Acaali- Kyenjojo"/>
    <n v="156"/>
    <s v="Z82649"/>
    <s v="OM"/>
    <n v="580"/>
    <n v="579"/>
    <n v="-1"/>
    <m/>
    <d v="2025-02-14T21:38:00"/>
    <d v="2025-02-14T22:09:00"/>
    <d v="2025-02-14T22:21:00"/>
    <n v="11.944444441663412"/>
    <n v="42.80092592986572"/>
    <x v="0"/>
    <d v="2025-02-16T17:28:00"/>
    <d v="2025-02-16T20:22:00"/>
    <n v="170.37500000136788"/>
    <m/>
    <d v="2025-02-16T19:22:00"/>
    <d v="2025-02-16T20:20:00"/>
    <n v="56.791666667122627"/>
    <m/>
    <n v="1.8756944444394321"/>
    <n v="2"/>
    <n v="0.12430555556056788"/>
    <n v="45.016666666546371"/>
    <n v="12"/>
    <n v="33.016666666546371"/>
    <n v="4.7248864210167101"/>
    <m/>
    <m/>
    <m/>
    <m/>
    <m/>
  </r>
  <r>
    <d v="2025-02-16T00:00:00"/>
    <x v="1"/>
    <m/>
    <s v="OMLX6IURR"/>
    <s v="DJ"/>
    <x v="17"/>
    <s v="UBA 523T"/>
    <s v="Kabaco U Ltd "/>
    <n v="153.6"/>
    <s v="OMLX6IURR"/>
    <s v="OM"/>
    <n v="320"/>
    <n v="322"/>
    <n v="2"/>
    <m/>
    <d v="2025-02-14T19:24:00"/>
    <d v="2025-02-14T18:38:00"/>
    <d v="2025-02-14T20:07:00"/>
    <n v="88.587962959718425"/>
    <n v="42.80092592986572"/>
    <x v="0"/>
    <d v="2025-02-15T11:26:00"/>
    <d v="2025-02-15T14:32:00"/>
    <n v="182.12499999863212"/>
    <s v="found another truck to be offloaded"/>
    <d v="2025-02-15T14:59:00"/>
    <d v="2025-02-15T15:59:00"/>
    <n v="58.7499999965803"/>
    <m/>
    <n v="0.78611111111240461"/>
    <n v="2"/>
    <n v="1.2138888888875954"/>
    <n v="18.866666666697711"/>
    <n v="0"/>
    <n v="18.866666666697711"/>
    <n v="8.1413427561703493"/>
    <m/>
    <m/>
    <m/>
    <m/>
    <m/>
  </r>
  <r>
    <d v="2025-02-16T00:00:00"/>
    <x v="1"/>
    <m/>
    <s v="OMSILIWRR"/>
    <s v="DJ"/>
    <x v="5"/>
    <s v="UBE 419T"/>
    <s v="KATO INVESTMENTS LIMITED-MASAK"/>
    <n v="153.6"/>
    <s v="OMSILIWRR"/>
    <s v="OM"/>
    <n v="298"/>
    <n v="300"/>
    <n v="2"/>
    <m/>
    <d v="2025-02-14T18:44:00"/>
    <d v="2025-02-14T18:08:00"/>
    <d v="2025-02-14T19:28:00"/>
    <n v="79.629629628470866"/>
    <n v="43.796296293051761"/>
    <x v="0"/>
    <d v="2025-02-15T09:41:00"/>
    <d v="2025-02-15T11:40:00"/>
    <n v="116.52083333356131"/>
    <m/>
    <d v="2025-02-15T16:39:00"/>
    <d v="2025-02-15T17:37:00"/>
    <n v="56.791666667122627"/>
    <m/>
    <n v="0.882638888884685"/>
    <n v="2"/>
    <n v="1.117361111115315"/>
    <n v="21.18333333323244"/>
    <n v="0"/>
    <n v="21.18333333323244"/>
    <n v="7.2509834776112463"/>
    <m/>
    <m/>
    <m/>
    <m/>
    <m/>
  </r>
  <r>
    <d v="2025-02-16T00:00:00"/>
    <x v="1"/>
    <m/>
    <s v="OMHUBMXRR"/>
    <s v="DJ"/>
    <x v="24"/>
    <s v="UBP 298H"/>
    <s v="KATO INVESTMENTS LIMITED-MASAK"/>
    <n v="153.6"/>
    <s v="OMHUBMXRR"/>
    <s v="OM"/>
    <n v="298"/>
    <n v="297"/>
    <n v="-1"/>
    <s v="Delievered to kalangala"/>
    <d v="2025-02-15T14:13:00"/>
    <d v="2025-02-15T01:59:00"/>
    <d v="2025-02-15T14:57:00"/>
    <n v="774.39814814861165"/>
    <n v="43.796296293051761"/>
    <x v="0"/>
    <d v="2025-02-15T20:06:00"/>
    <d v="2025-02-15T23:00:00"/>
    <n v="170.37500000136788"/>
    <m/>
    <d v="2025-02-16T19:22:00"/>
    <d v="2025-02-16T20:16:00"/>
    <n v="52.87499999794818"/>
    <m/>
    <n v="1.1840277777737356"/>
    <n v="2"/>
    <n v="0.81597222222626442"/>
    <n v="28.416666666569654"/>
    <n v="12"/>
    <n v="16.416666666569654"/>
    <n v="9.3563451777202644"/>
    <m/>
    <m/>
    <m/>
    <m/>
    <m/>
  </r>
  <r>
    <d v="2025-02-17T00:00:00"/>
    <x v="1"/>
    <m/>
    <s v="A20752"/>
    <s v="Manual"/>
    <x v="10"/>
    <s v="UBR 535W"/>
    <s v="KATO INVESTMENTS LTD-KATIKARA"/>
    <n v="156"/>
    <s v="A20752"/>
    <s v="OM"/>
    <n v="790"/>
    <n v="792"/>
    <n v="2"/>
    <m/>
    <d v="2025-02-15T16:11:00"/>
    <d v="2025-02-15T10:00:00"/>
    <d v="2025-02-15T16:52:00"/>
    <n v="410.09259259444661"/>
    <n v="40.810185182635905"/>
    <x v="0"/>
    <d v="2025-02-16T11:14:00"/>
    <d v="2025-02-16T14:33:00"/>
    <n v="194.85416666575475"/>
    <s v="found another truck at RD"/>
    <d v="2025-02-16T19:27:00"/>
    <d v="2025-02-16T20:21:00"/>
    <n v="52.87499999794818"/>
    <m/>
    <n v="1.1076388888905058"/>
    <n v="3"/>
    <n v="1.8923611111094942"/>
    <n v="26.583333333372138"/>
    <n v="12"/>
    <n v="14.583333333372138"/>
    <n v="10.697142857114393"/>
    <m/>
    <m/>
    <m/>
    <m/>
    <m/>
  </r>
  <r>
    <d v="2025-02-17T00:00:00"/>
    <x v="1"/>
    <m/>
    <s v="Z82655"/>
    <s v="Manual"/>
    <x v="10"/>
    <s v="UBR 537W"/>
    <s v="Rugoma Traders-Rukungiri"/>
    <n v="156"/>
    <s v="Z82655"/>
    <s v="OM"/>
    <n v="256"/>
    <n v="258"/>
    <n v="2"/>
    <m/>
    <d v="2025-02-15T15:51:00"/>
    <d v="2025-02-15T11:00:00"/>
    <d v="2025-02-15T16:34:00"/>
    <n v="332.45370370277669"/>
    <n v="42.80092592986572"/>
    <x v="0"/>
    <d v="2025-02-16T12:17:00"/>
    <d v="2025-02-16T15:57:00"/>
    <n v="215.41666666096717"/>
    <s v="Not enough casuals to offload"/>
    <d v="2025-02-16T18:18:00"/>
    <d v="2025-02-16T19:16:00"/>
    <n v="56.791666667122627"/>
    <m/>
    <n v="1.0722222222175333"/>
    <n v="2"/>
    <n v="0.92777777778246673"/>
    <n v="25.733333333220799"/>
    <n v="12"/>
    <n v="13.733333333220799"/>
    <n v="11.359223301063954"/>
    <m/>
    <m/>
    <m/>
    <m/>
    <m/>
  </r>
  <r>
    <d v="2025-02-17T00:00:00"/>
    <x v="1"/>
    <m/>
    <s v="A20758"/>
    <s v="Manual"/>
    <x v="10"/>
    <s v="UBR 868Y"/>
    <s v="Kato Investment Ltd -Mityana"/>
    <n v="156"/>
    <s v="A20758"/>
    <s v="OM"/>
    <n v="690"/>
    <n v="692"/>
    <n v="2"/>
    <m/>
    <d v="2025-02-15T10:02:00"/>
    <d v="2025-02-15T09:00:00"/>
    <d v="2025-02-15T10:44:00"/>
    <n v="103.51851852222656"/>
    <n v="41.805555556250816"/>
    <x v="0"/>
    <d v="2025-02-16T17:28:00"/>
    <d v="2025-02-16T20:06:00"/>
    <n v="154.70833333492919"/>
    <m/>
    <d v="2025-02-15T14:59:00"/>
    <d v="2025-02-15T15:57:00"/>
    <n v="56.791666667122627"/>
    <m/>
    <n v="0.17708333332848269"/>
    <n v="3"/>
    <n v="2.8229166666715173"/>
    <n v="4.2499999998835847"/>
    <n v="0"/>
    <n v="4.2499999998835847"/>
    <n v="36.70588235394662"/>
    <m/>
    <m/>
    <m/>
    <m/>
    <m/>
  </r>
  <r>
    <d v="2025-02-17T00:00:00"/>
    <x v="1"/>
    <m/>
    <s v="A20759"/>
    <s v="Manual"/>
    <x v="10"/>
    <s v="UBR 533W"/>
    <s v="Kato Investments Ltd- Kyegegwa"/>
    <n v="156"/>
    <s v="A20759"/>
    <s v="OM"/>
    <n v="600"/>
    <n v="602"/>
    <n v="2"/>
    <m/>
    <d v="2025-02-15T14:11:00"/>
    <d v="2025-02-15T04:14:00"/>
    <d v="2025-02-15T14:54:00"/>
    <n v="637.03703703819576"/>
    <n v="42.80092592986572"/>
    <x v="0"/>
    <d v="2025-02-15T09:41:00"/>
    <d v="2025-02-15T11:40:00"/>
    <n v="116.52083333356131"/>
    <m/>
    <d v="2025-02-15T16:39:00"/>
    <d v="2025-02-15T17:35:00"/>
    <n v="54.833333337664953"/>
    <m/>
    <n v="7.2916666664241347E-2"/>
    <n v="3"/>
    <n v="2.9270833333357587"/>
    <n v="1.7499999999417923"/>
    <n v="0"/>
    <n v="1.7499999999417923"/>
    <n v="89.142857145822177"/>
    <m/>
    <m/>
    <m/>
    <m/>
    <m/>
  </r>
  <r>
    <d v="2025-02-17T00:00:00"/>
    <x v="1"/>
    <m/>
    <s v="A20767"/>
    <s v="Manual"/>
    <x v="47"/>
    <s v="UBR 538W"/>
    <s v="Sawan Distributors Ltd-Nabingo"/>
    <n v="156"/>
    <s v="A20767"/>
    <s v="OM"/>
    <n v="560"/>
    <n v="558"/>
    <n v="-2"/>
    <m/>
    <d v="2025-02-14T14:13:00"/>
    <d v="2025-02-14T14:43:00"/>
    <d v="2025-02-14T14:54:00"/>
    <n v="10.949074078477375"/>
    <n v="40.810185182635905"/>
    <x v="0"/>
    <d v="2025-02-17T09:34:00"/>
    <d v="2025-02-17T12:26:00"/>
    <n v="168.41666666165111"/>
    <m/>
    <d v="2025-02-18T20:49:00"/>
    <d v="2025-02-18T21:47:00"/>
    <n v="56.791666667122627"/>
    <m/>
    <n v="4.2465277777737356"/>
    <n v="2"/>
    <n v="-2.2465277777737356"/>
    <n v="101.91666666656965"/>
    <n v="48"/>
    <n v="53.916666666569654"/>
    <n v="2.8933539412725939"/>
    <m/>
    <m/>
    <m/>
    <m/>
    <m/>
  </r>
  <r>
    <d v="2025-02-17T00:00:00"/>
    <x v="1"/>
    <m/>
    <s v="A20754"/>
    <s v="Manual"/>
    <x v="43"/>
    <s v="UBJ 419C"/>
    <s v="Kato Investment Ltd -Mubende"/>
    <n v="156"/>
    <s v="A20754"/>
    <s v="OM"/>
    <n v="680"/>
    <n v="679"/>
    <n v="-1"/>
    <m/>
    <d v="2025-02-17T11:13:00"/>
    <d v="2025-02-17T11:38:00"/>
    <d v="2025-02-17T11:57:00"/>
    <n v="18.912037036110025"/>
    <n v="43.796296293051761"/>
    <x v="0"/>
    <d v="2025-02-17T17:04:00"/>
    <d v="2025-02-17T19:23:00"/>
    <n v="136.10416666917445"/>
    <m/>
    <d v="2025-02-19T12:25:00"/>
    <d v="2025-02-19T13:15:00"/>
    <n v="48.958333328773733"/>
    <m/>
    <n v="2.0194444444423425"/>
    <n v="3"/>
    <n v="0.9805555555576575"/>
    <n v="48.46666666661622"/>
    <n v="24"/>
    <n v="24.46666666661622"/>
    <n v="6.376021798378269"/>
    <m/>
    <m/>
    <m/>
    <m/>
    <m/>
  </r>
  <r>
    <d v="2025-02-17T00:00:00"/>
    <x v="1"/>
    <m/>
    <s v="A20753"/>
    <s v="Manual"/>
    <x v="10"/>
    <s v="UBR 903Y"/>
    <s v="KATO INVESTMENTS LTD-KATIKARA"/>
    <n v="156"/>
    <s v="A20753"/>
    <s v="OM"/>
    <n v="790"/>
    <n v="792"/>
    <n v="2"/>
    <m/>
    <d v="2025-02-16T09:54:00"/>
    <d v="2025-02-16T09:44:00"/>
    <d v="2025-02-16T10:38:00"/>
    <n v="53.749999997914223"/>
    <n v="43.796296293051761"/>
    <x v="0"/>
    <d v="2025-02-16T08:42:00"/>
    <d v="2025-02-16T14:22:00"/>
    <n v="332.91666666438687"/>
    <s v="slept at the RD and offloaded the next day"/>
    <d v="2025-02-17T09:40:00"/>
    <d v="2025-02-17T10:40:00"/>
    <n v="58.7499999965803"/>
    <m/>
    <n v="0.95972222222189885"/>
    <n v="2"/>
    <n v="1.0402777777781012"/>
    <n v="23.033333333325572"/>
    <n v="0"/>
    <n v="23.033333333325572"/>
    <n v="6.7727930535478684"/>
    <m/>
    <m/>
    <m/>
    <m/>
    <m/>
  </r>
  <r>
    <d v="2025-02-17T00:00:00"/>
    <x v="1"/>
    <m/>
    <s v="A20755"/>
    <s v="Manual"/>
    <x v="49"/>
    <s v="UBR 539W"/>
    <s v="Kato Investment Ltd -Mityana"/>
    <n v="156"/>
    <s v="A20755"/>
    <s v="OM"/>
    <n v="690"/>
    <n v="689"/>
    <n v="-1"/>
    <m/>
    <d v="2025-02-16T09:44:00"/>
    <d v="2025-02-16T10:13:00"/>
    <d v="2025-02-16T10:25:00"/>
    <n v="11.944444441663412"/>
    <n v="40.810185182635905"/>
    <x v="0"/>
    <d v="2025-02-16T15:30:00"/>
    <d v="2025-02-16T17:35:00"/>
    <n v="122.39583333219343"/>
    <m/>
    <d v="2025-02-17T21:47:00"/>
    <d v="2025-02-17T22:47:00"/>
    <n v="58.7499999965803"/>
    <m/>
    <n v="1.4736111111051287"/>
    <n v="3"/>
    <n v="1.5263888888948713"/>
    <n v="35.366666666523088"/>
    <n v="12"/>
    <n v="23.366666666523088"/>
    <n v="6.676176890197941"/>
    <m/>
    <m/>
    <m/>
    <m/>
    <m/>
  </r>
  <r>
    <d v="2025-02-17T00:00:00"/>
    <x v="1"/>
    <m/>
    <s v="A20770"/>
    <s v="Manual"/>
    <x v="10"/>
    <s v="UBG 084B"/>
    <s v="Kato Investment Ltd -Mityana"/>
    <n v="156"/>
    <s v="A20770"/>
    <s v="OM"/>
    <n v="690"/>
    <n v="688"/>
    <n v="-2"/>
    <m/>
    <d v="2025-02-16T08:31:00"/>
    <d v="2025-02-16T07:59:00"/>
    <d v="2025-02-16T09:34:00"/>
    <n v="94.560185180550135"/>
    <n v="62.708333329161782"/>
    <x v="5"/>
    <d v="2025-02-18T10:12:00"/>
    <d v="2025-02-18T12:44:00"/>
    <n v="148.83333332603797"/>
    <m/>
    <d v="2025-02-17T10:58:00"/>
    <d v="2025-02-17T11:54:00"/>
    <n v="54.833333337664953"/>
    <m/>
    <n v="1.0583333333343035"/>
    <n v="2"/>
    <n v="0.94166666666569654"/>
    <n v="25.400000000023283"/>
    <n v="12"/>
    <n v="13.400000000023283"/>
    <n v="11.641791044755891"/>
    <m/>
    <m/>
    <m/>
    <m/>
    <m/>
  </r>
  <r>
    <d v="2025-02-17T00:00:00"/>
    <x v="1"/>
    <m/>
    <s v="A20757"/>
    <s v="Manual"/>
    <x v="41"/>
    <s v="UBF 379L"/>
    <s v="Kato Investment Ltd -Mubende"/>
    <n v="156"/>
    <s v="A20757"/>
    <s v="OM"/>
    <n v="680"/>
    <n v="678"/>
    <n v="-2"/>
    <m/>
    <d v="2025-02-15T11:52:00"/>
    <d v="2025-02-15T12:13:00"/>
    <d v="2025-02-15T12:36:00"/>
    <n v="22.893518520140788"/>
    <n v="43.796296293051761"/>
    <x v="0"/>
    <d v="2025-02-17T13:02:00"/>
    <d v="2025-02-17T16:11:00"/>
    <n v="185.06249999794818"/>
    <s v="Waited for empties from trade"/>
    <d v="2025-02-19T12:32:00"/>
    <d v="2025-02-19T13:25:00"/>
    <n v="51.895833338348893"/>
    <m/>
    <n v="3.9972222222204437"/>
    <n v="2"/>
    <n v="-1.9972222222204437"/>
    <n v="95.933333333290648"/>
    <n v="36"/>
    <n v="59.933333333290648"/>
    <n v="2.6028921023377825"/>
    <m/>
    <m/>
    <m/>
    <m/>
    <m/>
  </r>
  <r>
    <d v="2025-02-17T00:00:00"/>
    <x v="1"/>
    <m/>
    <s v="A20773"/>
    <s v="Manual"/>
    <x v="36"/>
    <s v="UBE 680K"/>
    <s v="Ntale and Sons Ltd-Kakiri"/>
    <n v="156"/>
    <s v="A20773"/>
    <s v="OM"/>
    <n v="620"/>
    <n v="622"/>
    <n v="2"/>
    <m/>
    <d v="2025-02-17T11:13:00"/>
    <d v="2025-02-16T02:22:00"/>
    <d v="2025-02-17T11:57:00"/>
    <n v="2005.6712962951376"/>
    <n v="43.796296293051761"/>
    <x v="0"/>
    <d v="2025-02-17T12:01:00"/>
    <d v="2025-02-17T15:50:00"/>
    <n v="224.22916665891535"/>
    <s v="Reached late and offloaded the next day"/>
    <d v="2025-02-17T18:38:00"/>
    <d v="2025-02-17T19:38:00"/>
    <n v="58.7499999965803"/>
    <m/>
    <n v="0.27847222222044365"/>
    <n v="3"/>
    <n v="2.7215277777795563"/>
    <n v="6.6833333332906477"/>
    <n v="0"/>
    <n v="6.6833333332906477"/>
    <n v="23.341645885435863"/>
    <m/>
    <m/>
    <m/>
    <m/>
    <m/>
  </r>
  <r>
    <d v="2025-02-17T00:00:00"/>
    <x v="1"/>
    <m/>
    <s v="Z82657"/>
    <s v="Manual"/>
    <x v="35"/>
    <s v="UBP 312H"/>
    <s v="Kobusinge Acaali- Kyenjojo"/>
    <n v="156"/>
    <s v="Z82657"/>
    <s v="OM"/>
    <n v="580"/>
    <n v="581"/>
    <n v="1"/>
    <m/>
    <d v="2025-02-16T21:08:00"/>
    <d v="2025-02-16T16:14:00"/>
    <d v="2025-02-16T21:51:00"/>
    <n v="335.43981481319253"/>
    <n v="42.80092592986572"/>
    <x v="0"/>
    <d v="2025-02-16T12:13:00"/>
    <d v="2025-02-16T16:38:00"/>
    <n v="259.47916667122627"/>
    <s v="Waited for empties from trade"/>
    <d v="2025-02-17T11:53:00"/>
    <d v="2025-02-17T12:51:00"/>
    <n v="56.791666667122627"/>
    <m/>
    <n v="0.58472222222189885"/>
    <n v="2"/>
    <n v="1.4152777777781012"/>
    <n v="14.033333333325572"/>
    <n v="0"/>
    <n v="14.033333333325572"/>
    <n v="11.116389548699734"/>
    <m/>
    <m/>
    <m/>
    <m/>
    <m/>
  </r>
  <r>
    <d v="2025-02-17T00:00:00"/>
    <x v="1"/>
    <m/>
    <s v="OMBA7HPRR"/>
    <s v="DJ"/>
    <x v="8"/>
    <s v="UBK 875R"/>
    <s v="Rugoma Traders-Kanungu/Kihihi "/>
    <n v="153.6"/>
    <s v="OMBA7HPRR"/>
    <s v="OM"/>
    <n v="414"/>
    <n v="413"/>
    <n v="-1"/>
    <m/>
    <d v="2025-02-19T10:48:00"/>
    <d v="2025-02-19T11:16:00"/>
    <d v="2025-02-19T11:32:00"/>
    <n v="15.925925925694173"/>
    <n v="43.796296293051761"/>
    <x v="0"/>
    <d v="2025-02-17T19:05:00"/>
    <d v="2025-02-18T10:21:00"/>
    <n v="896.91666666643869"/>
    <s v="Waited for empties from trade"/>
    <d v="2025-02-20T07:09:00"/>
    <d v="2025-02-20T08:06:00"/>
    <n v="55.81249999726424"/>
    <m/>
    <n v="0.81736111111240461"/>
    <n v="2"/>
    <n v="1.1826388888875954"/>
    <n v="19.616666666697711"/>
    <n v="0"/>
    <n v="19.616666666697711"/>
    <n v="7.8300764655780926"/>
    <m/>
    <m/>
    <m/>
    <m/>
    <m/>
  </r>
  <r>
    <d v="2025-02-17T00:00:00"/>
    <x v="1"/>
    <m/>
    <s v="OMUK22WRR"/>
    <s v="DJ"/>
    <x v="20"/>
    <s v="UAY 265V"/>
    <s v="Ntale and Sons"/>
    <n v="153.6"/>
    <s v="OMUK22WRR"/>
    <s v="OM"/>
    <n v="810"/>
    <n v="812"/>
    <n v="2"/>
    <m/>
    <d v="2025-02-16T13:10:00"/>
    <d v="2025-02-16T13:19:00"/>
    <d v="2025-02-16T13:53:00"/>
    <n v="33.842592588189291"/>
    <n v="42.80092592986572"/>
    <x v="0"/>
    <d v="2025-02-17T14:40:00"/>
    <d v="2025-02-17T17:53:00"/>
    <n v="188.97916666712263"/>
    <s v="Waited for empties from trade"/>
    <d v="2025-02-18T16:14:00"/>
    <d v="2025-02-18T17:02:00"/>
    <n v="46.99999999931606"/>
    <m/>
    <n v="2.0979166666656965"/>
    <n v="3"/>
    <n v="0.90208333333430346"/>
    <n v="50.349999999976717"/>
    <n v="24"/>
    <n v="26.349999999976717"/>
    <n v="5.8292220113903497"/>
    <m/>
    <m/>
    <m/>
    <m/>
    <m/>
  </r>
  <r>
    <d v="2025-02-17T00:00:00"/>
    <x v="1"/>
    <m/>
    <s v="OMCBKQ0RR"/>
    <s v="DJ"/>
    <x v="7"/>
    <s v="UAY 526V"/>
    <s v="KATO INVESTMENTS LIMITED-MASAK"/>
    <n v="153.6"/>
    <s v="OMCBKQ0RR"/>
    <s v="OM"/>
    <n v="298"/>
    <n v="300"/>
    <n v="2"/>
    <m/>
    <d v="2025-02-17T06:44:00"/>
    <d v="2025-02-17T06:34:00"/>
    <d v="2025-02-17T07:25:00"/>
    <n v="50.763888887498375"/>
    <n v="40.810185182635905"/>
    <x v="0"/>
    <d v="2025-02-18T11:05:00"/>
    <d v="2025-02-18T13:06:00"/>
    <n v="118.47916666301899"/>
    <m/>
    <d v="2025-02-18T14:03:00"/>
    <d v="2025-02-18T15:00:00"/>
    <n v="55.81249999726424"/>
    <m/>
    <n v="1.2763888888875954"/>
    <n v="2"/>
    <n v="0.72361111111240461"/>
    <n v="30.633333333302289"/>
    <n v="12"/>
    <n v="18.633333333302289"/>
    <n v="8.2432915921425352"/>
    <m/>
    <m/>
    <m/>
    <m/>
    <m/>
  </r>
  <r>
    <d v="2025-02-17T00:00:00"/>
    <x v="1"/>
    <m/>
    <s v="OMFVAXKRR"/>
    <s v="DJ"/>
    <x v="1"/>
    <s v="UBJ 375N"/>
    <s v="Ntale and Sons"/>
    <n v="153.6"/>
    <s v="OMFVAXKRR"/>
    <s v="OM"/>
    <n v="810"/>
    <n v="807"/>
    <n v="-3"/>
    <m/>
    <d v="2025-02-16T21:30:00"/>
    <d v="2025-02-16T21:18:00"/>
    <d v="2025-02-16T22:13:00"/>
    <n v="54.745370371529134"/>
    <n v="42.80092592986572"/>
    <x v="0"/>
    <d v="2025-02-17T15:35:00"/>
    <d v="2025-02-17T19:50:00"/>
    <n v="249.6875000034197"/>
    <s v="slept at the RD and offloaded the next day"/>
    <d v="2025-02-17T15:37:00"/>
    <d v="2025-02-17T16:28:00"/>
    <n v="49.93749999863212"/>
    <m/>
    <n v="0.72499999999854481"/>
    <n v="2"/>
    <n v="1.2750000000014552"/>
    <n v="17.399999999965075"/>
    <n v="0"/>
    <n v="17.399999999965075"/>
    <n v="8.827586206914269"/>
    <m/>
    <m/>
    <m/>
    <m/>
    <m/>
  </r>
  <r>
    <d v="2025-02-17T00:00:00"/>
    <x v="1"/>
    <m/>
    <s v="OMLLIGXRR"/>
    <s v="DJ"/>
    <x v="2"/>
    <s v="UBE 287X"/>
    <s v="Kato Investment Ltd -Mubende "/>
    <n v="153.6"/>
    <s v="OMLLIGXRR"/>
    <s v="OM"/>
    <n v="680"/>
    <n v="682"/>
    <n v="2"/>
    <m/>
    <d v="2025-02-16T21:13:00"/>
    <d v="2025-02-16T20:25:00"/>
    <d v="2025-02-16T21:56:00"/>
    <n v="90.578703706948247"/>
    <n v="42.80092592986572"/>
    <x v="0"/>
    <d v="2025-02-19T13:23:00"/>
    <d v="2025-02-19T15:27:00"/>
    <n v="121.41666667259415"/>
    <m/>
    <d v="2025-02-19T16:24:00"/>
    <d v="2025-02-19T17:34:00"/>
    <n v="68.541666664386867"/>
    <s v="pre trip inspections"/>
    <n v="2.7694444444423425"/>
    <n v="2"/>
    <n v="-0.7694444444423425"/>
    <n v="66.46666666661622"/>
    <n v="24"/>
    <n v="42.46666666661622"/>
    <n v="3.6169544741016275"/>
    <m/>
    <m/>
    <m/>
    <m/>
    <m/>
  </r>
  <r>
    <d v="2025-02-18T00:00:00"/>
    <x v="1"/>
    <m/>
    <s v="Z82674"/>
    <s v="Manual"/>
    <x v="10"/>
    <s v="UBR 534W"/>
    <s v="Kabaco U Ltd "/>
    <n v="148.80000000000001"/>
    <s v="Z82674"/>
    <s v="OM"/>
    <n v="320"/>
    <n v="319"/>
    <n v="-1"/>
    <m/>
    <d v="2025-02-16T17:42:00"/>
    <d v="2025-02-16T18:00:00"/>
    <d v="2025-02-16T18:23:00"/>
    <n v="22.893518520140788"/>
    <n v="40.810185182635905"/>
    <x v="0"/>
    <d v="2025-02-17T08:54:00"/>
    <d v="2025-02-17T12:57:00"/>
    <n v="237.93749999589636"/>
    <s v="found another truck to be offloaded"/>
    <d v="2025-02-19T16:24:00"/>
    <d v="2025-02-19T17:21:00"/>
    <n v="55.81249999726424"/>
    <m/>
    <n v="2.9173611111109494"/>
    <n v="2"/>
    <n v="-0.91736111111094942"/>
    <n v="70.016666666662786"/>
    <n v="24"/>
    <n v="46.016666666662786"/>
    <n v="3.2336110105037137"/>
    <m/>
    <m/>
    <m/>
    <m/>
    <m/>
  </r>
  <r>
    <d v="2025-02-18T00:00:00"/>
    <x v="1"/>
    <m/>
    <s v="A20806"/>
    <s v="Manual"/>
    <x v="42"/>
    <s v="UBK 858R"/>
    <s v="Kato Investments Ltd- Kakumiro"/>
    <n v="43.2"/>
    <s v="A20806"/>
    <s v="OM"/>
    <n v="790"/>
    <n v="792"/>
    <n v="2"/>
    <m/>
    <d v="2025-02-16T20:05:00"/>
    <d v="2025-02-16T20:30:00"/>
    <d v="2025-02-16T20:49:00"/>
    <n v="18.912037036110025"/>
    <n v="43.796296293051761"/>
    <x v="0"/>
    <d v="2025-02-17T14:46:00"/>
    <d v="2025-02-17T16:53:00"/>
    <n v="124.35416667191021"/>
    <m/>
    <d v="2025-02-19T11:43:00"/>
    <d v="2025-02-19T12:39:00"/>
    <n v="54.833333337664953"/>
    <m/>
    <n v="2.6208333333343035"/>
    <n v="3"/>
    <n v="0.37916666666569654"/>
    <n v="62.900000000023283"/>
    <n v="24"/>
    <n v="38.900000000023283"/>
    <n v="1.11053984575769"/>
    <m/>
    <m/>
    <m/>
    <m/>
    <m/>
  </r>
  <r>
    <d v="2025-02-18T00:00:00"/>
    <x v="1"/>
    <m/>
    <s v="A20804"/>
    <s v="Manual"/>
    <x v="10"/>
    <s v="UBR 903Y"/>
    <s v="KATO INVESTMENTS LTD-KATIKARA"/>
    <n v="156"/>
    <s v="A20804"/>
    <s v="OM"/>
    <n v="790"/>
    <n v="792"/>
    <n v="2"/>
    <m/>
    <d v="2025-02-16T20:30:00"/>
    <d v="2025-02-16T21:02:00"/>
    <d v="2025-02-16T21:13:00"/>
    <n v="10.949074078477375"/>
    <n v="42.80092592986572"/>
    <x v="0"/>
    <d v="2025-02-18T12:28:00"/>
    <d v="2025-02-18T14:35:00"/>
    <n v="124.35416667191021"/>
    <m/>
    <d v="2025-02-17T16:17:00"/>
    <d v="2025-02-17T17:08:00"/>
    <n v="49.93749999863212"/>
    <m/>
    <n v="0.79444444444379769"/>
    <n v="3"/>
    <n v="2.2055555555562023"/>
    <n v="19.066666666651145"/>
    <n v="0"/>
    <n v="19.066666666651145"/>
    <n v="8.181818181824843"/>
    <m/>
    <m/>
    <m/>
    <m/>
    <m/>
  </r>
  <r>
    <d v="2025-02-18T00:00:00"/>
    <x v="1"/>
    <m/>
    <s v="A20807"/>
    <s v="Manual"/>
    <x v="37"/>
    <s v="UBK 866R"/>
    <s v="Kato Investment Ltd -Mityana"/>
    <n v="156"/>
    <s v="A20807"/>
    <s v="OM"/>
    <n v="690"/>
    <n v="692"/>
    <n v="2"/>
    <m/>
    <d v="2025-02-17T10:22:00"/>
    <d v="2025-02-17T09:44:00"/>
    <d v="2025-02-17T11:06:00"/>
    <n v="81.62037036527181"/>
    <n v="43.796296293051761"/>
    <x v="0"/>
    <d v="2025-02-18T09:57:00"/>
    <d v="2025-02-18T14:44:00"/>
    <n v="281.02083333629707"/>
    <s v="Waited for empties from trade"/>
    <d v="2025-02-19T09:47:00"/>
    <d v="2025-02-19T10:44:00"/>
    <n v="55.81249999726424"/>
    <m/>
    <n v="1.945138888884685"/>
    <n v="3"/>
    <n v="1.054861111115315"/>
    <n v="46.68333333323244"/>
    <n v="12"/>
    <n v="34.68333333323244"/>
    <n v="4.4978375781005422"/>
    <m/>
    <m/>
    <m/>
    <m/>
    <m/>
  </r>
  <r>
    <d v="2025-02-18T00:00:00"/>
    <x v="1"/>
    <m/>
    <s v="Z82676"/>
    <s v="Manual"/>
    <x v="32"/>
    <s v="UBJ 703D"/>
    <s v="Kobusinge Steven-FPortal"/>
    <n v="148.80000000000001"/>
    <s v="Z82676"/>
    <s v="OM"/>
    <n v="304"/>
    <n v="302"/>
    <n v="-2"/>
    <m/>
    <d v="2025-02-17T08:00:00"/>
    <d v="2025-02-17T08:53:00"/>
    <d v="2025-02-17T09:01:00"/>
    <n v="7.9629629680615226"/>
    <n v="60.717592592360838"/>
    <x v="5"/>
    <d v="2025-02-17T08:38:00"/>
    <d v="2025-02-17T13:38:00"/>
    <n v="293.7500000034197"/>
    <s v="Waited for empties from trade"/>
    <d v="2025-02-20T07:09:00"/>
    <d v="2025-02-20T08:05:00"/>
    <n v="54.833333337664953"/>
    <m/>
    <n v="2.922222222223354"/>
    <n v="2"/>
    <n v="-0.92222222222335404"/>
    <n v="70.133333333360497"/>
    <n v="24"/>
    <n v="46.133333333360497"/>
    <n v="3.2254335260096618"/>
    <m/>
    <m/>
    <m/>
    <m/>
    <m/>
  </r>
  <r>
    <d v="2025-02-18T00:00:00"/>
    <x v="1"/>
    <m/>
    <s v="Z82677"/>
    <s v="Manual"/>
    <x v="25"/>
    <s v="UBJ 420C"/>
    <s v="Bates Enterprises Ltd-Ntoroko"/>
    <n v="56"/>
    <s v="Z82677"/>
    <s v="OM"/>
    <n v="464"/>
    <n v="463"/>
    <n v="-1"/>
    <m/>
    <d v="2025-02-16T22:08:00"/>
    <d v="2025-02-16T22:29:00"/>
    <d v="2025-02-16T22:52:00"/>
    <n v="22.893518520140788"/>
    <n v="43.796296293051761"/>
    <x v="0"/>
    <d v="2025-02-17T16:57:00"/>
    <d v="2025-02-17T19:51:00"/>
    <n v="170.37500000136788"/>
    <m/>
    <d v="2025-02-20T07:09:00"/>
    <d v="2025-02-20T08:25:00"/>
    <n v="74.416666663018987"/>
    <s v="fueling delays"/>
    <n v="3.3451388888934162"/>
    <n v="3"/>
    <n v="-0.34513888889341615"/>
    <n v="80.283333333441988"/>
    <n v="36"/>
    <n v="44.283333333441988"/>
    <n v="1.2645841174225652"/>
    <m/>
    <m/>
    <m/>
    <m/>
    <m/>
  </r>
  <r>
    <d v="2025-02-18T00:00:00"/>
    <x v="1"/>
    <m/>
    <s v="A20808"/>
    <s v="Manual"/>
    <x v="40"/>
    <s v="UBP 311H"/>
    <s v="Ntale and Sons Ltd-Kakiri"/>
    <n v="156"/>
    <s v="A20808"/>
    <s v="OM"/>
    <n v="620"/>
    <n v="619"/>
    <n v="-1"/>
    <m/>
    <d v="2025-02-18T09:46:00"/>
    <d v="2025-02-18T10:06:00"/>
    <d v="2025-02-18T10:29:00"/>
    <n v="22.893518520140788"/>
    <n v="42.80092592986572"/>
    <x v="0"/>
    <d v="2025-02-17T09:23:00"/>
    <d v="2025-02-17T12:12:00"/>
    <n v="165.47916666233505"/>
    <m/>
    <d v="2025-02-18T14:03:00"/>
    <d v="2025-02-18T14:54:00"/>
    <n v="49.93749999863212"/>
    <m/>
    <n v="0.148611111115315"/>
    <n v="2"/>
    <n v="1.851388888884685"/>
    <n v="3.5666666667675599"/>
    <n v="0"/>
    <n v="3.5666666667675599"/>
    <n v="43.73831775577208"/>
    <m/>
    <m/>
    <m/>
    <m/>
    <m/>
  </r>
  <r>
    <d v="2025-02-18T00:00:00"/>
    <x v="1"/>
    <m/>
    <s v="A20799"/>
    <s v="Manual"/>
    <x v="30"/>
    <s v="UBR 540W"/>
    <s v="Ntale and Sons Ltd-Kakiri"/>
    <n v="156"/>
    <s v="A20799"/>
    <s v="OM"/>
    <n v="620"/>
    <n v="617"/>
    <n v="-3"/>
    <m/>
    <d v="2025-02-18T07:44:00"/>
    <d v="2025-02-18T08:05:00"/>
    <d v="2025-02-18T08:28:00"/>
    <n v="22.893518520140788"/>
    <n v="43.796296293051761"/>
    <x v="0"/>
    <d v="2025-02-17T19:05:00"/>
    <d v="2025-02-18T10:21:00"/>
    <n v="896.91666666643869"/>
    <s v="less casuals and offloaded the next day"/>
    <d v="2025-02-18T15:37:00"/>
    <d v="2025-02-18T16:28:00"/>
    <n v="49.93749999863212"/>
    <m/>
    <n v="0.29791666666278616"/>
    <n v="3"/>
    <n v="2.7020833333372138"/>
    <n v="7.1499999999068677"/>
    <n v="0"/>
    <n v="7.1499999999068677"/>
    <n v="21.818181818466012"/>
    <m/>
    <m/>
    <m/>
    <m/>
    <m/>
  </r>
  <r>
    <d v="2025-02-18T00:00:00"/>
    <x v="1"/>
    <m/>
    <s v="A20798"/>
    <s v="Manual"/>
    <x v="48"/>
    <s v="UBM 644D"/>
    <s v="Sawan Distributors Ltd-Nabingo"/>
    <n v="148.80000000000001"/>
    <s v="A20798"/>
    <s v="OM"/>
    <n v="560"/>
    <n v="562"/>
    <n v="2"/>
    <m/>
    <d v="2025-02-18T08:27:00"/>
    <d v="2025-02-18T08:35:00"/>
    <d v="2025-02-18T09:10:00"/>
    <n v="34.837962961804202"/>
    <n v="42.80092592986572"/>
    <x v="0"/>
    <d v="2025-02-18T10:10:00"/>
    <d v="2025-02-18T12:57:00"/>
    <n v="163.52083333287737"/>
    <m/>
    <d v="2025-02-19T16:24:00"/>
    <d v="2025-02-19T17:12:00"/>
    <n v="46.99999999931606"/>
    <m/>
    <n v="1.3013888888890506"/>
    <n v="2"/>
    <n v="0.69861111111094942"/>
    <n v="31.233333333337214"/>
    <n v="12"/>
    <n v="19.233333333337214"/>
    <n v="7.7365684575374347"/>
    <m/>
    <m/>
    <m/>
    <m/>
    <m/>
  </r>
  <r>
    <d v="2025-02-18T00:00:00"/>
    <x v="1"/>
    <m/>
    <s v="A20778"/>
    <s v="Manual"/>
    <x v="46"/>
    <s v="UBE 678K"/>
    <s v="Sawan Distributors Ltd-Kayabwe"/>
    <n v="148.80000000000001"/>
    <s v="A20778"/>
    <s v="OM"/>
    <n v="382"/>
    <n v="384"/>
    <n v="2"/>
    <m/>
    <d v="2025-02-18T10:06:00"/>
    <d v="2025-02-18T10:27:00"/>
    <d v="2025-02-18T10:48:00"/>
    <n v="20.902777772910969"/>
    <n v="41.805555556250816"/>
    <x v="0"/>
    <d v="2025-02-18T11:05:00"/>
    <d v="2025-02-18T13:06:00"/>
    <n v="118.47916666301899"/>
    <m/>
    <d v="2025-02-19T11:43:00"/>
    <d v="2025-02-19T12:40:00"/>
    <n v="55.81249999726424"/>
    <m/>
    <n v="1.0381944444452529"/>
    <n v="2"/>
    <n v="0.96180555555474712"/>
    <n v="24.916666666686069"/>
    <n v="12"/>
    <n v="12.916666666686069"/>
    <n v="11.519999999982696"/>
    <m/>
    <m/>
    <m/>
    <m/>
    <m/>
  </r>
  <r>
    <d v="2025-02-18T00:00:00"/>
    <x v="1"/>
    <m/>
    <s v="OM5OK06RR"/>
    <s v="DJ"/>
    <x v="4"/>
    <s v="UBE 422T"/>
    <s v="Kabaco U Ltd-Mbarara "/>
    <n v="153.6"/>
    <s v="OM5OK06RR"/>
    <s v="OM"/>
    <n v="20"/>
    <n v="21"/>
    <n v="1"/>
    <m/>
    <d v="2025-02-17T14:04:00"/>
    <d v="2025-02-17T13:52:00"/>
    <d v="2025-02-17T14:47:00"/>
    <n v="54.745370371529134"/>
    <n v="42.80092592986572"/>
    <x v="0"/>
    <d v="2025-02-17T14:46:00"/>
    <d v="2025-02-17T16:53:00"/>
    <n v="124.35416667191021"/>
    <m/>
    <d v="2025-02-18T14:03:00"/>
    <d v="2025-02-18T14:59:00"/>
    <n v="54.833333337664953"/>
    <m/>
    <n v="0.96944444444670808"/>
    <n v="2"/>
    <n v="1.0305555555532919"/>
    <n v="23.266666666720994"/>
    <n v="0"/>
    <n v="23.266666666720994"/>
    <n v="6.6017191976923213"/>
    <m/>
    <m/>
    <m/>
    <m/>
    <m/>
  </r>
  <r>
    <d v="2025-02-18T00:00:00"/>
    <x v="1"/>
    <m/>
    <s v="OM9TWHKRR"/>
    <s v="DJ"/>
    <x v="7"/>
    <s v="UAY 526V"/>
    <s v="Ntale and Sons"/>
    <n v="153.6"/>
    <s v="OM9TWHKRR"/>
    <s v="OM"/>
    <n v="810"/>
    <n v="809"/>
    <n v="-1"/>
    <m/>
    <d v="2025-02-17T12:58:00"/>
    <d v="2025-02-17T13:20:00"/>
    <d v="2025-02-17T13:39:00"/>
    <n v="18.912037036110025"/>
    <n v="40.810185182635905"/>
    <x v="0"/>
    <d v="2025-02-18T12:28:00"/>
    <d v="2025-02-18T14:35:00"/>
    <n v="124.35416667191021"/>
    <m/>
    <d v="2025-02-17T15:37:00"/>
    <d v="2025-02-17T16:28:00"/>
    <n v="49.93749999863212"/>
    <m/>
    <n v="8.1944444442342501E-2"/>
    <n v="3"/>
    <n v="2.9180555555576575"/>
    <n v="1.96666666661622"/>
    <n v="0"/>
    <n v="1.96666666661622"/>
    <n v="78.101694917257603"/>
    <m/>
    <m/>
    <m/>
    <m/>
    <m/>
  </r>
  <r>
    <d v="2025-02-18T00:00:00"/>
    <x v="1"/>
    <m/>
    <s v="OMBHUVNRR"/>
    <s v="DJ"/>
    <x v="17"/>
    <s v="UBA 523T"/>
    <s v="Ntale and Sons"/>
    <n v="153.6"/>
    <s v="OMBHUVNRR"/>
    <s v="OM"/>
    <n v="810"/>
    <n v="809"/>
    <n v="-1"/>
    <m/>
    <d v="2025-02-17T13:19:00"/>
    <d v="2025-02-17T13:46:00"/>
    <d v="2025-02-17T14:00:00"/>
    <n v="13.935185188893229"/>
    <n v="40.810185182635905"/>
    <x v="0"/>
    <d v="2025-02-18T09:57:00"/>
    <d v="2025-02-18T14:44:00"/>
    <n v="281.02083333629707"/>
    <s v="space consquents"/>
    <d v="2025-02-19T16:24:00"/>
    <d v="2025-02-19T17:21:00"/>
    <n v="55.81249999726424"/>
    <m/>
    <n v="2.0999999999985448"/>
    <n v="2"/>
    <n v="-9.9999999998544808E-2"/>
    <n v="50.399999999965075"/>
    <n v="24"/>
    <n v="26.399999999965075"/>
    <n v="5.8181818181895144"/>
    <m/>
    <m/>
    <m/>
    <m/>
    <m/>
  </r>
  <r>
    <d v="2025-02-18T00:00:00"/>
    <x v="1"/>
    <m/>
    <s v="OMFNWCZRR"/>
    <s v="DJ"/>
    <x v="24"/>
    <s v="UBP 298H"/>
    <s v="Kato Investment Ltd -Mubende "/>
    <n v="156"/>
    <s v="OMFNWCZRR"/>
    <s v="OM"/>
    <n v="680"/>
    <n v="679"/>
    <n v="-1"/>
    <m/>
    <d v="2025-02-18T18:14:00"/>
    <d v="2025-02-18T18:27:00"/>
    <d v="2025-02-18T18:55:00"/>
    <n v="27.870370367357584"/>
    <n v="40.810185182635905"/>
    <x v="0"/>
    <d v="2025-02-19T11:40:00"/>
    <d v="2025-02-19T14:41:00"/>
    <n v="177.22916666985839"/>
    <m/>
    <d v="2025-02-19T16:24:00"/>
    <d v="2025-02-19T17:21:00"/>
    <n v="55.81249999726424"/>
    <m/>
    <n v="0.89513888888905058"/>
    <n v="3"/>
    <n v="2.1048611111109494"/>
    <n v="21.483333333337214"/>
    <n v="0"/>
    <n v="21.483333333337214"/>
    <n v="7.2614429790522186"/>
    <m/>
    <m/>
    <m/>
    <m/>
    <m/>
  </r>
  <r>
    <d v="2025-02-18T00:00:00"/>
    <x v="1"/>
    <m/>
    <s v="OMV95IBRR"/>
    <s v="DJ"/>
    <x v="5"/>
    <s v="UBE 419T"/>
    <s v="KATO INVESTMENTS LIMITED-MASAK "/>
    <n v="153.6"/>
    <s v="OMV95IBRR"/>
    <s v="OM"/>
    <n v="298"/>
    <n v="295"/>
    <n v="-3"/>
    <m/>
    <d v="2025-02-18T17:23:00"/>
    <d v="2025-02-18T17:45:00"/>
    <d v="2025-02-18T18:06:00"/>
    <n v="20.902777772910969"/>
    <n v="42.80092592986572"/>
    <x v="0"/>
    <d v="2025-02-17T08:38:00"/>
    <d v="2025-02-17T13:38:00"/>
    <n v="293.7500000034197"/>
    <s v="less casuals and offloaded the next day"/>
    <d v="2025-02-19T11:43:00"/>
    <d v="2025-02-19T12:37:00"/>
    <n v="52.87499999794818"/>
    <m/>
    <n v="0.73402777777664596"/>
    <n v="2"/>
    <n v="1.265972222223354"/>
    <n v="17.616666666639503"/>
    <n v="0"/>
    <n v="17.616666666639503"/>
    <n v="8.7190160832679382"/>
    <m/>
    <m/>
    <m/>
    <m/>
    <m/>
  </r>
  <r>
    <d v="2025-02-18T00:00:00"/>
    <x v="1"/>
    <m/>
    <s v="OMAIDXSRR"/>
    <s v="DJ"/>
    <x v="20"/>
    <s v="UAY 265V"/>
    <s v="KATO INVESTMENTS LTD- KALISIZO "/>
    <n v="153.6"/>
    <s v="OMAIDXSRR"/>
    <s v="OM"/>
    <n v="350"/>
    <n v="351"/>
    <n v="1"/>
    <m/>
    <d v="2025-02-17T20:32:00"/>
    <d v="2025-02-17T10:00:00"/>
    <d v="2025-02-17T21:13:00"/>
    <n v="669.88425926319906"/>
    <n v="40.810185182635905"/>
    <x v="0"/>
    <d v="2025-02-17T08:38:00"/>
    <d v="2025-02-17T13:38:00"/>
    <n v="293.7500000034197"/>
    <s v="found another truck at the RD and offloaded the next day"/>
    <d v="2025-02-18T16:17:00"/>
    <d v="2025-02-18T17:33:00"/>
    <n v="74.416666663018987"/>
    <s v="pre trip inspections"/>
    <n v="0.79444444444379769"/>
    <n v="2"/>
    <n v="1.2055555555562023"/>
    <n v="19.066666666651145"/>
    <n v="0"/>
    <n v="19.066666666651145"/>
    <n v="8.0559440559506132"/>
    <m/>
    <m/>
    <m/>
    <m/>
    <m/>
  </r>
  <r>
    <d v="2025-02-19T00:00:00"/>
    <x v="1"/>
    <m/>
    <s v="A20819"/>
    <s v="Manual"/>
    <x v="45"/>
    <s v="UBP 310H"/>
    <s v="Kato Investment Ltd -Mubende"/>
    <n v="156"/>
    <s v="A20819"/>
    <s v="OM"/>
    <n v="680"/>
    <n v="682"/>
    <n v="2"/>
    <m/>
    <d v="2025-02-17T17:35:00"/>
    <d v="2025-02-17T18:07:00"/>
    <d v="2025-02-17T18:19:00"/>
    <n v="11.944444441663412"/>
    <n v="43.796296293051761"/>
    <x v="0"/>
    <d v="2025-02-18T09:26:00"/>
    <d v="2025-02-18T13:02:00"/>
    <n v="211.50000000205182"/>
    <s v="Reached late and offloaded the next day"/>
    <d v="2025-02-19T07:26:00"/>
    <d v="2025-02-19T08:17:00"/>
    <n v="49.93749999863212"/>
    <m/>
    <n v="1.546527777776646"/>
    <n v="2"/>
    <n v="0.45347222222335404"/>
    <n v="37.116666666639503"/>
    <n v="12"/>
    <n v="25.116666666639503"/>
    <n v="6.2110152621168702"/>
    <m/>
    <m/>
    <m/>
    <m/>
    <m/>
  </r>
  <r>
    <d v="2025-02-19T00:00:00"/>
    <x v="1"/>
    <m/>
    <s v="Z82686"/>
    <s v="Manual"/>
    <x v="10"/>
    <s v="UBR 533W"/>
    <s v="Kobusinge Steven-FPortal"/>
    <n v="156"/>
    <s v="Z82686"/>
    <s v="OM"/>
    <n v="304"/>
    <n v="302"/>
    <n v="-2"/>
    <m/>
    <d v="2025-02-17T20:28:00"/>
    <d v="2025-02-17T20:50:00"/>
    <d v="2025-02-17T21:11:00"/>
    <n v="20.902777772910969"/>
    <n v="42.80092592986572"/>
    <x v="0"/>
    <d v="2025-02-18T11:43:00"/>
    <d v="2025-02-18T14:53:00"/>
    <n v="186.04166666780657"/>
    <s v="truck faulty"/>
    <d v="2025-02-21T13:00:00"/>
    <d v="2025-02-21T13:48:00"/>
    <n v="46.99999999931606"/>
    <m/>
    <n v="3.6590277777722804"/>
    <n v="2"/>
    <n v="-1.6590277777722804"/>
    <n v="87.816666666534729"/>
    <n v="36"/>
    <n v="51.816666666534729"/>
    <n v="3.010614345456363"/>
    <m/>
    <m/>
    <m/>
    <m/>
    <m/>
  </r>
  <r>
    <d v="2025-02-19T00:00:00"/>
    <x v="1"/>
    <m/>
    <s v="A20816"/>
    <s v="Manual"/>
    <x v="27"/>
    <s v="UBM 648D"/>
    <s v="Sawan Distributors Ltd-Kayabwe"/>
    <n v="156"/>
    <s v="A20816"/>
    <s v="OM"/>
    <n v="382"/>
    <n v="379"/>
    <n v="-3"/>
    <m/>
    <d v="2025-02-17T16:16:00"/>
    <d v="2025-02-17T16:29:00"/>
    <d v="2025-02-17T16:57:00"/>
    <n v="27.870370367357584"/>
    <n v="40.810185182635905"/>
    <x v="0"/>
    <d v="2025-02-18T16:15:00"/>
    <d v="2025-02-18T18:20:00"/>
    <n v="122.39583333219343"/>
    <m/>
    <d v="2025-02-18T13:40:00"/>
    <d v="2025-02-18T14:36:00"/>
    <n v="54.833333337664953"/>
    <m/>
    <n v="0.8631944444423425"/>
    <n v="2"/>
    <n v="1.1368055555576575"/>
    <n v="20.71666666661622"/>
    <n v="0"/>
    <n v="20.71666666661622"/>
    <n v="7.5301689461164862"/>
    <m/>
    <m/>
    <m/>
    <m/>
    <m/>
  </r>
  <r>
    <d v="2025-02-19T00:00:00"/>
    <x v="1"/>
    <m/>
    <s v="F15920"/>
    <s v="Manual"/>
    <x v="49"/>
    <s v="UBR 539W"/>
    <s v="Boniface Harera"/>
    <n v="156"/>
    <s v="F15920"/>
    <s v="OM"/>
    <n v="448"/>
    <n v="449"/>
    <n v="1"/>
    <m/>
    <d v="2025-02-17T17:11:00"/>
    <d v="2025-02-17T17:48:00"/>
    <d v="2025-02-17T17:52:00"/>
    <n v="3.9814814840307613"/>
    <n v="40.810185182635905"/>
    <x v="0"/>
    <d v="2025-02-19T18:06:00"/>
    <d v="2025-02-19T20:17:00"/>
    <n v="128.27083333082555"/>
    <m/>
    <d v="2025-02-22T14:19:00"/>
    <d v="2025-02-22T15:16:00"/>
    <n v="55.81249999726424"/>
    <m/>
    <n v="4.852083333338669"/>
    <n v="2"/>
    <n v="-2.852083333338669"/>
    <n v="116.45000000012806"/>
    <n v="48"/>
    <n v="68.450000000128057"/>
    <n v="2.2790357925450424"/>
    <m/>
    <m/>
    <m/>
    <m/>
    <m/>
  </r>
  <r>
    <d v="2025-02-19T00:00:00"/>
    <x v="1"/>
    <m/>
    <s v="A20822"/>
    <s v="Manual"/>
    <x v="38"/>
    <s v="UBK 862R"/>
    <s v="Kato Investment Ltd -Kagadi"/>
    <n v="156"/>
    <s v="A20822"/>
    <s v="OM"/>
    <n v="670"/>
    <n v="671"/>
    <n v="1"/>
    <m/>
    <d v="2025-02-18T21:44:00"/>
    <d v="2025-02-18T22:06:00"/>
    <d v="2025-02-18T22:27:00"/>
    <n v="20.902777772910969"/>
    <n v="42.80092592986572"/>
    <x v="0"/>
    <d v="2025-02-17T14:20:00"/>
    <d v="2025-02-17T16:48:00"/>
    <n v="144.91666666712263"/>
    <m/>
    <d v="2025-02-20T17:22:00"/>
    <d v="2025-02-20T18:18:00"/>
    <n v="54.833333337664953"/>
    <m/>
    <n v="1.7881944444452529"/>
    <n v="2"/>
    <n v="0.21180555555474712"/>
    <n v="42.916666666686069"/>
    <n v="12"/>
    <n v="30.916666666686069"/>
    <n v="5.0458221024227097"/>
    <m/>
    <m/>
    <m/>
    <m/>
    <m/>
  </r>
  <r>
    <d v="2025-02-19T00:00:00"/>
    <x v="1"/>
    <m/>
    <s v="Z82685"/>
    <s v="Manual"/>
    <x v="10"/>
    <s v="UBR 537W"/>
    <s v="Bates Enterprises U Ltd"/>
    <n v="156"/>
    <s v="Z82685"/>
    <s v="OM"/>
    <n v="414"/>
    <n v="416"/>
    <n v="2"/>
    <m/>
    <d v="2025-02-18T15:01:00"/>
    <d v="2025-02-18T14:54:00"/>
    <d v="2025-02-18T15:44:00"/>
    <n v="49.768518513883464"/>
    <n v="42.80092592986572"/>
    <x v="0"/>
    <d v="2025-02-18T21:42:00"/>
    <d v="2025-02-19T00:42:00"/>
    <n v="176.25"/>
    <m/>
    <d v="2025-02-22T19:20:00"/>
    <d v="2025-02-22T20:16:00"/>
    <n v="54.833333337664953"/>
    <m/>
    <n v="4.1500000000014552"/>
    <n v="3"/>
    <n v="-1.1500000000014552"/>
    <n v="99.600000000034925"/>
    <n v="48"/>
    <n v="51.600000000034925"/>
    <n v="3.0232558139514421"/>
    <m/>
    <m/>
    <m/>
    <m/>
    <m/>
  </r>
  <r>
    <d v="2025-02-19T00:00:00"/>
    <x v="1"/>
    <m/>
    <s v="Z82687"/>
    <s v="Manual"/>
    <x v="47"/>
    <s v="UBR 538W"/>
    <s v="Kobusinge Acaali- Kyenjojo"/>
    <n v="156"/>
    <s v="Z82687"/>
    <s v="OM"/>
    <n v="580"/>
    <n v="582"/>
    <n v="2"/>
    <m/>
    <d v="2025-02-18T19:10:00"/>
    <d v="2025-02-18T19:26:00"/>
    <d v="2025-02-18T19:54:00"/>
    <n v="27.870370367357584"/>
    <n v="43.796296293051761"/>
    <x v="0"/>
    <d v="2025-02-18T13:35:00"/>
    <d v="2025-02-18T16:07:00"/>
    <n v="148.83333333629707"/>
    <m/>
    <d v="2025-02-19T16:37:00"/>
    <d v="2025-02-19T17:34:00"/>
    <n v="55.81249999726424"/>
    <m/>
    <n v="0.8631944444423425"/>
    <n v="2"/>
    <n v="1.1368055555576575"/>
    <n v="20.71666666661622"/>
    <n v="0"/>
    <n v="20.71666666661622"/>
    <n v="7.5301689461164862"/>
    <m/>
    <m/>
    <m/>
    <m/>
    <m/>
  </r>
  <r>
    <d v="2025-02-19T00:00:00"/>
    <x v="1"/>
    <m/>
    <s v="A20820"/>
    <s v="Manual"/>
    <x v="33"/>
    <s v="UBR 541W"/>
    <s v="Kato Investments Ltd- Kyegegwa"/>
    <n v="156"/>
    <s v="A20820"/>
    <s v="OM"/>
    <n v="600"/>
    <n v="602"/>
    <n v="2"/>
    <m/>
    <d v="2025-02-18T17:23:00"/>
    <d v="2025-02-18T17:45:00"/>
    <d v="2025-02-18T18:06:00"/>
    <n v="20.902777772910969"/>
    <n v="42.80092592986572"/>
    <x v="0"/>
    <d v="2025-02-18T10:46:00"/>
    <d v="2025-02-18T13:18:00"/>
    <n v="148.83333333629707"/>
    <m/>
    <d v="2025-02-19T17:24:00"/>
    <d v="2025-02-19T18:19:00"/>
    <n v="53.854166667806567"/>
    <m/>
    <n v="0.97083333333284827"/>
    <n v="3"/>
    <n v="2.0291666666671517"/>
    <n v="23.299999999988358"/>
    <n v="0"/>
    <n v="23.299999999988358"/>
    <n v="6.6952789699604267"/>
    <m/>
    <m/>
    <m/>
    <m/>
    <m/>
  </r>
  <r>
    <d v="2025-02-19T00:00:00"/>
    <x v="1"/>
    <m/>
    <s v="A20821"/>
    <s v="Manual"/>
    <x v="36"/>
    <s v="UBE 680K"/>
    <s v="KATO INVESTMENTS LTD-KATIKARA"/>
    <n v="148.80000000000001"/>
    <s v="A20821"/>
    <s v="OM"/>
    <n v="790"/>
    <n v="788"/>
    <n v="-2"/>
    <m/>
    <d v="2025-02-18T12:59:00"/>
    <d v="2025-02-18T13:21:00"/>
    <d v="2025-02-18T13:42:00"/>
    <n v="20.902777772910969"/>
    <n v="42.80092592986572"/>
    <x v="0"/>
    <d v="2025-02-18T15:26:00"/>
    <d v="2025-02-18T19:59:00"/>
    <n v="267.31249999931606"/>
    <s v="Waited for empties from trade"/>
    <d v="2025-02-19T10:20:00"/>
    <d v="2025-02-19T11:13:00"/>
    <n v="51.895833338348893"/>
    <m/>
    <n v="0.85972222222335404"/>
    <n v="3"/>
    <n v="2.140277777776646"/>
    <n v="20.633333333360497"/>
    <n v="0"/>
    <n v="20.633333333360497"/>
    <n v="7.211631663964658"/>
    <m/>
    <m/>
    <m/>
    <m/>
    <m/>
  </r>
  <r>
    <d v="2025-02-19T00:00:00"/>
    <x v="1"/>
    <m/>
    <s v="A20828"/>
    <s v="Manual"/>
    <x v="35"/>
    <s v="UBP 312H"/>
    <s v="Ntale and Sons Ltd-Kakiri"/>
    <n v="156"/>
    <s v="A20828"/>
    <s v="OM"/>
    <n v="620"/>
    <n v="622"/>
    <n v="2"/>
    <m/>
    <d v="2025-02-18T19:45:00"/>
    <d v="2025-02-18T20:23:00"/>
    <d v="2025-02-18T20:27:00"/>
    <n v="3.9814814840307613"/>
    <n v="41.805555556250816"/>
    <x v="0"/>
    <d v="2025-02-19T09:55:00"/>
    <d v="2025-02-19T12:26:00"/>
    <n v="147.85416666643869"/>
    <m/>
    <d v="2025-02-19T14:55:00"/>
    <d v="2025-02-19T16:05:00"/>
    <n v="68.541666664386867"/>
    <s v="pre trip inspections"/>
    <n v="0.76944444444961846"/>
    <n v="2"/>
    <n v="1.2305555555503815"/>
    <n v="18.466666666790843"/>
    <n v="0"/>
    <n v="18.466666666790843"/>
    <n v="8.447653429546083"/>
    <m/>
    <m/>
    <m/>
    <m/>
    <m/>
  </r>
  <r>
    <d v="2025-02-19T00:00:00"/>
    <x v="1"/>
    <m/>
    <s v="OMPBEA7RR"/>
    <s v="DJ"/>
    <x v="2"/>
    <s v="UBE 287X"/>
    <s v="RUGOMA TRADERS CO. LTD NTUNGAM "/>
    <n v="153.6"/>
    <s v="OMPBEA7RR"/>
    <s v="OM"/>
    <n v="150"/>
    <n v="149"/>
    <n v="-1"/>
    <m/>
    <d v="2025-02-18T21:05:00"/>
    <d v="2025-02-18T21:15:00"/>
    <d v="2025-02-18T21:49:00"/>
    <n v="33.842592588189291"/>
    <n v="43.796296293051761"/>
    <x v="0"/>
    <d v="2025-02-19T10:57:00"/>
    <d v="2025-02-19T16:34:00"/>
    <n v="329.97916666507081"/>
    <s v="found another truck at RD"/>
    <d v="2025-02-19T13:02:00"/>
    <d v="2025-02-19T13:59:00"/>
    <n v="55.81249999726424"/>
    <m/>
    <n v="0.63402777777810115"/>
    <n v="1"/>
    <n v="0.36597222222189885"/>
    <n v="15.216666666674428"/>
    <n v="0"/>
    <n v="15.216666666674428"/>
    <n v="10.094194961659692"/>
    <m/>
    <m/>
    <m/>
    <m/>
    <m/>
  </r>
  <r>
    <d v="2025-02-20T00:00:00"/>
    <x v="1"/>
    <m/>
    <s v="A20840"/>
    <s v="Manual"/>
    <x v="44"/>
    <s v="UBE 684K"/>
    <s v="KATO INVESTMENTS LTD-KATIKARA"/>
    <n v="148.80000000000001"/>
    <s v="A20840"/>
    <s v="OM"/>
    <n v="790"/>
    <n v="792"/>
    <n v="2"/>
    <m/>
    <d v="2025-02-18T15:01:00"/>
    <d v="2025-02-18T14:23:00"/>
    <d v="2025-02-18T15:45:00"/>
    <n v="81.62037036527181"/>
    <n v="43.796296293051761"/>
    <x v="0"/>
    <d v="2025-02-19T10:40:00"/>
    <d v="2025-02-19T16:08:00"/>
    <n v="321.16666666712263"/>
    <s v="Waited for empties from trade"/>
    <d v="2025-02-19T12:11:00"/>
    <d v="2025-02-19T13:04:00"/>
    <n v="51.895833338348893"/>
    <m/>
    <n v="0.85138888889196096"/>
    <n v="2"/>
    <n v="1.148611111108039"/>
    <n v="20.433333333407063"/>
    <n v="0"/>
    <n v="20.433333333407063"/>
    <n v="7.2822185970373452"/>
    <m/>
    <m/>
    <m/>
    <m/>
    <m/>
  </r>
  <r>
    <d v="2025-02-20T00:00:00"/>
    <x v="1"/>
    <m/>
    <s v="Z82694"/>
    <s v="Manual"/>
    <x v="10"/>
    <s v="UBJ 421C"/>
    <s v="Kabaco U Ltd "/>
    <n v="156"/>
    <s v="Z82694"/>
    <s v="OM"/>
    <n v="320"/>
    <n v="317"/>
    <n v="-3"/>
    <m/>
    <d v="2025-02-19T15:39:00"/>
    <d v="2025-02-19T15:09:00"/>
    <d v="2025-02-19T16:22:00"/>
    <n v="72.662037034024252"/>
    <n v="42.80092592986572"/>
    <x v="0"/>
    <d v="2025-02-19T17:23:00"/>
    <d v="2025-02-19T20:16:00"/>
    <n v="169.39583333150949"/>
    <m/>
    <d v="2025-02-20T17:09:00"/>
    <d v="2025-02-20T18:02:00"/>
    <n v="51.895833338348893"/>
    <m/>
    <n v="1.0326388888934162"/>
    <n v="2"/>
    <n v="0.96736111110658385"/>
    <n v="24.783333333441988"/>
    <n v="12"/>
    <n v="12.783333333441988"/>
    <n v="12.203389830404749"/>
    <m/>
    <m/>
    <m/>
    <m/>
    <m/>
  </r>
  <r>
    <d v="2025-02-20T00:00:00"/>
    <x v="1"/>
    <m/>
    <s v="A20847"/>
    <s v="Manual"/>
    <x v="10"/>
    <s v="UBR 868Y"/>
    <s v="Kato Investments Ltd- Kakumiro"/>
    <n v="156"/>
    <s v="A20847"/>
    <s v="OM"/>
    <n v="790"/>
    <n v="788"/>
    <n v="-2"/>
    <m/>
    <d v="2025-02-18T14:27:00"/>
    <d v="2025-02-18T13:41:00"/>
    <d v="2025-02-18T15:10:00"/>
    <n v="88.587962959718425"/>
    <n v="42.80092592986572"/>
    <x v="0"/>
    <d v="2025-02-17T21:03:00"/>
    <d v="2025-02-18T12:38:00"/>
    <n v="915.52083333219343"/>
    <s v="Reached late and offloaded the next day"/>
    <d v="2025-02-19T15:17:00"/>
    <d v="2025-02-19T16:05:00"/>
    <n v="46.99999999931606"/>
    <m/>
    <n v="1.0048611111124046"/>
    <n v="2"/>
    <n v="0.99513888888759539"/>
    <n v="24.116666666697711"/>
    <n v="12"/>
    <n v="12.116666666697711"/>
    <n v="12.87482806048971"/>
    <m/>
    <m/>
    <m/>
    <m/>
    <m/>
  </r>
  <r>
    <d v="2025-02-20T00:00:00"/>
    <x v="1"/>
    <m/>
    <s v="Z82692"/>
    <s v="Manual"/>
    <x v="39"/>
    <s v="UBJ 705D"/>
    <s v="Kabaco U Ltd "/>
    <n v="156"/>
    <s v="Z82692"/>
    <s v="OM"/>
    <n v="320"/>
    <n v="55"/>
    <n v="-265"/>
    <m/>
    <d v="2025-02-20T08:33:00"/>
    <d v="2025-02-19T15:09:00"/>
    <d v="2025-02-20T09:14:00"/>
    <n v="1079.9768518576457"/>
    <n v="40.810185182635905"/>
    <x v="0"/>
    <d v="2025-02-18T09:26:00"/>
    <d v="2025-02-18T13:02:00"/>
    <n v="211.50000000205182"/>
    <s v="First offloaded their route sale trucks"/>
    <d v="2025-02-20T11:43:00"/>
    <d v="2025-02-20T12:36:00"/>
    <n v="51.895833338348893"/>
    <m/>
    <n v="0.10347222221753327"/>
    <n v="2"/>
    <n v="1.8965277777824667"/>
    <n v="2.4833333332207985"/>
    <n v="0"/>
    <n v="2.4833333332207985"/>
    <n v="62.818791949155425"/>
    <m/>
    <m/>
    <m/>
    <m/>
    <m/>
  </r>
  <r>
    <d v="2025-02-20T00:00:00"/>
    <x v="1"/>
    <m/>
    <s v="F15922"/>
    <s v="Manual"/>
    <x v="30"/>
    <s v="UBR 540W"/>
    <s v="Boniface Harera"/>
    <n v="134.4"/>
    <s v="F15922"/>
    <s v="OM"/>
    <n v="448"/>
    <n v="445"/>
    <n v="-3"/>
    <m/>
    <d v="2025-02-18T09:33:00"/>
    <d v="2025-02-17T21:00:00"/>
    <d v="2025-02-18T10:29:00"/>
    <n v="805.25462962638505"/>
    <n v="55.740740745144045"/>
    <x v="0"/>
    <d v="2025-02-18T16:15:00"/>
    <d v="2025-02-18T18:20:00"/>
    <n v="122.39583333219343"/>
    <m/>
    <d v="2025-02-19T09:47:00"/>
    <d v="2025-02-19T10:46:00"/>
    <n v="57.770833336981013"/>
    <m/>
    <n v="0.97083333333284827"/>
    <n v="2"/>
    <n v="1.0291666666671517"/>
    <n v="23.299999999988358"/>
    <n v="0"/>
    <n v="23.299999999988358"/>
    <n v="5.7682403433505218"/>
    <m/>
    <m/>
    <m/>
    <m/>
    <m/>
  </r>
  <r>
    <d v="2025-02-20T00:00:00"/>
    <x v="1"/>
    <m/>
    <s v="Z82709"/>
    <s v="Manual"/>
    <x v="40"/>
    <s v="UBP 311H"/>
    <s v="Kobusinge Steven-FPortal"/>
    <n v="156"/>
    <s v="Z82709"/>
    <s v="OM"/>
    <n v="304"/>
    <n v="306"/>
    <n v="2"/>
    <m/>
    <d v="2025-02-19T08:31:00"/>
    <d v="2025-02-18T07:42:00"/>
    <d v="2025-02-19T09:14:00"/>
    <n v="1524.9074074138964"/>
    <n v="42.80092592986572"/>
    <x v="0"/>
    <d v="2025-02-17T14:20:00"/>
    <d v="2025-02-17T16:48:00"/>
    <n v="144.91666666712263"/>
    <m/>
    <d v="2025-02-19T13:02:00"/>
    <d v="2025-02-19T13:58:00"/>
    <n v="54.833333337664953"/>
    <m/>
    <n v="0.15833333333284827"/>
    <n v="2"/>
    <n v="1.8416666666671517"/>
    <n v="3.7999999999883585"/>
    <n v="0"/>
    <n v="3.7999999999883585"/>
    <n v="41.052631579073136"/>
    <m/>
    <m/>
    <m/>
    <m/>
    <m/>
  </r>
  <r>
    <d v="2025-02-20T00:00:00"/>
    <x v="1"/>
    <m/>
    <s v="A20842"/>
    <s v="Manual"/>
    <x v="41"/>
    <s v="UBF 379L"/>
    <s v="Kato Investments Ltd- Kyegegwa"/>
    <n v="148.80000000000001"/>
    <s v="A20842"/>
    <s v="OM"/>
    <n v="600"/>
    <n v="597"/>
    <n v="-3"/>
    <m/>
    <d v="2025-02-18T09:47:00"/>
    <d v="2025-02-17T21:00:00"/>
    <d v="2025-02-18T10:29:00"/>
    <n v="805.25462962638505"/>
    <n v="41.805555556250816"/>
    <x v="0"/>
    <d v="2025-02-19T10:40:00"/>
    <d v="2025-02-19T13:32:00"/>
    <n v="168.41666666165111"/>
    <m/>
    <d v="2025-02-20T17:09:00"/>
    <d v="2025-02-20T18:06:00"/>
    <n v="55.81249999726424"/>
    <m/>
    <n v="2.2777777777810115"/>
    <n v="3"/>
    <n v="0.72222222221898846"/>
    <n v="54.666666666744277"/>
    <n v="24"/>
    <n v="30.666666666744277"/>
    <n v="4.8521739130311987"/>
    <m/>
    <m/>
    <m/>
    <m/>
    <m/>
  </r>
  <r>
    <d v="2025-02-20T00:00:00"/>
    <x v="1"/>
    <m/>
    <s v="A20845"/>
    <s v="Manual"/>
    <x v="27"/>
    <s v="UBM 648D"/>
    <s v="Sawan Distributors Ltd-Nabingo"/>
    <n v="156"/>
    <s v="A20845"/>
    <s v="OM"/>
    <n v="560"/>
    <n v="558"/>
    <n v="-2"/>
    <m/>
    <d v="2025-02-18T07:47:00"/>
    <d v="2025-02-17T19:30:00"/>
    <d v="2025-02-18T08:28:00"/>
    <n v="774.39814814861165"/>
    <n v="40.810185182635905"/>
    <x v="0"/>
    <d v="2025-02-19T10:57:00"/>
    <d v="2025-02-19T16:34:00"/>
    <n v="329.97916666507081"/>
    <s v="slept at the RD and offloaded the next day"/>
    <d v="2025-02-20T17:58:00"/>
    <d v="2025-02-20T18:54:00"/>
    <n v="54.833333337664953"/>
    <m/>
    <n v="2.3958333333357587"/>
    <n v="2"/>
    <n v="-0.39583333333575865"/>
    <n v="57.500000000058208"/>
    <n v="24"/>
    <n v="33.500000000058208"/>
    <n v="4.6567164179023566"/>
    <m/>
    <m/>
    <m/>
    <m/>
    <m/>
  </r>
  <r>
    <d v="2025-02-20T00:00:00"/>
    <x v="1"/>
    <m/>
    <s v="A20854"/>
    <s v="Manual"/>
    <x v="10"/>
    <s v="UBR 534W"/>
    <s v="KATO INVESTMENTS LTD-KATIKARA"/>
    <n v="156"/>
    <s v="A20854"/>
    <s v="OM"/>
    <n v="790"/>
    <n v="792"/>
    <n v="2"/>
    <m/>
    <d v="2025-02-19T18:14:00"/>
    <d v="2025-02-18T19:37:00"/>
    <d v="2025-02-19T18:55:00"/>
    <n v="1391.5277777770825"/>
    <n v="40.810185182635905"/>
    <x v="0"/>
    <d v="2025-02-19T17:23:00"/>
    <d v="2025-02-19T20:13:00"/>
    <n v="166.45833333219343"/>
    <m/>
    <d v="2025-02-21T13:00:00"/>
    <d v="2025-02-21T13:56:00"/>
    <n v="54.833333337664953"/>
    <m/>
    <n v="1.7534722222189885"/>
    <n v="3"/>
    <n v="1.2465277777810115"/>
    <n v="42.083333333255723"/>
    <n v="12"/>
    <n v="30.083333333255723"/>
    <n v="5.185595567880414"/>
    <m/>
    <m/>
    <m/>
    <m/>
    <m/>
  </r>
  <r>
    <d v="2025-02-20T00:00:00"/>
    <x v="1"/>
    <m/>
    <s v="A20843"/>
    <s v="Manual"/>
    <x v="10"/>
    <s v="UBR 535W"/>
    <s v="Kato Investment Ltd -Kagadi"/>
    <n v="148.80000000000001"/>
    <s v="A20843"/>
    <s v="OM"/>
    <n v="670"/>
    <n v="672"/>
    <n v="2"/>
    <m/>
    <d v="2025-02-18T17:35:00"/>
    <d v="2025-02-18T04:14:00"/>
    <d v="2025-02-18T18:19:00"/>
    <n v="841.08796296180424"/>
    <n v="43.796296293051761"/>
    <x v="0"/>
    <d v="2025-02-18T11:50:00"/>
    <d v="2025-02-18T17:17:00"/>
    <n v="320.18749999726424"/>
    <s v="found another truck at the RD and offloaded the next day"/>
    <d v="2025-02-19T12:11:00"/>
    <d v="2025-02-19T13:27:00"/>
    <n v="74.416666663018987"/>
    <s v="fueling delays"/>
    <n v="0.74444444444816327"/>
    <n v="2"/>
    <n v="1.2555555555518367"/>
    <n v="17.866666666755918"/>
    <n v="0"/>
    <n v="17.866666666755918"/>
    <n v="8.3283582089136203"/>
    <m/>
    <m/>
    <m/>
    <m/>
    <m/>
  </r>
  <r>
    <d v="2025-02-20T00:00:00"/>
    <x v="1"/>
    <m/>
    <s v="A20846"/>
    <s v="Manual"/>
    <x v="43"/>
    <s v="UBJ 419C"/>
    <s v="Sawan Distributors Ltd-Kayabwe"/>
    <n v="156"/>
    <s v="A20846"/>
    <s v="OM"/>
    <n v="382"/>
    <n v="379"/>
    <n v="-3"/>
    <m/>
    <d v="2025-02-18T16:14:00"/>
    <d v="2025-02-18T04:14:00"/>
    <d v="2025-02-18T16:57:00"/>
    <n v="759.46759259653243"/>
    <n v="42.80092592986572"/>
    <x v="0"/>
    <d v="2025-02-17T21:03:00"/>
    <d v="2025-02-18T12:38:00"/>
    <n v="915.52083333219343"/>
    <s v="Waited for empties from trade"/>
    <d v="2025-02-19T15:17:00"/>
    <d v="2025-02-19T16:05:00"/>
    <n v="46.99999999931606"/>
    <m/>
    <n v="0.93055555555474712"/>
    <n v="2"/>
    <n v="1.0694444444452529"/>
    <n v="22.333333333313931"/>
    <n v="0"/>
    <n v="22.333333333313931"/>
    <n v="6.9850746268717403"/>
    <m/>
    <m/>
    <m/>
    <m/>
    <m/>
  </r>
  <r>
    <d v="2025-02-20T00:00:00"/>
    <x v="1"/>
    <m/>
    <s v="Z82705"/>
    <s v="Manual"/>
    <x v="10"/>
    <s v="UBB 116P"/>
    <s v="Kobusinge Acaali- Kyenjojo"/>
    <n v="156"/>
    <s v="Z82705"/>
    <s v="OM"/>
    <n v="580"/>
    <n v="579"/>
    <n v="-1"/>
    <m/>
    <d v="2025-02-18T15:07:00"/>
    <d v="2025-02-18T14:26:00"/>
    <d v="2025-02-18T15:51:00"/>
    <n v="84.606481486116536"/>
    <n v="43.796296293051761"/>
    <x v="0"/>
    <d v="2025-02-20T13:59:00"/>
    <d v="2025-02-20T16:06:00"/>
    <n v="124.35416666165111"/>
    <m/>
    <d v="2025-02-22T08:22:00"/>
    <d v="2025-02-22T09:19:00"/>
    <n v="55.81249999726424"/>
    <m/>
    <n v="3.6881944444467081"/>
    <n v="2"/>
    <n v="-1.6881944444467081"/>
    <n v="88.516666666720994"/>
    <n v="36"/>
    <n v="52.516666666720994"/>
    <n v="2.9704855601365652"/>
    <m/>
    <m/>
    <m/>
    <m/>
    <m/>
  </r>
  <r>
    <d v="2025-02-20T00:00:00"/>
    <x v="1"/>
    <m/>
    <s v="OM6HORERR"/>
    <s v="DJ"/>
    <x v="50"/>
    <s v="UAR 731Q"/>
    <s v="Kabaco U Ltd-Mbarara "/>
    <n v="153.6"/>
    <s v="OM6HORERR"/>
    <s v="OM"/>
    <n v="20"/>
    <n v="22"/>
    <n v="2"/>
    <m/>
    <d v="2025-02-20T11:26:00"/>
    <d v="2025-02-20T11:58:00"/>
    <d v="2025-02-20T12:10:00"/>
    <n v="11.944444441663412"/>
    <n v="43.796296293051761"/>
    <x v="0"/>
    <d v="2025-02-19T14:46:00"/>
    <d v="2025-02-19T16:55:00"/>
    <n v="126.31250000136788"/>
    <m/>
    <d v="2025-02-20T17:22:00"/>
    <d v="2025-02-20T18:22:00"/>
    <n v="58.7499999965803"/>
    <m/>
    <n v="0.21666666666715173"/>
    <n v="2"/>
    <n v="1.7833333333328483"/>
    <n v="5.2000000000116415"/>
    <n v="0"/>
    <n v="5.2000000000116415"/>
    <n v="29.538461538395406"/>
    <m/>
    <m/>
    <m/>
    <m/>
    <m/>
  </r>
  <r>
    <d v="2025-02-20T00:00:00"/>
    <x v="1"/>
    <m/>
    <s v="OMNQSVFRR"/>
    <s v="DJ"/>
    <x v="2"/>
    <s v="UBE 287X"/>
    <s v="KATO INVESTMENTS LTD- KALISIZO "/>
    <n v="153.6"/>
    <s v="OMNQSVFRR"/>
    <s v="OM"/>
    <n v="350"/>
    <n v="352"/>
    <n v="2"/>
    <m/>
    <d v="2025-02-20T09:00:00"/>
    <d v="2025-02-20T09:15:00"/>
    <d v="2025-02-20T09:43:00"/>
    <n v="27.870370367357584"/>
    <n v="42.80092592986572"/>
    <x v="0"/>
    <d v="2025-02-19T16:14:00"/>
    <d v="2025-02-19T20:07:00"/>
    <n v="228.14583332808979"/>
    <s v="Reached late and offloaded the next day"/>
    <d v="2025-02-20T17:22:00"/>
    <d v="2025-02-20T18:16:00"/>
    <n v="52.87499999794818"/>
    <m/>
    <n v="0.31874999999854481"/>
    <n v="2"/>
    <n v="1.6812500000014552"/>
    <n v="7.6499999999650754"/>
    <n v="0"/>
    <n v="7.6499999999650754"/>
    <n v="20.078431372640683"/>
    <m/>
    <m/>
    <m/>
    <m/>
    <m/>
  </r>
  <r>
    <d v="2025-02-20T00:00:00"/>
    <x v="1"/>
    <m/>
    <s v="OMSQWKVRR"/>
    <s v="DJ"/>
    <x v="3"/>
    <s v="UBK 881R"/>
    <s v="Ntale and Sons"/>
    <n v="153.6"/>
    <s v="OMSQWKVRR"/>
    <s v="OM"/>
    <n v="810"/>
    <n v="809"/>
    <n v="-1"/>
    <m/>
    <d v="2025-02-20T10:12:00"/>
    <d v="2025-02-20T09:31:00"/>
    <d v="2025-02-20T10:52:00"/>
    <n v="80.62500000208577"/>
    <n v="39.814814819449872"/>
    <x v="0"/>
    <d v="2025-02-21T11:43:00"/>
    <d v="2025-02-21T13:47:00"/>
    <n v="121.41666667259415"/>
    <m/>
    <d v="2025-02-22T19:20:00"/>
    <d v="2025-02-22T20:17:00"/>
    <n v="55.81249999726424"/>
    <m/>
    <n v="2.3527777777781012"/>
    <n v="2"/>
    <n v="-0.35277777777810115"/>
    <n v="56.466666666674428"/>
    <n v="24"/>
    <n v="32.466666666674428"/>
    <n v="4.7310061601631404"/>
    <m/>
    <m/>
    <m/>
    <m/>
    <m/>
  </r>
  <r>
    <d v="2025-02-20T00:00:00"/>
    <x v="1"/>
    <m/>
    <s v="OMHTPFRRR"/>
    <s v="DJ"/>
    <x v="0"/>
    <s v="UBJ 417C"/>
    <s v="Ntale and Sons"/>
    <n v="153.6"/>
    <s v="OMHTPFRRR"/>
    <s v="OM"/>
    <n v="810"/>
    <n v="812"/>
    <n v="2"/>
    <m/>
    <d v="2025-02-19T21:00:00"/>
    <d v="2025-02-19T21:15:00"/>
    <d v="2025-02-19T21:43:00"/>
    <n v="27.870370367357584"/>
    <n v="42.80092592986572"/>
    <x v="0"/>
    <d v="2025-02-19T08:14:00"/>
    <d v="2025-02-19T16:10:00"/>
    <n v="466.08333333424525"/>
    <s v="Waited for empties from trade"/>
    <d v="2025-02-21T07:43:00"/>
    <d v="2025-02-21T08:37:00"/>
    <n v="52.87499999794818"/>
    <m/>
    <n v="1.4166666666642413"/>
    <n v="2"/>
    <n v="0.58333333333575865"/>
    <n v="33.999999999941792"/>
    <n v="12"/>
    <n v="21.999999999941792"/>
    <n v="6.9818181818366538"/>
    <m/>
    <m/>
    <m/>
    <m/>
    <m/>
  </r>
  <r>
    <d v="2025-02-21T00:00:00"/>
    <x v="1"/>
    <m/>
    <s v="A20874"/>
    <s v="Manual"/>
    <x v="48"/>
    <s v="UBM 644D"/>
    <s v="Sawan Distributors Ltd-Nabingo"/>
    <n v="156"/>
    <s v="A20874"/>
    <s v="OM"/>
    <n v="560"/>
    <n v="562"/>
    <n v="2"/>
    <m/>
    <d v="2025-02-19T23:34:00"/>
    <d v="2025-02-19T23:59:00"/>
    <d v="2025-02-20T00:18:00"/>
    <n v="18.912037036110025"/>
    <n v="43.796296293051761"/>
    <x v="0"/>
    <d v="2025-02-19T12:48:00"/>
    <d v="2025-02-19T16:48:00"/>
    <n v="234.9999999965803"/>
    <s v="less casuals and offloaded the next day"/>
    <d v="2025-02-20T08:01:00"/>
    <d v="2025-02-20T09:17:00"/>
    <n v="74.416666663018987"/>
    <s v="fueling delays"/>
    <n v="0.32152777777810115"/>
    <n v="2"/>
    <n v="1.6784722222218988"/>
    <n v="7.7166666666744277"/>
    <n v="0"/>
    <n v="7.7166666666744277"/>
    <n v="20.215982721361957"/>
    <m/>
    <m/>
    <m/>
    <m/>
    <m/>
  </r>
  <r>
    <d v="2025-02-21T00:00:00"/>
    <x v="1"/>
    <m/>
    <s v="F15929"/>
    <s v="Manual"/>
    <x v="37"/>
    <s v="UBK 866R"/>
    <s v="Boniface Harera"/>
    <n v="33.6"/>
    <s v="F15929"/>
    <s v="OM"/>
    <n v="448"/>
    <n v="450"/>
    <n v="2"/>
    <m/>
    <d v="2025-02-19T19:18:00"/>
    <d v="2025-02-19T19:37:00"/>
    <d v="2025-02-19T20:00:00"/>
    <n v="22.893518520140788"/>
    <n v="41.805555556250816"/>
    <x v="0"/>
    <d v="2025-02-19T10:57:00"/>
    <d v="2025-02-19T13:06:00"/>
    <n v="126.31249999110878"/>
    <m/>
    <d v="2025-02-20T06:57:00"/>
    <d v="2025-02-20T07:53:00"/>
    <n v="54.833333337664953"/>
    <m/>
    <n v="0.45624999999563443"/>
    <n v="2"/>
    <n v="1.5437500000043656"/>
    <n v="10.949999999895226"/>
    <n v="0"/>
    <n v="10.949999999895226"/>
    <n v="3.0684931507142923"/>
    <m/>
    <m/>
    <m/>
    <m/>
    <m/>
  </r>
  <r>
    <d v="2025-02-21T00:00:00"/>
    <x v="1"/>
    <m/>
    <s v="F15928"/>
    <s v="Manual"/>
    <x v="10"/>
    <s v="UBP 294H"/>
    <s v="Boniface Harera"/>
    <n v="156"/>
    <s v="F15928"/>
    <s v="OM"/>
    <n v="448"/>
    <n v="449"/>
    <n v="1"/>
    <m/>
    <d v="2025-02-19T20:32:00"/>
    <d v="2025-02-19T20:52:00"/>
    <d v="2025-02-19T21:15:00"/>
    <n v="22.893518520140788"/>
    <n v="42.80092592986572"/>
    <x v="0"/>
    <d v="2025-02-19T18:24:00"/>
    <d v="2025-02-19T21:17:00"/>
    <n v="169.39583333150949"/>
    <m/>
    <d v="2025-02-21T08:46:00"/>
    <d v="2025-02-21T09:42:00"/>
    <n v="54.833333337664953"/>
    <m/>
    <n v="1.4798611111109494"/>
    <n v="2"/>
    <n v="0.52013888888905058"/>
    <n v="35.516666666662786"/>
    <n v="12"/>
    <n v="23.516666666662786"/>
    <n v="6.6335931963157648"/>
    <m/>
    <m/>
    <m/>
    <m/>
    <m/>
  </r>
  <r>
    <d v="2025-02-21T00:00:00"/>
    <x v="1"/>
    <m/>
    <s v="Z82720"/>
    <s v="Manual"/>
    <x v="10"/>
    <s v="UBF 369L"/>
    <s v="Kabaco U Ltd "/>
    <n v="156"/>
    <s v="Z82720"/>
    <s v="OM"/>
    <n v="320"/>
    <n v="319"/>
    <n v="-1"/>
    <m/>
    <d v="2025-02-19T10:45:00"/>
    <d v="2025-02-19T11:02:00"/>
    <d v="2025-02-19T11:28:00"/>
    <n v="25.879629630556639"/>
    <n v="42.80092592986572"/>
    <x v="0"/>
    <d v="2025-02-20T14:56:00"/>
    <d v="2025-02-20T17:53:00"/>
    <n v="173.31250000068394"/>
    <m/>
    <d v="2025-02-21T08:46:00"/>
    <d v="2025-02-21T09:42:00"/>
    <n v="54.833333337664953"/>
    <m/>
    <n v="1.8874999999970896"/>
    <n v="2"/>
    <n v="0.11250000000291038"/>
    <n v="45.299999999930151"/>
    <n v="12"/>
    <n v="33.299999999930151"/>
    <n v="4.6846846846945107"/>
    <m/>
    <m/>
    <m/>
    <m/>
    <m/>
  </r>
  <r>
    <d v="2025-02-21T00:00:00"/>
    <x v="1"/>
    <m/>
    <s v="A20875"/>
    <s v="Manual"/>
    <x v="10"/>
    <s v="UBJ 423C"/>
    <s v="Kato Investment Ltd -Mityana"/>
    <n v="156"/>
    <s v="A20875"/>
    <s v="OM"/>
    <n v="690"/>
    <n v="688"/>
    <n v="-2"/>
    <m/>
    <d v="2025-02-19T19:33:00"/>
    <d v="2025-02-19T19:48:00"/>
    <d v="2025-02-19T20:16:00"/>
    <n v="27.870370367357584"/>
    <n v="42.80092592986572"/>
    <x v="0"/>
    <d v="2025-02-19T12:27:00"/>
    <d v="2025-02-19T14:05:00"/>
    <n v="95.958333328089793"/>
    <m/>
    <d v="2025-02-20T16:18:00"/>
    <d v="2025-02-20T17:09:00"/>
    <n v="49.93749999863212"/>
    <m/>
    <n v="0.83472222222189885"/>
    <n v="3"/>
    <n v="2.1652777777781012"/>
    <n v="20.033333333325572"/>
    <n v="0"/>
    <n v="20.033333333325572"/>
    <n v="7.787021630618657"/>
    <m/>
    <m/>
    <m/>
    <m/>
    <m/>
  </r>
  <r>
    <d v="2025-02-21T00:00:00"/>
    <x v="1"/>
    <m/>
    <s v="A20879"/>
    <s v="Manual"/>
    <x v="38"/>
    <s v="UBK 862R"/>
    <s v="KATO INVESTMENTS LTD-KATIKARA"/>
    <n v="156"/>
    <s v="A20879"/>
    <s v="OM"/>
    <n v="150"/>
    <n v="152"/>
    <n v="2"/>
    <m/>
    <d v="2025-02-18T21:46:00"/>
    <d v="2025-02-18T17:07:00"/>
    <d v="2025-02-18T22:27:00"/>
    <n v="318.51851852431236"/>
    <n v="40.810185182635905"/>
    <x v="0"/>
    <m/>
    <d v="1899-12-30T03:00:00"/>
    <n v="176.25"/>
    <m/>
    <d v="2025-02-20T17:09:00"/>
    <d v="2025-02-20T18:02:00"/>
    <n v="51.895833338348893"/>
    <m/>
    <n v="1.7791666666671517"/>
    <n v="3"/>
    <n v="1.2208333333328483"/>
    <n v="42.700000000011642"/>
    <n v="12"/>
    <n v="30.700000000011642"/>
    <n v="5.0814332247537735"/>
    <m/>
    <m/>
    <m/>
    <m/>
    <m/>
  </r>
  <r>
    <d v="2025-02-21T00:00:00"/>
    <x v="1"/>
    <m/>
    <s v="Z82724"/>
    <s v="Manual"/>
    <x v="34"/>
    <s v="UBP 301H"/>
    <s v="Kobusinge Steven-Kamwenge"/>
    <n v="156"/>
    <s v="Z82724"/>
    <s v="OM"/>
    <n v="288"/>
    <n v="285"/>
    <n v="-3"/>
    <m/>
    <d v="2025-02-19T13:07:00"/>
    <d v="2025-02-19T13:35:00"/>
    <d v="2025-02-19T13:47:00"/>
    <n v="11.944444441663412"/>
    <n v="39.814814819449872"/>
    <x v="0"/>
    <d v="2025-02-21T17:06:00"/>
    <d v="2025-02-21T19:11:00"/>
    <n v="122.39583333219343"/>
    <m/>
    <d v="2025-02-20T13:26:00"/>
    <d v="2025-02-20T14:22:00"/>
    <n v="54.833333337664953"/>
    <m/>
    <n v="0.98541666666278616"/>
    <n v="2"/>
    <n v="1.0145833333372138"/>
    <n v="23.649999999906868"/>
    <n v="0"/>
    <n v="23.649999999906868"/>
    <n v="6.5961945031972231"/>
    <m/>
    <m/>
    <m/>
    <m/>
    <m/>
  </r>
  <r>
    <d v="2025-02-21T00:00:00"/>
    <x v="1"/>
    <m/>
    <s v="A20876"/>
    <s v="Manual"/>
    <x v="33"/>
    <s v="UBR 541W"/>
    <s v="Ntale and Sons Ltd-Kakiri"/>
    <n v="156"/>
    <s v="A20876"/>
    <s v="OM"/>
    <n v="620"/>
    <n v="622"/>
    <n v="2"/>
    <m/>
    <d v="2025-02-21T20:13:00"/>
    <d v="2025-02-21T19:44:00"/>
    <d v="2025-02-21T20:57:00"/>
    <n v="72.662037034024252"/>
    <n v="43.796296293051761"/>
    <x v="0"/>
    <d v="2025-02-20T10:53:00"/>
    <d v="2025-02-20T12:25:00"/>
    <n v="90.083333329457673"/>
    <m/>
    <d v="2025-02-22T06:56:00"/>
    <d v="2025-02-22T07:56:00"/>
    <n v="58.7499999965803"/>
    <m/>
    <n v="0.41597222222480923"/>
    <n v="2"/>
    <n v="1.5840277777751908"/>
    <n v="9.9833333333954215"/>
    <n v="0"/>
    <n v="9.9833333333954215"/>
    <n v="15.626043405578946"/>
    <m/>
    <m/>
    <m/>
    <m/>
    <m/>
  </r>
  <r>
    <d v="2025-02-21T00:00:00"/>
    <x v="1"/>
    <m/>
    <s v="F15934"/>
    <s v="Manual"/>
    <x v="32"/>
    <s v="UBJ 703D"/>
    <s v="Boniface Harera"/>
    <n v="148.80000000000001"/>
    <s v="F15934"/>
    <s v="OM"/>
    <n v="448"/>
    <n v="450"/>
    <n v="2"/>
    <m/>
    <d v="2025-02-21T12:58:00"/>
    <d v="2025-02-21T12:44:00"/>
    <d v="2025-02-21T13:41:00"/>
    <n v="56.736111108330078"/>
    <n v="42.80092592986572"/>
    <x v="0"/>
    <d v="2025-02-20T16:31:00"/>
    <d v="2025-02-20T18:51:00"/>
    <n v="137.08333332877373"/>
    <m/>
    <d v="2025-02-22T08:17:00"/>
    <d v="2025-02-22T09:13:00"/>
    <n v="54.833333337664953"/>
    <m/>
    <n v="0.77499999999417923"/>
    <n v="2"/>
    <n v="1.2250000000058208"/>
    <n v="18.599999999860302"/>
    <n v="0"/>
    <n v="18.599999999860302"/>
    <n v="8.0000000000600853"/>
    <m/>
    <m/>
    <m/>
    <m/>
    <m/>
  </r>
  <r>
    <d v="2025-02-21T00:00:00"/>
    <x v="1"/>
    <m/>
    <s v="F15935"/>
    <s v="Manual"/>
    <x v="46"/>
    <s v="UBE 678K"/>
    <s v="Boniface Harera"/>
    <n v="156"/>
    <s v="F15935"/>
    <s v="OM"/>
    <n v="448"/>
    <n v="447"/>
    <n v="-1"/>
    <m/>
    <d v="2025-02-21T11:13:00"/>
    <d v="2025-02-21T10:26:00"/>
    <d v="2025-02-21T11:55:00"/>
    <n v="88.587962959718425"/>
    <n v="41.805555556250816"/>
    <x v="0"/>
    <d v="2025-02-20T19:58:00"/>
    <d v="2025-02-20T22:52:00"/>
    <n v="170.37500000136788"/>
    <m/>
    <d v="2025-02-23T06:16:00"/>
    <d v="2025-02-23T07:07:00"/>
    <n v="49.93749999863212"/>
    <m/>
    <n v="1.7645833333299379"/>
    <n v="2"/>
    <n v="0.23541666667006211"/>
    <n v="42.349999999918509"/>
    <n v="12"/>
    <n v="30.349999999918509"/>
    <n v="5.1400329489429613"/>
    <m/>
    <m/>
    <m/>
    <m/>
    <m/>
  </r>
  <r>
    <d v="2025-02-21T00:00:00"/>
    <x v="1"/>
    <m/>
    <s v="Z82723"/>
    <s v="Manual"/>
    <x v="42"/>
    <s v="UBK 858R"/>
    <s v="Kobusinge Steven-FPortal"/>
    <n v="156"/>
    <s v="Z82723"/>
    <s v="OM"/>
    <n v="304"/>
    <n v="306"/>
    <n v="2"/>
    <m/>
    <d v="2025-02-21T13:11:00"/>
    <d v="2025-02-21T13:30:00"/>
    <d v="2025-02-21T13:54:00"/>
    <n v="23.888888893755695"/>
    <n v="42.80092592986572"/>
    <x v="0"/>
    <d v="2025-02-20T16:52:00"/>
    <d v="2025-02-20T19:02:00"/>
    <n v="127.29166667122627"/>
    <m/>
    <d v="2025-02-23T06:16:00"/>
    <d v="2025-02-23T07:12:00"/>
    <n v="54.833333337664953"/>
    <m/>
    <n v="1.6819444444408873"/>
    <n v="2"/>
    <n v="0.31805555555911269"/>
    <n v="40.366666666581295"/>
    <n v="12"/>
    <n v="28.366666666581295"/>
    <n v="5.499412455950746"/>
    <m/>
    <m/>
    <m/>
    <m/>
    <m/>
  </r>
  <r>
    <d v="2025-02-21T00:00:00"/>
    <x v="1"/>
    <m/>
    <s v="OM55YD2RR"/>
    <s v="DJ"/>
    <x v="17"/>
    <s v="UBA 523T"/>
    <s v="Kabaco U Ltd-Mbarara "/>
    <n v="153.6"/>
    <s v="OM55YD2RR"/>
    <s v="OM"/>
    <n v="20"/>
    <n v="19"/>
    <n v="-1"/>
    <m/>
    <d v="2025-02-21T07:53:00"/>
    <d v="2025-02-21T08:32:00"/>
    <d v="2025-02-21T08:36:00"/>
    <n v="3.9814814840307613"/>
    <n v="42.80092592986572"/>
    <x v="0"/>
    <d v="2025-02-19T15:53:00"/>
    <d v="2025-02-19T18:07:00"/>
    <n v="131.20833333014161"/>
    <m/>
    <d v="2025-02-22T09:24:00"/>
    <d v="2025-02-22T10:21:00"/>
    <n v="55.81249999726424"/>
    <m/>
    <n v="1.0333333333401242"/>
    <n v="3"/>
    <n v="1.9666666666598758"/>
    <n v="24.800000000162981"/>
    <n v="12"/>
    <n v="12.800000000162981"/>
    <n v="11.999999999847205"/>
    <m/>
    <m/>
    <m/>
    <m/>
    <m/>
  </r>
  <r>
    <d v="2025-02-21T00:00:00"/>
    <x v="1"/>
    <m/>
    <s v="OM6ZFN7RR"/>
    <s v="DJ"/>
    <x v="8"/>
    <s v="UBK 875R"/>
    <s v="Ntale and Sons"/>
    <n v="153.6"/>
    <s v="OM6ZFN7RR"/>
    <s v="OM"/>
    <n v="810"/>
    <n v="807"/>
    <n v="-3"/>
    <m/>
    <d v="2025-02-21T09:22:00"/>
    <d v="2025-02-21T09:39:00"/>
    <d v="2025-02-21T10:03:00"/>
    <n v="23.888888893755695"/>
    <n v="40.810185182635905"/>
    <x v="0"/>
    <d v="2025-02-20T15:04:00"/>
    <d v="2025-02-20T17:18:00"/>
    <n v="131.20833333014161"/>
    <m/>
    <d v="2025-02-22T07:36:00"/>
    <d v="2025-02-22T08:26:00"/>
    <n v="48.958333328773733"/>
    <m/>
    <n v="0.89791666666860692"/>
    <n v="2"/>
    <n v="1.1020833333313931"/>
    <n v="21.550000000046566"/>
    <n v="0"/>
    <n v="21.550000000046566"/>
    <n v="7.1276102088013031"/>
    <m/>
    <m/>
    <m/>
    <m/>
    <m/>
  </r>
  <r>
    <d v="2025-02-21T00:00:00"/>
    <x v="1"/>
    <m/>
    <s v="OME9UVIRR"/>
    <s v="DJ"/>
    <x v="12"/>
    <s v="UBJ 415C"/>
    <s v="Sawan Distributors Ltd-Kayabwe "/>
    <n v="153.6"/>
    <s v="OME9UVIRR"/>
    <s v="OM"/>
    <n v="382"/>
    <n v="384"/>
    <n v="2"/>
    <m/>
    <d v="2025-02-20T13:45:00"/>
    <d v="2025-02-20T13:58:00"/>
    <d v="2025-02-20T14:26:00"/>
    <n v="27.870370367357584"/>
    <n v="40.810185182635905"/>
    <x v="0"/>
    <d v="2025-02-20T14:32:00"/>
    <d v="2025-02-20T16:00:00"/>
    <n v="86.166666660283227"/>
    <m/>
    <d v="2025-02-21T08:44:00"/>
    <d v="2025-02-21T09:38:00"/>
    <n v="52.87499999794818"/>
    <m/>
    <n v="0.76249999999708962"/>
    <n v="2"/>
    <n v="1.2375000000029104"/>
    <n v="18.299999999930151"/>
    <n v="0"/>
    <n v="18.299999999930151"/>
    <n v="8.3934426229828567"/>
    <m/>
    <m/>
    <m/>
    <m/>
    <m/>
  </r>
  <r>
    <d v="2025-02-21T00:00:00"/>
    <x v="1"/>
    <m/>
    <s v="OMEOYKVRR"/>
    <s v="DJ"/>
    <x v="50"/>
    <s v="UAR 731Q"/>
    <s v="KATO INVESTMENTS LTD- KALISIZO "/>
    <n v="153.6"/>
    <s v="OMEOYKVRR"/>
    <s v="OM"/>
    <n v="350"/>
    <n v="352"/>
    <n v="2"/>
    <m/>
    <d v="2025-02-20T11:41:00"/>
    <d v="2025-02-20T11:34:00"/>
    <d v="2025-02-20T12:25:00"/>
    <n v="50.763888887498375"/>
    <n v="43.796296293051761"/>
    <x v="0"/>
    <d v="2025-02-20T19:05:00"/>
    <d v="2025-02-20T21:58:00"/>
    <n v="169.39583333150949"/>
    <m/>
    <d v="2025-02-21T08:45:00"/>
    <d v="2025-02-21T09:41:00"/>
    <n v="54.833333337664953"/>
    <m/>
    <n v="0.84722222222626442"/>
    <n v="2"/>
    <n v="1.1527777777737356"/>
    <n v="20.333333333430346"/>
    <n v="0"/>
    <n v="20.333333333430346"/>
    <n v="7.5540983606196956"/>
    <m/>
    <m/>
    <m/>
    <m/>
    <m/>
  </r>
  <r>
    <d v="2025-02-21T00:00:00"/>
    <x v="1"/>
    <m/>
    <s v="OMHDVM2RR"/>
    <s v="DJ"/>
    <x v="2"/>
    <s v="UBE 287X"/>
    <s v="Rugoma Traders-Kanungu/Kihihi "/>
    <n v="153.6"/>
    <s v="OMHDVM2RR"/>
    <s v="OM"/>
    <n v="414"/>
    <n v="416"/>
    <n v="2"/>
    <m/>
    <d v="2025-02-20T12:47:00"/>
    <d v="2025-02-20T13:09:00"/>
    <d v="2025-02-20T13:28:00"/>
    <n v="18.912037036110025"/>
    <n v="40.810185182635905"/>
    <x v="0"/>
    <d v="2025-02-20T13:46:00"/>
    <d v="2025-02-20T20:27:00"/>
    <n v="392.64583333082555"/>
    <s v="less casuals and offloaded the next day"/>
    <d v="2025-02-21T12:54:00"/>
    <d v="2025-02-21T13:50:00"/>
    <n v="54.833333337664953"/>
    <m/>
    <n v="0.976388888884685"/>
    <n v="2"/>
    <n v="1.023611111115315"/>
    <n v="23.43333333323244"/>
    <n v="0"/>
    <n v="23.43333333323244"/>
    <n v="6.5547652916356185"/>
    <m/>
    <m/>
    <m/>
    <m/>
    <m/>
  </r>
  <r>
    <d v="2025-02-21T00:00:00"/>
    <x v="1"/>
    <m/>
    <s v="OMIWDB2RR"/>
    <s v="DJ"/>
    <x v="4"/>
    <s v="UBE 422T"/>
    <s v="Kabaco U Ltd "/>
    <n v="153.6"/>
    <s v="OMIWDB2RR"/>
    <s v="OM"/>
    <n v="320"/>
    <n v="319"/>
    <n v="-1"/>
    <m/>
    <d v="2025-02-20T12:11:00"/>
    <d v="2025-02-20T11:47:00"/>
    <d v="2025-02-20T12:54:00"/>
    <n v="66.689814813192541"/>
    <n v="42.80092592986572"/>
    <x v="0"/>
    <d v="2025-02-21T16:52:00"/>
    <d v="2025-02-21T19:46:00"/>
    <n v="170.37500000136788"/>
    <m/>
    <d v="2025-02-21T16:35:00"/>
    <d v="2025-02-21T17:26:00"/>
    <n v="49.93749999863212"/>
    <m/>
    <n v="1.1534722222204437"/>
    <n v="2"/>
    <n v="0.84652777777955635"/>
    <n v="27.683333333290648"/>
    <n v="12"/>
    <n v="15.683333333290648"/>
    <n v="9.793836344341214"/>
    <m/>
    <m/>
    <m/>
    <m/>
    <m/>
  </r>
  <r>
    <d v="2025-02-21T00:00:00"/>
    <x v="1"/>
    <m/>
    <s v="OMRIVTMRR"/>
    <s v="DJ"/>
    <x v="24"/>
    <s v="UBP 298H"/>
    <s v="Kobusinge Steven-Kamwenge "/>
    <n v="156"/>
    <s v="OMRIVTMRR"/>
    <s v="OM"/>
    <n v="288"/>
    <n v="290"/>
    <n v="2"/>
    <m/>
    <d v="2025-02-20T21:41:00"/>
    <d v="2025-02-20T22:14:00"/>
    <d v="2025-02-20T22:22:00"/>
    <n v="7.9629629680615226"/>
    <n v="40.810185182635905"/>
    <x v="0"/>
    <d v="2025-02-20T10:57:00"/>
    <d v="2025-02-20T13:30:00"/>
    <n v="149.81249999589636"/>
    <m/>
    <d v="2025-02-23T06:12:00"/>
    <d v="2025-02-23T07:02:00"/>
    <n v="48.958333328773733"/>
    <m/>
    <n v="2.3263888888905058"/>
    <n v="2"/>
    <n v="-0.32638888889050577"/>
    <n v="55.833333333372138"/>
    <n v="24"/>
    <n v="31.833333333372138"/>
    <n v="4.9005235602034505"/>
    <m/>
    <m/>
    <m/>
    <m/>
    <m/>
  </r>
  <r>
    <d v="2025-02-21T00:00:00"/>
    <x v="1"/>
    <m/>
    <s v="OMC7YK7RR"/>
    <s v="DJ"/>
    <x v="20"/>
    <s v="UAY 265V"/>
    <s v="Kabaco U Ltd "/>
    <n v="153.6"/>
    <s v="OMC7YK7RR"/>
    <s v="OM"/>
    <n v="320"/>
    <n v="322"/>
    <n v="2"/>
    <m/>
    <d v="2025-02-20T10:09:00"/>
    <d v="2025-02-20T07:42:00"/>
    <d v="2025-02-20T10:52:00"/>
    <n v="189.12037037152913"/>
    <n v="42.80092592986572"/>
    <x v="0"/>
    <d v="2025-02-20T14:32:00"/>
    <d v="2025-02-20T16:00:00"/>
    <n v="86.166666660283227"/>
    <m/>
    <d v="2025-02-20T17:58:00"/>
    <d v="2025-02-20T18:51:00"/>
    <n v="51.895833338348893"/>
    <m/>
    <n v="0.29583333333721384"/>
    <n v="2"/>
    <n v="1.7041666666627862"/>
    <n v="7.1000000000931323"/>
    <n v="0"/>
    <n v="7.1000000000931323"/>
    <n v="21.633802816617631"/>
    <m/>
    <m/>
    <m/>
    <m/>
    <m/>
  </r>
  <r>
    <d v="2025-02-21T00:00:00"/>
    <x v="1"/>
    <m/>
    <s v="OM8QX4HRR"/>
    <s v="DJ"/>
    <x v="5"/>
    <s v="UBE 419T"/>
    <s v="Jusime Enterprises "/>
    <n v="153.6"/>
    <s v="OM8QX4HRR"/>
    <s v="OM"/>
    <n v="560"/>
    <n v="561"/>
    <n v="1"/>
    <m/>
    <d v="2025-02-20T09:02:00"/>
    <d v="2025-02-20T03:43:00"/>
    <d v="2025-02-20T09:43:00"/>
    <n v="358.33333333333331"/>
    <n v="40.810185182635905"/>
    <x v="0"/>
    <d v="2025-02-20T19:05:00"/>
    <d v="2025-02-20T21:59:00"/>
    <n v="170.37500000136788"/>
    <m/>
    <d v="2025-02-21T12:11:00"/>
    <d v="2025-02-21T13:02:00"/>
    <n v="49.93749999863212"/>
    <m/>
    <n v="1.1027777777781012"/>
    <n v="3"/>
    <n v="1.8972222222218988"/>
    <n v="26.466666666674428"/>
    <n v="12"/>
    <n v="14.466666666674428"/>
    <n v="10.617511520731631"/>
    <m/>
    <m/>
    <m/>
    <m/>
    <m/>
  </r>
  <r>
    <d v="2025-02-21T00:00:00"/>
    <x v="1"/>
    <m/>
    <s v="OM02W5MRR"/>
    <s v="DJ"/>
    <x v="7"/>
    <s v="UAY 526V"/>
    <s v="KATO INVESTMENTS LTD- KALISIZO "/>
    <n v="153.6"/>
    <s v="OM02W5MRR"/>
    <s v="OM"/>
    <n v="350"/>
    <n v="348"/>
    <n v="-2"/>
    <m/>
    <d v="2025-02-20T09:00:00"/>
    <d v="2025-02-19T20:30:00"/>
    <d v="2025-02-20T09:43:00"/>
    <n v="789.32870371111983"/>
    <n v="42.80092592986572"/>
    <x v="0"/>
    <d v="2025-02-20T20:33:00"/>
    <d v="2025-02-20T23:26:00"/>
    <n v="169.39583333150949"/>
    <m/>
    <d v="2025-02-23T15:33:00"/>
    <d v="2025-02-23T16:29:00"/>
    <n v="54.833333337664953"/>
    <m/>
    <n v="3.2430555555547471"/>
    <n v="2"/>
    <n v="-1.2430555555547471"/>
    <n v="77.833333333313931"/>
    <n v="36"/>
    <n v="41.833333333313931"/>
    <n v="3.6717131474120612"/>
    <m/>
    <m/>
    <m/>
    <m/>
    <m/>
  </r>
  <r>
    <d v="2025-02-22T00:00:00"/>
    <x v="1"/>
    <m/>
    <s v="A20905"/>
    <s v="Manual"/>
    <x v="10"/>
    <s v="UBR 903Y"/>
    <s v="Kato Investment Ltd -Mubende"/>
    <n v="156"/>
    <s v="A20905"/>
    <s v="OM"/>
    <n v="680"/>
    <n v="679"/>
    <n v="-1"/>
    <m/>
    <d v="2025-02-20T09:02:00"/>
    <d v="2025-02-20T03:43:00"/>
    <d v="2025-02-20T09:43:00"/>
    <n v="358.33333333333331"/>
    <n v="40.810185182635905"/>
    <x v="0"/>
    <d v="2025-02-20T17:28:00"/>
    <d v="2025-02-20T19:56:00"/>
    <n v="144.91666666712263"/>
    <m/>
    <d v="2025-02-21T07:43:00"/>
    <d v="2025-02-21T08:39:00"/>
    <n v="54.833333337664953"/>
    <m/>
    <n v="0.91666666666424135"/>
    <n v="3"/>
    <n v="2.0833333333357587"/>
    <n v="21.999999999941792"/>
    <n v="0"/>
    <n v="21.999999999941792"/>
    <n v="7.0909090909278518"/>
    <m/>
    <m/>
    <m/>
    <m/>
    <m/>
  </r>
  <r>
    <d v="2025-02-22T00:00:00"/>
    <x v="1"/>
    <m/>
    <s v="A20900"/>
    <s v="Manual"/>
    <x v="49"/>
    <s v="UBR 539W"/>
    <s v="Kato Investment Ltd -Mityana"/>
    <n v="156"/>
    <s v="A20900"/>
    <s v="OM"/>
    <n v="690"/>
    <n v="689"/>
    <n v="-1"/>
    <m/>
    <d v="2025-02-20T10:09:00"/>
    <d v="2025-02-20T07:42:00"/>
    <d v="2025-02-20T10:52:00"/>
    <n v="189.12037037152913"/>
    <n v="42.80092592986572"/>
    <x v="0"/>
    <d v="2025-02-20T11:11:00"/>
    <d v="2025-02-20T19:04:00"/>
    <n v="463.14583333492919"/>
    <s v="found another truck to be offloaded"/>
    <d v="2025-02-20T20:59:00"/>
    <d v="2025-02-20T21:56:00"/>
    <n v="55.81249999726424"/>
    <m/>
    <n v="0.42152777777664596"/>
    <n v="3"/>
    <n v="2.578472222223354"/>
    <n v="10.116666666639503"/>
    <n v="0"/>
    <n v="10.116666666639503"/>
    <n v="15.420098846828882"/>
    <m/>
    <m/>
    <m/>
    <m/>
    <m/>
  </r>
  <r>
    <d v="2025-02-22T00:00:00"/>
    <x v="1"/>
    <m/>
    <s v="Z82738"/>
    <s v="Manual"/>
    <x v="10"/>
    <s v="UBR 537W"/>
    <s v="Rugoma Traders-Rukungiri"/>
    <n v="43.2"/>
    <s v="Z82738"/>
    <s v="OM"/>
    <n v="256"/>
    <n v="258"/>
    <n v="2"/>
    <m/>
    <d v="2025-02-20T21:48:00"/>
    <d v="2025-02-20T02:30:00"/>
    <d v="2025-02-20T22:31:00"/>
    <n v="1195.4398148215357"/>
    <n v="42.80092592986572"/>
    <x v="0"/>
    <d v="2025-02-20T16:25:00"/>
    <d v="2025-02-20T19:25:00"/>
    <n v="176.25"/>
    <m/>
    <d v="2025-02-21T20:42:00"/>
    <d v="2025-02-21T21:42:00"/>
    <n v="58.7499999965803"/>
    <m/>
    <n v="0.92430555555620231"/>
    <n v="2"/>
    <n v="1.0756944444437977"/>
    <n v="22.183333333348855"/>
    <n v="0"/>
    <n v="22.183333333348855"/>
    <n v="1.9474079639355271"/>
    <m/>
    <m/>
    <m/>
    <m/>
    <m/>
  </r>
  <r>
    <d v="2025-02-22T00:00:00"/>
    <x v="1"/>
    <m/>
    <s v="A20904"/>
    <s v="Manual"/>
    <x v="36"/>
    <s v="UBE 680K"/>
    <s v="Kato Investment Ltd -Mityana"/>
    <n v="156"/>
    <s v="A20904"/>
    <s v="OM"/>
    <n v="690"/>
    <n v="688"/>
    <n v="-2"/>
    <m/>
    <d v="2025-02-21T12:05:00"/>
    <d v="2025-02-21T12:26:00"/>
    <d v="2025-02-21T12:45:00"/>
    <n v="18.912037036110025"/>
    <n v="39.814814819449872"/>
    <x v="0"/>
    <d v="2025-02-22T12:12:00"/>
    <d v="2025-02-22T20:06:00"/>
    <n v="464.12500000478758"/>
    <s v="Waited for empties from trade"/>
    <d v="2025-02-22T18:07:00"/>
    <d v="2025-02-22T19:00:00"/>
    <n v="51.895833338348893"/>
    <m/>
    <n v="1.2236111111124046"/>
    <n v="2"/>
    <n v="0.77638888888759539"/>
    <n v="29.366666666697711"/>
    <n v="12"/>
    <n v="17.366666666697711"/>
    <n v="8.9827255278150364"/>
    <m/>
    <m/>
    <m/>
    <m/>
    <m/>
  </r>
  <r>
    <d v="2025-02-22T00:00:00"/>
    <x v="1"/>
    <m/>
    <s v="A20907"/>
    <s v="Manual"/>
    <x v="10"/>
    <s v="UBR 533W"/>
    <s v="KATO INVESTMENTS LTD-KATIKARA"/>
    <n v="156"/>
    <s v="A20907"/>
    <s v="OM"/>
    <n v="790"/>
    <n v="789"/>
    <n v="-1"/>
    <m/>
    <d v="2025-02-22T07:29:00"/>
    <d v="2025-02-22T08:06:00"/>
    <d v="2025-02-22T08:34:00"/>
    <n v="27.870370367357584"/>
    <n v="64.699074076391597"/>
    <x v="0"/>
    <d v="2025-02-21T17:31:00"/>
    <d v="2025-02-21T19:37:00"/>
    <n v="123.37500000205182"/>
    <m/>
    <d v="2025-02-22T11:51:00"/>
    <d v="2025-02-22T12:42:00"/>
    <n v="49.93749999863212"/>
    <m/>
    <n v="0.1368055555576575"/>
    <n v="2"/>
    <n v="1.8631944444423425"/>
    <n v="3.28333333338378"/>
    <n v="0"/>
    <n v="3.28333333338378"/>
    <n v="47.51269035459994"/>
    <m/>
    <m/>
    <m/>
    <m/>
    <m/>
  </r>
  <r>
    <d v="2025-02-22T00:00:00"/>
    <x v="1"/>
    <m/>
    <s v="Z82739"/>
    <s v="Manual"/>
    <x v="47"/>
    <s v="UBR 538W"/>
    <s v="Kabaco U Ltd "/>
    <n v="156"/>
    <s v="Z82739"/>
    <s v="OM"/>
    <n v="320"/>
    <n v="321"/>
    <n v="1"/>
    <m/>
    <d v="2025-02-21T23:02:00"/>
    <d v="2025-02-21T23:34:00"/>
    <d v="2025-02-21T23:46:00"/>
    <n v="11.944444441663412"/>
    <n v="43.796296293051761"/>
    <x v="0"/>
    <d v="2025-02-21T13:24:00"/>
    <d v="2025-02-21T16:46:00"/>
    <n v="197.79166666507081"/>
    <s v="Waited for empties from trade"/>
    <d v="2025-02-22T07:38:00"/>
    <d v="2025-02-22T08:35:00"/>
    <n v="55.81249999726424"/>
    <m/>
    <n v="0.32777777778392192"/>
    <n v="2"/>
    <n v="1.6722222222160781"/>
    <n v="7.8666666668141261"/>
    <n v="0"/>
    <n v="7.8666666668141261"/>
    <n v="19.830508474204553"/>
    <m/>
    <m/>
    <m/>
    <m/>
    <m/>
  </r>
  <r>
    <d v="2025-02-22T00:00:00"/>
    <x v="1"/>
    <m/>
    <s v="Z82740"/>
    <s v="Manual"/>
    <x v="39"/>
    <s v="UBJ 705D"/>
    <s v="Kabaco U Ltd "/>
    <n v="156"/>
    <s v="Z82740"/>
    <s v="OM"/>
    <n v="320"/>
    <n v="319"/>
    <n v="-1"/>
    <m/>
    <d v="2025-02-21T18:55:00"/>
    <d v="2025-02-21T19:15:00"/>
    <d v="2025-02-21T19:36:00"/>
    <n v="20.902777772910969"/>
    <n v="40.810185182635905"/>
    <x v="0"/>
    <d v="2025-02-20T21:36:00"/>
    <d v="2025-02-21T10:54:00"/>
    <n v="781.37500000273576"/>
    <s v="slept at the RD and offloaded the next day"/>
    <d v="2025-02-22T15:22:00"/>
    <d v="2025-02-22T16:19:00"/>
    <n v="55.81249999726424"/>
    <m/>
    <n v="0.82361111111094942"/>
    <n v="2"/>
    <n v="1.1763888888890506"/>
    <n v="19.766666666662786"/>
    <n v="0"/>
    <n v="19.766666666662786"/>
    <n v="7.8920741989897447"/>
    <m/>
    <m/>
    <m/>
    <m/>
    <m/>
  </r>
  <r>
    <d v="2025-02-22T00:00:00"/>
    <x v="1"/>
    <m/>
    <s v="Z82744"/>
    <s v="Manual"/>
    <x v="45"/>
    <s v="UBP 310H"/>
    <s v="Kobusinge Acaali- Kyenjojo"/>
    <n v="117"/>
    <s v="Z82744"/>
    <s v="OM"/>
    <n v="580"/>
    <n v="581"/>
    <n v="1"/>
    <m/>
    <d v="2025-02-21T21:30:00"/>
    <d v="2025-02-21T20:48:00"/>
    <d v="2025-02-21T22:13:00"/>
    <n v="84.606481486116536"/>
    <n v="42.80092592986572"/>
    <x v="0"/>
    <d v="2025-02-21T10:33:00"/>
    <d v="2025-02-21T13:02:00"/>
    <n v="145.89583333698101"/>
    <m/>
    <d v="2025-02-22T11:26:00"/>
    <d v="2025-02-22T12:19:00"/>
    <n v="51.895833338348893"/>
    <m/>
    <n v="0.55069444444961846"/>
    <n v="2"/>
    <n v="1.4493055555503815"/>
    <n v="13.216666666790843"/>
    <n v="0"/>
    <n v="13.216666666790843"/>
    <n v="8.8524590163102701"/>
    <m/>
    <m/>
    <m/>
    <m/>
    <m/>
  </r>
  <r>
    <d v="2025-02-22T00:00:00"/>
    <x v="1"/>
    <m/>
    <s v="F15941"/>
    <s v="Manual"/>
    <x v="43"/>
    <s v="UBJ 419C"/>
    <s v="KATO INVESTMENTS LIMITED-MASAK"/>
    <n v="156"/>
    <s v="F15941"/>
    <s v="OM"/>
    <n v="298"/>
    <n v="296"/>
    <n v="-2"/>
    <m/>
    <d v="2025-02-21T21:21:00"/>
    <d v="2025-02-21T21:36:00"/>
    <d v="2025-02-21T22:04:00"/>
    <n v="27.870370367357584"/>
    <n v="42.80092592986572"/>
    <x v="0"/>
    <d v="2025-02-22T10:47:00"/>
    <d v="2025-02-22T16:52:00"/>
    <n v="357.39583332877373"/>
    <s v="Waited for empties from trade"/>
    <d v="2025-02-22T14:05:00"/>
    <d v="2025-02-22T15:00:00"/>
    <n v="53.854166667806567"/>
    <m/>
    <n v="0.66736111111094942"/>
    <n v="2"/>
    <n v="1.3326388888890506"/>
    <n v="16.016666666662786"/>
    <n v="0"/>
    <n v="16.016666666662786"/>
    <n v="9.7398543184206741"/>
    <m/>
    <m/>
    <m/>
    <m/>
    <m/>
  </r>
  <r>
    <d v="2025-02-22T00:00:00"/>
    <x v="1"/>
    <m/>
    <s v="F15942"/>
    <s v="Manual"/>
    <x v="25"/>
    <s v="UBJ 420C"/>
    <s v="Boniface Harera"/>
    <n v="156"/>
    <s v="F15942"/>
    <s v="OM"/>
    <n v="448"/>
    <n v="445"/>
    <n v="-3"/>
    <m/>
    <d v="2025-02-21T20:47:00"/>
    <d v="2025-02-21T21:22:00"/>
    <d v="2025-02-21T21:30:00"/>
    <n v="7.9629629680615226"/>
    <n v="42.80092592986572"/>
    <x v="0"/>
    <d v="2025-02-21T10:52:00"/>
    <d v="2025-02-21T19:06:00"/>
    <n v="483.70833333014161"/>
    <s v="found another truck at RD"/>
    <d v="2025-02-24T17:13:00"/>
    <d v="2025-02-24T18:05:00"/>
    <n v="50.916666668490507"/>
    <m/>
    <n v="2.8215277777781012"/>
    <n v="2"/>
    <n v="-0.82152777777810115"/>
    <n v="67.716666666674428"/>
    <n v="24"/>
    <n v="43.716666666674428"/>
    <n v="3.5684330918788936"/>
    <m/>
    <m/>
    <m/>
    <m/>
    <m/>
  </r>
  <r>
    <d v="2025-02-22T00:00:00"/>
    <x v="1"/>
    <m/>
    <s v="A20902"/>
    <s v="Manual"/>
    <x v="10"/>
    <s v="UBR 868Y"/>
    <s v="Kato Investments Ltd- Kyegegwa"/>
    <n v="156"/>
    <s v="A20902"/>
    <s v="OM"/>
    <n v="600"/>
    <n v="602"/>
    <n v="2"/>
    <m/>
    <d v="2025-02-21T20:44:00"/>
    <d v="2025-02-21T21:16:00"/>
    <d v="2025-02-21T21:28:00"/>
    <n v="11.944444441663412"/>
    <n v="43.796296293051761"/>
    <x v="0"/>
    <d v="2025-02-21T15:53:00"/>
    <d v="2025-02-21T18:47:00"/>
    <n v="170.37500000136788"/>
    <m/>
    <d v="2025-02-22T11:42:00"/>
    <d v="2025-02-22T12:33:00"/>
    <n v="49.93749999863212"/>
    <m/>
    <n v="0.59305555556056788"/>
    <n v="3"/>
    <n v="2.4069444444394321"/>
    <n v="14.233333333453629"/>
    <n v="0"/>
    <n v="14.233333333453629"/>
    <n v="10.960187353537345"/>
    <m/>
    <m/>
    <m/>
    <m/>
    <m/>
  </r>
  <r>
    <d v="2025-02-22T00:00:00"/>
    <x v="1"/>
    <m/>
    <s v="F15938"/>
    <s v="Manual"/>
    <x v="10"/>
    <s v="UBR 535W"/>
    <s v="Boniface Harera"/>
    <n v="156"/>
    <s v="F15938"/>
    <s v="OM"/>
    <n v="448"/>
    <n v="445"/>
    <n v="-3"/>
    <m/>
    <d v="2025-02-21T19:07:00"/>
    <d v="2025-02-21T19:30:00"/>
    <d v="2025-02-21T19:51:00"/>
    <n v="20.902777772910969"/>
    <n v="43.796296293051761"/>
    <x v="0"/>
    <d v="2025-02-22T15:19:00"/>
    <d v="2025-02-22T17:25:00"/>
    <n v="123.37500000205182"/>
    <m/>
    <d v="2025-02-23T15:52:00"/>
    <d v="2025-02-23T16:46:00"/>
    <n v="52.87499999794818"/>
    <m/>
    <n v="1.8340277777824667"/>
    <n v="2"/>
    <n v="0.16597222221753327"/>
    <n v="44.016666666779201"/>
    <n v="12"/>
    <n v="32.016666666779201"/>
    <n v="4.8724622592228535"/>
    <m/>
    <m/>
    <m/>
    <m/>
    <m/>
  </r>
  <r>
    <d v="2025-02-22T00:00:00"/>
    <x v="1"/>
    <m/>
    <s v="OMUPC2WRR"/>
    <s v="DJ"/>
    <x v="7"/>
    <s v="UAY 526V"/>
    <s v="Sawan Distributors "/>
    <n v="153.6"/>
    <s v="OMUPC2WRR"/>
    <s v="OM"/>
    <n v="560"/>
    <n v="562"/>
    <n v="2"/>
    <m/>
    <d v="2025-02-21T13:59:00"/>
    <d v="2025-02-21T14:12:00"/>
    <d v="2025-02-21T14:40:00"/>
    <n v="27.870370367357584"/>
    <n v="40.810185182635905"/>
    <x v="0"/>
    <d v="2025-02-22T08:49:00"/>
    <d v="2025-02-22T12:34:00"/>
    <n v="220.3125"/>
    <s v="found another truck at the RD"/>
    <d v="2025-02-22T19:27:00"/>
    <d v="2025-02-22T20:18:00"/>
    <n v="49.93749999863212"/>
    <m/>
    <n v="1.1993055555576575"/>
    <n v="2"/>
    <n v="0.8006944444423425"/>
    <n v="28.78333333338378"/>
    <n v="12"/>
    <n v="16.78333333338378"/>
    <n v="9.1519364448582898"/>
    <m/>
    <m/>
    <m/>
    <m/>
    <m/>
  </r>
  <r>
    <d v="2025-02-22T00:00:00"/>
    <x v="1"/>
    <m/>
    <s v="OMEBZ2HRR"/>
    <s v="DJ"/>
    <x v="17"/>
    <s v="UBA 523T"/>
    <s v="SAGAR TRADING CO. LTD- MUKONO "/>
    <n v="153.6"/>
    <s v="OMEBZ2HRR"/>
    <s v="OM"/>
    <n v="302"/>
    <n v="304"/>
    <n v="2"/>
    <m/>
    <d v="2025-02-21T21:12:00"/>
    <d v="2025-02-21T21:41:00"/>
    <d v="2025-02-21T21:52:00"/>
    <n v="10.949074078477375"/>
    <n v="39.814814819449872"/>
    <x v="0"/>
    <d v="2025-02-21T11:49:00"/>
    <d v="2025-02-21T17:10:00"/>
    <n v="314.31250000889122"/>
    <s v="found another truck at the RD and offloaded the next day"/>
    <d v="2025-02-22T17:58:00"/>
    <d v="2025-02-22T18:58:00"/>
    <n v="58.7499999965803"/>
    <m/>
    <n v="0.83750000000145519"/>
    <n v="2"/>
    <n v="1.1624999999985448"/>
    <n v="20.100000000034925"/>
    <n v="0"/>
    <n v="20.100000000034925"/>
    <n v="7.641791044762841"/>
    <m/>
    <m/>
    <m/>
    <m/>
    <m/>
  </r>
  <r>
    <d v="2025-02-23T00:00:00"/>
    <x v="1"/>
    <m/>
    <s v="A20937"/>
    <s v="Manual"/>
    <x v="41"/>
    <s v="UBF 379L"/>
    <s v="Kato Investment Ltd -Mubende"/>
    <n v="156"/>
    <s v="A20937"/>
    <s v="OM"/>
    <n v="680"/>
    <n v="678"/>
    <n v="-2"/>
    <m/>
    <d v="2025-02-21T18:09:00"/>
    <d v="2025-02-21T18:24:00"/>
    <d v="2025-02-21T18:52:00"/>
    <n v="27.870370367357584"/>
    <n v="42.80092592986572"/>
    <x v="0"/>
    <d v="2025-02-22T09:12:00"/>
    <d v="2025-02-22T13:29:00"/>
    <n v="251.64583333287737"/>
    <s v="Waited for empties from trade"/>
    <d v="2025-02-22T10:22:00"/>
    <d v="2025-02-22T11:18:00"/>
    <n v="54.833333337664953"/>
    <m/>
    <n v="0.64583333332848269"/>
    <n v="2"/>
    <n v="1.3541666666715173"/>
    <n v="15.499999999883585"/>
    <n v="0"/>
    <n v="15.499999999883585"/>
    <n v="10.064516129107849"/>
    <m/>
    <m/>
    <m/>
    <m/>
    <m/>
  </r>
  <r>
    <d v="2025-02-23T00:00:00"/>
    <x v="1"/>
    <m/>
    <s v="A20941"/>
    <s v="Manual"/>
    <x v="34"/>
    <s v="UBP 301H"/>
    <s v="Kato Investments Ltd-Bulenga"/>
    <n v="156"/>
    <s v="A20941"/>
    <s v="OM"/>
    <n v="810"/>
    <n v="812"/>
    <n v="2"/>
    <m/>
    <d v="2025-02-21T13:01:00"/>
    <d v="2025-02-20T21:40:00"/>
    <d v="2025-02-21T13:41:00"/>
    <n v="956.55092592569417"/>
    <n v="39.814814819449872"/>
    <x v="0"/>
    <d v="2025-02-21T17:31:00"/>
    <d v="2025-02-21T19:37:00"/>
    <n v="123.37500000205182"/>
    <m/>
    <d v="2025-02-22T07:43:00"/>
    <d v="2025-02-22T08:43:00"/>
    <n v="58.7499999965803"/>
    <m/>
    <n v="0.75138888888614019"/>
    <n v="3"/>
    <n v="2.2486111111138598"/>
    <n v="18.033333333267365"/>
    <n v="0"/>
    <n v="18.033333333267365"/>
    <n v="8.6506469501240666"/>
    <m/>
    <m/>
    <m/>
    <m/>
    <m/>
  </r>
  <r>
    <d v="2025-02-23T00:00:00"/>
    <x v="1"/>
    <m/>
    <s v="Z82767"/>
    <s v="Manual"/>
    <x v="30"/>
    <s v="UBR 540W"/>
    <s v="Rugoma Traders-Rukungiri"/>
    <n v="156"/>
    <s v="Z82767"/>
    <s v="OM"/>
    <n v="256"/>
    <n v="258"/>
    <n v="2"/>
    <m/>
    <d v="2025-02-21T10:54:00"/>
    <d v="2025-02-21T03:43:00"/>
    <d v="2025-02-21T11:37:00"/>
    <n v="471.80555554999347"/>
    <n v="42.80092592986572"/>
    <x v="0"/>
    <d v="2025-02-21T13:24:00"/>
    <d v="2025-02-21T16:46:00"/>
    <n v="197.79166666507081"/>
    <s v="Reached late and offloaded the next day"/>
    <d v="2025-02-24T17:13:00"/>
    <d v="2025-02-24T18:13:00"/>
    <n v="58.7499999965803"/>
    <m/>
    <n v="3.2333333333372138"/>
    <n v="2"/>
    <n v="-1.2333333333372138"/>
    <n v="77.600000000093132"/>
    <n v="36"/>
    <n v="41.600000000093132"/>
    <n v="3.7499999999916045"/>
    <m/>
    <m/>
    <m/>
    <m/>
    <m/>
  </r>
  <r>
    <d v="2025-02-23T00:00:00"/>
    <x v="1"/>
    <m/>
    <s v="A20938"/>
    <s v="Manual"/>
    <x v="37"/>
    <s v="UBK 866R"/>
    <s v="KATO INVESTMENTS LTD-KATIKARA"/>
    <n v="156"/>
    <s v="A20938"/>
    <s v="OM"/>
    <n v="400"/>
    <n v="402"/>
    <n v="2"/>
    <m/>
    <d v="2025-02-21T11:11:00"/>
    <d v="2025-02-21T01:59:00"/>
    <d v="2025-02-21T11:55:00"/>
    <n v="593.24074074514408"/>
    <n v="43.796296293051761"/>
    <x v="0"/>
    <d v="2025-02-20T21:36:00"/>
    <d v="2025-02-21T10:54:00"/>
    <n v="781.37500000273576"/>
    <s v="Waited for empties from trade"/>
    <d v="2025-02-22T17:58:00"/>
    <d v="2025-02-22T18:52:00"/>
    <n v="52.87499999794818"/>
    <m/>
    <n v="1.2520833333328483"/>
    <n v="3"/>
    <n v="1.7479166666671517"/>
    <n v="30.049999999988358"/>
    <n v="12"/>
    <n v="18.049999999988358"/>
    <n v="8.6426592797839668"/>
    <m/>
    <m/>
    <m/>
    <m/>
    <m/>
  </r>
  <r>
    <d v="2025-02-23T00:00:00"/>
    <x v="1"/>
    <m/>
    <s v="F15956"/>
    <s v="Manual"/>
    <x v="24"/>
    <s v="UBP 298H"/>
    <s v="Boniface Harera"/>
    <n v="156"/>
    <s v="F15956"/>
    <s v="OM"/>
    <n v="448"/>
    <n v="449"/>
    <n v="1"/>
    <m/>
    <d v="2025-02-21T20:14:00"/>
    <d v="2025-02-21T03:17:00"/>
    <d v="2025-02-21T20:57:00"/>
    <n v="1055.092592590275"/>
    <n v="42.80092592986572"/>
    <x v="0"/>
    <d v="2025-02-22T17:49:00"/>
    <d v="2025-02-23T10:09:00"/>
    <n v="959.58333334245253"/>
    <s v="Reached late and offloaded the next day"/>
    <d v="2025-02-22T19:27:00"/>
    <d v="2025-02-22T20:18:00"/>
    <n v="49.93749999863212"/>
    <m/>
    <n v="0.9375"/>
    <n v="2"/>
    <n v="1.0625"/>
    <n v="22.5"/>
    <n v="0"/>
    <n v="22.5"/>
    <n v="6.9333333333333336"/>
    <m/>
    <m/>
    <m/>
    <m/>
    <m/>
  </r>
  <r>
    <d v="2025-02-23T00:00:00"/>
    <x v="1"/>
    <m/>
    <s v="Z82769"/>
    <s v="Manual"/>
    <x v="35"/>
    <s v="UBP 312H"/>
    <s v="Kobusinge Steven-FPortal"/>
    <n v="156"/>
    <s v="Z82769"/>
    <s v="OM"/>
    <n v="304"/>
    <n v="306"/>
    <n v="2"/>
    <m/>
    <d v="2025-02-21T20:15:00"/>
    <d v="2025-02-21T03:17:00"/>
    <d v="2025-02-21T20:57:00"/>
    <n v="1055.092592590275"/>
    <n v="41.805555556250816"/>
    <x v="0"/>
    <d v="2025-02-22T09:12:00"/>
    <d v="2025-02-22T13:29:00"/>
    <n v="251.64583333287737"/>
    <s v="truck faulty"/>
    <d v="2025-02-22T18:07:00"/>
    <d v="2025-02-22T19:04:00"/>
    <n v="55.81249999726424"/>
    <m/>
    <n v="0.88194444444525288"/>
    <n v="2"/>
    <n v="1.1180555555547471"/>
    <n v="21.166666666686069"/>
    <n v="0"/>
    <n v="21.166666666686069"/>
    <n v="7.3700787401507242"/>
    <m/>
    <m/>
    <m/>
    <m/>
    <m/>
  </r>
  <r>
    <d v="2025-02-23T00:00:00"/>
    <x v="1"/>
    <m/>
    <s v="A20942"/>
    <s v="Manual"/>
    <x v="33"/>
    <s v="UBR 541W"/>
    <s v="Kato Investments Ltd- Kyegegwa"/>
    <n v="156"/>
    <s v="A20942"/>
    <s v="OM"/>
    <n v="600"/>
    <n v="602"/>
    <n v="2"/>
    <m/>
    <d v="2025-02-21T12:57:00"/>
    <d v="2025-02-20T21:40:00"/>
    <d v="2025-02-21T13:41:00"/>
    <n v="956.55092592569417"/>
    <n v="43.796296293051761"/>
    <x v="0"/>
    <d v="2025-02-22T10:47:00"/>
    <d v="2025-02-22T16:52:00"/>
    <n v="357.39583332877373"/>
    <s v="Waited for empties from trade"/>
    <d v="2025-02-24T17:13:00"/>
    <d v="2025-02-24T18:29:00"/>
    <n v="74.416666663018987"/>
    <s v="pre trip inspections"/>
    <n v="3.1472222222218988"/>
    <n v="3"/>
    <n v="-0.14722222222189885"/>
    <n v="75.533333333325572"/>
    <n v="36"/>
    <n v="39.533333333325572"/>
    <n v="3.9460370994948724"/>
    <m/>
    <m/>
    <m/>
    <m/>
    <m/>
  </r>
  <r>
    <d v="2025-02-23T00:00:00"/>
    <x v="1"/>
    <m/>
    <s v="Z82750"/>
    <s v="Manual"/>
    <x v="10"/>
    <s v="UBJ 421C"/>
    <s v="Kobusinge Steven-FPortal"/>
    <n v="156"/>
    <s v="Z82750"/>
    <s v="OM"/>
    <n v="304"/>
    <n v="306"/>
    <n v="2"/>
    <m/>
    <d v="2025-02-21T11:13:00"/>
    <d v="2025-02-21T01:59:00"/>
    <d v="2025-02-21T11:55:00"/>
    <n v="593.24074074514408"/>
    <n v="41.805555556250816"/>
    <x v="0"/>
    <d v="2025-02-22T08:49:00"/>
    <d v="2025-02-22T12:34:00"/>
    <n v="220.3125"/>
    <s v="found another truck to be offloaded"/>
    <d v="2025-02-22T17:58:00"/>
    <d v="2025-02-22T18:58:00"/>
    <n v="58.7499999965803"/>
    <m/>
    <n v="1.2520833333328483"/>
    <n v="2"/>
    <n v="0.74791666666715173"/>
    <n v="30.049999999988358"/>
    <n v="12"/>
    <n v="18.049999999988358"/>
    <n v="8.6426592797839668"/>
    <m/>
    <m/>
    <m/>
    <m/>
    <m/>
  </r>
  <r>
    <d v="2025-02-23T00:00:00"/>
    <x v="1"/>
    <m/>
    <s v="Z82752"/>
    <s v="Manual"/>
    <x v="44"/>
    <s v="UBE 684K"/>
    <s v="Kobusinge Steven-FPortal"/>
    <n v="156"/>
    <s v="Z82752"/>
    <s v="OM"/>
    <n v="304"/>
    <n v="306"/>
    <n v="2"/>
    <m/>
    <d v="2025-02-21T13:10:00"/>
    <d v="2025-02-21T04:19:00"/>
    <d v="2025-02-21T13:54:00"/>
    <n v="572.33796297223307"/>
    <n v="43.796296293051761"/>
    <x v="0"/>
    <d v="2025-02-22T15:19:00"/>
    <d v="2025-02-22T17:25:00"/>
    <n v="123.37500000205182"/>
    <m/>
    <d v="2025-02-23T12:38:00"/>
    <d v="2025-02-23T13:36:00"/>
    <n v="56.791666667122627"/>
    <m/>
    <n v="1.9472222222175333"/>
    <n v="2"/>
    <n v="5.2777777782466728E-2"/>
    <n v="46.733333333220799"/>
    <n v="12"/>
    <n v="34.733333333220799"/>
    <n v="4.4913627639300993"/>
    <m/>
    <m/>
    <m/>
    <m/>
    <m/>
  </r>
  <r>
    <d v="2025-02-23T00:00:00"/>
    <x v="1"/>
    <m/>
    <s v="F15952"/>
    <s v="Manual"/>
    <x v="27"/>
    <s v="UBM 648D"/>
    <s v="Boniface Harera"/>
    <n v="156"/>
    <s v="F15952"/>
    <s v="OM"/>
    <n v="448"/>
    <n v="450"/>
    <n v="2"/>
    <m/>
    <d v="2025-02-21T10:56:00"/>
    <d v="2025-02-21T03:43:00"/>
    <d v="2025-02-21T11:37:00"/>
    <n v="471.80555554999347"/>
    <n v="40.810185182635905"/>
    <x v="0"/>
    <d v="2025-02-21T19:02:00"/>
    <d v="2025-02-21T21:54:00"/>
    <n v="168.41666666165111"/>
    <m/>
    <d v="2025-02-22T19:27:00"/>
    <d v="2025-02-22T20:23:00"/>
    <n v="54.833333337664953"/>
    <m/>
    <n v="1.3263888888905058"/>
    <n v="2"/>
    <n v="0.67361111110949423"/>
    <n v="31.833333333372138"/>
    <n v="12"/>
    <n v="19.833333333372138"/>
    <n v="7.865546218472006"/>
    <m/>
    <m/>
    <m/>
    <m/>
    <m/>
  </r>
  <r>
    <d v="2025-02-23T00:00:00"/>
    <x v="1"/>
    <m/>
    <s v="OM0BXO6RR"/>
    <s v="DJ"/>
    <x v="20"/>
    <s v="UAY 265V"/>
    <s v="Jusime Enterprises "/>
    <n v="153.6"/>
    <s v="OM0BXO6RR"/>
    <s v="OM"/>
    <n v="560"/>
    <n v="558"/>
    <n v="-2"/>
    <m/>
    <d v="2025-02-21T09:23:00"/>
    <d v="2025-02-21T07:42:00"/>
    <d v="2025-02-21T10:03:00"/>
    <n v="140.3472222208317"/>
    <n v="39.814814819449872"/>
    <x v="0"/>
    <d v="2025-02-21T10:33:00"/>
    <d v="2025-02-21T13:02:00"/>
    <n v="145.89583333698101"/>
    <m/>
    <d v="2025-02-21T14:05:00"/>
    <d v="2025-02-21T15:05:00"/>
    <n v="58.7499999965803"/>
    <m/>
    <n v="0.1680555555576575"/>
    <n v="3"/>
    <n v="2.8319444444423425"/>
    <n v="4.03333333338378"/>
    <n v="0"/>
    <n v="4.03333333338378"/>
    <n v="38.082644627622855"/>
    <m/>
    <m/>
    <m/>
    <m/>
    <m/>
  </r>
  <r>
    <d v="2025-02-23T00:00:00"/>
    <x v="1"/>
    <m/>
    <s v="OM0QHSLRR"/>
    <s v="DJ"/>
    <x v="7"/>
    <s v="UAY 526V"/>
    <s v="Ssempa Investments Limited"/>
    <n v="153.6"/>
    <s v="OM0QHSLRR"/>
    <s v="OM"/>
    <n v="560"/>
    <n v="558"/>
    <n v="-2"/>
    <m/>
    <d v="2025-02-21T12:12:00"/>
    <d v="2025-02-20T16:40:00"/>
    <d v="2025-02-21T12:54:00"/>
    <n v="1208.3796296263852"/>
    <n v="41.805555556250816"/>
    <x v="0"/>
    <d v="2025-02-21T15:53:00"/>
    <d v="2025-02-21T18:41:00"/>
    <n v="164.50000000273576"/>
    <m/>
    <d v="2025-02-23T15:52:00"/>
    <d v="2025-02-23T16:49:00"/>
    <n v="55.81249999726424"/>
    <m/>
    <n v="2.1236111111138598"/>
    <n v="3"/>
    <n v="0.87638888888614019"/>
    <n v="50.966666666732635"/>
    <n v="24"/>
    <n v="26.966666666732635"/>
    <n v="5.6959208899737046"/>
    <m/>
    <m/>
    <m/>
    <m/>
    <m/>
  </r>
  <r>
    <d v="2025-02-23T00:00:00"/>
    <x v="1"/>
    <m/>
    <s v="OM2FUCTRR"/>
    <s v="DJ"/>
    <x v="2"/>
    <s v="UBE 287X"/>
    <s v="KATO INVESTMENTS LTD- KALISIZO "/>
    <n v="153.6"/>
    <s v="OM2FUCTRR"/>
    <s v="OM"/>
    <n v="350"/>
    <n v="351"/>
    <n v="1"/>
    <m/>
    <d v="2025-02-21T21:39:00"/>
    <d v="2025-02-21T02:22:00"/>
    <d v="2025-02-21T22:22:00"/>
    <n v="1194.4444444374919"/>
    <n v="42.80092592986572"/>
    <x v="0"/>
    <d v="2025-02-21T10:52:00"/>
    <d v="2025-02-21T19:06:00"/>
    <n v="483.70833333014161"/>
    <s v="found another truck at the RD"/>
    <d v="2025-02-22T11:42:00"/>
    <d v="2025-02-22T12:39:00"/>
    <n v="55.81249999726424"/>
    <m/>
    <n v="0.55555555556202307"/>
    <n v="2"/>
    <n v="1.4444444444379769"/>
    <n v="13.333333333488554"/>
    <n v="0"/>
    <n v="13.333333333488554"/>
    <n v="11.51999999986589"/>
    <m/>
    <m/>
    <m/>
    <m/>
    <m/>
  </r>
  <r>
    <d v="2025-02-23T00:00:00"/>
    <x v="1"/>
    <m/>
    <s v="OMF0NLXRR"/>
    <s v="DJ"/>
    <x v="5"/>
    <s v="UBE 419T"/>
    <s v="Kabaco U Ltd-Mbarara "/>
    <n v="153.6"/>
    <s v="OMF0NLXRR"/>
    <s v="OM"/>
    <n v="20"/>
    <n v="21"/>
    <n v="1"/>
    <m/>
    <d v="2025-02-25T11:29:00"/>
    <d v="2025-02-25T11:49:00"/>
    <d v="2025-02-25T12:12:00"/>
    <n v="22.893518520140788"/>
    <n v="42.80092592986572"/>
    <x v="0"/>
    <d v="2025-02-23T14:31:00"/>
    <d v="2025-02-23T17:04:00"/>
    <n v="149.81249999589636"/>
    <m/>
    <d v="2025-02-26T10:36:00"/>
    <d v="2025-02-26T11:31:00"/>
    <n v="53.854166667806567"/>
    <m/>
    <n v="0.93333333333430346"/>
    <n v="3"/>
    <n v="2.0666666666656965"/>
    <n v="22.400000000023283"/>
    <n v="0"/>
    <n v="22.400000000023283"/>
    <n v="6.8571428571357291"/>
    <m/>
    <m/>
    <m/>
    <m/>
    <m/>
  </r>
  <r>
    <d v="2025-02-23T00:00:00"/>
    <x v="1"/>
    <m/>
    <s v="OME6941RR"/>
    <s v="DJ"/>
    <x v="4"/>
    <s v="UBE 422T"/>
    <s v="KATO INVESTMENTS LIMITED-MASAK"/>
    <n v="153.6"/>
    <s v="OME6941RR"/>
    <s v="OM"/>
    <n v="298"/>
    <n v="296"/>
    <n v="-2"/>
    <m/>
    <d v="2025-02-24T13:28:00"/>
    <d v="2025-02-24T13:55:00"/>
    <d v="2025-02-24T14:12:00"/>
    <n v="16.921296299309081"/>
    <n v="43.796296293051761"/>
    <x v="0"/>
    <d v="2025-02-22T07:10:00"/>
    <d v="2025-02-22T16:18:00"/>
    <n v="536.58333333834889"/>
    <s v="Waited for empties from trade"/>
    <d v="2025-02-25T15:25:00"/>
    <d v="2025-02-25T16:25:00"/>
    <n v="58.7499999965803"/>
    <m/>
    <n v="1.0506944444423425"/>
    <n v="2"/>
    <n v="0.9493055555576575"/>
    <n v="25.21666666661622"/>
    <n v="12"/>
    <n v="13.21666666661622"/>
    <n v="11.62168978566857"/>
    <m/>
    <m/>
    <m/>
    <m/>
    <m/>
  </r>
  <r>
    <d v="2025-02-23T00:00:00"/>
    <x v="1"/>
    <m/>
    <s v="OMR1XSFRR"/>
    <s v="DJ"/>
    <x v="0"/>
    <s v="UBJ 417C"/>
    <s v="Kachain Logistics Ltd "/>
    <n v="153.6"/>
    <s v="OMR1XSFRR"/>
    <s v="OM"/>
    <n v="560"/>
    <n v="562"/>
    <n v="2"/>
    <m/>
    <d v="2025-02-23T07:09:00"/>
    <d v="2025-02-23T07:23:00"/>
    <d v="2025-02-23T07:51:00"/>
    <n v="27.870370367357584"/>
    <n v="41.805555556250816"/>
    <x v="0"/>
    <d v="2025-02-23T19:10:00"/>
    <d v="2025-02-24T11:33:00"/>
    <n v="962.52083333150949"/>
    <s v="Reached late and offloaded the next day"/>
    <d v="2025-02-23T12:39:00"/>
    <d v="2025-02-23T13:55:00"/>
    <n v="74.416666663018987"/>
    <s v="sorting delays"/>
    <n v="0.20000000000436557"/>
    <n v="3"/>
    <n v="2.7999999999956344"/>
    <n v="4.8000000001047738"/>
    <n v="0"/>
    <n v="4.8000000001047738"/>
    <n v="31.999999999301508"/>
    <m/>
    <m/>
    <m/>
    <m/>
    <m/>
  </r>
  <r>
    <d v="2025-02-24T00:00:00"/>
    <x v="1"/>
    <m/>
    <s v="A20952"/>
    <s v="Manual"/>
    <x v="10"/>
    <s v="UBE 692K"/>
    <s v="KATO INVESTMENTS LTD-KATIKARA"/>
    <n v="156"/>
    <s v="A20952"/>
    <s v="OM"/>
    <n v="790"/>
    <n v="792"/>
    <n v="2"/>
    <m/>
    <d v="2025-02-22T15:01:00"/>
    <d v="2025-02-22T15:22:00"/>
    <d v="2025-02-22T15:43:00"/>
    <n v="20.902777772910969"/>
    <n v="41.805555556250816"/>
    <x v="0"/>
    <d v="2025-02-22T10:43:00"/>
    <d v="2025-02-22T16:03:00"/>
    <n v="313.33333332877373"/>
    <s v="Waited for empties from trade"/>
    <d v="2025-02-23T12:39:00"/>
    <d v="2025-02-23T13:30:00"/>
    <n v="49.93749999863212"/>
    <m/>
    <n v="0.87222222222044365"/>
    <n v="3"/>
    <n v="2.1277777777795563"/>
    <n v="20.933333333290648"/>
    <n v="0"/>
    <n v="20.933333333290648"/>
    <n v="7.4522292993782537"/>
    <m/>
    <m/>
    <m/>
    <m/>
    <m/>
  </r>
  <r>
    <d v="2025-02-24T00:00:00"/>
    <x v="1"/>
    <m/>
    <s v="Z82777"/>
    <s v="Manual"/>
    <x v="10"/>
    <s v="UBG 084B"/>
    <s v="Kobusinge Steven-FPortal"/>
    <n v="156"/>
    <s v="Z82777"/>
    <s v="OM"/>
    <n v="304"/>
    <n v="302"/>
    <n v="-2"/>
    <m/>
    <d v="2025-02-22T10:48:00"/>
    <d v="2025-02-22T11:20:00"/>
    <d v="2025-02-22T11:32:00"/>
    <n v="11.944444441663412"/>
    <n v="43.796296293051761"/>
    <x v="0"/>
    <d v="2025-02-22T12:45:00"/>
    <d v="2025-02-22T19:32:00"/>
    <n v="398.52083332945767"/>
    <s v="space consquents"/>
    <d v="2025-02-23T20:33:00"/>
    <d v="2025-02-23T21:27:00"/>
    <n v="52.87499999794818"/>
    <m/>
    <n v="1.3756944444394321"/>
    <n v="2"/>
    <n v="0.62430555556056788"/>
    <n v="33.016666666546371"/>
    <n v="12"/>
    <n v="21.016666666546371"/>
    <n v="7.4226804124136203"/>
    <m/>
    <m/>
    <m/>
    <m/>
    <m/>
  </r>
  <r>
    <d v="2025-02-24T00:00:00"/>
    <x v="1"/>
    <m/>
    <s v="A20961"/>
    <s v="Manual"/>
    <x v="38"/>
    <s v="UBK 862R"/>
    <s v="Kato Investment Ltd -Mityana"/>
    <n v="156"/>
    <s v="A20961"/>
    <s v="OM"/>
    <n v="690"/>
    <n v="689"/>
    <n v="-1"/>
    <m/>
    <d v="2025-02-22T11:02:00"/>
    <d v="2025-02-22T11:42:00"/>
    <d v="2025-02-22T11:46:00"/>
    <n v="3.9814814840307613"/>
    <n v="43.796296293051761"/>
    <x v="0"/>
    <d v="2025-02-22T16:22:00"/>
    <d v="2025-02-22T21:16:00"/>
    <n v="287.87500000478758"/>
    <s v="Reached late and offloaded the next day"/>
    <d v="2025-02-25T14:33:00"/>
    <d v="2025-02-25T15:24:00"/>
    <n v="49.93749999863212"/>
    <m/>
    <n v="3.1159722222218988"/>
    <n v="2"/>
    <n v="-1.1159722222218988"/>
    <n v="74.783333333325572"/>
    <n v="36"/>
    <n v="38.783333333325572"/>
    <n v="4.0223463687158887"/>
    <m/>
    <m/>
    <m/>
    <m/>
    <m/>
  </r>
  <r>
    <d v="2025-02-24T00:00:00"/>
    <x v="1"/>
    <m/>
    <s v="A20960"/>
    <s v="Manual"/>
    <x v="36"/>
    <s v="UBE 680K"/>
    <s v="Kato Investment Ltd -Mubende"/>
    <n v="156"/>
    <s v="A20960"/>
    <s v="OM"/>
    <n v="680"/>
    <n v="682"/>
    <n v="2"/>
    <m/>
    <d v="2025-02-22T12:39:00"/>
    <d v="2025-02-22T12:27:00"/>
    <d v="2025-02-22T13:22:00"/>
    <n v="54.745370371529134"/>
    <n v="42.80092592986572"/>
    <x v="0"/>
    <d v="2025-02-22T17:49:00"/>
    <d v="2025-02-23T10:09:00"/>
    <n v="959.58333334245253"/>
    <s v="truck faulty"/>
    <d v="2025-02-25T14:33:00"/>
    <d v="2025-02-25T15:30:00"/>
    <n v="55.81249999726424"/>
    <m/>
    <n v="3.0493055555562023"/>
    <n v="2"/>
    <n v="-1.0493055555562023"/>
    <n v="73.183333333348855"/>
    <n v="36"/>
    <n v="37.183333333348855"/>
    <n v="4.1954280591645414"/>
    <m/>
    <m/>
    <m/>
    <m/>
    <m/>
  </r>
  <r>
    <d v="2025-02-24T00:00:00"/>
    <x v="1"/>
    <m/>
    <s v="A20962"/>
    <s v="Manual"/>
    <x v="51"/>
    <s v="UBR 536W"/>
    <s v="Kato Investments Ltd- Kakumiro"/>
    <n v="156"/>
    <s v="A20962"/>
    <s v="OM"/>
    <n v="790"/>
    <n v="792"/>
    <n v="2"/>
    <m/>
    <d v="2025-02-23T10:12:00"/>
    <d v="2025-02-23T10:35:00"/>
    <d v="2025-02-23T10:56:00"/>
    <n v="20.902777772910969"/>
    <n v="43.796296293051761"/>
    <x v="0"/>
    <d v="2025-02-21T16:41:00"/>
    <d v="2025-02-21T19:35:00"/>
    <n v="170.37500000136788"/>
    <m/>
    <d v="2025-02-23T13:13:00"/>
    <d v="2025-02-23T14:05:00"/>
    <n v="50.916666668490507"/>
    <m/>
    <n v="9.5138888886140194E-2"/>
    <n v="2"/>
    <n v="1.9048611111138598"/>
    <n v="2.2833333332673647"/>
    <n v="0"/>
    <n v="2.2833333332673647"/>
    <n v="68.321167885185574"/>
    <m/>
    <m/>
    <m/>
    <m/>
    <m/>
  </r>
  <r>
    <d v="2025-02-24T00:00:00"/>
    <x v="1"/>
    <m/>
    <s v="Z82783"/>
    <s v="Manual"/>
    <x v="47"/>
    <s v="UBR 538W"/>
    <s v="Kobusinge Steven-FPortal"/>
    <n v="156"/>
    <s v="Z82783"/>
    <s v="OM"/>
    <n v="304"/>
    <n v="306"/>
    <n v="2"/>
    <m/>
    <d v="2025-02-22T11:16:00"/>
    <d v="2025-02-22T11:38:00"/>
    <d v="2025-02-22T11:59:00"/>
    <n v="20.902777772910969"/>
    <n v="42.80092592986572"/>
    <x v="0"/>
    <d v="2025-02-24T11:48:00"/>
    <d v="2025-02-24T18:26:00"/>
    <n v="389.70833333150949"/>
    <s v="found another truck to be offloaded"/>
    <d v="2025-02-24T10:16:00"/>
    <d v="2025-02-24T11:13:00"/>
    <n v="55.81249999726424"/>
    <m/>
    <n v="1.9284722222218988"/>
    <n v="2"/>
    <n v="7.1527777778101154E-2"/>
    <n v="46.283333333325572"/>
    <n v="12"/>
    <n v="34.283333333325572"/>
    <n v="4.5503159941672919"/>
    <m/>
    <m/>
    <m/>
    <m/>
    <m/>
  </r>
  <r>
    <d v="2025-02-24T00:00:00"/>
    <x v="1"/>
    <m/>
    <s v="A20954"/>
    <s v="Manual"/>
    <x v="10"/>
    <s v="UBR 537W"/>
    <s v="Ntale and Sons Ltd-Kakiri"/>
    <n v="156"/>
    <s v="A20954"/>
    <s v="OM"/>
    <n v="620"/>
    <n v="619"/>
    <n v="-1"/>
    <m/>
    <d v="2025-02-22T14:45:00"/>
    <d v="2025-02-22T15:12:00"/>
    <d v="2025-02-22T15:29:00"/>
    <n v="16.921296299309081"/>
    <n v="43.796296293051761"/>
    <x v="0"/>
    <d v="2025-02-23T10:08:00"/>
    <d v="2025-02-23T11:56:00"/>
    <n v="105.74999999589636"/>
    <m/>
    <d v="2025-02-24T12:36:00"/>
    <d v="2025-02-24T13:32:00"/>
    <n v="54.833333337664953"/>
    <m/>
    <n v="1.8798611111124046"/>
    <n v="2"/>
    <n v="0.12013888888759539"/>
    <n v="45.116666666697711"/>
    <n v="12"/>
    <n v="33.116666666697711"/>
    <n v="4.7106190236493335"/>
    <m/>
    <m/>
    <m/>
    <m/>
    <m/>
  </r>
  <r>
    <d v="2025-02-24T00:00:00"/>
    <x v="1"/>
    <m/>
    <s v="A20955"/>
    <s v="Manual"/>
    <x v="42"/>
    <s v="UBK 858R"/>
    <s v="Kato Investment Ltd -Kagadi"/>
    <n v="156"/>
    <s v="A20955"/>
    <s v="OM"/>
    <n v="670"/>
    <n v="671"/>
    <n v="1"/>
    <m/>
    <d v="2025-02-22T18:18:00"/>
    <d v="2025-02-22T18:58:00"/>
    <d v="2025-02-22T19:02:00"/>
    <n v="3.9814814840307613"/>
    <n v="43.796296293051761"/>
    <x v="0"/>
    <d v="2025-02-22T16:44:00"/>
    <d v="2025-02-22T18:53:00"/>
    <n v="126.31250000136788"/>
    <m/>
    <d v="2025-02-24T12:36:00"/>
    <d v="2025-02-24T13:36:00"/>
    <n v="58.7499999965803"/>
    <m/>
    <n v="1.7319444444437977"/>
    <n v="2"/>
    <n v="0.26805555555620231"/>
    <n v="41.566666666651145"/>
    <n v="12"/>
    <n v="29.566666666651145"/>
    <n v="5.2762119503973581"/>
    <m/>
    <m/>
    <m/>
    <m/>
    <m/>
  </r>
  <r>
    <d v="2025-02-24T00:00:00"/>
    <x v="1"/>
    <m/>
    <s v="F15959"/>
    <s v="Manual"/>
    <x v="34"/>
    <s v="UBP 301H"/>
    <s v="Boniface Harera"/>
    <n v="156"/>
    <s v="F15959"/>
    <s v="OM"/>
    <n v="448"/>
    <n v="450"/>
    <n v="2"/>
    <m/>
    <d v="2025-02-23T08:16:00"/>
    <d v="2025-02-23T08:37:00"/>
    <d v="2025-02-23T09:00:00"/>
    <n v="22.893518520140788"/>
    <n v="43.796296293051761"/>
    <x v="0"/>
    <d v="2025-02-22T12:55:00"/>
    <d v="2025-02-22T14:45:00"/>
    <n v="107.70833333561313"/>
    <m/>
    <d v="2025-02-24T09:47:00"/>
    <d v="2025-02-24T10:38:00"/>
    <n v="49.93749999863212"/>
    <m/>
    <n v="1.0326388888861402"/>
    <n v="2"/>
    <n v="0.96736111111385981"/>
    <n v="24.783333333267365"/>
    <n v="12"/>
    <n v="12.783333333267365"/>
    <n v="12.203389830571451"/>
    <m/>
    <m/>
    <m/>
    <m/>
    <m/>
  </r>
  <r>
    <d v="2025-02-24T00:00:00"/>
    <x v="1"/>
    <m/>
    <s v="OM75QECRR"/>
    <s v="DJ"/>
    <x v="50"/>
    <s v="UAR 731Q"/>
    <s v="KATO INVESTMENTS LIMITED-MASAK"/>
    <n v="153.6"/>
    <s v="OM75QECRR"/>
    <s v="OM"/>
    <n v="298"/>
    <n v="295"/>
    <n v="-3"/>
    <m/>
    <d v="2025-02-22T17:24:00"/>
    <d v="2025-02-22T17:55:00"/>
    <d v="2025-02-22T18:07:00"/>
    <n v="11.944444441663412"/>
    <n v="42.80092592986572"/>
    <x v="0"/>
    <d v="2025-02-21T22:13:00"/>
    <d v="2025-02-22T10:49:00"/>
    <n v="740.25000000205182"/>
    <s v="slept at the RD and offloaded the next day"/>
    <d v="2025-02-23T09:47:00"/>
    <d v="2025-02-23T10:45:00"/>
    <n v="56.791666667122627"/>
    <m/>
    <n v="0.65277777777373558"/>
    <n v="2"/>
    <n v="1.3472222222262644"/>
    <n v="15.666666666569654"/>
    <n v="0"/>
    <n v="15.666666666569654"/>
    <n v="9.8042553192096467"/>
    <m/>
    <m/>
    <m/>
    <m/>
    <m/>
  </r>
  <r>
    <d v="2025-02-24T00:00:00"/>
    <x v="1"/>
    <m/>
    <s v="OM8QHT4RR"/>
    <s v="DJ"/>
    <x v="17"/>
    <s v="UBA 523T"/>
    <s v="Kabaco U Ltd-Mbarara "/>
    <n v="153.6"/>
    <s v="OM8QHT4RR"/>
    <s v="OM"/>
    <n v="20"/>
    <n v="22"/>
    <n v="2"/>
    <m/>
    <d v="2025-02-22T16:58:00"/>
    <d v="2025-02-22T17:05:00"/>
    <d v="2025-02-22T17:39:00"/>
    <n v="33.842592588189291"/>
    <n v="40.810185182635905"/>
    <x v="0"/>
    <d v="2025-02-22T07:19:00"/>
    <d v="2025-02-22T13:10:00"/>
    <n v="343.68750000205182"/>
    <s v="found another truck at the RD"/>
    <d v="2025-02-23T16:25:00"/>
    <d v="2025-02-23T17:16:00"/>
    <n v="49.93749999863212"/>
    <m/>
    <n v="0.94861111111094942"/>
    <n v="2"/>
    <n v="1.0513888888890506"/>
    <n v="22.766666666662786"/>
    <n v="0"/>
    <n v="22.766666666662786"/>
    <n v="6.7467057101036385"/>
    <m/>
    <m/>
    <m/>
    <m/>
    <m/>
  </r>
  <r>
    <d v="2025-02-24T00:00:00"/>
    <x v="1"/>
    <m/>
    <s v="OMBYM1LRR"/>
    <s v="DJ"/>
    <x v="12"/>
    <s v="UBJ 415C"/>
    <s v="Kachain Logistics Ltd "/>
    <n v="153.6"/>
    <s v="OMBYM1LRR"/>
    <s v="OM"/>
    <n v="560"/>
    <n v="561"/>
    <n v="1"/>
    <m/>
    <d v="2025-02-22T22:56:00"/>
    <d v="2025-02-22T23:16:00"/>
    <d v="2025-02-22T23:40:00"/>
    <n v="23.888888893755695"/>
    <n v="43.796296293051761"/>
    <x v="0"/>
    <d v="2025-02-21T22:27:00"/>
    <d v="2025-02-22T12:48:00"/>
    <n v="843.06249999863212"/>
    <s v="found another truck at the RD and offloaded the next day"/>
    <d v="2025-02-23T14:57:00"/>
    <d v="2025-02-23T15:52:00"/>
    <n v="53.854166667806567"/>
    <m/>
    <n v="0.6368055555576575"/>
    <n v="3"/>
    <n v="2.3631944444423425"/>
    <n v="15.28333333338378"/>
    <n v="0"/>
    <n v="15.28333333338378"/>
    <n v="10.050163576847961"/>
    <m/>
    <m/>
    <m/>
    <m/>
    <m/>
  </r>
  <r>
    <d v="2025-02-24T00:00:00"/>
    <x v="1"/>
    <m/>
    <s v="OMOB9FFRR"/>
    <s v="DJ"/>
    <x v="0"/>
    <s v="UBJ 417C"/>
    <s v="Kobusinge Acaali- Kyenjojo"/>
    <n v="156"/>
    <s v="OMOB9FFRR"/>
    <s v="OM"/>
    <n v="580"/>
    <n v="582"/>
    <n v="2"/>
    <m/>
    <d v="2025-02-22T18:52:00"/>
    <d v="2025-02-22T02:22:00"/>
    <d v="2025-02-22T19:36:00"/>
    <n v="1029.2129629597184"/>
    <n v="43.796296293051761"/>
    <x v="0"/>
    <d v="2025-02-21T22:27:00"/>
    <d v="2025-02-22T12:48:00"/>
    <n v="843.06249999863212"/>
    <s v="Waited for empties from trade"/>
    <d v="2025-02-23T14:57:00"/>
    <d v="2025-02-23T15:53:00"/>
    <n v="54.833333337664953"/>
    <m/>
    <n v="0.80625000000145519"/>
    <n v="2"/>
    <n v="1.1937499999985448"/>
    <n v="19.350000000034925"/>
    <n v="0"/>
    <n v="19.350000000034925"/>
    <n v="8.0620155038614172"/>
    <m/>
    <m/>
    <m/>
    <m/>
    <m/>
  </r>
  <r>
    <d v="2025-02-24T00:00:00"/>
    <x v="1"/>
    <m/>
    <s v="OMSXD6GRR"/>
    <s v="DJ"/>
    <x v="24"/>
    <s v="UBP 298H"/>
    <s v="Boniface Harera"/>
    <n v="156"/>
    <s v="OMSXD6GRR"/>
    <s v="OM"/>
    <n v="448"/>
    <n v="450"/>
    <n v="2"/>
    <m/>
    <d v="2025-02-22T09:31:00"/>
    <d v="2025-02-21T19:36:00"/>
    <d v="2025-02-22T10:14:00"/>
    <n v="873.93518518680742"/>
    <n v="42.80092592986572"/>
    <x v="0"/>
    <d v="2025-02-22T07:19:00"/>
    <d v="2025-02-22T13:10:00"/>
    <n v="343.68750000205182"/>
    <s v="found another truck at the RD"/>
    <d v="2025-02-22T16:25:00"/>
    <d v="2025-02-22T17:25:00"/>
    <n v="58.7499999965803"/>
    <m/>
    <n v="0.25763888889196096"/>
    <n v="2"/>
    <n v="1.742361111108039"/>
    <n v="6.183333333407063"/>
    <n v="0"/>
    <n v="6.183333333407063"/>
    <n v="25.229110511828548"/>
    <m/>
    <m/>
    <m/>
    <m/>
    <m/>
  </r>
  <r>
    <d v="2025-02-24T00:00:00"/>
    <x v="1"/>
    <m/>
    <s v="OM9KEAKRR"/>
    <s v="DJ"/>
    <x v="3"/>
    <s v="UBK 881R"/>
    <s v="Ntale and Sons"/>
    <n v="153.6"/>
    <s v="OM9KEAKRR"/>
    <s v="OM"/>
    <n v="810"/>
    <n v="809"/>
    <n v="-1"/>
    <m/>
    <d v="2025-02-23T08:11:00"/>
    <d v="2025-02-23T07:23:00"/>
    <d v="2025-02-23T08:52:00"/>
    <n v="88.587962959718425"/>
    <n v="40.810185182635905"/>
    <x v="0"/>
    <d v="2025-02-22T12:01:00"/>
    <d v="2025-02-22T13:31:00"/>
    <n v="88.125"/>
    <m/>
    <d v="2025-02-25T09:35:00"/>
    <d v="2025-02-25T10:35:00"/>
    <n v="58.7499999965803"/>
    <m/>
    <n v="2.0298611111138598"/>
    <n v="2"/>
    <n v="-2.9861111113859806E-2"/>
    <n v="48.716666666732635"/>
    <n v="24"/>
    <n v="24.716666666732635"/>
    <n v="6.2144302090191514"/>
    <m/>
    <m/>
    <m/>
    <m/>
    <m/>
  </r>
  <r>
    <d v="2025-02-24T00:00:00"/>
    <x v="1"/>
    <m/>
    <s v="OM8PJX9RR"/>
    <s v="DJ"/>
    <x v="50"/>
    <s v="UAR 731Q"/>
    <s v="KATO INVESTMENTS LIMITED-MASAK"/>
    <n v="153.6"/>
    <s v="OM8PJX9RR"/>
    <s v="OM"/>
    <n v="298"/>
    <n v="148"/>
    <n v="-150"/>
    <s v="Delievered to Lyantonde"/>
    <d v="2025-02-23T07:39:00"/>
    <d v="2025-02-23T08:06:00"/>
    <d v="2025-02-23T08:23:00"/>
    <n v="16.921296299309081"/>
    <n v="43.796296293051761"/>
    <x v="0"/>
    <d v="2025-02-25T08:21:00"/>
    <d v="2025-02-25T12:56:00"/>
    <n v="269.27083333903283"/>
    <s v="truck faulty"/>
    <d v="2025-02-25T15:14:00"/>
    <d v="2025-02-25T16:43:00"/>
    <n v="87.145833330141613"/>
    <s v="fueling delays"/>
    <n v="2.2854166666656965"/>
    <n v="2"/>
    <n v="-0.28541666666569654"/>
    <n v="54.849999999976717"/>
    <n v="24"/>
    <n v="30.849999999976717"/>
    <n v="4.9789303079454106"/>
    <m/>
    <m/>
    <m/>
    <m/>
    <m/>
  </r>
  <r>
    <d v="2025-02-25T00:00:00"/>
    <x v="1"/>
    <m/>
    <s v="A20983"/>
    <s v="Manual"/>
    <x v="45"/>
    <s v="UBP 310H"/>
    <s v="Sawan Distributors Ltd-Nabingo"/>
    <n v="156"/>
    <s v="A20983"/>
    <s v="OM"/>
    <n v="560"/>
    <n v="562"/>
    <n v="2"/>
    <m/>
    <d v="2025-02-26T07:20:00"/>
    <d v="2025-02-26T07:45:00"/>
    <d v="2025-02-26T08:04:00"/>
    <n v="18.912037036110025"/>
    <n v="43.796296293051761"/>
    <x v="0"/>
    <d v="2025-02-24T08:36:00"/>
    <d v="2025-02-24T10:57:00"/>
    <n v="138.06250000889122"/>
    <m/>
    <d v="2025-02-27T15:14:00"/>
    <d v="2025-02-27T16:11:00"/>
    <n v="55.81249999726424"/>
    <m/>
    <n v="1.2986111111167702"/>
    <n v="2"/>
    <n v="0.70138888888322981"/>
    <n v="31.166666666802485"/>
    <n v="12"/>
    <n v="19.166666666802485"/>
    <n v="8.1391304347249331"/>
    <m/>
    <m/>
    <m/>
    <m/>
    <m/>
  </r>
  <r>
    <d v="2025-02-25T00:00:00"/>
    <x v="1"/>
    <m/>
    <s v="A20985"/>
    <s v="Manual"/>
    <x v="39"/>
    <s v="UBJ 705D"/>
    <s v="Kato Investments Ltd-Bulenga"/>
    <n v="156"/>
    <s v="A20985"/>
    <s v="OM"/>
    <n v="560"/>
    <n v="558"/>
    <n v="-2"/>
    <m/>
    <d v="2025-02-24T07:02:00"/>
    <d v="2025-02-24T06:24:00"/>
    <d v="2025-02-24T07:44:00"/>
    <n v="79.629629628470866"/>
    <n v="41.805555556250816"/>
    <x v="0"/>
    <d v="2025-02-24T10:31:00"/>
    <d v="2025-02-24T13:10:00"/>
    <n v="155.68749999452848"/>
    <m/>
    <d v="2025-02-25T16:42:00"/>
    <d v="2025-02-25T17:36:00"/>
    <n v="52.87499999794818"/>
    <m/>
    <n v="1.3736111111065838"/>
    <n v="3"/>
    <n v="1.6263888888934162"/>
    <n v="32.966666666558012"/>
    <n v="12"/>
    <n v="20.966666666558012"/>
    <n v="7.440381558067175"/>
    <m/>
    <m/>
    <m/>
    <m/>
    <m/>
  </r>
  <r>
    <d v="2025-02-25T00:00:00"/>
    <x v="1"/>
    <m/>
    <s v="Z82786"/>
    <s v="Manual"/>
    <x v="10"/>
    <s v="UBP 294H"/>
    <s v="Rugoma Traders-Rukungiri"/>
    <n v="156"/>
    <s v="Z82786"/>
    <s v="OM"/>
    <n v="256"/>
    <n v="255"/>
    <n v="-1"/>
    <m/>
    <d v="2025-02-23T20:49:00"/>
    <d v="2025-02-23T21:02:00"/>
    <d v="2025-02-23T21:30:00"/>
    <n v="27.870370367357584"/>
    <n v="40.810185182635905"/>
    <x v="0"/>
    <d v="2025-02-25T10:34:00"/>
    <d v="2025-02-25T12:18:00"/>
    <n v="101.83333332672191"/>
    <m/>
    <d v="2025-02-25T16:42:00"/>
    <d v="2025-02-25T17:58:00"/>
    <n v="74.416666663018987"/>
    <s v="fueling delays"/>
    <n v="1.7999999999956344"/>
    <n v="2"/>
    <n v="0.20000000000436557"/>
    <n v="43.199999999895226"/>
    <n v="12"/>
    <n v="31.199999999895226"/>
    <n v="5.000000000016791"/>
    <m/>
    <m/>
    <m/>
    <m/>
    <m/>
  </r>
  <r>
    <d v="2025-02-25T00:00:00"/>
    <x v="1"/>
    <m/>
    <s v="A20972"/>
    <s v="Manual"/>
    <x v="10"/>
    <s v="UBJ 423C"/>
    <s v="Kato Investments Ltd-Bulenga"/>
    <n v="156"/>
    <s v="A20972"/>
    <s v="OM"/>
    <n v="560"/>
    <n v="558"/>
    <n v="-2"/>
    <m/>
    <d v="2025-02-23T14:22:00"/>
    <d v="2025-02-23T14:42:00"/>
    <d v="2025-02-23T15:05:00"/>
    <n v="22.893518520140788"/>
    <n v="42.80092592986572"/>
    <x v="0"/>
    <d v="2025-02-25T11:59:00"/>
    <d v="2025-02-25T18:24:00"/>
    <n v="376.97916667464597"/>
    <s v="Waited for empties from trade"/>
    <d v="2025-02-27T09:03:00"/>
    <d v="2025-02-27T09:57:00"/>
    <n v="52.87499999794818"/>
    <m/>
    <n v="3.7486111111138598"/>
    <n v="3"/>
    <n v="-0.74861111111385981"/>
    <n v="89.966666666732635"/>
    <n v="36"/>
    <n v="53.966666666732635"/>
    <n v="2.8906732550922047"/>
    <m/>
    <m/>
    <m/>
    <m/>
    <m/>
  </r>
  <r>
    <d v="2025-02-25T00:00:00"/>
    <x v="1"/>
    <m/>
    <s v="Z82789"/>
    <s v="Manual"/>
    <x v="10"/>
    <s v="UBR 533W"/>
    <s v="Kobusinge Steven-Kamwenge"/>
    <n v="156"/>
    <s v="Z82789"/>
    <s v="OM"/>
    <n v="288"/>
    <n v="290"/>
    <n v="2"/>
    <m/>
    <d v="2025-02-23T13:48:00"/>
    <d v="2025-02-23T14:13:00"/>
    <d v="2025-02-23T14:30:00"/>
    <n v="16.921296299309081"/>
    <n v="41.805555556250816"/>
    <x v="0"/>
    <d v="2025-02-24T11:33:00"/>
    <d v="2025-02-24T13:37:00"/>
    <n v="121.41666667259415"/>
    <m/>
    <d v="2025-02-27T09:03:00"/>
    <d v="2025-02-27T10:03:00"/>
    <n v="58.7499999965803"/>
    <m/>
    <n v="3.7729166666686069"/>
    <n v="2"/>
    <n v="-1.7729166666686069"/>
    <n v="90.550000000046566"/>
    <n v="36"/>
    <n v="54.550000000046566"/>
    <n v="2.8597616865236817"/>
    <m/>
    <m/>
    <m/>
    <m/>
    <m/>
  </r>
  <r>
    <d v="2025-02-25T00:00:00"/>
    <x v="1"/>
    <m/>
    <s v="Z82787"/>
    <s v="Manual"/>
    <x v="10"/>
    <s v="UBR 868Y"/>
    <s v="Bates Enterprises Ltd-Ntoroko"/>
    <n v="156"/>
    <s v="Z82787"/>
    <s v="OM"/>
    <n v="464"/>
    <n v="465"/>
    <n v="1"/>
    <m/>
    <d v="2025-02-23T18:49:00"/>
    <d v="2025-02-23T18:16:00"/>
    <d v="2025-02-23T19:33:00"/>
    <n v="76.643518518055018"/>
    <n v="43.796296293051761"/>
    <x v="0"/>
    <d v="2025-02-26T13:19:00"/>
    <d v="2025-02-26T15:24:00"/>
    <n v="122.39583334245253"/>
    <m/>
    <d v="2025-02-27T14:32:00"/>
    <d v="2025-02-27T15:26:00"/>
    <n v="52.87499999794818"/>
    <m/>
    <n v="3.7909722222248092"/>
    <n v="2"/>
    <n v="-1.7909722222248092"/>
    <n v="90.983333333395422"/>
    <n v="36"/>
    <n v="54.983333333395422"/>
    <n v="2.8372234010274116"/>
    <m/>
    <m/>
    <m/>
    <m/>
    <m/>
  </r>
  <r>
    <d v="2025-02-25T00:00:00"/>
    <x v="1"/>
    <m/>
    <s v="Z82791"/>
    <s v="Manual"/>
    <x v="10"/>
    <s v="UBR 535W"/>
    <s v="Rugoma Traders-Rukungiri"/>
    <n v="156"/>
    <s v="Z82791"/>
    <s v="OM"/>
    <n v="256"/>
    <n v="258"/>
    <n v="2"/>
    <m/>
    <d v="2025-02-23T13:21:00"/>
    <d v="2025-02-23T13:22:00"/>
    <d v="2025-02-23T14:05:00"/>
    <n v="42.80092592986572"/>
    <n v="43.796296293051761"/>
    <x v="0"/>
    <d v="2025-02-23T11:21:00"/>
    <d v="2025-02-23T16:11:00"/>
    <n v="283.95833333561313"/>
    <s v="slept at the RD and offloaded the next day"/>
    <d v="2025-02-25T18:13:00"/>
    <d v="2025-02-25T19:04:00"/>
    <n v="49.93749999863212"/>
    <m/>
    <n v="2.172222222223354"/>
    <n v="2"/>
    <n v="-0.17222222222335404"/>
    <n v="52.133333333360497"/>
    <n v="24"/>
    <n v="28.133333333360497"/>
    <n v="5.5450236966771103"/>
    <m/>
    <m/>
    <m/>
    <m/>
    <m/>
  </r>
  <r>
    <d v="2025-02-25T00:00:00"/>
    <x v="1"/>
    <m/>
    <s v="Z82793"/>
    <s v="Manual"/>
    <x v="25"/>
    <s v="UBJ 420C"/>
    <s v="Kobusinge Steven-FPortal"/>
    <n v="156"/>
    <s v="Z82793"/>
    <s v="OM"/>
    <n v="304"/>
    <n v="302"/>
    <n v="-2"/>
    <m/>
    <d v="2025-02-23T16:17:00"/>
    <d v="2025-02-23T15:25:00"/>
    <d v="2025-02-23T17:00:00"/>
    <n v="94.560185180550135"/>
    <n v="42.80092592986572"/>
    <x v="0"/>
    <d v="2025-02-23T17:41:00"/>
    <d v="2025-02-23T19:49:00"/>
    <n v="125.33333333150949"/>
    <m/>
    <d v="2025-02-24T15:23:00"/>
    <d v="2025-02-24T16:36:00"/>
    <n v="71.479166663702927"/>
    <s v="dj failures at the gate"/>
    <n v="0.93263888888759539"/>
    <n v="2"/>
    <n v="1.0673611111124046"/>
    <n v="22.383333333302289"/>
    <n v="0"/>
    <n v="22.383333333302289"/>
    <n v="6.9694713328465987"/>
    <m/>
    <m/>
    <m/>
    <m/>
    <m/>
  </r>
  <r>
    <d v="2025-02-25T00:00:00"/>
    <x v="1"/>
    <m/>
    <s v="A20974"/>
    <s v="Manual"/>
    <x v="49"/>
    <s v="UBR 539W"/>
    <s v="Kato Investment Ltd -Mubende"/>
    <n v="156"/>
    <s v="A20974"/>
    <s v="OM"/>
    <n v="680"/>
    <n v="679"/>
    <n v="-1"/>
    <m/>
    <d v="2025-02-23T20:06:00"/>
    <d v="2025-02-23T20:18:00"/>
    <d v="2025-02-23T20:46:00"/>
    <n v="27.870370367357584"/>
    <n v="39.814814819449872"/>
    <x v="0"/>
    <d v="2025-02-24T07:12:00"/>
    <d v="2025-02-24T12:37:00"/>
    <n v="318.22916665754747"/>
    <s v="found another truck at the RD and offloaded the next day"/>
    <d v="2025-02-26T10:13:00"/>
    <d v="2025-02-26T11:07:00"/>
    <n v="52.87499999794818"/>
    <m/>
    <n v="2.5604166666671517"/>
    <n v="2"/>
    <n v="-0.56041666666715173"/>
    <n v="61.450000000011642"/>
    <n v="24"/>
    <n v="37.450000000011642"/>
    <n v="4.1655540720948334"/>
    <m/>
    <m/>
    <m/>
    <m/>
    <m/>
  </r>
  <r>
    <d v="2025-02-25T00:00:00"/>
    <x v="1"/>
    <m/>
    <s v="A20975"/>
    <s v="Manual"/>
    <x v="30"/>
    <s v="UBR 540W"/>
    <s v="Kato Investment Ltd -Mityana"/>
    <n v="156"/>
    <s v="A20975"/>
    <s v="OM"/>
    <n v="690"/>
    <n v="692"/>
    <n v="2"/>
    <m/>
    <d v="2025-02-23T17:35:00"/>
    <d v="2025-02-23T17:35:00"/>
    <d v="2025-02-23T18:18:00"/>
    <n v="42.80092592986572"/>
    <n v="42.80092592986572"/>
    <x v="0"/>
    <d v="2025-02-23T16:24:00"/>
    <d v="2025-02-23T19:16:00"/>
    <n v="168.41666666165111"/>
    <m/>
    <d v="2025-02-26T16:10:00"/>
    <d v="2025-02-26T17:07:00"/>
    <n v="55.81249999726424"/>
    <m/>
    <n v="2.9111111111124046"/>
    <n v="2"/>
    <n v="-0.91111111111240461"/>
    <n v="69.866666666697711"/>
    <n v="24"/>
    <n v="45.866666666697711"/>
    <n v="3.4011627906953725"/>
    <m/>
    <m/>
    <m/>
    <m/>
    <m/>
  </r>
  <r>
    <d v="2025-02-25T00:00:00"/>
    <x v="1"/>
    <m/>
    <s v="F15963"/>
    <s v="Manual"/>
    <x v="46"/>
    <s v="UBE 678K"/>
    <s v="Boniface Harera"/>
    <n v="156"/>
    <s v="F15963"/>
    <s v="OM"/>
    <n v="448"/>
    <n v="449"/>
    <n v="1"/>
    <m/>
    <d v="2025-02-23T17:31:00"/>
    <d v="2025-02-23T16:49:00"/>
    <d v="2025-02-23T18:11:00"/>
    <n v="81.62037036527181"/>
    <n v="39.814814819449872"/>
    <x v="0"/>
    <d v="2025-02-23T11:03:00"/>
    <d v="2025-02-23T15:47:00"/>
    <n v="278.08333332672191"/>
    <s v="found another truck at the RD"/>
    <d v="2025-02-23T20:13:00"/>
    <d v="2025-02-23T21:09:00"/>
    <n v="54.833333337664953"/>
    <m/>
    <n v="8.4722222221898846E-2"/>
    <n v="2"/>
    <n v="1.9152777777781012"/>
    <n v="2.0333333333255723"/>
    <n v="0"/>
    <n v="2.0333333333255723"/>
    <n v="76.721311475702677"/>
    <m/>
    <m/>
    <m/>
    <m/>
    <m/>
  </r>
  <r>
    <d v="2025-02-25T00:00:00"/>
    <x v="1"/>
    <m/>
    <s v="OMLV1DQRR"/>
    <s v="DJ"/>
    <x v="1"/>
    <s v="UBJ 375N"/>
    <s v="Kato Investments Ltd-Bulenga"/>
    <n v="153.6"/>
    <s v="OMLV1DQRR"/>
    <s v="OM"/>
    <n v="560"/>
    <n v="562"/>
    <n v="2"/>
    <m/>
    <d v="2025-02-25T11:28:00"/>
    <d v="2025-02-22T22:00:00"/>
    <d v="2025-02-25T12:12:00"/>
    <n v="3714.7222222229175"/>
    <n v="43.796296293051761"/>
    <x v="0"/>
    <d v="2025-02-26T08:07:00"/>
    <d v="2025-02-26T09:54:00"/>
    <n v="104.77083333629707"/>
    <m/>
    <d v="2025-02-26T11:42:00"/>
    <d v="2025-02-26T12:41:00"/>
    <n v="57.770833336981013"/>
    <m/>
    <n v="0.97916666667151731"/>
    <n v="3"/>
    <n v="2.0208333333284827"/>
    <n v="23.500000000116415"/>
    <n v="0"/>
    <n v="23.500000000116415"/>
    <n v="6.5361702127335777"/>
    <m/>
    <m/>
    <m/>
    <m/>
    <m/>
  </r>
  <r>
    <d v="2025-02-25T00:00:00"/>
    <x v="1"/>
    <m/>
    <s v="OMKIGUORR"/>
    <s v="DJ"/>
    <x v="2"/>
    <s v="UBE 287X"/>
    <s v="KATO INVESTMENTS LTD- KALISIZO"/>
    <n v="153.6"/>
    <s v="OMKIGUORR"/>
    <s v="OM"/>
    <n v="350"/>
    <n v="352"/>
    <n v="2"/>
    <m/>
    <d v="2025-02-25T11:29:00"/>
    <d v="2025-02-22T22:00:00"/>
    <d v="2025-02-25T12:12:00"/>
    <n v="3714.7222222229175"/>
    <n v="42.80092592986572"/>
    <x v="0"/>
    <d v="2025-02-26T13:19:00"/>
    <d v="2025-02-26T15:24:00"/>
    <n v="122.39583334245253"/>
    <m/>
    <d v="2025-02-27T14:32:00"/>
    <d v="2025-02-27T15:20:00"/>
    <n v="46.99999999931606"/>
    <m/>
    <n v="2.0972222222262644"/>
    <n v="2"/>
    <n v="-9.7222222226264421E-2"/>
    <n v="50.333333333430346"/>
    <n v="24"/>
    <n v="26.333333333430346"/>
    <n v="5.8329113923835747"/>
    <m/>
    <m/>
    <m/>
    <m/>
    <m/>
  </r>
  <r>
    <d v="2025-02-26T00:00:00"/>
    <x v="1"/>
    <m/>
    <s v="A20999"/>
    <s v="Manual"/>
    <x v="10"/>
    <s v="UBK 886R"/>
    <s v="Jusime Enterprises"/>
    <n v="156"/>
    <s v="A20999"/>
    <s v="OM"/>
    <n v="560"/>
    <n v="558"/>
    <n v="-2"/>
    <m/>
    <d v="2025-02-23T18:05:00"/>
    <d v="2025-02-22T19:53:00"/>
    <d v="2025-02-23T19:02:00"/>
    <n v="1382.569444445835"/>
    <n v="56.736111108330078"/>
    <x v="0"/>
    <d v="2025-02-23T11:21:00"/>
    <d v="2025-02-23T16:11:00"/>
    <n v="283.95833333561313"/>
    <s v="space consquents"/>
    <d v="2025-02-25T18:13:00"/>
    <d v="2025-02-25T19:09:00"/>
    <n v="54.833333337664953"/>
    <m/>
    <n v="1.9659722222204437"/>
    <n v="3"/>
    <n v="1.0340277777795563"/>
    <n v="47.183333333290648"/>
    <n v="12"/>
    <n v="35.183333333290648"/>
    <n v="4.4339175746145694"/>
    <m/>
    <m/>
    <m/>
    <m/>
    <m/>
  </r>
  <r>
    <d v="2025-02-26T00:00:00"/>
    <x v="1"/>
    <m/>
    <s v="A20998"/>
    <s v="Manual"/>
    <x v="33"/>
    <s v="UBR 541W"/>
    <s v="Nakuya Enterprises Ltd"/>
    <n v="156"/>
    <s v="A20998"/>
    <s v="OM"/>
    <n v="560"/>
    <n v="559"/>
    <n v="-1"/>
    <m/>
    <d v="2025-02-24T08:16:00"/>
    <d v="2025-02-23T10:00:00"/>
    <d v="2025-02-24T09:00:00"/>
    <n v="1373.6111111145874"/>
    <n v="43.796296293051761"/>
    <x v="0"/>
    <d v="2025-02-23T17:41:00"/>
    <d v="2025-02-23T19:49:00"/>
    <n v="125.33333333150949"/>
    <m/>
    <d v="2025-02-24T15:23:00"/>
    <d v="2025-02-24T16:20:00"/>
    <n v="55.81249999726424"/>
    <m/>
    <n v="0.26597222222335404"/>
    <n v="3"/>
    <n v="2.734027777776646"/>
    <n v="6.3833333333604969"/>
    <n v="0"/>
    <n v="6.3833333333604969"/>
    <n v="24.438642297546135"/>
    <m/>
    <m/>
    <m/>
    <m/>
    <m/>
  </r>
  <r>
    <d v="2025-02-26T00:00:00"/>
    <x v="1"/>
    <m/>
    <s v="Z82812"/>
    <s v="Manual"/>
    <x v="10"/>
    <s v="UBR 534W"/>
    <s v="Kabaco U Ltd "/>
    <n v="156"/>
    <s v="Z82812"/>
    <s v="OM"/>
    <n v="320"/>
    <n v="317"/>
    <n v="-3"/>
    <m/>
    <d v="2025-02-23T17:27:00"/>
    <d v="2025-02-22T19:22:00"/>
    <d v="2025-02-23T18:07:00"/>
    <n v="1358.6805555625081"/>
    <n v="39.814814819449872"/>
    <x v="0"/>
    <d v="2025-02-23T16:24:00"/>
    <d v="2025-02-23T19:18:00"/>
    <n v="170.37500000136788"/>
    <m/>
    <d v="2025-02-26T16:10:00"/>
    <d v="2025-02-26T17:09:00"/>
    <n v="57.770833336981013"/>
    <m/>
    <n v="2.9187499999970896"/>
    <n v="2"/>
    <n v="-0.91874999999708962"/>
    <n v="70.049999999930151"/>
    <n v="24"/>
    <n v="46.049999999930151"/>
    <n v="3.3876221498422718"/>
    <m/>
    <m/>
    <m/>
    <m/>
    <m/>
  </r>
  <r>
    <d v="2025-02-26T00:00:00"/>
    <x v="1"/>
    <m/>
    <s v="A21010"/>
    <s v="Manual"/>
    <x v="24"/>
    <s v="UBP 298H"/>
    <s v="Sawan Distributors Ltd-Nabingo"/>
    <n v="72.8"/>
    <s v="A21010"/>
    <s v="OM"/>
    <n v="560"/>
    <n v="561"/>
    <n v="1"/>
    <m/>
    <d v="2025-02-23T16:55:00"/>
    <d v="2025-02-22T19:49:00"/>
    <d v="2025-02-23T17:39:00"/>
    <n v="1303.9351851909789"/>
    <n v="43.796296293051761"/>
    <x v="0"/>
    <d v="2025-02-24T07:12:00"/>
    <d v="2025-02-24T12:37:00"/>
    <n v="318.22916665754747"/>
    <s v="Waited for empties from trade"/>
    <d v="2025-02-26T10:13:00"/>
    <d v="2025-02-26T11:09:00"/>
    <n v="54.833333337664953"/>
    <m/>
    <n v="2.6902777777722804"/>
    <n v="2"/>
    <n v="-0.69027777777228039"/>
    <n v="64.566666666534729"/>
    <n v="24"/>
    <n v="40.566666666534729"/>
    <n v="1.7945768282720649"/>
    <m/>
    <m/>
    <m/>
    <m/>
    <m/>
  </r>
  <r>
    <d v="2025-02-26T00:00:00"/>
    <x v="1"/>
    <m/>
    <s v="A21014"/>
    <s v="Manual"/>
    <x v="10"/>
    <s v="UBR 903Y"/>
    <s v="KATO INVESTMENTS LTD-KATIKARA"/>
    <n v="156"/>
    <s v="A21014"/>
    <s v="OM"/>
    <n v="790"/>
    <n v="788"/>
    <n v="-2"/>
    <m/>
    <d v="2025-02-23T19:01:00"/>
    <d v="2025-02-23T03:17:00"/>
    <d v="2025-02-23T19:45:00"/>
    <n v="983.42592591943685"/>
    <n v="43.796296293051761"/>
    <x v="0"/>
    <d v="2025-02-23T11:03:00"/>
    <d v="2025-02-23T15:47:00"/>
    <n v="278.08333332672191"/>
    <s v="found another truck to be offloaded"/>
    <d v="2025-02-24T20:13:00"/>
    <d v="2025-02-24T21:03:00"/>
    <n v="48.958333328773733"/>
    <m/>
    <n v="1.0194444444496185"/>
    <n v="3"/>
    <n v="1.9805555555503815"/>
    <n v="24.466666666790843"/>
    <n v="12"/>
    <n v="12.466666666790843"/>
    <n v="12.513368983832578"/>
    <m/>
    <m/>
    <m/>
    <m/>
    <m/>
  </r>
  <r>
    <d v="2025-02-26T00:00:00"/>
    <x v="1"/>
    <m/>
    <s v="A21013"/>
    <s v="Manual"/>
    <x v="44"/>
    <s v="UBE 684K"/>
    <s v="Kato Investment Ltd -Mityana"/>
    <n v="156"/>
    <s v="A21013"/>
    <s v="OM"/>
    <n v="690"/>
    <n v="688"/>
    <n v="-2"/>
    <m/>
    <d v="2025-02-24T17:29:00"/>
    <d v="2025-02-24T17:41:00"/>
    <d v="2025-02-24T18:09:00"/>
    <n v="27.870370367357584"/>
    <n v="39.814814819449872"/>
    <x v="0"/>
    <d v="2025-02-24T13:22:00"/>
    <d v="2025-02-24T15:51:00"/>
    <n v="145.89583333698101"/>
    <m/>
    <d v="2025-02-27T12:42:00"/>
    <d v="2025-02-27T13:33:00"/>
    <n v="49.93749999863212"/>
    <m/>
    <n v="2.7729166666686069"/>
    <n v="3"/>
    <n v="0.22708333333139308"/>
    <n v="66.550000000046566"/>
    <n v="24"/>
    <n v="42.550000000046566"/>
    <n v="3.6662749706187845"/>
    <m/>
    <m/>
    <m/>
    <m/>
    <m/>
  </r>
  <r>
    <d v="2025-02-26T00:00:00"/>
    <x v="1"/>
    <m/>
    <s v="Z82815"/>
    <s v="Manual"/>
    <x v="43"/>
    <s v="UBJ 419C"/>
    <s v="Kabaco U Ltd "/>
    <n v="156"/>
    <s v="Z82815"/>
    <s v="OM"/>
    <n v="320"/>
    <n v="322"/>
    <n v="2"/>
    <m/>
    <d v="2025-02-24T16:09:00"/>
    <d v="2025-02-24T15:38:00"/>
    <d v="2025-02-24T16:49:00"/>
    <n v="70.671296297223307"/>
    <n v="39.814814819449872"/>
    <x v="0"/>
    <d v="2025-02-24T07:48:00"/>
    <d v="2025-02-24T09:31:00"/>
    <n v="100.85416666712263"/>
    <m/>
    <d v="2025-02-27T12:42:00"/>
    <d v="2025-02-27T13:39:00"/>
    <n v="55.81249999726424"/>
    <m/>
    <n v="2.828472222223354"/>
    <n v="2"/>
    <n v="-0.82847222222335404"/>
    <n v="67.883333333360497"/>
    <n v="24"/>
    <n v="43.883333333360497"/>
    <n v="3.5548803646009137"/>
    <m/>
    <m/>
    <m/>
    <m/>
    <m/>
  </r>
  <r>
    <d v="2025-02-26T00:00:00"/>
    <x v="1"/>
    <m/>
    <s v="A20995"/>
    <s v="Manual"/>
    <x v="10"/>
    <s v="UBR 864Y"/>
    <s v="Jusime Enterprises"/>
    <n v="156"/>
    <s v="A20995"/>
    <s v="OM"/>
    <n v="560"/>
    <n v="558"/>
    <n v="-2"/>
    <m/>
    <d v="2025-02-23T17:15:00"/>
    <d v="2025-02-23T17:31:00"/>
    <d v="2025-02-23T17:59:00"/>
    <n v="27.870370367357584"/>
    <n v="43.796296293051761"/>
    <x v="0"/>
    <d v="2025-02-24T09:18:00"/>
    <d v="2025-02-24T16:30:00"/>
    <n v="423.00000000410364"/>
    <s v="less casuals and offloaded the next day"/>
    <d v="2025-02-25T14:53:00"/>
    <d v="2025-02-25T15:47:00"/>
    <n v="52.87499999794818"/>
    <m/>
    <n v="1.8708333333343035"/>
    <n v="3"/>
    <n v="1.1291666666656965"/>
    <n v="44.900000000023283"/>
    <n v="12"/>
    <n v="32.900000000023283"/>
    <n v="4.7416413373826627"/>
    <m/>
    <m/>
    <m/>
    <m/>
    <m/>
  </r>
  <r>
    <d v="2025-02-26T00:00:00"/>
    <x v="1"/>
    <m/>
    <s v="Z82805"/>
    <s v="Manual"/>
    <x v="32"/>
    <s v="UBJ 703D"/>
    <s v="Bates Enterprises U Ltd"/>
    <n v="156"/>
    <s v="Z82805"/>
    <s v="OM"/>
    <n v="414"/>
    <n v="413"/>
    <n v="-1"/>
    <m/>
    <d v="2025-02-23T12:43:00"/>
    <d v="2025-02-23T13:09:00"/>
    <d v="2025-02-23T13:26:00"/>
    <n v="16.921296299309081"/>
    <n v="42.80092592986572"/>
    <x v="0"/>
    <d v="2025-02-25T14:09:00"/>
    <d v="2025-02-25T18:34:00"/>
    <n v="259.47916666096717"/>
    <s v="slept at the RD and offloaded the next day"/>
    <d v="2025-02-25T14:53:00"/>
    <d v="2025-02-25T15:47:00"/>
    <n v="52.87499999794818"/>
    <m/>
    <n v="2.0604166666671517"/>
    <n v="3"/>
    <n v="0.93958333333284827"/>
    <n v="49.450000000011642"/>
    <n v="24"/>
    <n v="25.450000000011642"/>
    <n v="6.129666011785015"/>
    <m/>
    <m/>
    <m/>
    <m/>
    <m/>
  </r>
  <r>
    <d v="2025-02-26T00:00:00"/>
    <x v="1"/>
    <m/>
    <s v="A21006"/>
    <s v="Manual"/>
    <x v="41"/>
    <s v="UBF 379L"/>
    <s v="Sawan Distributors Ltd-Kayabwe"/>
    <n v="156"/>
    <s v="A21006"/>
    <s v="OM"/>
    <n v="382"/>
    <n v="379"/>
    <n v="-3"/>
    <m/>
    <d v="2025-02-23T14:39:00"/>
    <d v="2025-02-23T14:07:00"/>
    <d v="2025-02-23T15:23:00"/>
    <n v="75.6481481444401"/>
    <n v="43.796296293051761"/>
    <x v="0"/>
    <d v="2025-02-23T16:14:00"/>
    <d v="2025-02-23T19:33:00"/>
    <n v="194.85416666575475"/>
    <s v="found another truck at the RD"/>
    <d v="2025-02-26T10:59:00"/>
    <d v="2025-02-26T12:15:00"/>
    <n v="74.416666663018987"/>
    <s v="fueling delays"/>
    <n v="2.8166666666656965"/>
    <n v="2"/>
    <n v="-0.81666666666569654"/>
    <n v="67.599999999976717"/>
    <n v="24"/>
    <n v="43.599999999976717"/>
    <n v="3.5779816513780576"/>
    <m/>
    <m/>
    <m/>
    <m/>
    <m/>
  </r>
  <r>
    <d v="2025-02-26T00:00:00"/>
    <x v="1"/>
    <m/>
    <s v="A21008"/>
    <s v="Manual"/>
    <x v="27"/>
    <s v="UBM 648D"/>
    <s v="Ntale and Sons Ltd-Kakiri"/>
    <n v="156"/>
    <s v="A21008"/>
    <s v="OM"/>
    <n v="620"/>
    <n v="617"/>
    <n v="-3"/>
    <m/>
    <d v="2025-02-27T13:03:00"/>
    <d v="2025-02-27T13:30:00"/>
    <d v="2025-02-27T13:46:00"/>
    <n v="15.925925925694173"/>
    <n v="42.80092592986572"/>
    <x v="0"/>
    <d v="2025-02-23T15:04:00"/>
    <d v="2025-02-23T17:57:00"/>
    <n v="169.39583333150949"/>
    <m/>
    <d v="2025-02-28T22:05:00"/>
    <d v="2025-02-28T23:04:00"/>
    <n v="57.770833336981013"/>
    <m/>
    <n v="1.3465277777795563"/>
    <n v="2"/>
    <n v="0.65347222222044365"/>
    <n v="32.316666666709352"/>
    <n v="12"/>
    <n v="20.316666666709352"/>
    <n v="7.6784249384580265"/>
    <m/>
    <m/>
    <m/>
    <m/>
    <m/>
  </r>
  <r>
    <d v="2025-02-26T00:00:00"/>
    <x v="1"/>
    <m/>
    <s v="Z82807"/>
    <s v="Manual"/>
    <x v="43"/>
    <s v="UBJ 419C"/>
    <s v="Kabaco U Ltd-Mbarara"/>
    <n v="156"/>
    <s v="Z82807"/>
    <s v="OM"/>
    <n v="20"/>
    <n v="21"/>
    <n v="1"/>
    <m/>
    <d v="2025-02-25T12:44:00"/>
    <d v="2025-02-25T13:24:00"/>
    <d v="2025-02-25T13:28:00"/>
    <n v="3.9814814840307613"/>
    <n v="43.796296293051761"/>
    <x v="0"/>
    <d v="2025-02-24T10:53:00"/>
    <d v="2025-02-24T14:17:00"/>
    <n v="199.74999999452848"/>
    <s v="Waited for empties from trade"/>
    <d v="2025-02-26T10:39:00"/>
    <d v="2025-02-26T11:32:00"/>
    <n v="51.895833338348893"/>
    <m/>
    <n v="0.882638888884685"/>
    <n v="3"/>
    <n v="2.117361111115315"/>
    <n v="21.18333333323244"/>
    <n v="0"/>
    <n v="21.18333333323244"/>
    <n v="7.3642800944489224"/>
    <m/>
    <m/>
    <m/>
    <m/>
    <m/>
  </r>
  <r>
    <d v="2025-02-26T00:00:00"/>
    <x v="1"/>
    <m/>
    <s v="Z12954"/>
    <s v="Manual"/>
    <x v="43"/>
    <s v="UBJ 419C"/>
    <s v="Kabaco U Ltd-Mbarara"/>
    <n v="-156"/>
    <s v="Z12954"/>
    <s v="OM"/>
    <n v="20"/>
    <n v="19"/>
    <n v="-1"/>
    <m/>
    <d v="2025-02-24T15:20:00"/>
    <d v="2025-02-24T14:34:00"/>
    <d v="2025-02-24T16:03:00"/>
    <n v="88.587962959718425"/>
    <n v="42.80092592986572"/>
    <x v="0"/>
    <d v="2025-02-24T15:27:00"/>
    <d v="2025-02-24T17:39:00"/>
    <n v="129.25000000068394"/>
    <m/>
    <d v="2025-02-25T09:54:00"/>
    <d v="2025-02-25T10:48:00"/>
    <n v="52.87499999794818"/>
    <m/>
    <n v="0.74375000000145519"/>
    <n v="2"/>
    <n v="1.2562499999985448"/>
    <n v="17.850000000034925"/>
    <n v="0"/>
    <n v="17.850000000034925"/>
    <n v="-8.7394957983022277"/>
    <m/>
    <m/>
    <m/>
    <m/>
    <m/>
  </r>
  <r>
    <d v="2025-02-26T00:00:00"/>
    <x v="1"/>
    <m/>
    <s v="F15972"/>
    <s v="Manual"/>
    <x v="10"/>
    <s v="UBP 998T"/>
    <s v="Boniface Harera"/>
    <n v="156"/>
    <s v="F15972"/>
    <s v="OM"/>
    <n v="448"/>
    <n v="450"/>
    <n v="2"/>
    <m/>
    <d v="2025-02-24T19:40:00"/>
    <d v="2025-02-24T19:12:00"/>
    <d v="2025-02-24T20:23:00"/>
    <n v="70.671296297223307"/>
    <n v="42.80092592986572"/>
    <x v="0"/>
    <d v="2025-02-26T08:07:00"/>
    <d v="2025-02-26T09:54:00"/>
    <n v="104.77083333629707"/>
    <m/>
    <d v="2025-02-25T15:46:00"/>
    <d v="2025-02-25T16:36:00"/>
    <n v="48.958333328773733"/>
    <m/>
    <n v="0.80763888888759539"/>
    <n v="2"/>
    <n v="1.1923611111124046"/>
    <n v="19.383333333302289"/>
    <n v="0"/>
    <n v="19.383333333302289"/>
    <n v="8.0481513327729921"/>
    <m/>
    <m/>
    <m/>
    <m/>
    <m/>
  </r>
  <r>
    <d v="2025-02-26T00:00:00"/>
    <x v="1"/>
    <m/>
    <s v="Z82816"/>
    <s v="Manual"/>
    <x v="40"/>
    <s v="UBP 311H"/>
    <s v="Kabaco U Ltd "/>
    <n v="156"/>
    <s v="Z82816"/>
    <s v="OM"/>
    <n v="320"/>
    <n v="319"/>
    <n v="-1"/>
    <m/>
    <d v="2025-02-24T14:41:00"/>
    <d v="2025-02-24T14:18:00"/>
    <d v="2025-02-24T15:25:00"/>
    <n v="66.689814813192541"/>
    <n v="43.796296293051761"/>
    <x v="0"/>
    <d v="2025-02-24T18:14:00"/>
    <d v="2025-02-24T21:08:00"/>
    <n v="170.37500000136788"/>
    <m/>
    <d v="2025-02-26T09:06:00"/>
    <d v="2025-02-26T09:56:00"/>
    <n v="48.958333328773733"/>
    <m/>
    <n v="1.7368055555562023"/>
    <n v="2"/>
    <n v="0.26319444444379769"/>
    <n v="41.683333333348855"/>
    <n v="12"/>
    <n v="29.683333333348855"/>
    <n v="5.2554744525519963"/>
    <m/>
    <m/>
    <m/>
    <m/>
    <m/>
  </r>
  <r>
    <d v="2025-02-26T00:00:00"/>
    <x v="1"/>
    <m/>
    <s v="F15971"/>
    <s v="Manual"/>
    <x v="48"/>
    <s v="UBM 644D"/>
    <s v="Boniface Harera"/>
    <n v="156"/>
    <s v="F15971"/>
    <s v="OM"/>
    <n v="448"/>
    <n v="445"/>
    <n v="-3"/>
    <m/>
    <d v="2025-02-26T07:20:00"/>
    <d v="2025-02-24T03:17:00"/>
    <d v="2025-02-26T08:04:00"/>
    <n v="3152.337962955547"/>
    <n v="43.796296293051761"/>
    <x v="0"/>
    <d v="2025-02-24T15:27:00"/>
    <d v="2025-02-24T17:39:00"/>
    <n v="129.25000000068394"/>
    <m/>
    <d v="2025-02-26T09:06:00"/>
    <d v="2025-02-26T10:06:00"/>
    <n v="58.7499999965803"/>
    <m/>
    <n v="4.3055555557657499E-2"/>
    <n v="2"/>
    <n v="1.9569444444423425"/>
    <n v="1.03333333338378"/>
    <n v="0"/>
    <n v="1.03333333338378"/>
    <n v="150.96774192811372"/>
    <m/>
    <m/>
    <m/>
    <m/>
    <m/>
  </r>
  <r>
    <d v="2025-02-26T00:00:00"/>
    <x v="1"/>
    <m/>
    <s v="OM0ZQ3MRR"/>
    <s v="DJ"/>
    <x v="9"/>
    <s v="UAV 203T"/>
    <s v="Ntale and Sons"/>
    <n v="153.6"/>
    <s v="OM0ZQ3MRR"/>
    <s v="OM"/>
    <n v="810"/>
    <n v="812"/>
    <n v="2"/>
    <m/>
    <d v="2025-02-24T07:00:00"/>
    <d v="2025-02-24T01:30:00"/>
    <d v="2025-02-24T07:44:00"/>
    <n v="372.26851852222654"/>
    <n v="43.796296293051761"/>
    <x v="0"/>
    <d v="2025-02-26T08:07:00"/>
    <d v="2025-02-26T09:54:00"/>
    <n v="104.77083333629707"/>
    <m/>
    <d v="2025-02-26T11:00:00"/>
    <d v="2025-02-26T11:51:00"/>
    <n v="49.93749999863212"/>
    <m/>
    <n v="2.1361111111109494"/>
    <n v="3"/>
    <n v="0.86388888888905058"/>
    <n v="51.266666666662786"/>
    <n v="24"/>
    <n v="27.266666666662786"/>
    <n v="5.6332518337416326"/>
    <m/>
    <m/>
    <m/>
    <m/>
    <m/>
  </r>
  <r>
    <d v="2025-02-26T00:00:00"/>
    <x v="1"/>
    <m/>
    <s v="OM5H4T5RR"/>
    <s v="DJ"/>
    <x v="7"/>
    <s v="UAY 526V"/>
    <s v="Kabaco U Ltd "/>
    <n v="153.6"/>
    <s v="OM5H4T5RR"/>
    <s v="OM"/>
    <n v="320"/>
    <n v="56"/>
    <n v="-264"/>
    <m/>
    <d v="2025-02-26T07:08:00"/>
    <d v="2025-02-24T03:17:00"/>
    <d v="2025-02-26T08:04:00"/>
    <n v="3152.337962955547"/>
    <n v="55.740740745144045"/>
    <x v="0"/>
    <d v="2025-02-26T08:07:00"/>
    <d v="2025-02-26T09:54:00"/>
    <n v="104.77083333629707"/>
    <m/>
    <d v="2025-02-26T09:06:00"/>
    <d v="2025-02-26T10:02:00"/>
    <n v="54.833333337664953"/>
    <m/>
    <n v="4.3055555557657499E-2"/>
    <n v="2"/>
    <n v="1.9569444444423425"/>
    <n v="1.03333333338378"/>
    <n v="0"/>
    <n v="1.03333333338378"/>
    <n v="148.64516128306582"/>
    <m/>
    <m/>
    <m/>
    <m/>
    <m/>
  </r>
  <r>
    <d v="2025-02-26T00:00:00"/>
    <x v="1"/>
    <m/>
    <s v="OM7VIDTRR"/>
    <s v="DJ"/>
    <x v="17"/>
    <s v="UBA 523T"/>
    <s v="KATO INVESTMENTS LIMITED-MASAK "/>
    <n v="153.6"/>
    <s v="OM7VIDTRR"/>
    <s v="OM"/>
    <n v="298"/>
    <n v="299"/>
    <n v="1"/>
    <m/>
    <d v="2025-02-24T07:01:00"/>
    <d v="2025-02-24T01:30:00"/>
    <d v="2025-02-24T07:44:00"/>
    <n v="372.26851852222654"/>
    <n v="42.80092592986572"/>
    <x v="0"/>
    <d v="2025-02-24T18:14:00"/>
    <d v="2025-02-24T21:07:00"/>
    <n v="169.39583333150949"/>
    <m/>
    <d v="2025-02-26T11:00:00"/>
    <d v="2025-02-26T11:57:00"/>
    <n v="55.81249999726424"/>
    <m/>
    <n v="2.1361111111109494"/>
    <n v="2"/>
    <n v="-0.13611111111094942"/>
    <n v="51.266666666662786"/>
    <n v="24"/>
    <n v="27.266666666662786"/>
    <n v="5.6332518337416326"/>
    <m/>
    <m/>
    <m/>
    <m/>
    <m/>
  </r>
  <r>
    <d v="2025-02-26T00:00:00"/>
    <x v="1"/>
    <m/>
    <s v="OMB6EOSRR"/>
    <s v="DJ"/>
    <x v="12"/>
    <s v="UBJ 415C"/>
    <s v="KATO INVESTMENTS LIMITED-MASAK "/>
    <n v="153.6"/>
    <s v="OMB6EOSRR"/>
    <s v="OM"/>
    <n v="298"/>
    <n v="457"/>
    <n v="159"/>
    <s v="Delievered to kalangala"/>
    <d v="2025-02-23T13:46:00"/>
    <d v="2025-02-23T14:09:00"/>
    <d v="2025-02-23T14:30:00"/>
    <n v="20.902777772910969"/>
    <n v="43.796296293051761"/>
    <x v="0"/>
    <d v="2025-02-23T15:04:00"/>
    <d v="2025-02-23T17:56:00"/>
    <n v="168.41666666165111"/>
    <m/>
    <d v="2025-02-24T10:39:00"/>
    <d v="2025-02-24T11:31:00"/>
    <n v="50.916666668490507"/>
    <m/>
    <n v="0.83958333333430346"/>
    <n v="2"/>
    <n v="1.1604166666656965"/>
    <n v="20.150000000023283"/>
    <n v="0"/>
    <n v="20.150000000023283"/>
    <n v="7.6228287841102986"/>
    <m/>
    <m/>
    <m/>
    <m/>
    <m/>
  </r>
  <r>
    <d v="2025-02-26T00:00:00"/>
    <x v="1"/>
    <m/>
    <s v="OMWT7WERR"/>
    <s v="DJ"/>
    <x v="5"/>
    <s v="UBE 419T"/>
    <s v="KATO INVESTMENTS LTD- KALISIZO"/>
    <n v="153.6"/>
    <s v="OMWT7WERR"/>
    <s v="OM"/>
    <n v="350"/>
    <n v="352"/>
    <n v="2"/>
    <m/>
    <d v="2025-02-24T16:20:00"/>
    <d v="2025-02-23T19:37:00"/>
    <d v="2025-02-24T17:00:00"/>
    <n v="1277.0601851868075"/>
    <n v="39.814814819449872"/>
    <x v="0"/>
    <d v="2025-02-24T15:27:00"/>
    <d v="2025-02-24T17:39:00"/>
    <n v="129.25000000068394"/>
    <m/>
    <d v="2025-02-25T15:46:00"/>
    <d v="2025-02-25T16:37:00"/>
    <n v="49.93749999863212"/>
    <m/>
    <n v="0.94861111111094942"/>
    <n v="2"/>
    <n v="1.0513888888890506"/>
    <n v="22.766666666662786"/>
    <n v="0"/>
    <n v="22.766666666662786"/>
    <n v="6.7467057101036385"/>
    <m/>
    <m/>
    <m/>
    <m/>
    <m/>
  </r>
  <r>
    <d v="2025-02-26T00:00:00"/>
    <x v="1"/>
    <m/>
    <s v="OMZY0AVRR"/>
    <s v="DJ"/>
    <x v="50"/>
    <s v="UAR 731Q"/>
    <s v="Kabaco U Ltd-Mbarara "/>
    <n v="153.6"/>
    <s v="OMZY0AVRR"/>
    <s v="OM"/>
    <n v="20"/>
    <n v="22"/>
    <n v="2"/>
    <m/>
    <d v="2025-02-24T17:34:00"/>
    <d v="2025-02-24T04:14:00"/>
    <d v="2025-02-24T18:18:00"/>
    <n v="840.09259258818929"/>
    <n v="43.796296293051761"/>
    <x v="0"/>
    <d v="2025-02-24T10:53:00"/>
    <d v="2025-02-24T14:17:00"/>
    <n v="199.74999999452848"/>
    <s v="less casuals and offloaded the next day"/>
    <d v="2025-02-25T09:54:00"/>
    <d v="2025-02-25T10:54:00"/>
    <n v="58.7499999965803"/>
    <m/>
    <n v="0.65000000000145519"/>
    <n v="3"/>
    <n v="2.3499999999985448"/>
    <n v="15.600000000034925"/>
    <n v="0"/>
    <n v="15.600000000034925"/>
    <n v="9.8461538461318021"/>
    <m/>
    <m/>
    <m/>
    <m/>
    <m/>
  </r>
  <r>
    <d v="2025-02-26T00:00:00"/>
    <x v="1"/>
    <m/>
    <s v="OMK91NURR"/>
    <s v="DJ"/>
    <x v="3"/>
    <s v="UBK 881R"/>
    <s v="Kabaco U Ltd-Mbarara "/>
    <n v="153.6"/>
    <s v="OMK91NURR"/>
    <s v="OM"/>
    <n v="20"/>
    <n v="22"/>
    <n v="2"/>
    <m/>
    <d v="2025-02-24T18:12:00"/>
    <d v="2025-02-24T18:44:00"/>
    <d v="2025-02-24T19:08:00"/>
    <n v="23.888888893755695"/>
    <n v="55.740740745144045"/>
    <x v="0"/>
    <d v="2025-02-25T10:36:00"/>
    <d v="2025-02-25T15:02:00"/>
    <n v="260.45833333082555"/>
    <s v="Waited for empties from trade"/>
    <d v="2025-02-25T12:34:00"/>
    <d v="2025-02-25T13:28:00"/>
    <n v="52.87499999794818"/>
    <m/>
    <n v="0.726388888884685"/>
    <n v="3"/>
    <n v="2.273611111115315"/>
    <n v="17.43333333323244"/>
    <n v="0"/>
    <n v="17.43333333323244"/>
    <n v="8.8107074570299577"/>
    <m/>
    <m/>
    <m/>
    <m/>
    <m/>
  </r>
  <r>
    <d v="2025-02-27T00:00:00"/>
    <x v="1"/>
    <m/>
    <s v="A21056"/>
    <s v="Manual"/>
    <x v="10"/>
    <s v="UBP 294H"/>
    <s v="Kato Investments Ltd-Bulenga"/>
    <n v="156"/>
    <s v="A21056"/>
    <s v="OM"/>
    <n v="560"/>
    <n v="562"/>
    <n v="2"/>
    <m/>
    <d v="2025-02-24T17:25:00"/>
    <d v="2025-02-24T16:53:00"/>
    <d v="2025-02-24T18:09:00"/>
    <n v="75.6481481444401"/>
    <n v="43.796296293051761"/>
    <x v="0"/>
    <d v="2025-02-25T19:30:00"/>
    <d v="2025-02-25T22:24:00"/>
    <n v="170.37500000136788"/>
    <m/>
    <d v="2025-02-27T12:34:00"/>
    <d v="2025-02-27T13:25:00"/>
    <n v="49.93749999863212"/>
    <m/>
    <n v="2.7673611111094942"/>
    <n v="2"/>
    <n v="-0.76736111110949423"/>
    <n v="66.416666666627862"/>
    <n v="24"/>
    <n v="42.416666666627862"/>
    <n v="3.6777996070760564"/>
    <m/>
    <m/>
    <m/>
    <m/>
    <m/>
  </r>
  <r>
    <d v="2025-02-27T00:00:00"/>
    <x v="1"/>
    <m/>
    <s v="A21057"/>
    <s v="Manual"/>
    <x v="30"/>
    <s v="UBR 540W"/>
    <s v="Kato Investment Ltd -Mubende"/>
    <n v="156"/>
    <s v="A21057"/>
    <s v="OM"/>
    <n v="680"/>
    <n v="679"/>
    <n v="-1"/>
    <m/>
    <d v="2025-02-24T16:47:00"/>
    <d v="2025-02-24T16:36:00"/>
    <d v="2025-02-24T17:30:00"/>
    <n v="53.749999997914223"/>
    <n v="42.80092592986572"/>
    <x v="0"/>
    <d v="2025-02-26T13:06:00"/>
    <d v="2025-02-26T15:12:00"/>
    <n v="123.37500000205182"/>
    <m/>
    <d v="2025-02-27T12:34:00"/>
    <d v="2025-02-27T13:28:00"/>
    <n v="52.87499999794818"/>
    <m/>
    <n v="2.7944444444437977"/>
    <n v="3"/>
    <n v="0.20555555555620231"/>
    <n v="67.066666666651145"/>
    <n v="24"/>
    <n v="43.066666666651145"/>
    <n v="3.6222910216731323"/>
    <m/>
    <m/>
    <m/>
    <m/>
    <m/>
  </r>
  <r>
    <d v="2025-02-27T00:00:00"/>
    <x v="1"/>
    <m/>
    <s v="A21055"/>
    <s v="Manual"/>
    <x v="10"/>
    <s v="UBR 535W"/>
    <s v="Sawan Distributors Ltd-Nabingo"/>
    <n v="70.2"/>
    <s v="A21055"/>
    <s v="OM"/>
    <n v="560"/>
    <n v="561"/>
    <n v="1"/>
    <m/>
    <d v="2025-02-27T13:03:00"/>
    <d v="2025-02-27T12:17:00"/>
    <d v="2025-02-27T13:46:00"/>
    <n v="88.587962959718425"/>
    <n v="42.80092592986572"/>
    <x v="0"/>
    <d v="2025-02-25T06:28:00"/>
    <d v="2025-02-25T10:25:00"/>
    <n v="232.06250000752334"/>
    <s v="space consquents"/>
    <d v="2025-02-28T12:33:00"/>
    <d v="2025-02-28T13:32:00"/>
    <n v="57.770833336981013"/>
    <m/>
    <n v="0.9493055555576575"/>
    <n v="2"/>
    <n v="1.0506944444423425"/>
    <n v="22.78333333338378"/>
    <n v="0"/>
    <n v="22.78333333338378"/>
    <n v="3.0811997073816197"/>
    <m/>
    <m/>
    <m/>
    <m/>
    <m/>
  </r>
  <r>
    <d v="2025-02-27T00:00:00"/>
    <x v="1"/>
    <m/>
    <s v="A21059"/>
    <s v="Manual"/>
    <x v="36"/>
    <s v="UBE 680K"/>
    <s v="Kato Investments Ltd- Kakumiro"/>
    <n v="156"/>
    <s v="A21059"/>
    <s v="OM"/>
    <n v="790"/>
    <n v="788"/>
    <n v="-2"/>
    <m/>
    <d v="2025-02-26T18:25:00"/>
    <d v="2025-02-26T18:41:00"/>
    <d v="2025-02-26T19:09:00"/>
    <n v="27.870370367357584"/>
    <n v="43.796296293051761"/>
    <x v="0"/>
    <d v="2025-02-25T18:02:00"/>
    <d v="2025-02-26T11:06:00"/>
    <n v="1002.6666666725941"/>
    <s v="Reached late and offloaded the next day"/>
    <d v="2025-02-28T12:33:00"/>
    <d v="2025-02-28T13:24:00"/>
    <n v="49.93749999863212"/>
    <m/>
    <n v="1.7249999999985448"/>
    <n v="2"/>
    <n v="0.27500000000145519"/>
    <n v="41.399999999965075"/>
    <n v="12"/>
    <n v="29.399999999965075"/>
    <n v="5.3061224489858949"/>
    <m/>
    <m/>
    <m/>
    <m/>
    <m/>
  </r>
  <r>
    <d v="2025-02-27T00:00:00"/>
    <x v="1"/>
    <m/>
    <s v="F15981"/>
    <s v="Manual"/>
    <x v="51"/>
    <s v="UBR 536W"/>
    <s v="Boniface Harera"/>
    <n v="156"/>
    <s v="F15981"/>
    <s v="OM"/>
    <n v="448"/>
    <n v="449"/>
    <n v="1"/>
    <m/>
    <d v="2025-02-26T08:52:00"/>
    <d v="2025-02-26T08:06:00"/>
    <d v="2025-02-26T09:35:00"/>
    <n v="88.587962959718425"/>
    <n v="42.80092592986572"/>
    <x v="0"/>
    <d v="2025-02-25T15:41:00"/>
    <d v="2025-02-25T17:48:00"/>
    <n v="124.35416667191021"/>
    <m/>
    <d v="2025-02-26T13:02:00"/>
    <d v="2025-02-26T14:02:00"/>
    <n v="58.7499999965803"/>
    <m/>
    <n v="0.14375000000291038"/>
    <n v="2"/>
    <n v="1.8562499999970896"/>
    <n v="3.4500000000698492"/>
    <n v="0"/>
    <n v="3.4500000000698492"/>
    <n v="45.21739130343235"/>
    <m/>
    <m/>
    <m/>
    <m/>
    <m/>
  </r>
  <r>
    <d v="2025-02-27T00:00:00"/>
    <x v="1"/>
    <m/>
    <s v="A21074"/>
    <s v="Manual"/>
    <x v="42"/>
    <s v="UBK 858R"/>
    <s v="KATO INVESTMENTS LTD-KATIKARA"/>
    <n v="156"/>
    <s v="A21074"/>
    <s v="OM"/>
    <n v="790"/>
    <n v="789"/>
    <n v="-1"/>
    <m/>
    <d v="2025-02-26T08:23:00"/>
    <d v="2025-02-26T08:45:00"/>
    <d v="2025-02-26T09:06:00"/>
    <n v="20.902777772910969"/>
    <n v="42.80092592986572"/>
    <x v="0"/>
    <d v="2025-02-25T09:12:00"/>
    <d v="2025-02-25T11:38:00"/>
    <n v="142.95833333766495"/>
    <m/>
    <d v="2025-02-26T13:02:00"/>
    <d v="2025-02-26T14:02:00"/>
    <n v="58.7499999965803"/>
    <m/>
    <n v="0.16388888889196096"/>
    <n v="3"/>
    <n v="2.836111111108039"/>
    <n v="3.933333333407063"/>
    <n v="0"/>
    <n v="3.933333333407063"/>
    <n v="39.661016948409106"/>
    <m/>
    <m/>
    <m/>
    <m/>
    <m/>
  </r>
  <r>
    <d v="2025-02-27T00:00:00"/>
    <x v="1"/>
    <m/>
    <s v="A21076"/>
    <s v="Manual"/>
    <x v="49"/>
    <s v="UBR 539W"/>
    <s v="Kato Investment Ltd -Mityana"/>
    <n v="156"/>
    <s v="A21076"/>
    <s v="OM"/>
    <n v="690"/>
    <n v="692"/>
    <n v="2"/>
    <m/>
    <d v="2025-02-26T13:43:00"/>
    <d v="2025-02-26T14:01:00"/>
    <d v="2025-02-26T14:27:00"/>
    <n v="25.879629630556639"/>
    <n v="43.796296293051761"/>
    <x v="0"/>
    <d v="2025-02-25T11:21:00"/>
    <d v="2025-02-25T15:41:00"/>
    <n v="254.58333333219343"/>
    <s v="found another truck to be offloaded"/>
    <d v="2025-03-02T15:22:00"/>
    <d v="2025-03-02T16:13:00"/>
    <n v="49.93749999863212"/>
    <m/>
    <n v="4.0381944444452529"/>
    <n v="2"/>
    <n v="-2.0381944444452529"/>
    <n v="96.916666666686069"/>
    <n v="48"/>
    <n v="48.916666666686069"/>
    <n v="3.1890971039169633"/>
    <m/>
    <m/>
    <m/>
    <m/>
    <m/>
  </r>
  <r>
    <d v="2025-02-27T00:00:00"/>
    <x v="1"/>
    <m/>
    <s v="Z82846"/>
    <s v="Manual"/>
    <x v="10"/>
    <s v="UBF 367L"/>
    <s v="Kobusinge Steven-FPortal"/>
    <n v="6.3"/>
    <s v="Z82846"/>
    <s v="OM"/>
    <n v="304"/>
    <n v="302"/>
    <n v="-2"/>
    <m/>
    <d v="2025-02-25T21:27:00"/>
    <d v="2025-02-25T20:36:00"/>
    <d v="2025-02-25T22:11:00"/>
    <n v="94.560185180550135"/>
    <n v="43.796296293051761"/>
    <x v="0"/>
    <d v="2025-02-26T12:17:00"/>
    <d v="2025-02-26T20:40:00"/>
    <n v="492.52083332808979"/>
    <s v="Waited for empties from trade"/>
    <d v="2025-02-27T16:32:00"/>
    <d v="2025-02-27T17:32:00"/>
    <n v="58.7499999965803"/>
    <m/>
    <n v="1.7645833333299379"/>
    <n v="2"/>
    <n v="0.23541666667006211"/>
    <n v="42.349999999918509"/>
    <n v="12"/>
    <n v="30.349999999918509"/>
    <n v="0.20757825370731187"/>
    <m/>
    <m/>
    <m/>
    <m/>
    <m/>
  </r>
  <r>
    <d v="2025-02-27T00:00:00"/>
    <x v="1"/>
    <m/>
    <s v="Z82845"/>
    <s v="Manual"/>
    <x v="10"/>
    <s v="UBR 537W"/>
    <s v="Kobusinge Steven-Kamwenge"/>
    <n v="156"/>
    <s v="Z82845"/>
    <s v="OM"/>
    <n v="288"/>
    <n v="290"/>
    <n v="2"/>
    <m/>
    <d v="2025-02-27T12:41:00"/>
    <d v="2025-02-25T16:40:00"/>
    <d v="2025-02-27T13:46:00"/>
    <n v="2693.4722222208316"/>
    <n v="64.699074076391597"/>
    <x v="0"/>
    <d v="2025-02-26T13:06:00"/>
    <d v="2025-02-26T15:12:00"/>
    <n v="123.37500000205182"/>
    <m/>
    <d v="2025-03-02T15:22:00"/>
    <d v="2025-03-02T16:21:00"/>
    <n v="57.770833336981013"/>
    <m/>
    <n v="3.0666666666656965"/>
    <n v="2"/>
    <n v="-1.0666666666656965"/>
    <n v="73.599999999976717"/>
    <n v="36"/>
    <n v="37.599999999976717"/>
    <n v="4.1489361702153351"/>
    <m/>
    <m/>
    <m/>
    <m/>
    <m/>
  </r>
  <r>
    <d v="2025-02-27T00:00:00"/>
    <x v="1"/>
    <m/>
    <s v="A21061"/>
    <s v="Manual"/>
    <x v="38"/>
    <s v="UBK 862R"/>
    <s v="KATO INVESTMENTS LTD-KATIKARA"/>
    <n v="148.80000000000001"/>
    <s v="A21061"/>
    <s v="OM"/>
    <n v="790"/>
    <n v="792"/>
    <n v="2"/>
    <m/>
    <d v="2025-02-26T13:38:00"/>
    <d v="2025-02-25T20:13:00"/>
    <d v="2025-02-26T14:20:00"/>
    <n v="1081.9675925840177"/>
    <n v="41.805555556250816"/>
    <x v="0"/>
    <d v="2025-02-26T12:17:00"/>
    <d v="2025-02-26T20:40:00"/>
    <n v="492.52083332808979"/>
    <s v="slept at the RD and offloaded the next day"/>
    <d v="2025-02-27T15:21:00"/>
    <d v="2025-02-27T16:21:00"/>
    <n v="58.7499999965803"/>
    <m/>
    <n v="1.0423611111109494"/>
    <n v="3"/>
    <n v="1.9576388888890506"/>
    <n v="25.016666666662786"/>
    <n v="12"/>
    <n v="13.016666666662786"/>
    <n v="11.431498079388811"/>
    <m/>
    <m/>
    <m/>
    <m/>
    <m/>
  </r>
  <r>
    <d v="2025-02-27T00:00:00"/>
    <x v="1"/>
    <m/>
    <s v="Z82850"/>
    <s v="Manual"/>
    <x v="35"/>
    <s v="UBP 312H"/>
    <s v="Kabaco U Ltd "/>
    <n v="156"/>
    <s v="Z82850"/>
    <s v="OM"/>
    <n v="320"/>
    <n v="321"/>
    <n v="1"/>
    <m/>
    <d v="2025-02-26T08:44:00"/>
    <d v="2025-02-26T08:59:00"/>
    <d v="2025-02-26T09:27:00"/>
    <n v="27.870370367357584"/>
    <n v="42.80092592986572"/>
    <x v="0"/>
    <d v="2025-02-27T11:43:00"/>
    <d v="2025-02-27T14:21:00"/>
    <n v="154.70833333492919"/>
    <m/>
    <d v="2025-02-27T06:10:00"/>
    <d v="2025-02-27T07:10:00"/>
    <n v="58.7499999965803"/>
    <m/>
    <n v="0.8631944444423425"/>
    <n v="2"/>
    <n v="1.1368055555576575"/>
    <n v="20.71666666661622"/>
    <n v="0"/>
    <n v="20.71666666661622"/>
    <n v="7.5301689461164862"/>
    <m/>
    <m/>
    <m/>
    <m/>
    <m/>
  </r>
  <r>
    <d v="2025-02-27T00:00:00"/>
    <x v="1"/>
    <m/>
    <s v="A21079"/>
    <s v="Manual"/>
    <x v="10"/>
    <s v="UBR 900Y"/>
    <s v="Kato Investment Ltd -Mityana"/>
    <n v="156"/>
    <s v="A21079"/>
    <s v="OM"/>
    <n v="690"/>
    <n v="689"/>
    <n v="-1"/>
    <m/>
    <d v="2025-02-25T21:42:00"/>
    <d v="2025-02-25T22:13:00"/>
    <d v="2025-02-25T22:26:00"/>
    <n v="12.93981481527832"/>
    <n v="43.796296293051761"/>
    <x v="0"/>
    <d v="2025-02-26T09:08:00"/>
    <d v="2025-02-26T15:00:00"/>
    <n v="344.66666666165111"/>
    <s v="Waited for empties from trade"/>
    <d v="2025-02-26T15:57:00"/>
    <d v="2025-02-26T16:55:00"/>
    <n v="56.791666667122627"/>
    <m/>
    <n v="0.72986111111094942"/>
    <n v="3"/>
    <n v="2.2701388888890506"/>
    <n v="17.516666666662786"/>
    <n v="0"/>
    <n v="17.516666666662786"/>
    <n v="8.9058039961960738"/>
    <m/>
    <m/>
    <m/>
    <m/>
    <m/>
  </r>
  <r>
    <d v="2025-02-27T00:00:00"/>
    <x v="1"/>
    <m/>
    <s v="A21077"/>
    <s v="Manual"/>
    <x v="10"/>
    <s v="UBJ 421C"/>
    <s v="Kato Investments Ltd- Kyegegwa"/>
    <n v="156"/>
    <s v="A21077"/>
    <s v="OM"/>
    <n v="600"/>
    <n v="599"/>
    <n v="-1"/>
    <m/>
    <d v="2025-02-25T19:53:00"/>
    <d v="2025-02-25T20:26:00"/>
    <d v="2025-02-25T20:36:00"/>
    <n v="9.9537037048624679"/>
    <n v="42.80092592986572"/>
    <x v="0"/>
    <d v="2025-02-26T08:30:00"/>
    <d v="2025-02-26T12:41:00"/>
    <n v="245.77083333424525"/>
    <s v="Waited for empties from trade"/>
    <d v="2025-02-26T13:39:00"/>
    <d v="2025-02-26T14:55:00"/>
    <n v="74.416666663018987"/>
    <s v="sorting delays"/>
    <n v="0.71041666666860692"/>
    <n v="2"/>
    <n v="1.2895833333313931"/>
    <n v="17.050000000046566"/>
    <n v="0"/>
    <n v="17.050000000046566"/>
    <n v="9.1495601172770638"/>
    <m/>
    <m/>
    <m/>
    <m/>
    <m/>
  </r>
  <r>
    <d v="2025-02-27T00:00:00"/>
    <x v="1"/>
    <m/>
    <s v="Z82849"/>
    <s v="Manual"/>
    <x v="34"/>
    <s v="UBP 301H"/>
    <s v="Kobusinge Steven-FPortal"/>
    <n v="156"/>
    <s v="Z82849"/>
    <s v="OM"/>
    <n v="304"/>
    <n v="302"/>
    <n v="-2"/>
    <m/>
    <d v="2025-02-25T20:45:00"/>
    <d v="2025-02-25T21:08:00"/>
    <d v="2025-02-25T21:29:00"/>
    <n v="20.902777772910969"/>
    <n v="43.796296293051761"/>
    <x v="0"/>
    <d v="2025-02-26T17:37:00"/>
    <d v="2025-02-27T10:24:00"/>
    <n v="986.02083333629707"/>
    <s v="Waited for empties from trade"/>
    <d v="2025-03-08T16:18:00"/>
    <d v="2025-03-08T17:12:00"/>
    <n v="52.87499999794818"/>
    <m/>
    <n v="10.784027777779556"/>
    <n v="2"/>
    <n v="-8.7840277777795563"/>
    <n v="258.81666666670935"/>
    <n v="120"/>
    <n v="138.81666666670935"/>
    <n v="1.1237843678709476"/>
    <m/>
    <m/>
    <m/>
    <m/>
    <m/>
  </r>
  <r>
    <d v="2025-02-27T00:00:00"/>
    <x v="1"/>
    <m/>
    <s v="A21070"/>
    <s v="Manual"/>
    <x v="41"/>
    <s v="UBF 379L"/>
    <s v="Sawan Distributors Ltd-Kayabwe"/>
    <n v="70.2"/>
    <s v="A21070"/>
    <s v="OM"/>
    <n v="382"/>
    <n v="381"/>
    <n v="-1"/>
    <m/>
    <d v="2025-02-25T18:19:00"/>
    <d v="2025-02-25T17:47:00"/>
    <d v="2025-02-25T19:03:00"/>
    <n v="75.6481481444401"/>
    <n v="43.796296293051761"/>
    <x v="0"/>
    <d v="2025-02-26T10:22:00"/>
    <d v="2025-02-26T12:27:00"/>
    <n v="122.39583334245253"/>
    <m/>
    <d v="2025-02-27T10:22:00"/>
    <d v="2025-02-27T11:16:00"/>
    <n v="52.87499999794818"/>
    <m/>
    <n v="1.6381944444437977"/>
    <n v="2"/>
    <n v="0.36180555555620231"/>
    <n v="39.316666666651145"/>
    <n v="12"/>
    <n v="27.316666666651145"/>
    <n v="2.569859670532272"/>
    <m/>
    <m/>
    <m/>
    <m/>
    <m/>
  </r>
  <r>
    <d v="2025-02-27T00:00:00"/>
    <x v="1"/>
    <m/>
    <s v="A21075"/>
    <s v="Manual"/>
    <x v="10"/>
    <s v="UBR 534W"/>
    <s v="Kato Investment Ltd -Kagadi"/>
    <n v="156"/>
    <s v="A21075"/>
    <s v="OM"/>
    <n v="670"/>
    <n v="668"/>
    <n v="-2"/>
    <m/>
    <d v="2025-02-25T18:02:00"/>
    <d v="2025-02-25T18:34:00"/>
    <d v="2025-02-25T18:45:00"/>
    <n v="10.949074078477375"/>
    <n v="42.80092592986572"/>
    <x v="0"/>
    <d v="2025-02-26T16:29:00"/>
    <d v="2025-02-26T19:57:00"/>
    <n v="203.66666667396203"/>
    <s v="Waited for empties from trade"/>
    <d v="2025-02-28T09:37:00"/>
    <d v="2025-02-28T10:31:00"/>
    <n v="52.87499999794818"/>
    <m/>
    <n v="2.6194444444408873"/>
    <n v="2"/>
    <n v="-0.61944444444088731"/>
    <n v="62.866666666581295"/>
    <n v="24"/>
    <n v="38.866666666581295"/>
    <n v="4.0137221269384904"/>
    <m/>
    <m/>
    <m/>
    <m/>
    <m/>
  </r>
  <r>
    <d v="2025-02-27T00:00:00"/>
    <x v="1"/>
    <m/>
    <s v="Z82848"/>
    <s v="Manual"/>
    <x v="10"/>
    <s v="UBP 998T"/>
    <s v="Kobusinge Acaali- Kyenjojo"/>
    <n v="156"/>
    <s v="Z82848"/>
    <s v="OM"/>
    <n v="580"/>
    <n v="579"/>
    <n v="-1"/>
    <m/>
    <d v="2025-02-25T16:24:00"/>
    <d v="2025-02-25T15:51:00"/>
    <d v="2025-02-25T17:08:00"/>
    <n v="76.643518518055018"/>
    <n v="43.796296293051761"/>
    <x v="0"/>
    <d v="2025-02-26T14:31:00"/>
    <d v="2025-02-27T08:24:00"/>
    <n v="1050.6458333315095"/>
    <s v="slept at the RD and offloaded the next day"/>
    <d v="2025-02-27T20:54:00"/>
    <d v="2025-02-27T21:48:00"/>
    <n v="52.87499999794818"/>
    <m/>
    <n v="2.1569444444467081"/>
    <n v="2"/>
    <n v="-0.15694444444670808"/>
    <n v="51.766666666720994"/>
    <n v="24"/>
    <n v="27.766666666720994"/>
    <n v="5.6182472989085754"/>
    <m/>
    <m/>
    <m/>
    <m/>
    <m/>
  </r>
  <r>
    <d v="2025-02-27T00:00:00"/>
    <x v="1"/>
    <m/>
    <s v="Z82847"/>
    <s v="Manual"/>
    <x v="10"/>
    <s v="UBG 082B"/>
    <s v="Bates Enterprises U Ltd"/>
    <n v="156"/>
    <s v="Z82847"/>
    <s v="OM"/>
    <n v="414"/>
    <n v="413"/>
    <n v="-1"/>
    <m/>
    <d v="2025-02-27T04:49:00"/>
    <d v="2025-02-27T05:09:00"/>
    <d v="2025-02-27T05:32:00"/>
    <n v="22.893518520140788"/>
    <n v="42.80092592986572"/>
    <x v="0"/>
    <d v="2025-02-26T16:03:00"/>
    <d v="2025-02-27T12:33:00"/>
    <n v="1204.3750000068394"/>
    <s v="Reached late and offloaded the next day"/>
    <d v="2025-02-27T20:54:00"/>
    <d v="2025-02-27T21:54:00"/>
    <n v="58.7499999965803"/>
    <m/>
    <n v="0.64027777777664596"/>
    <n v="3"/>
    <n v="2.359722222223354"/>
    <n v="15.366666666639503"/>
    <n v="0"/>
    <n v="15.366666666639503"/>
    <n v="10.151843817805364"/>
    <m/>
    <m/>
    <m/>
    <m/>
    <m/>
  </r>
  <r>
    <d v="2025-02-27T00:00:00"/>
    <x v="1"/>
    <m/>
    <s v="A21081"/>
    <s v="Manual"/>
    <x v="47"/>
    <s v="UBR 538W"/>
    <s v="Ntale and Sons Ltd-Kakiri"/>
    <n v="156"/>
    <s v="A21081"/>
    <s v="OM"/>
    <n v="620"/>
    <n v="622"/>
    <n v="2"/>
    <m/>
    <d v="2025-02-25T16:17:00"/>
    <d v="2025-02-25T16:50:00"/>
    <d v="2025-02-25T17:00:00"/>
    <n v="9.9537037048624679"/>
    <n v="42.80092592986572"/>
    <x v="0"/>
    <d v="2025-02-26T08:05:00"/>
    <d v="2025-02-26T09:55:00"/>
    <n v="107.70833333561313"/>
    <m/>
    <d v="2025-02-28T08:38:00"/>
    <d v="2025-02-28T09:35:00"/>
    <n v="55.81249999726424"/>
    <m/>
    <n v="2.6513888888875954"/>
    <n v="3"/>
    <n v="0.34861111111240461"/>
    <n v="63.633333333302289"/>
    <n v="24"/>
    <n v="39.633333333302289"/>
    <n v="3.9360807401208291"/>
    <m/>
    <m/>
    <m/>
    <m/>
    <m/>
  </r>
  <r>
    <d v="2025-02-27T00:00:00"/>
    <x v="1"/>
    <m/>
    <s v="F15998"/>
    <s v="Manual"/>
    <x v="39"/>
    <s v="UBJ 705D"/>
    <s v="Boniface Harera"/>
    <n v="156"/>
    <s v="F15998"/>
    <s v="OM"/>
    <n v="448"/>
    <n v="449"/>
    <n v="1"/>
    <m/>
    <d v="2025-02-26T08:16:00"/>
    <d v="2025-02-26T08:41:00"/>
    <d v="2025-02-26T09:00:00"/>
    <n v="18.912037036110025"/>
    <n v="43.796296293051761"/>
    <x v="0"/>
    <d v="2025-02-28T09:02:00"/>
    <d v="2025-02-28T11:35:00"/>
    <n v="149.81250000615546"/>
    <m/>
    <d v="2025-02-26T10:33:00"/>
    <d v="2025-02-26T11:27:00"/>
    <n v="52.87499999794818"/>
    <m/>
    <n v="6.4583333332848269E-2"/>
    <n v="2"/>
    <n v="1.9354166666671517"/>
    <n v="1.5499999999883585"/>
    <n v="0"/>
    <n v="1.5499999999883585"/>
    <n v="100.64516129107849"/>
    <m/>
    <m/>
    <m/>
    <m/>
    <m/>
  </r>
  <r>
    <d v="2025-02-27T00:00:00"/>
    <x v="1"/>
    <m/>
    <s v="OM9RS70RR"/>
    <s v="DJ"/>
    <x v="24"/>
    <s v="UBP 298H"/>
    <s v="Sawan Distributors Ltd-Nabingo "/>
    <n v="156"/>
    <s v="OM9RS70RR"/>
    <s v="OM"/>
    <n v="560"/>
    <n v="562"/>
    <n v="2"/>
    <m/>
    <d v="2025-02-28T18:19:00"/>
    <d v="2025-02-28T18:20:00"/>
    <d v="2025-02-28T19:03:00"/>
    <n v="42.80092592986572"/>
    <n v="43.796296293051761"/>
    <x v="0"/>
    <d v="2025-02-26T11:18:00"/>
    <d v="2025-02-26T13:39:00"/>
    <n v="138.06249999863212"/>
    <m/>
    <d v="2025-03-01T11:13:00"/>
    <d v="2025-03-01T12:06:00"/>
    <n v="51.895833338348893"/>
    <m/>
    <n v="0.67361111111677019"/>
    <n v="2"/>
    <n v="1.3263888888832298"/>
    <n v="16.166666666802485"/>
    <n v="0"/>
    <n v="16.166666666802485"/>
    <n v="9.6494845360014079"/>
    <m/>
    <m/>
    <m/>
    <m/>
    <m/>
  </r>
  <r>
    <d v="2025-02-27T00:00:00"/>
    <x v="1"/>
    <m/>
    <s v="OMNP0AERR"/>
    <s v="DJ"/>
    <x v="7"/>
    <s v="UAY 526V"/>
    <s v="Ntale and Sons"/>
    <n v="153.6"/>
    <s v="OMNP0AERR"/>
    <s v="OM"/>
    <n v="810"/>
    <n v="809"/>
    <n v="-1"/>
    <m/>
    <d v="2025-03-12T14:10:00"/>
    <d v="2025-03-12T14:29:00"/>
    <d v="2025-03-12T14:52:00"/>
    <n v="22.893518520140788"/>
    <n v="41.805555556250816"/>
    <x v="0"/>
    <d v="2025-02-26T17:19:00"/>
    <d v="2025-02-27T09:39:00"/>
    <n v="959.58333333219343"/>
    <s v="Waited for empties from trade"/>
    <d v="2025-03-27T11:13:00"/>
    <d v="2025-03-27T12:12:00"/>
    <n v="57.770833336981013"/>
    <m/>
    <n v="14.847916666672972"/>
    <n v="2"/>
    <n v="-12.847916666672972"/>
    <n v="356.35000000015134"/>
    <n v="168"/>
    <n v="188.35000000015134"/>
    <n v="0.81550305282652813"/>
    <m/>
    <m/>
    <m/>
    <m/>
    <m/>
  </r>
  <r>
    <d v="2025-02-27T00:00:00"/>
    <x v="1"/>
    <m/>
    <s v="OMUB5G2RR"/>
    <s v="DJ"/>
    <x v="1"/>
    <s v="UBJ 375N"/>
    <s v="Kabaco U Ltd "/>
    <n v="153.6"/>
    <s v="OMUB5G2RR"/>
    <s v="OM"/>
    <n v="320"/>
    <n v="317"/>
    <n v="-3"/>
    <m/>
    <d v="2025-02-26T11:44:00"/>
    <d v="2025-02-26T12:04:00"/>
    <d v="2025-02-26T12:28:00"/>
    <n v="23.888888893755695"/>
    <n v="43.796296293051761"/>
    <x v="0"/>
    <d v="2025-02-27T13:33:00"/>
    <d v="2025-02-27T17:51:00"/>
    <n v="252.62500000273576"/>
    <s v="less casuals and offloaded the next day"/>
    <d v="2025-02-27T15:50:00"/>
    <d v="2025-02-27T16:44:00"/>
    <n v="52.87499999794818"/>
    <m/>
    <n v="1.140277777776646"/>
    <n v="2"/>
    <n v="0.85972222222335404"/>
    <n v="27.366666666639503"/>
    <n v="12"/>
    <n v="15.366666666639503"/>
    <n v="9.9956616052237433"/>
    <m/>
    <m/>
    <m/>
    <m/>
    <m/>
  </r>
  <r>
    <d v="2025-02-27T00:00:00"/>
    <x v="1"/>
    <m/>
    <s v="OMPYKSHRR"/>
    <s v="DJ"/>
    <x v="4"/>
    <s v="UBE 422T"/>
    <s v="Kato Investment Ltd -Mityana"/>
    <n v="153.6"/>
    <s v="OMPYKSHRR"/>
    <s v="OM"/>
    <n v="690"/>
    <n v="689"/>
    <n v="-1"/>
    <m/>
    <d v="2025-02-26T12:29:00"/>
    <d v="2025-02-26T12:49:00"/>
    <d v="2025-02-26T13:12:00"/>
    <n v="22.893518520140788"/>
    <n v="42.80092592986572"/>
    <x v="0"/>
    <d v="2025-02-26T16:15:00"/>
    <d v="2025-02-26T20:15:00"/>
    <n v="234.9999999965803"/>
    <s v="Waited for empties from trade"/>
    <d v="2025-02-26T18:27:00"/>
    <d v="2025-02-26T19:24:00"/>
    <n v="55.81249999726424"/>
    <m/>
    <n v="0.21875"/>
    <n v="2"/>
    <n v="1.78125"/>
    <n v="5.25"/>
    <n v="0"/>
    <n v="5.25"/>
    <n v="29.257142857142856"/>
    <m/>
    <m/>
    <m/>
    <m/>
    <m/>
  </r>
  <r>
    <d v="2025-02-28T00:00:00"/>
    <x v="1"/>
    <m/>
    <s v="Z82866"/>
    <s v="Manual"/>
    <x v="10"/>
    <s v="UBR 533W"/>
    <s v="Kabaco U Ltd "/>
    <n v="156"/>
    <s v="Z82866"/>
    <s v="OM"/>
    <n v="320"/>
    <n v="321"/>
    <n v="1"/>
    <m/>
    <d v="2025-02-27T13:02:00"/>
    <d v="2025-02-25T16:40:00"/>
    <d v="2025-02-27T13:46:00"/>
    <n v="2693.4722222208316"/>
    <n v="43.796296293051761"/>
    <x v="0"/>
    <d v="2025-02-26T08:30:00"/>
    <d v="2025-02-26T12:41:00"/>
    <n v="245.77083333424525"/>
    <s v="Not enough casuals to offload"/>
    <d v="2025-02-28T09:54:00"/>
    <d v="2025-02-28T10:52:00"/>
    <n v="56.791666667122627"/>
    <m/>
    <n v="0.83888888888759539"/>
    <n v="2"/>
    <n v="1.1611111111124046"/>
    <n v="20.133333333302289"/>
    <n v="0"/>
    <n v="20.133333333302289"/>
    <n v="7.7483443708728741"/>
    <m/>
    <m/>
    <m/>
    <m/>
    <m/>
  </r>
  <r>
    <d v="2025-02-28T00:00:00"/>
    <x v="1"/>
    <m/>
    <s v="Z82873"/>
    <s v="Manual"/>
    <x v="37"/>
    <s v="UBK 866R"/>
    <s v="Kobusinge Steven-FPortal"/>
    <n v="156"/>
    <s v="Z82873"/>
    <s v="OM"/>
    <n v="300"/>
    <n v="302"/>
    <n v="2"/>
    <m/>
    <d v="2025-02-26T08:11:00"/>
    <d v="2025-02-26T02:22:00"/>
    <d v="2025-02-26T09:06:00"/>
    <n v="402.12962962638511"/>
    <n v="54.745370371529134"/>
    <x v="0"/>
    <d v="2025-02-26T17:37:00"/>
    <d v="2025-02-27T10:24:00"/>
    <n v="986.02083333629707"/>
    <s v="Waited for empties from trade"/>
    <d v="2025-02-27T22:05:00"/>
    <d v="2025-02-27T22:55:00"/>
    <n v="48.958333328773733"/>
    <m/>
    <n v="1.5409722222248092"/>
    <n v="2"/>
    <n v="0.45902777777519077"/>
    <n v="36.983333333395422"/>
    <n v="12"/>
    <n v="24.983333333395422"/>
    <n v="6.2441627751679381"/>
    <m/>
    <m/>
    <m/>
    <m/>
    <m/>
  </r>
  <r>
    <d v="2025-02-28T00:00:00"/>
    <x v="1"/>
    <m/>
    <s v="Z82867"/>
    <s v="Manual"/>
    <x v="25"/>
    <s v="UBJ 420C"/>
    <s v="Kobusinge Steven-Kamwenge"/>
    <n v="156"/>
    <s v="Z82867"/>
    <s v="OM"/>
    <n v="288"/>
    <n v="287"/>
    <n v="-1"/>
    <m/>
    <d v="2025-02-26T08:43:00"/>
    <d v="2025-02-26T09:00:00"/>
    <d v="2025-02-26T09:27:00"/>
    <n v="26.87500000417155"/>
    <n v="43.796296293051761"/>
    <x v="0"/>
    <d v="2025-02-26T10:22:00"/>
    <d v="2025-02-26T12:27:00"/>
    <n v="122.39583334245253"/>
    <m/>
    <d v="2025-02-26T10:59:00"/>
    <d v="2025-02-26T11:56:00"/>
    <n v="55.81249999726424"/>
    <m/>
    <n v="6.3888888886140194E-2"/>
    <n v="2"/>
    <n v="1.9361111111138598"/>
    <n v="1.5333333332673647"/>
    <n v="0"/>
    <n v="1.5333333332673647"/>
    <n v="101.73913043915974"/>
    <m/>
    <m/>
    <m/>
    <m/>
    <m/>
  </r>
  <r>
    <d v="2025-02-28T00:00:00"/>
    <x v="1"/>
    <m/>
    <s v="Z82872"/>
    <s v="Manual"/>
    <x v="44"/>
    <s v="UBE 684K"/>
    <s v="Kabaco U Ltd "/>
    <n v="156"/>
    <s v="Z82872"/>
    <s v="OM"/>
    <n v="320"/>
    <n v="321"/>
    <n v="1"/>
    <m/>
    <d v="2025-02-26T08:36:00"/>
    <d v="2025-02-26T04:14:00"/>
    <d v="2025-02-26T09:20:00"/>
    <n v="304.58333333541913"/>
    <n v="43.796296293051761"/>
    <x v="0"/>
    <d v="2025-02-26T16:29:00"/>
    <d v="2025-02-26T19:57:00"/>
    <n v="203.66666667396203"/>
    <s v="found another truck to be offloaded"/>
    <d v="2025-03-02T15:22:00"/>
    <d v="2025-03-02T16:20:00"/>
    <n v="56.791666667122627"/>
    <m/>
    <n v="4.2513888888861402"/>
    <n v="2"/>
    <n v="-2.2513888888861402"/>
    <n v="102.03333333326736"/>
    <n v="48"/>
    <n v="54.033333333267365"/>
    <n v="2.8871067242478183"/>
    <m/>
    <m/>
    <m/>
    <m/>
    <m/>
  </r>
  <r>
    <d v="2025-02-28T00:00:00"/>
    <x v="1"/>
    <m/>
    <s v="A21105"/>
    <s v="Manual"/>
    <x v="33"/>
    <s v="UBR 541W"/>
    <s v="Kato Investment Ltd -Kagadi"/>
    <n v="156"/>
    <s v="A21105"/>
    <s v="OM"/>
    <n v="670"/>
    <n v="672"/>
    <n v="2"/>
    <m/>
    <d v="2025-02-26T13:43:00"/>
    <d v="2025-02-26T08:00:00"/>
    <d v="2025-02-26T14:27:00"/>
    <n v="385.20833332707599"/>
    <n v="43.796296293051761"/>
    <x v="0"/>
    <d v="2025-02-26T17:37:00"/>
    <d v="2025-02-27T10:24:00"/>
    <n v="986.02083333629707"/>
    <s v="found another truck at the RD"/>
    <d v="2025-03-02T15:22:00"/>
    <d v="2025-03-02T16:21:00"/>
    <n v="57.770833336981013"/>
    <m/>
    <n v="4.0381944444452529"/>
    <n v="2"/>
    <n v="-2.0381944444452529"/>
    <n v="96.916666666686069"/>
    <n v="48"/>
    <n v="48.916666666686069"/>
    <n v="3.1890971039169633"/>
    <m/>
    <m/>
    <m/>
    <m/>
    <m/>
  </r>
  <r>
    <d v="2025-02-28T00:00:00"/>
    <x v="1"/>
    <m/>
    <s v="Z82868"/>
    <s v="Manual"/>
    <x v="27"/>
    <s v="UBM 648D"/>
    <s v="Kobusinge Acaali- Kyenjojo"/>
    <n v="156"/>
    <s v="Z82868"/>
    <s v="OM"/>
    <n v="580"/>
    <n v="582"/>
    <n v="2"/>
    <m/>
    <d v="2025-02-27T13:03:00"/>
    <d v="2025-02-25T16:40:00"/>
    <d v="2025-02-27T13:46:00"/>
    <n v="2693.4722222208316"/>
    <n v="42.80092592986572"/>
    <x v="0"/>
    <d v="2025-02-26T10:22:00"/>
    <d v="2025-02-26T12:27:00"/>
    <n v="122.39583334245253"/>
    <m/>
    <d v="2025-03-02T15:22:00"/>
    <d v="2025-03-02T16:18:00"/>
    <n v="54.833333337664953"/>
    <m/>
    <n v="3.0666666666656965"/>
    <n v="2"/>
    <n v="-1.0666666666656965"/>
    <n v="73.599999999976717"/>
    <n v="36"/>
    <n v="37.599999999976717"/>
    <n v="4.1489361702153351"/>
    <m/>
    <m/>
    <m/>
    <m/>
    <m/>
  </r>
  <r>
    <d v="2025-02-28T00:00:00"/>
    <x v="1"/>
    <m/>
    <s v="Z82869"/>
    <s v="Manual"/>
    <x v="48"/>
    <s v="UBM 644D"/>
    <s v="Kobusinge Steven-FPortal"/>
    <n v="156"/>
    <s v="Z82869"/>
    <s v="OM"/>
    <n v="304"/>
    <n v="306"/>
    <n v="2"/>
    <m/>
    <d v="2025-02-26T18:26:00"/>
    <d v="2025-02-26T10:00:00"/>
    <d v="2025-02-26T19:09:00"/>
    <n v="546.45833334167639"/>
    <n v="42.80092592986572"/>
    <x v="0"/>
    <d v="2025-02-26T16:29:00"/>
    <d v="2025-02-26T19:57:00"/>
    <n v="203.66666667396203"/>
    <s v="Waited for empties from trade"/>
    <d v="2025-02-28T12:59:00"/>
    <d v="2025-02-28T13:56:00"/>
    <n v="55.81249999726424"/>
    <m/>
    <n v="1.7430555555547471"/>
    <n v="2"/>
    <n v="0.25694444444525288"/>
    <n v="41.833333333313931"/>
    <n v="12"/>
    <n v="29.833333333313931"/>
    <n v="5.22905027933301"/>
    <m/>
    <m/>
    <m/>
    <m/>
    <m/>
  </r>
  <r>
    <d v="2025-02-28T00:00:00"/>
    <x v="1"/>
    <m/>
    <s v="OMATP0LRR"/>
    <s v="DJ"/>
    <x v="17"/>
    <s v="UBA 523T"/>
    <s v="RUGOMA TRADERS CO. LTD NTUNGAM "/>
    <n v="153.6"/>
    <s v="OMATP0LRR"/>
    <s v="OM"/>
    <n v="150"/>
    <n v="149"/>
    <n v="-1"/>
    <m/>
    <d v="2025-02-26T08:23:00"/>
    <d v="2025-02-26T02:22:00"/>
    <d v="2025-02-26T09:06:00"/>
    <n v="402.12962962638511"/>
    <n v="42.80092592986572"/>
    <x v="0"/>
    <d v="2025-02-26T11:18:00"/>
    <d v="2025-02-26T13:39:00"/>
    <n v="138.06249999863212"/>
    <m/>
    <d v="2025-02-26T18:43:00"/>
    <d v="2025-02-26T19:59:00"/>
    <n v="74.416666663018987"/>
    <s v="fueling delays"/>
    <n v="0.40069444444816327"/>
    <n v="1"/>
    <n v="0.59930555555183673"/>
    <n v="9.6166666667559184"/>
    <n v="0"/>
    <n v="9.6166666667559184"/>
    <n v="15.972270363803235"/>
    <m/>
    <m/>
    <m/>
    <m/>
    <m/>
  </r>
  <r>
    <d v="2025-02-28T00:00:00"/>
    <x v="1"/>
    <m/>
    <s v="OMGVHG4RR"/>
    <s v="DJ"/>
    <x v="14"/>
    <s v="UBJ 988D"/>
    <s v="Kabaco U Ltd-Mbarara "/>
    <n v="153.6"/>
    <s v="OMGVHG4RR"/>
    <s v="OM"/>
    <n v="20"/>
    <n v="19"/>
    <n v="-1"/>
    <m/>
    <d v="2025-02-26T13:43:00"/>
    <d v="2025-02-26T08:00:00"/>
    <d v="2025-02-26T14:27:00"/>
    <n v="385.20833332707599"/>
    <n v="43.796296293051761"/>
    <x v="0"/>
    <d v="2025-02-26T16:15:00"/>
    <d v="2025-02-26T20:15:00"/>
    <n v="234.9999999965803"/>
    <s v="Waited for empties from trade"/>
    <d v="2025-02-27T10:46:00"/>
    <d v="2025-02-27T11:44:00"/>
    <n v="56.791666667122627"/>
    <m/>
    <n v="0.84652777777955635"/>
    <n v="3"/>
    <n v="2.1534722222204437"/>
    <n v="20.316666666709352"/>
    <n v="0"/>
    <n v="20.316666666709352"/>
    <n v="7.5602953240202106"/>
    <m/>
    <m/>
    <m/>
    <m/>
    <m/>
  </r>
  <r>
    <d v="2025-02-28T00:00:00"/>
    <x v="1"/>
    <m/>
    <s v="OM17TH5RR"/>
    <s v="DJ"/>
    <x v="2"/>
    <s v="UBE 287X"/>
    <s v="Kabaco U Ltd "/>
    <n v="153.6"/>
    <s v="OM17TH5RR"/>
    <s v="OM"/>
    <n v="320"/>
    <n v="60"/>
    <n v="-260"/>
    <m/>
    <d v="2025-02-26T12:30:00"/>
    <d v="2025-02-26T12:19:00"/>
    <d v="2025-02-26T13:13:00"/>
    <n v="53.749999997914223"/>
    <n v="42.80092592986572"/>
    <x v="0"/>
    <d v="2025-02-27T05:52:00"/>
    <d v="2025-02-27T09:20:00"/>
    <n v="203.66666667396203"/>
    <s v="Dj failure at customer"/>
    <d v="2025-02-28T12:59:00"/>
    <d v="2025-02-28T13:49:00"/>
    <n v="48.958333328773733"/>
    <m/>
    <n v="1.9902777777824667"/>
    <n v="2"/>
    <n v="9.7222222175332718E-3"/>
    <n v="47.766666666779201"/>
    <n v="12"/>
    <n v="35.766666666779201"/>
    <n v="4.2945013979361617"/>
    <m/>
    <m/>
    <m/>
    <m/>
    <m/>
  </r>
  <r>
    <d v="2025-03-01T00:00:00"/>
    <x v="2"/>
    <s v="KESH"/>
    <s v="Z82875"/>
    <s v="Manual"/>
    <x v="24"/>
    <s v="UBP 298H"/>
    <s v="Kobusinge Steven-Kamwenge"/>
    <n v="78"/>
    <s v="Z82875"/>
    <s v="OM"/>
    <n v="288"/>
    <n v="290"/>
    <n v="2"/>
    <m/>
    <d v="2025-03-01T09:42:00"/>
    <d v="2025-03-01T07:00:00"/>
    <d v="2025-03-01T10:11:00"/>
    <n v="190.11574074514405"/>
    <n v="28.865740740972495"/>
    <x v="0"/>
    <d v="2025-02-26T10:22:00"/>
    <d v="2025-02-26T12:27:00"/>
    <n v="122.39583334245253"/>
    <m/>
    <d v="2025-03-04T09:37:00"/>
    <d v="2025-03-04T10:18:00"/>
    <n v="40.145833330825553"/>
    <m/>
    <n v="2.976388888884685"/>
    <n v="2"/>
    <n v="-0.976388888884685"/>
    <n v="71.43333333323244"/>
    <n v="24"/>
    <n v="47.43333333323244"/>
    <n v="1.6444132115284451"/>
    <m/>
    <m/>
    <m/>
    <m/>
    <m/>
  </r>
  <r>
    <d v="2025-03-01T00:00:00"/>
    <x v="2"/>
    <s v="KESH"/>
    <s v="A21137"/>
    <s v="Manual"/>
    <x v="10"/>
    <s v="UBR 864Y"/>
    <s v="Kato Investments Ltd- Kakumiro"/>
    <n v="93.6"/>
    <s v="A21137"/>
    <s v="OM"/>
    <n v="790"/>
    <n v="786"/>
    <n v="-4"/>
    <m/>
    <d v="2025-02-28T10:58:00"/>
    <d v="2025-02-28T11:25:00"/>
    <d v="2025-02-28T11:27:00"/>
    <n v="1.9907407368009444"/>
    <n v="28.865740740972495"/>
    <x v="0"/>
    <d v="2025-02-26T16:29:00"/>
    <d v="2025-02-26T19:57:00"/>
    <n v="203.66666667396203"/>
    <m/>
    <d v="2025-03-02T08:50:00"/>
    <d v="2025-03-02T09:34:00"/>
    <n v="43.083333330141613"/>
    <m/>
    <n v="1.890972222223354"/>
    <n v="3"/>
    <n v="1.109027777776646"/>
    <n v="45.383333333360497"/>
    <n v="12"/>
    <n v="33.383333333360497"/>
    <n v="2.8037943085349126"/>
    <m/>
    <m/>
    <m/>
    <m/>
    <m/>
  </r>
  <r>
    <d v="2025-03-01T00:00:00"/>
    <x v="2"/>
    <s v="KESH"/>
    <s v="A21138"/>
    <s v="Manual"/>
    <x v="10"/>
    <s v="UBR 903Y"/>
    <s v="KATO INVESTMENTS LTD-KATIKARA"/>
    <n v="78"/>
    <s v="A21138"/>
    <s v="OM"/>
    <n v="790"/>
    <n v="787"/>
    <n v="-3"/>
    <m/>
    <d v="2025-03-01T11:18:00"/>
    <d v="2025-03-01T14:52:00"/>
    <d v="2025-03-01T12:11:00"/>
    <n v="-160.25462962012776"/>
    <n v="52.75462963472819"/>
    <x v="9"/>
    <d v="2025-03-03T08:07:00"/>
    <d v="2025-03-03T11:55:00"/>
    <n v="223.25000000957516"/>
    <m/>
    <d v="2025-03-02T08:50:00"/>
    <d v="2025-03-02T09:34:00"/>
    <n v="43.083333330141613"/>
    <m/>
    <n v="0.86041666666278616"/>
    <n v="3"/>
    <n v="2.1395833333372138"/>
    <n v="20.649999999906868"/>
    <n v="0"/>
    <n v="20.649999999906868"/>
    <n v="3.7772397094601349"/>
    <m/>
    <m/>
    <m/>
    <m/>
    <m/>
  </r>
  <r>
    <d v="2025-03-01T00:00:00"/>
    <x v="2"/>
    <s v="KESH"/>
    <s v="F16011"/>
    <s v="Manual"/>
    <x v="46"/>
    <s v="UBE 678K"/>
    <s v="Boniface Harera"/>
    <n v="156"/>
    <s v="F16011"/>
    <s v="OM"/>
    <n v="448"/>
    <n v="452"/>
    <n v="4"/>
    <m/>
    <d v="2025-02-28T16:21:00"/>
    <d v="2025-03-01T02:46:00"/>
    <d v="2025-02-28T16:48:00"/>
    <n v="-595.23148148194502"/>
    <n v="26.87500000417155"/>
    <x v="0"/>
    <d v="2025-03-01T10:47:00"/>
    <d v="2025-03-01T13:48:00"/>
    <n v="177.22916665959929"/>
    <m/>
    <d v="2025-03-03T10:07:00"/>
    <d v="2025-03-03T11:01:00"/>
    <n v="52.87499999794818"/>
    <m/>
    <n v="2.7215277777795563"/>
    <n v="2"/>
    <n v="-0.72152777777955635"/>
    <n v="65.316666666709352"/>
    <n v="24"/>
    <n v="41.316666666709352"/>
    <n v="3.7757160145180837"/>
    <m/>
    <m/>
    <m/>
    <m/>
    <m/>
  </r>
  <r>
    <d v="2025-03-01T00:00:00"/>
    <x v="2"/>
    <s v="KESH"/>
    <s v="F16012"/>
    <s v="Manual"/>
    <x v="10"/>
    <s v="UBG 084B"/>
    <s v="Boniface Harera"/>
    <n v="156"/>
    <s v="F16012"/>
    <s v="OM"/>
    <n v="448"/>
    <n v="449"/>
    <n v="1"/>
    <m/>
    <d v="2025-02-28T15:47:00"/>
    <d v="2025-03-01T02:46:00"/>
    <d v="2025-02-28T16:15:00"/>
    <n v="-628.07870369651937"/>
    <n v="27.870370367357584"/>
    <x v="0"/>
    <d v="2025-03-01T16:42:00"/>
    <d v="2025-03-01T18:42:00"/>
    <n v="117.5000000034197"/>
    <m/>
    <d v="2025-03-02T08:24:00"/>
    <d v="2025-03-02T09:05:00"/>
    <n v="40.145833330825553"/>
    <m/>
    <n v="1.6729166666627862"/>
    <n v="2"/>
    <n v="0.32708333333721384"/>
    <n v="40.149999999906868"/>
    <n v="12"/>
    <n v="28.149999999906868"/>
    <n v="5.5417406749739291"/>
    <m/>
    <m/>
    <m/>
    <m/>
    <m/>
  </r>
  <r>
    <d v="2025-03-02T00:00:00"/>
    <x v="2"/>
    <s v="KESH"/>
    <s v="A21157"/>
    <s v="Manual"/>
    <x v="10"/>
    <s v="UBE 692K"/>
    <s v="KATO INVESTMENTS LTD-KATIKARA"/>
    <n v="156"/>
    <s v="A21157"/>
    <s v="OM"/>
    <n v="790"/>
    <n v="794"/>
    <n v="4"/>
    <m/>
    <d v="2025-02-28T18:50:00"/>
    <d v="2025-03-01T07:00:00"/>
    <d v="2025-02-28T19:42:00"/>
    <n v="-674.86111111041589"/>
    <n v="51.759259261113279"/>
    <x v="9"/>
    <d v="2025-03-03T10:31:00"/>
    <d v="2025-03-04T14:37:00"/>
    <n v="1650.8749999952124"/>
    <m/>
    <d v="2025-03-01T13:44:00"/>
    <d v="2025-03-01T14:27:00"/>
    <n v="42.104166670542327"/>
    <m/>
    <n v="0.75138888889341615"/>
    <n v="3"/>
    <n v="2.2486111111065838"/>
    <n v="18.033333333441988"/>
    <n v="0"/>
    <n v="18.033333333441988"/>
    <n v="8.6506469500402989"/>
    <m/>
    <m/>
    <m/>
    <m/>
    <m/>
  </r>
  <r>
    <d v="2025-03-02T00:00:00"/>
    <x v="2"/>
    <s v="KESH"/>
    <s v="Z82879"/>
    <s v="Manual"/>
    <x v="10"/>
    <s v="UBP 294H"/>
    <s v="Kobusinge Steven-FPortal"/>
    <n v="156"/>
    <s v="Z82879"/>
    <s v="OM"/>
    <n v="304"/>
    <n v="308"/>
    <n v="4"/>
    <m/>
    <d v="2025-02-28T17:19:00"/>
    <d v="2025-03-01T07:00:00"/>
    <d v="2025-02-28T17:48:00"/>
    <n v="-788.33333332707605"/>
    <n v="28.865740740972495"/>
    <x v="0"/>
    <d v="2025-03-02T13:10:00"/>
    <d v="2025-03-02T17:19:00"/>
    <n v="243.81250000478758"/>
    <m/>
    <d v="2025-03-03T13:03:00"/>
    <d v="2025-03-03T13:47:00"/>
    <n v="43.083333330141613"/>
    <s v="sorting delays"/>
    <n v="2.8020833333284827"/>
    <n v="2"/>
    <n v="-0.80208333332848269"/>
    <n v="67.249999999883585"/>
    <n v="24"/>
    <n v="43.249999999883585"/>
    <n v="3.6069364161946798"/>
    <m/>
    <m/>
    <m/>
    <m/>
    <m/>
  </r>
  <r>
    <d v="2025-03-02T00:00:00"/>
    <x v="2"/>
    <s v="NBL"/>
    <s v="OMY4VRCRR"/>
    <s v="DJ"/>
    <x v="20"/>
    <s v="UAY 265V"/>
    <s v="Kato Investment Ltd -Mityana"/>
    <n v="153.6"/>
    <s v="OMY4VRCRR"/>
    <s v="OM"/>
    <n v="690"/>
    <n v="694"/>
    <n v="4"/>
    <m/>
    <d v="2025-03-02T12:07:00"/>
    <d v="2025-03-01T21:30:00"/>
    <d v="2025-03-02T12:59:00"/>
    <n v="924.69907407430583"/>
    <n v="51.759259261113279"/>
    <x v="10"/>
    <d v="2025-03-03T10:31:00"/>
    <d v="2025-03-04T14:37:00"/>
    <n v="1650.8749999952124"/>
    <m/>
    <d v="2025-03-04T13:44:00"/>
    <d v="2025-03-04T14:28:00"/>
    <n v="43.083333330141613"/>
    <m/>
    <n v="2.03125"/>
    <n v="3"/>
    <n v="0.96875"/>
    <n v="48.75"/>
    <n v="24"/>
    <n v="24.75"/>
    <n v="6.2060606060606061"/>
    <m/>
    <m/>
    <m/>
    <m/>
    <m/>
  </r>
  <r>
    <d v="2025-03-02T00:00:00"/>
    <x v="2"/>
    <s v="NBL"/>
    <s v="OMEZ1JZRR"/>
    <s v="DJ"/>
    <x v="17"/>
    <s v="UBA 523T"/>
    <s v="Kato Investments Ltd-Bulenga"/>
    <n v="153.6"/>
    <s v="OMEZ1JZRR"/>
    <s v="OM"/>
    <n v="560"/>
    <n v="564"/>
    <n v="4"/>
    <m/>
    <d v="2025-03-02T12:06:00"/>
    <d v="2025-03-01T21:30:00"/>
    <d v="2025-03-02T12:33:00"/>
    <n v="898.81944444374915"/>
    <n v="26.87500000417155"/>
    <x v="0"/>
    <d v="2025-03-03T11:15:00"/>
    <d v="2025-03-04T12:16:00"/>
    <n v="1469.7291666664387"/>
    <s v="less casuals and offloaded the next day"/>
    <d v="2025-03-03T13:01:00"/>
    <d v="2025-03-03T14:23:00"/>
    <n v="80.291666661651107"/>
    <s v="dj failures at the gate"/>
    <n v="1.0194444444423425"/>
    <n v="3"/>
    <n v="1.9805555555576575"/>
    <n v="24.46666666661622"/>
    <n v="12"/>
    <n v="12.46666666661622"/>
    <n v="12.320855615023119"/>
    <m/>
    <m/>
    <m/>
    <m/>
    <m/>
  </r>
  <r>
    <d v="2025-03-02T00:00:00"/>
    <x v="2"/>
    <s v="NBL"/>
    <s v="OMOK60URR"/>
    <s v="DJ"/>
    <x v="2"/>
    <s v="UBE 287X"/>
    <s v="Kabaco U Ltd "/>
    <n v="153.6"/>
    <s v="OMOK60URR"/>
    <s v="OM"/>
    <n v="320"/>
    <n v="324"/>
    <n v="4"/>
    <m/>
    <d v="2025-03-02T11:58:00"/>
    <d v="2025-03-02T02:22:00"/>
    <d v="2025-03-02T12:23:00"/>
    <n v="598.2175925923608"/>
    <n v="24.884259256941732"/>
    <x v="0"/>
    <d v="2025-03-03T11:05:00"/>
    <d v="2025-03-03T14:51:00"/>
    <n v="221.29166666985839"/>
    <m/>
    <d v="2025-03-03T17:12:00"/>
    <d v="2025-03-03T17:56:00"/>
    <n v="43.083333330141613"/>
    <m/>
    <n v="1.2006944444437977"/>
    <n v="2"/>
    <n v="0.79930555555620231"/>
    <n v="28.816666666651145"/>
    <n v="12"/>
    <n v="16.816666666651145"/>
    <n v="9.1337958374712649"/>
    <m/>
    <m/>
    <m/>
    <m/>
    <m/>
  </r>
  <r>
    <d v="2025-03-02T00:00:00"/>
    <x v="2"/>
    <s v="NBL"/>
    <s v="OMZH3MWRR"/>
    <s v="DJ"/>
    <x v="1"/>
    <s v="UBJ 375N"/>
    <s v="KATO INVESTMENTS LIMITED-MASAK "/>
    <n v="153.6"/>
    <s v="OMZH3MWRR"/>
    <s v="OM"/>
    <n v="298"/>
    <n v="302"/>
    <n v="4"/>
    <m/>
    <d v="2025-03-02T08:38:00"/>
    <d v="2025-03-02T04:14:00"/>
    <d v="2025-03-02T09:07:00"/>
    <n v="291.64351852014079"/>
    <n v="28.865740740972495"/>
    <x v="0"/>
    <d v="2025-03-02T13:10:00"/>
    <d v="2025-03-02T17:19:00"/>
    <n v="243.81250000478758"/>
    <m/>
    <d v="2025-03-03T13:03:00"/>
    <d v="2025-03-03T13:47:00"/>
    <n v="43.083333330141613"/>
    <m/>
    <n v="1.163888888884685"/>
    <n v="2"/>
    <n v="0.836111111115315"/>
    <n v="27.93333333323244"/>
    <n v="12"/>
    <n v="15.93333333323244"/>
    <n v="9.6401673640777794"/>
    <m/>
    <m/>
    <m/>
    <m/>
    <m/>
  </r>
  <r>
    <d v="2025-03-03T00:00:00"/>
    <x v="2"/>
    <s v="KESH"/>
    <s v="A21167"/>
    <s v="Manual"/>
    <x v="10"/>
    <s v="UBR 537W"/>
    <s v="Sawan Distributors Ltd-Nabingo"/>
    <n v="78"/>
    <s v="A21167"/>
    <s v="OM"/>
    <n v="560"/>
    <n v="562"/>
    <n v="2"/>
    <m/>
    <d v="2025-02-28T15:24:00"/>
    <d v="2025-03-01T07:40:00"/>
    <d v="2025-02-28T15:53:00"/>
    <n v="-942.61574073680094"/>
    <n v="28.865740740972495"/>
    <x v="0"/>
    <d v="2025-03-03T10:06:00"/>
    <d v="2025-03-03T13:46:00"/>
    <n v="215.41666667122627"/>
    <s v="found another truck at the RD and offloaded the next day"/>
    <d v="2025-03-01T22:50:00"/>
    <d v="2025-03-01T23:41:00"/>
    <n v="49.93749999863212"/>
    <m/>
    <n v="1.2895833333313931"/>
    <n v="2"/>
    <n v="0.71041666666860692"/>
    <n v="30.949999999953434"/>
    <n v="12"/>
    <n v="18.949999999953434"/>
    <n v="4.1160949868175027"/>
    <m/>
    <m/>
    <m/>
    <m/>
    <m/>
  </r>
  <r>
    <d v="2025-03-03T00:00:00"/>
    <x v="2"/>
    <s v="KESH"/>
    <s v="Z82900"/>
    <s v="Manual"/>
    <x v="35"/>
    <s v="UBP 312H"/>
    <s v="Kobusinge Steven-FPortal"/>
    <n v="156"/>
    <s v="Z82900"/>
    <s v="OM"/>
    <n v="304"/>
    <n v="307"/>
    <n v="3"/>
    <m/>
    <d v="2025-02-28T12:15:00"/>
    <d v="2025-02-28T11:46:00"/>
    <d v="2025-02-28T12:44:00"/>
    <n v="57.731481481944989"/>
    <n v="28.865740740972495"/>
    <x v="0"/>
    <d v="2025-03-03T10:41:00"/>
    <d v="2025-03-03T13:48:00"/>
    <n v="183.10416665823141"/>
    <s v="found another truck at the RD"/>
    <d v="2025-03-02T07:57:00"/>
    <d v="2025-03-02T08:56:00"/>
    <n v="57.770833336981013"/>
    <m/>
    <n v="1.8006944444496185"/>
    <n v="2"/>
    <n v="0.19930555555038154"/>
    <n v="43.216666666790843"/>
    <n v="12"/>
    <n v="31.216666666790843"/>
    <n v="4.9973304858316965"/>
    <m/>
    <m/>
    <m/>
    <m/>
    <m/>
  </r>
  <r>
    <d v="2025-03-03T00:00:00"/>
    <x v="2"/>
    <s v="KESH"/>
    <s v="Z82902"/>
    <s v="Manual"/>
    <x v="39"/>
    <s v="UBJ 705D"/>
    <s v="Kobusinge Steven-FPortal"/>
    <n v="156"/>
    <s v="Z82902"/>
    <s v="OM"/>
    <n v="304"/>
    <n v="307"/>
    <n v="3"/>
    <m/>
    <d v="2025-02-28T15:01:00"/>
    <d v="2025-02-28T13:09:00"/>
    <d v="2025-02-28T15:54:00"/>
    <n v="164.23611110415854"/>
    <n v="52.75462963472819"/>
    <x v="9"/>
    <d v="2025-03-03T16:31:00"/>
    <d v="2025-03-03T18:42:00"/>
    <n v="128.27083333082555"/>
    <m/>
    <d v="2025-03-01T16:25:00"/>
    <d v="2025-03-01T17:22:00"/>
    <n v="55.81249999726424"/>
    <m/>
    <n v="1.0215277777824667"/>
    <n v="2"/>
    <n v="0.97847222221753327"/>
    <n v="24.516666666779201"/>
    <n v="12"/>
    <n v="12.516666666779201"/>
    <n v="12.463382157011779"/>
    <m/>
    <m/>
    <m/>
    <m/>
    <m/>
  </r>
  <r>
    <d v="2025-03-03T00:00:00"/>
    <x v="2"/>
    <s v="KESH"/>
    <s v="A21166"/>
    <s v="Manual"/>
    <x v="51"/>
    <s v="UBR 536W"/>
    <s v="Sawan Distributors Ltd-Kayabwe"/>
    <n v="78"/>
    <s v="A21166"/>
    <s v="OM"/>
    <n v="382"/>
    <n v="381"/>
    <n v="-1"/>
    <m/>
    <d v="2025-03-02T12:29:00"/>
    <d v="2025-03-01T21:30:00"/>
    <d v="2025-03-02T12:59:00"/>
    <n v="924.69907407430583"/>
    <n v="29.861111114587402"/>
    <x v="0"/>
    <d v="2025-03-03T20:25:00"/>
    <d v="2025-03-04T11:12:00"/>
    <n v="868.52083333287737"/>
    <m/>
    <d v="2025-03-04T13:29:00"/>
    <d v="2025-03-04T14:13:00"/>
    <n v="43.083333330141613"/>
    <m/>
    <n v="2.0208333333284827"/>
    <n v="2"/>
    <n v="-2.0833333328482695E-2"/>
    <n v="48.499999999883585"/>
    <n v="24"/>
    <n v="24.499999999883585"/>
    <n v="3.183673469402883"/>
    <m/>
    <m/>
    <m/>
    <m/>
    <m/>
  </r>
  <r>
    <d v="2025-03-03T00:00:00"/>
    <x v="2"/>
    <s v="KESH"/>
    <s v="Z82903"/>
    <s v="Manual"/>
    <x v="38"/>
    <s v="UBK 862R"/>
    <s v="Kobusinge Steven-Kamwenge"/>
    <n v="156"/>
    <s v="Z82903"/>
    <s v="OM"/>
    <n v="288"/>
    <n v="289"/>
    <n v="1"/>
    <m/>
    <d v="2025-03-02T11:55:00"/>
    <d v="2025-03-02T02:22:00"/>
    <d v="2025-03-02T12:23:00"/>
    <n v="598.2175925923608"/>
    <n v="27.870370367357584"/>
    <x v="0"/>
    <d v="2025-03-03T17:08:00"/>
    <d v="2025-03-04T15:18:00"/>
    <n v="1302.2916666643869"/>
    <m/>
    <d v="2025-03-05T14:55:00"/>
    <d v="2025-03-05T15:39:00"/>
    <n v="43.083333330141613"/>
    <m/>
    <n v="3.1055555555576575"/>
    <n v="2"/>
    <n v="-1.1055555555576575"/>
    <n v="74.53333333338378"/>
    <n v="36"/>
    <n v="38.53333333338378"/>
    <n v="4.0484429065690941"/>
    <m/>
    <m/>
    <m/>
    <m/>
    <m/>
  </r>
  <r>
    <d v="2025-03-03T00:00:00"/>
    <x v="2"/>
    <s v="KESH"/>
    <s v="Z82901"/>
    <s v="Manual"/>
    <x v="10"/>
    <s v="UBR 534W"/>
    <s v="Kobusinge Acaali- Kyenjojo"/>
    <n v="156"/>
    <s v="Z82901"/>
    <s v="OM"/>
    <n v="580"/>
    <n v="576"/>
    <n v="-4"/>
    <m/>
    <d v="2025-03-02T08:38:00"/>
    <d v="2025-03-02T04:14:00"/>
    <d v="2025-03-02T09:07:00"/>
    <n v="291.64351852014079"/>
    <n v="28.865740740972495"/>
    <x v="0"/>
    <d v="2025-03-03T09:15:00"/>
    <d v="2025-03-03T12:05:00"/>
    <n v="166.45833333219343"/>
    <m/>
    <d v="2025-03-03T13:24:00"/>
    <d v="2025-03-03T14:08:00"/>
    <n v="43.083333330141613"/>
    <m/>
    <n v="1.1784722222218988"/>
    <n v="2"/>
    <n v="0.82152777777810115"/>
    <n v="28.283333333325572"/>
    <n v="12"/>
    <n v="16.283333333325572"/>
    <n v="9.5803480040987328"/>
    <m/>
    <m/>
    <m/>
    <m/>
    <m/>
  </r>
  <r>
    <d v="2025-03-03T00:00:00"/>
    <x v="2"/>
    <s v="KESH"/>
    <s v="Z82888"/>
    <s v="Manual"/>
    <x v="41"/>
    <s v="UBF 379L"/>
    <s v="Kobusinge Steven-Kamwenge"/>
    <n v="156"/>
    <s v="Z82888"/>
    <s v="OM"/>
    <n v="288"/>
    <n v="285"/>
    <n v="-3"/>
    <m/>
    <d v="2025-03-01T21:27:00"/>
    <d v="2025-03-01T22:00:00"/>
    <d v="2025-03-01T22:20:00"/>
    <n v="19.907407409724936"/>
    <n v="52.75462963472819"/>
    <x v="9"/>
    <d v="2025-03-03T13:05:00"/>
    <d v="2025-03-03T16:36:00"/>
    <n v="206.60416666301899"/>
    <s v="Reached late and offloaded the next day"/>
    <d v="2025-03-04T13:22:00"/>
    <d v="2025-03-04T14:44:00"/>
    <n v="80.291666661651107"/>
    <s v="fueling delays"/>
    <n v="2.6263888888861402"/>
    <n v="2"/>
    <n v="-0.62638888888614019"/>
    <n v="63.033333333267365"/>
    <n v="24"/>
    <n v="39.033333333267365"/>
    <n v="3.9965841161468059"/>
    <m/>
    <m/>
    <m/>
    <m/>
    <m/>
  </r>
  <r>
    <d v="2025-03-03T00:00:00"/>
    <x v="2"/>
    <s v="KESH"/>
    <s v="Z82887"/>
    <s v="Manual"/>
    <x v="10"/>
    <s v="UBR 533W"/>
    <s v="Kobusinge Steven-FPortal"/>
    <n v="156"/>
    <s v="Z82887"/>
    <s v="OM"/>
    <n v="304"/>
    <n v="306"/>
    <n v="2"/>
    <m/>
    <d v="2025-03-01T22:07:00"/>
    <d v="2025-03-02T02:46:00"/>
    <d v="2025-03-01T22:36:00"/>
    <n v="-248.84259259027507"/>
    <n v="28.865740740972495"/>
    <x v="0"/>
    <d v="2025-03-03T11:11:00"/>
    <d v="2025-03-03T14:32:00"/>
    <n v="196.81250000547152"/>
    <m/>
    <d v="2025-03-04T17:28:00"/>
    <d v="2025-03-04T18:12:00"/>
    <n v="43.083333330141613"/>
    <m/>
    <n v="2.7861111111124046"/>
    <n v="2"/>
    <n v="-0.78611111111240461"/>
    <n v="66.866666666697711"/>
    <n v="24"/>
    <n v="42.866666666697711"/>
    <n v="3.6391912908216257"/>
    <m/>
    <m/>
    <m/>
    <m/>
    <m/>
  </r>
  <r>
    <d v="2025-03-03T00:00:00"/>
    <x v="2"/>
    <s v="KESH"/>
    <s v="F16015"/>
    <s v="Manual"/>
    <x v="45"/>
    <s v="UBP 310H"/>
    <s v="Boniface Harera"/>
    <n v="156"/>
    <s v="F16015"/>
    <s v="OM"/>
    <n v="448"/>
    <n v="445"/>
    <n v="-3"/>
    <m/>
    <d v="2025-03-01T21:22:00"/>
    <d v="2025-03-02T05:52:00"/>
    <d v="2025-03-01T21:50:00"/>
    <n v="-479.76851851805503"/>
    <n v="27.870370367357584"/>
    <x v="0"/>
    <d v="2025-03-03T14:49:00"/>
    <d v="2025-03-04T10:58:00"/>
    <n v="1183.8125000013679"/>
    <s v="Waited for empties from trade"/>
    <d v="2025-03-03T18:52:00"/>
    <d v="2025-03-03T19:42:00"/>
    <n v="48.958333328773733"/>
    <m/>
    <n v="1.8763888888934162"/>
    <n v="2"/>
    <n v="0.12361111110658385"/>
    <n v="45.033333333441988"/>
    <n v="12"/>
    <n v="33.033333333441988"/>
    <n v="4.7225025226888055"/>
    <m/>
    <m/>
    <m/>
    <m/>
    <m/>
  </r>
  <r>
    <d v="2025-03-03T00:00:00"/>
    <x v="2"/>
    <s v="NBL"/>
    <s v="OMPNM07RR"/>
    <s v="DJ"/>
    <x v="12"/>
    <s v="UBJ 415C"/>
    <s v="Kabaco U Ltd "/>
    <n v="153.6"/>
    <s v="OMPNM07RR"/>
    <s v="OM"/>
    <n v="320"/>
    <n v="302"/>
    <n v="-18"/>
    <m/>
    <d v="2025-03-03T07:56:00"/>
    <d v="2025-03-03T02:22:00"/>
    <d v="2025-03-03T08:24:00"/>
    <n v="360.32407407013426"/>
    <n v="27.870370367357584"/>
    <x v="0"/>
    <d v="2025-03-03T11:11:00"/>
    <d v="2025-03-03T14:32:00"/>
    <n v="196.81250000547152"/>
    <m/>
    <d v="2025-03-04T17:28:00"/>
    <d v="2025-03-04T18:12:00"/>
    <n v="43.083333330141613"/>
    <m/>
    <n v="1.3777777777795563"/>
    <n v="2"/>
    <n v="0.62222222222044365"/>
    <n v="33.066666666709352"/>
    <n v="12"/>
    <n v="21.066666666709352"/>
    <n v="7.2911392404915558"/>
    <m/>
    <m/>
    <m/>
    <m/>
    <m/>
  </r>
  <r>
    <d v="2025-03-03T00:00:00"/>
    <x v="2"/>
    <s v="NBL"/>
    <s v="OM2MDORRR"/>
    <s v="DJ"/>
    <x v="14"/>
    <s v="UBJ 988D"/>
    <s v="Kabaco U Ltd-Mbarara "/>
    <n v="153.6"/>
    <s v="OM2MDORRR"/>
    <s v="OM"/>
    <n v="20"/>
    <n v="17"/>
    <n v="-3"/>
    <m/>
    <d v="2025-03-03T06:31:00"/>
    <d v="2025-03-03T07:42:00"/>
    <d v="2025-03-03T07:00:00"/>
    <n v="-41.805555556250816"/>
    <n v="28.865740740972495"/>
    <x v="0"/>
    <d v="2025-03-03T09:15:00"/>
    <d v="2025-03-03T11:58:00"/>
    <n v="159.60416666370293"/>
    <m/>
    <d v="2025-03-03T13:24:00"/>
    <d v="2025-03-03T14:14:00"/>
    <n v="48.958333328773733"/>
    <m/>
    <n v="0.26666666667006211"/>
    <n v="3"/>
    <n v="2.7333333333299379"/>
    <n v="6.4000000000814907"/>
    <n v="0"/>
    <n v="6.4000000000814907"/>
    <n v="23.99999999969441"/>
    <m/>
    <m/>
    <m/>
    <m/>
    <m/>
  </r>
  <r>
    <d v="2025-03-03T00:00:00"/>
    <x v="2"/>
    <s v="NBL"/>
    <s v="OMVRA7NRR"/>
    <s v="DJ"/>
    <x v="7"/>
    <s v="UAY 526V"/>
    <s v="Ntale and Sons"/>
    <n v="153.6"/>
    <s v="OMVRA7NRR"/>
    <s v="OM"/>
    <n v="810"/>
    <n v="812"/>
    <n v="2"/>
    <m/>
    <d v="2025-03-02T19:04:00"/>
    <d v="2025-03-02T22:00:00"/>
    <d v="2025-03-02T19:33:00"/>
    <n v="-146.31944444166342"/>
    <n v="28.865740740972495"/>
    <x v="0"/>
    <d v="2025-03-03T14:49:00"/>
    <d v="2025-03-04T10:58:00"/>
    <n v="1183.8125000013679"/>
    <m/>
    <d v="2025-03-03T18:52:00"/>
    <d v="2025-03-03T19:36:00"/>
    <n v="43.083333330141613"/>
    <m/>
    <n v="0.97152777777955635"/>
    <n v="3"/>
    <n v="2.0284722222204437"/>
    <n v="23.316666666709352"/>
    <n v="0"/>
    <n v="23.316666666709352"/>
    <n v="6.587562544662708"/>
    <m/>
    <m/>
    <m/>
    <m/>
    <m/>
  </r>
  <r>
    <d v="2025-03-03T00:00:00"/>
    <x v="2"/>
    <s v="NBL"/>
    <s v="OMGDQSGRR"/>
    <s v="DJ"/>
    <x v="8"/>
    <s v="UBK 875R"/>
    <s v="KATO INVESTMENTS LIMITED-MASAK "/>
    <n v="153.6"/>
    <s v="OMGDQSGRR"/>
    <s v="OM"/>
    <n v="298"/>
    <n v="295"/>
    <n v="-3"/>
    <m/>
    <d v="2025-03-02T19:44:00"/>
    <d v="2025-03-03T04:14:00"/>
    <d v="2025-03-02T20:11:00"/>
    <n v="-480.76388889166992"/>
    <n v="26.87500000417155"/>
    <x v="0"/>
    <d v="2025-03-03T13:05:00"/>
    <d v="2025-03-03T16:36:00"/>
    <n v="206.60416666301899"/>
    <s v="found another truck at the RD"/>
    <d v="2025-03-04T13:22:00"/>
    <d v="2025-03-04T14:12:00"/>
    <n v="48.958333328773733"/>
    <m/>
    <n v="1.7159722222204437"/>
    <n v="2"/>
    <n v="0.28402777777955635"/>
    <n v="41.183333333290648"/>
    <n v="12"/>
    <n v="29.183333333290648"/>
    <n v="5.2632781267923932"/>
    <m/>
    <m/>
    <m/>
    <m/>
    <m/>
  </r>
  <r>
    <d v="2025-03-04T00:00:00"/>
    <x v="2"/>
    <s v="KESH"/>
    <s v="A21198"/>
    <s v="Manual"/>
    <x v="44"/>
    <s v="UBE 684K"/>
    <s v="KATO INVESTMENTS LTD-KATIKARA"/>
    <n v="156"/>
    <s v="A21198"/>
    <s v="OM"/>
    <n v="790"/>
    <n v="792"/>
    <n v="2"/>
    <m/>
    <d v="2025-03-03T09:02:00"/>
    <d v="2025-03-02T14:52:00"/>
    <d v="2025-03-03T09:54:00"/>
    <n v="1136.7129629659757"/>
    <n v="51.759259261113279"/>
    <x v="1"/>
    <d v="2025-03-04T15:18:00"/>
    <d v="2025-03-04T17:47:00"/>
    <n v="145.89583333698101"/>
    <m/>
    <d v="2025-03-05T09:40:00"/>
    <d v="2025-03-05T10:24:00"/>
    <n v="43.083333330141613"/>
    <m/>
    <n v="1.9902777777824667"/>
    <n v="3"/>
    <n v="1.0097222222175333"/>
    <n v="47.766666666779201"/>
    <n v="12"/>
    <n v="35.766666666779201"/>
    <n v="4.3616029822789146"/>
    <m/>
    <m/>
    <m/>
    <m/>
    <m/>
  </r>
  <r>
    <d v="2025-03-04T00:00:00"/>
    <x v="2"/>
    <s v="KESH"/>
    <s v="A21204"/>
    <s v="Manual"/>
    <x v="36"/>
    <s v="UBE 680K"/>
    <s v="Kato Investment Ltd -Mityana"/>
    <n v="156"/>
    <s v="A21204"/>
    <s v="OM"/>
    <n v="690"/>
    <n v="692"/>
    <n v="2"/>
    <m/>
    <d v="2025-03-04T12:08:00"/>
    <d v="2025-03-04T03:42:00"/>
    <d v="2025-03-04T12:37:00"/>
    <n v="532.52314814235433"/>
    <n v="28.865740740972495"/>
    <x v="0"/>
    <d v="2025-03-05T09:22:00"/>
    <d v="2025-03-05T16:05:00"/>
    <n v="394.60416667054233"/>
    <m/>
    <d v="2025-03-05T11:09:00"/>
    <d v="2025-03-05T11:53:00"/>
    <n v="43.083333330141613"/>
    <s v="pre trip inspections"/>
    <n v="0.93888888889341615"/>
    <n v="3"/>
    <n v="2.0611111111065838"/>
    <n v="22.533333333441988"/>
    <n v="0"/>
    <n v="22.533333333441988"/>
    <n v="6.9230769230435403"/>
    <m/>
    <m/>
    <m/>
    <m/>
    <m/>
  </r>
  <r>
    <d v="2025-03-04T00:00:00"/>
    <x v="2"/>
    <s v="KESH"/>
    <s v="A21195"/>
    <s v="Manual"/>
    <x v="10"/>
    <s v="UBR 868Y"/>
    <s v="Kato Investment Ltd -Mityana"/>
    <n v="156"/>
    <s v="A21195"/>
    <s v="OM"/>
    <n v="690"/>
    <n v="686"/>
    <n v="-4"/>
    <m/>
    <d v="2025-03-03T07:56:00"/>
    <d v="2025-03-03T02:22:00"/>
    <d v="2025-03-03T08:24:00"/>
    <n v="360.32407407013426"/>
    <n v="27.870370367357584"/>
    <x v="0"/>
    <d v="2025-03-04T07:12:00"/>
    <d v="2025-03-04T11:47:00"/>
    <n v="269.27083332877373"/>
    <s v="found another truck at the RD"/>
    <d v="2025-03-05T11:09:00"/>
    <d v="2025-03-05T11:59:00"/>
    <n v="48.958333328773733"/>
    <m/>
    <n v="2.1145833333357587"/>
    <n v="3"/>
    <n v="0.88541666666424135"/>
    <n v="50.750000000058208"/>
    <n v="24"/>
    <n v="26.750000000058208"/>
    <n v="5.8317757009218898"/>
    <m/>
    <m/>
    <m/>
    <m/>
    <m/>
  </r>
  <r>
    <d v="2025-03-04T00:00:00"/>
    <x v="2"/>
    <s v="KESH"/>
    <s v="A21196"/>
    <s v="Manual"/>
    <x v="10"/>
    <s v="UBJ 423C"/>
    <s v="KATO INVESTMENTS LTD-KATIKARA"/>
    <n v="156"/>
    <s v="A21196"/>
    <s v="OM"/>
    <n v="790"/>
    <n v="787"/>
    <n v="-3"/>
    <m/>
    <d v="2025-03-02T13:27:00"/>
    <d v="2025-03-02T13:00:00"/>
    <d v="2025-03-02T13:55:00"/>
    <n v="54.745370371529134"/>
    <n v="27.870370367357584"/>
    <x v="0"/>
    <d v="2025-03-05T17:38:00"/>
    <d v="2025-03-05T19:47:00"/>
    <n v="126.31250000136788"/>
    <m/>
    <d v="2025-03-03T12:13:00"/>
    <d v="2025-03-03T13:10:00"/>
    <n v="55.81249999726424"/>
    <m/>
    <n v="0.92916666666860692"/>
    <n v="3"/>
    <n v="2.0708333333313931"/>
    <n v="22.300000000046566"/>
    <n v="0"/>
    <n v="22.300000000046566"/>
    <n v="6.9955156950526565"/>
    <m/>
    <m/>
    <m/>
    <m/>
    <m/>
  </r>
  <r>
    <d v="2025-03-04T00:00:00"/>
    <x v="2"/>
    <s v="KESH"/>
    <s v="A21194"/>
    <s v="Manual"/>
    <x v="32"/>
    <s v="UBJ 703D"/>
    <s v="Sawan Distributors Ltd-Nabingo"/>
    <n v="2.1779999999999999"/>
    <s v="A21194"/>
    <s v="OM"/>
    <n v="560"/>
    <n v="557"/>
    <n v="-3"/>
    <m/>
    <d v="2025-03-03T06:07:00"/>
    <d v="2025-03-03T07:42:00"/>
    <d v="2025-03-03T07:00:00"/>
    <n v="-41.805555556250816"/>
    <n v="52.75462963472819"/>
    <x v="9"/>
    <d v="2025-03-04T10:07:00"/>
    <d v="2025-03-04T12:09:00"/>
    <n v="119.45833333287737"/>
    <m/>
    <d v="2025-03-05T12:13:00"/>
    <d v="2025-03-05T12:57:00"/>
    <n v="43.083333330141613"/>
    <m/>
    <n v="2.2173611111138598"/>
    <n v="2"/>
    <n v="-0.21736111111385981"/>
    <n v="53.216666666732635"/>
    <n v="24"/>
    <n v="29.216666666732635"/>
    <n v="7.4546491728297165E-2"/>
    <m/>
    <m/>
    <m/>
    <m/>
    <m/>
  </r>
  <r>
    <d v="2025-03-04T00:00:00"/>
    <x v="2"/>
    <s v="KESH"/>
    <s v="A21202"/>
    <s v="Manual"/>
    <x v="30"/>
    <s v="UBR 540W"/>
    <s v="Kato Investments Ltd- Kyegegwa"/>
    <n v="78"/>
    <s v="A21202"/>
    <s v="OM"/>
    <n v="600"/>
    <n v="597"/>
    <n v="-3"/>
    <m/>
    <d v="2025-03-02T16:41:00"/>
    <d v="2025-03-02T19:13:00"/>
    <d v="2025-03-02T17:10:00"/>
    <n v="-122.43055554790772"/>
    <n v="28.865740740972495"/>
    <x v="0"/>
    <d v="2025-03-04T12:13:00"/>
    <d v="2025-03-04T14:07:00"/>
    <n v="111.62499999452848"/>
    <m/>
    <d v="2025-03-04T08:58:00"/>
    <d v="2025-03-04T09:58:00"/>
    <n v="58.7499999965803"/>
    <m/>
    <n v="1.6583333333328483"/>
    <n v="2"/>
    <n v="0.34166666666715173"/>
    <n v="39.799999999988358"/>
    <n v="12"/>
    <n v="27.799999999988358"/>
    <n v="2.8057553956846282"/>
    <m/>
    <m/>
    <m/>
    <m/>
    <m/>
  </r>
  <r>
    <d v="2025-03-04T00:00:00"/>
    <x v="2"/>
    <s v="KESH"/>
    <s v="A21201"/>
    <s v="Manual"/>
    <x v="34"/>
    <s v="UBP 301H"/>
    <s v="Kato Investments Ltd- Kakumiro"/>
    <n v="156"/>
    <s v="A21201"/>
    <s v="OM"/>
    <n v="790"/>
    <n v="788"/>
    <n v="-2"/>
    <m/>
    <d v="2025-03-02T19:04:00"/>
    <d v="2025-03-02T22:00:00"/>
    <d v="2025-03-02T19:33:00"/>
    <n v="-146.31944444166342"/>
    <n v="28.865740740972495"/>
    <x v="0"/>
    <d v="2025-03-04T14:40:00"/>
    <d v="2025-03-04T18:47:00"/>
    <n v="241.85416666507081"/>
    <m/>
    <d v="2025-03-04T08:58:00"/>
    <d v="2025-03-04T09:39:00"/>
    <n v="40.145833330825553"/>
    <m/>
    <n v="1.5590277777810115"/>
    <n v="3"/>
    <n v="1.4409722222189885"/>
    <n v="37.416666666744277"/>
    <n v="12"/>
    <n v="25.416666666744277"/>
    <n v="6.1377049180140455"/>
    <m/>
    <m/>
    <m/>
    <m/>
    <m/>
  </r>
  <r>
    <d v="2025-03-04T00:00:00"/>
    <x v="2"/>
    <s v="KESH"/>
    <s v="Z82922"/>
    <s v="Manual"/>
    <x v="47"/>
    <s v="UBR 538W"/>
    <s v="Kobusinge Steven-FPortal"/>
    <n v="156"/>
    <s v="Z82922"/>
    <s v="OM"/>
    <n v="304"/>
    <n v="301"/>
    <n v="-3"/>
    <m/>
    <d v="2025-03-03T20:36:00"/>
    <d v="2025-03-03T16:57:00"/>
    <d v="2025-03-03T21:05:00"/>
    <n v="246.85185184304524"/>
    <n v="28.865740740972495"/>
    <x v="0"/>
    <d v="2025-03-04T08:20:00"/>
    <d v="2025-03-04T12:09:00"/>
    <n v="224.22916666917445"/>
    <s v="Waited for empties from trade"/>
    <d v="2025-03-04T15:44:00"/>
    <d v="2025-03-04T16:31:00"/>
    <n v="46.020833329457673"/>
    <m/>
    <n v="0.77708333333430346"/>
    <n v="2"/>
    <n v="1.2229166666656965"/>
    <n v="18.650000000023283"/>
    <n v="0"/>
    <n v="18.650000000023283"/>
    <n v="8.3646112600431763"/>
    <m/>
    <m/>
    <m/>
    <m/>
    <m/>
  </r>
  <r>
    <d v="2025-03-04T00:00:00"/>
    <x v="2"/>
    <s v="KESH"/>
    <s v="A21200"/>
    <s v="Manual"/>
    <x v="25"/>
    <s v="UBJ 420C"/>
    <s v="Kato Investment Ltd -Kagadi"/>
    <n v="156"/>
    <s v="A21200"/>
    <s v="OM"/>
    <n v="670"/>
    <n v="669"/>
    <n v="-1"/>
    <m/>
    <d v="2025-03-03T19:22:00"/>
    <d v="2025-03-03T17:51:00"/>
    <d v="2025-03-03T19:44:00"/>
    <n v="112.47685185347412"/>
    <n v="21.89814814652588"/>
    <x v="0"/>
    <d v="2025-03-03T22:33:00"/>
    <d v="2025-03-04T16:00:00"/>
    <n v="1025.1874999972642"/>
    <m/>
    <d v="2025-03-04T18:14:00"/>
    <d v="2025-03-04T18:57:00"/>
    <n v="42.104166670542327"/>
    <m/>
    <n v="0.9375"/>
    <n v="2"/>
    <n v="1.0625"/>
    <n v="22.5"/>
    <n v="0"/>
    <n v="22.5"/>
    <n v="6.9333333333333336"/>
    <m/>
    <m/>
    <m/>
    <m/>
    <m/>
  </r>
  <r>
    <d v="2025-03-04T00:00:00"/>
    <x v="2"/>
    <s v="KESH"/>
    <s v="Z82923"/>
    <s v="Manual"/>
    <x v="33"/>
    <s v="UBR 541W"/>
    <s v="Kobusinge Acaali- Kyenjojo"/>
    <n v="156"/>
    <s v="Z82923"/>
    <s v="OM"/>
    <n v="580"/>
    <n v="577"/>
    <n v="-3"/>
    <m/>
    <d v="2025-03-03T20:05:00"/>
    <d v="2025-03-03T18:43:00"/>
    <d v="2025-03-03T20:57:00"/>
    <n v="133.37962962638508"/>
    <n v="51.759259261113279"/>
    <x v="10"/>
    <d v="2025-03-04T14:41:00"/>
    <d v="2025-03-04T17:24:00"/>
    <n v="159.60416666370293"/>
    <m/>
    <d v="2025-03-05T09:44:00"/>
    <d v="2025-03-05T10:37:00"/>
    <n v="51.895833338348893"/>
    <m/>
    <n v="1.5326388888861402"/>
    <n v="2"/>
    <n v="0.46736111111385981"/>
    <n v="36.783333333267365"/>
    <n v="12"/>
    <n v="24.783333333267365"/>
    <n v="6.2945527908708234"/>
    <m/>
    <m/>
    <m/>
    <m/>
    <m/>
  </r>
  <r>
    <d v="2025-03-04T00:00:00"/>
    <x v="2"/>
    <s v="KESH"/>
    <s v="F16033"/>
    <s v="Manual"/>
    <x v="27"/>
    <s v="UBM 648D"/>
    <s v="Boniface Harera"/>
    <n v="156"/>
    <s v="F16033"/>
    <s v="OM"/>
    <n v="448"/>
    <n v="450"/>
    <n v="2"/>
    <m/>
    <d v="2025-03-04T16:27:00"/>
    <d v="2025-03-04T15:42:00"/>
    <d v="2025-03-04T16:56:00"/>
    <n v="73.657407407639155"/>
    <n v="28.865740740972495"/>
    <x v="0"/>
    <d v="2025-03-04T17:22:00"/>
    <d v="2025-03-05T13:01:00"/>
    <n v="1154.4374999979482"/>
    <m/>
    <d v="2025-03-05T17:18:00"/>
    <d v="2025-03-05T17:59:00"/>
    <n v="40.145833330825553"/>
    <m/>
    <n v="1.015277777776646"/>
    <n v="2"/>
    <n v="0.98472222222335404"/>
    <n v="24.366666666639503"/>
    <n v="12"/>
    <n v="12.366666666639503"/>
    <n v="12.614555256092398"/>
    <m/>
    <m/>
    <m/>
    <m/>
    <m/>
  </r>
  <r>
    <d v="2025-03-04T00:00:00"/>
    <x v="2"/>
    <s v="NBL"/>
    <s v="OMDIOAFRR"/>
    <s v="DJ"/>
    <x v="9"/>
    <s v="UAV 203T"/>
    <s v="Kabaco U Ltd-Mbarara "/>
    <n v="153.6"/>
    <s v="OMDIOAFRR"/>
    <s v="OM"/>
    <n v="20"/>
    <n v="17"/>
    <n v="-3"/>
    <m/>
    <d v="2025-03-04T20:53:00"/>
    <d v="2025-03-04T07:42:00"/>
    <d v="2025-03-04T21:15:00"/>
    <n v="809.23611111041589"/>
    <n v="21.89814814652588"/>
    <x v="0"/>
    <d v="2025-03-06T08:47:00"/>
    <d v="2025-03-06T12:57:00"/>
    <n v="244.79166666438687"/>
    <m/>
    <d v="2025-03-05T11:08:00"/>
    <d v="2025-03-05T11:51:00"/>
    <n v="42.104166670542327"/>
    <m/>
    <n v="0.57847222222335404"/>
    <n v="3"/>
    <n v="2.421527777776646"/>
    <n v="13.883333333360497"/>
    <n v="0"/>
    <n v="13.883333333360497"/>
    <n v="11.063625450158424"/>
    <m/>
    <m/>
    <m/>
    <m/>
    <m/>
  </r>
  <r>
    <d v="2025-03-04T00:00:00"/>
    <x v="2"/>
    <s v="NBL"/>
    <s v="OMR2MRVRR"/>
    <s v="DJ"/>
    <x v="4"/>
    <s v="UBE 422T"/>
    <s v="Rugoma Traders-Kanungu/Kihihi "/>
    <n v="153.6"/>
    <s v="OMR2MRVRR"/>
    <s v="OM"/>
    <n v="414"/>
    <n v="412"/>
    <n v="-2"/>
    <m/>
    <d v="2025-03-04T11:09:00"/>
    <d v="2025-03-04T01:59:00"/>
    <d v="2025-03-04T11:38:00"/>
    <n v="576.31944444583496"/>
    <n v="28.865740740972495"/>
    <x v="0"/>
    <d v="2025-03-05T16:44:00"/>
    <d v="2025-03-05T20:14:00"/>
    <n v="205.6249999931606"/>
    <s v="found another truck at the RD"/>
    <d v="2025-03-05T17:18:00"/>
    <d v="2025-03-05T18:16:00"/>
    <n v="56.791666667122627"/>
    <m/>
    <n v="1.2361111111094942"/>
    <n v="2"/>
    <n v="0.76388888889050577"/>
    <n v="29.666666666627862"/>
    <n v="12"/>
    <n v="17.666666666627862"/>
    <n v="8.6943396226606069"/>
    <m/>
    <m/>
    <m/>
    <m/>
    <m/>
  </r>
  <r>
    <d v="2025-03-04T00:00:00"/>
    <x v="2"/>
    <s v="NBL"/>
    <s v="OM496R1RR"/>
    <s v="DJ"/>
    <x v="1"/>
    <s v="UBJ 375N"/>
    <s v="Kabaco U Ltd "/>
    <n v="153.6"/>
    <s v="OM496R1RR"/>
    <s v="OM"/>
    <n v="320"/>
    <n v="318"/>
    <n v="-2"/>
    <m/>
    <d v="2025-03-04T11:24:00"/>
    <d v="2025-03-04T02:22:00"/>
    <d v="2025-03-04T11:54:00"/>
    <n v="569.35185185138835"/>
    <n v="29.861111114587402"/>
    <x v="0"/>
    <d v="2025-03-04T17:59:00"/>
    <d v="2025-03-05T13:11:00"/>
    <n v="1128.0000000041036"/>
    <m/>
    <d v="2025-03-05T18:03:00"/>
    <d v="2025-03-05T18:44:00"/>
    <n v="40.145833330825553"/>
    <m/>
    <n v="1.2562499999985448"/>
    <n v="2"/>
    <n v="0.74375000000145519"/>
    <n v="30.149999999965075"/>
    <n v="12"/>
    <n v="18.149999999965075"/>
    <n v="8.462809917371656"/>
    <m/>
    <m/>
    <m/>
    <m/>
    <m/>
  </r>
  <r>
    <d v="2025-03-04T00:00:00"/>
    <x v="2"/>
    <s v="NBL"/>
    <s v="OMNBE1MRR"/>
    <s v="DJ"/>
    <x v="50"/>
    <s v="UAR 731Q"/>
    <s v="Kabaco U Ltd "/>
    <n v="153.6"/>
    <s v="OMNBE1MRR"/>
    <s v="OM"/>
    <n v="320"/>
    <n v="317"/>
    <n v="-3"/>
    <m/>
    <d v="2025-03-03T18:51:00"/>
    <d v="2025-03-04T02:22:00"/>
    <d v="2025-03-03T19:20:00"/>
    <n v="-420.04629629930906"/>
    <n v="28.865740740972495"/>
    <x v="0"/>
    <d v="2025-03-03T22:33:00"/>
    <d v="2025-03-04T16:00:00"/>
    <n v="1025.1874999972642"/>
    <s v="Waited for empties from trade"/>
    <d v="2025-03-04T18:14:00"/>
    <d v="2025-03-04T19:04:00"/>
    <n v="48.958333328773733"/>
    <m/>
    <n v="0.95416666667006211"/>
    <n v="2"/>
    <n v="1.0458333333299379"/>
    <n v="22.900000000081491"/>
    <n v="0"/>
    <n v="22.900000000081491"/>
    <n v="6.7074235807621569"/>
    <m/>
    <m/>
    <m/>
    <m/>
    <m/>
  </r>
  <r>
    <d v="2025-03-04T00:00:00"/>
    <x v="2"/>
    <s v="NBL"/>
    <s v="OMOPQ4TRR"/>
    <s v="DJ"/>
    <x v="2"/>
    <s v="UBE 287X"/>
    <s v="Rugoma Traders-Rukungiri"/>
    <n v="153.6"/>
    <s v="OMOPQ4TRR"/>
    <s v="OM"/>
    <n v="256"/>
    <n v="258"/>
    <n v="2"/>
    <m/>
    <d v="2025-03-03T19:58:00"/>
    <d v="2025-03-04T04:04:00"/>
    <d v="2025-03-03T20:51:00"/>
    <n v="-430.99537036735757"/>
    <n v="52.75462963472819"/>
    <x v="0"/>
    <d v="2025-03-04T14:41:00"/>
    <d v="2025-03-04T19:24:00"/>
    <n v="277.10416666712263"/>
    <s v="Reached late and offloaded the next day"/>
    <d v="2025-03-05T09:44:00"/>
    <d v="2025-03-05T10:32:00"/>
    <n v="46.99999999931606"/>
    <m/>
    <n v="1.5368055555518367"/>
    <n v="2"/>
    <n v="0.46319444444816327"/>
    <n v="36.883333333244082"/>
    <n v="12"/>
    <n v="24.883333333244082"/>
    <n v="6.1728064300288388"/>
    <m/>
    <m/>
    <m/>
    <m/>
    <m/>
  </r>
  <r>
    <d v="2025-03-04T00:00:00"/>
    <x v="2"/>
    <s v="NBL"/>
    <s v="OMF5K3MRR"/>
    <s v="DJ"/>
    <x v="5"/>
    <s v="UBE 419T"/>
    <s v="Kobusinge Steven-Kamwenge"/>
    <n v="153.6"/>
    <s v="OMF5K3MRR"/>
    <s v="OM"/>
    <n v="288"/>
    <n v="290"/>
    <n v="2"/>
    <m/>
    <d v="2025-03-03T19:24:00"/>
    <d v="2025-03-04T03:17:00"/>
    <d v="2025-03-03T19:51:00"/>
    <n v="-443.9351851930648"/>
    <n v="26.87500000417155"/>
    <x v="0"/>
    <d v="2025-03-04T08:20:00"/>
    <d v="2025-03-04T12:09:00"/>
    <n v="224.22916666917445"/>
    <s v="Waited for empties from trade"/>
    <d v="2025-03-04T15:44:00"/>
    <d v="2025-03-04T16:32:00"/>
    <n v="46.99999999931606"/>
    <m/>
    <n v="0.82847222222335404"/>
    <n v="2"/>
    <n v="1.171527777776646"/>
    <n v="19.883333333360497"/>
    <n v="0"/>
    <n v="19.883333333360497"/>
    <n v="7.725062866711994"/>
    <m/>
    <m/>
    <m/>
    <m/>
    <m/>
  </r>
  <r>
    <d v="2025-03-05T00:00:00"/>
    <x v="2"/>
    <s v="KESH"/>
    <s v="Z82928"/>
    <s v="Manual"/>
    <x v="10"/>
    <s v="UBJ 421C"/>
    <s v="Kabaco U Ltd "/>
    <n v="156"/>
    <s v="Z82928"/>
    <s v="OM"/>
    <n v="320"/>
    <n v="319"/>
    <n v="-1"/>
    <m/>
    <d v="2025-03-02T22:09:00"/>
    <d v="2025-03-02T17:32:00"/>
    <d v="2025-03-02T22:36:00"/>
    <n v="302.59259258818929"/>
    <n v="26.87500000417155"/>
    <x v="0"/>
    <d v="2025-03-05T15:11:00"/>
    <d v="2025-03-05T17:54:00"/>
    <n v="159.60416666370293"/>
    <m/>
    <d v="2025-03-05T12:45:00"/>
    <d v="2025-03-05T13:27:00"/>
    <n v="41.12500000068394"/>
    <m/>
    <n v="2.5895833333343035"/>
    <n v="2"/>
    <n v="-0.58958333333430346"/>
    <n v="62.150000000023283"/>
    <n v="24"/>
    <n v="38.150000000023283"/>
    <n v="4.089121887284529"/>
    <m/>
    <m/>
    <m/>
    <m/>
    <m/>
  </r>
  <r>
    <d v="2025-03-05T00:00:00"/>
    <x v="2"/>
    <s v="KESH"/>
    <s v="A21222"/>
    <s v="Manual"/>
    <x v="37"/>
    <s v="UBK 866R"/>
    <s v="KATO INVESTMENTS LTD-KATIKARA"/>
    <n v="6.3"/>
    <s v="A21222"/>
    <s v="OM"/>
    <n v="790"/>
    <n v="789"/>
    <n v="-1"/>
    <m/>
    <d v="2025-03-02T19:58:00"/>
    <d v="2025-03-02T17:52:00"/>
    <d v="2025-03-02T20:26:00"/>
    <n v="153.2870370465389"/>
    <n v="27.870370367357584"/>
    <x v="0"/>
    <d v="2025-03-05T18:44:00"/>
    <d v="2025-03-05T20:47:00"/>
    <n v="120.43750000273576"/>
    <m/>
    <d v="2025-03-03T12:45:00"/>
    <d v="2025-03-03T13:27:00"/>
    <n v="41.12500000068394"/>
    <m/>
    <n v="0.67986111110803904"/>
    <n v="3"/>
    <n v="2.320138888891961"/>
    <n v="16.316666666592937"/>
    <n v="0"/>
    <n v="16.316666666592937"/>
    <n v="0.38610827375046786"/>
    <m/>
    <m/>
    <m/>
    <m/>
    <m/>
  </r>
  <r>
    <d v="2025-03-05T00:00:00"/>
    <x v="2"/>
    <s v="KESH"/>
    <s v="Z82939"/>
    <s v="Manual"/>
    <x v="43"/>
    <s v="UBJ 419C"/>
    <s v="Kobusinge Steven-Kamwenge"/>
    <n v="156"/>
    <s v="Z82939"/>
    <s v="OM"/>
    <n v="288"/>
    <n v="285"/>
    <n v="-3"/>
    <m/>
    <d v="2025-03-04T11:10:00"/>
    <d v="2025-03-04T01:59:00"/>
    <d v="2025-03-04T11:38:00"/>
    <n v="576.31944444583496"/>
    <n v="27.870370367357584"/>
    <x v="0"/>
    <d v="2025-03-05T11:39:00"/>
    <d v="2025-03-05T13:30:00"/>
    <n v="108.68749999521242"/>
    <m/>
    <d v="2025-03-05T12:32:00"/>
    <d v="2025-03-05T13:15:00"/>
    <n v="42.104166670542327"/>
    <m/>
    <n v="1.0374999999985448"/>
    <n v="2"/>
    <n v="0.96250000000145519"/>
    <n v="24.899999999965075"/>
    <n v="12"/>
    <n v="12.899999999965075"/>
    <n v="12.093023255846694"/>
    <m/>
    <m/>
    <m/>
    <m/>
    <m/>
  </r>
  <r>
    <d v="2025-03-05T00:00:00"/>
    <x v="2"/>
    <s v="KESH"/>
    <s v="A21223"/>
    <s v="Manual"/>
    <x v="48"/>
    <s v="UBM 644D"/>
    <s v="Kato Investment Ltd -Mubende"/>
    <n v="156"/>
    <s v="A21223"/>
    <s v="OM"/>
    <n v="680"/>
    <n v="679"/>
    <n v="-1"/>
    <m/>
    <d v="2025-03-04T11:25:00"/>
    <d v="2025-03-04T02:22:00"/>
    <d v="2025-03-04T11:54:00"/>
    <n v="569.35185185138835"/>
    <n v="28.865740740972495"/>
    <x v="0"/>
    <d v="2025-03-06T20:49:00"/>
    <d v="2025-03-07T14:19:00"/>
    <n v="1028.1250000068394"/>
    <m/>
    <d v="2025-03-05T12:05:00"/>
    <d v="2025-03-05T12:46:00"/>
    <n v="40.145833330825553"/>
    <m/>
    <n v="1.007638888884685"/>
    <n v="3"/>
    <n v="1.992361111115315"/>
    <n v="24.18333333323244"/>
    <n v="12"/>
    <n v="12.18333333323244"/>
    <n v="12.804377565085517"/>
    <m/>
    <m/>
    <m/>
    <m/>
    <m/>
  </r>
  <r>
    <d v="2025-03-05T00:00:00"/>
    <x v="2"/>
    <s v="KESH"/>
    <s v="A21218"/>
    <s v="Manual"/>
    <x v="10"/>
    <s v="UBR 903Y"/>
    <s v="KATO INVESTMENTS LTD-KATIKARA"/>
    <n v="78"/>
    <s v="A21218"/>
    <s v="OM"/>
    <n v="790"/>
    <n v="791"/>
    <n v="1"/>
    <m/>
    <d v="2025-03-03T16:23:00"/>
    <d v="2025-03-03T11:00:00"/>
    <d v="2025-03-03T17:15:00"/>
    <n v="373.2638888854126"/>
    <n v="51.759259261113279"/>
    <x v="0"/>
    <d v="2025-03-06T09:16:00"/>
    <d v="2025-03-06T11:47:00"/>
    <n v="147.85416666643869"/>
    <m/>
    <d v="2025-03-04T12:05:00"/>
    <d v="2025-03-04T12:54:00"/>
    <n v="47.979166669174447"/>
    <m/>
    <n v="0.78472222221898846"/>
    <n v="3"/>
    <n v="2.2152777777810115"/>
    <n v="18.833333333255723"/>
    <n v="0"/>
    <n v="18.833333333255723"/>
    <n v="4.1415929203710498"/>
    <m/>
    <m/>
    <m/>
    <m/>
    <m/>
  </r>
  <r>
    <d v="2025-03-05T00:00:00"/>
    <x v="2"/>
    <s v="KESH"/>
    <s v="Z82938"/>
    <s v="Manual"/>
    <x v="10"/>
    <s v="UBR 864Y"/>
    <s v="Kobusinge Steven-FPortal"/>
    <n v="156"/>
    <s v="Z82938"/>
    <s v="OM"/>
    <n v="304"/>
    <n v="301"/>
    <n v="-3"/>
    <m/>
    <d v="2025-03-03T13:38:00"/>
    <d v="2025-03-03T13:00:00"/>
    <d v="2025-03-03T14:07:00"/>
    <n v="66.689814813192541"/>
    <n v="28.865740740972495"/>
    <x v="0"/>
    <d v="2025-03-05T15:46:00"/>
    <d v="2025-03-05T17:50:00"/>
    <n v="121.41666666233505"/>
    <m/>
    <d v="2025-03-06T07:26:00"/>
    <d v="2025-03-06T08:08:00"/>
    <n v="41.12500000068394"/>
    <m/>
    <n v="2.7215277777795563"/>
    <n v="2"/>
    <n v="-0.72152777777955635"/>
    <n v="65.316666666709352"/>
    <n v="24"/>
    <n v="41.316666666709352"/>
    <n v="3.7757160145180837"/>
    <m/>
    <m/>
    <m/>
    <m/>
    <m/>
  </r>
  <r>
    <d v="2025-03-05T00:00:00"/>
    <x v="2"/>
    <s v="KESH"/>
    <s v="A21220"/>
    <s v="Manual"/>
    <x v="49"/>
    <s v="UBR 539W"/>
    <s v="Kato Investment Ltd -Mityana"/>
    <n v="156"/>
    <s v="A21220"/>
    <s v="OM"/>
    <n v="690"/>
    <n v="689"/>
    <n v="-1"/>
    <m/>
    <d v="2025-03-03T13:34:00"/>
    <d v="2025-03-03T13:00:00"/>
    <d v="2025-03-03T13:56:00"/>
    <n v="55.740740745144045"/>
    <n v="21.89814814652588"/>
    <x v="0"/>
    <d v="2025-03-05T19:04:00"/>
    <d v="2025-03-06T09:26:00"/>
    <n v="844.04166666849051"/>
    <m/>
    <d v="2025-03-05T21:07:00"/>
    <d v="2025-03-05T21:50:00"/>
    <n v="42.104166670542327"/>
    <m/>
    <n v="2.2993055555562023"/>
    <n v="3"/>
    <n v="0.70069444444379769"/>
    <n v="55.183333333348855"/>
    <n v="24"/>
    <n v="31.183333333348855"/>
    <n v="5.0026723677153075"/>
    <m/>
    <m/>
    <m/>
    <m/>
    <m/>
  </r>
  <r>
    <d v="2025-03-05T00:00:00"/>
    <x v="2"/>
    <s v="KESH"/>
    <s v="A21219"/>
    <s v="Manual"/>
    <x v="42"/>
    <s v="UBK 858R"/>
    <s v="Kato Investment Ltd -Kagadi"/>
    <n v="156"/>
    <s v="A21219"/>
    <s v="OM"/>
    <n v="670"/>
    <n v="675"/>
    <n v="5"/>
    <m/>
    <d v="2025-03-03T13:57:00"/>
    <d v="2025-03-03T14:52:00"/>
    <d v="2025-03-03T14:50:00"/>
    <n v="-1.9907407368009444"/>
    <n v="52.75462963472819"/>
    <x v="0"/>
    <d v="2025-03-06T12:20:00"/>
    <d v="2025-03-06T14:40:00"/>
    <n v="137.08333332877373"/>
    <m/>
    <d v="2025-03-05T12:06:00"/>
    <d v="2025-03-05T12:48:00"/>
    <n v="41.12500000068394"/>
    <m/>
    <n v="1.8861111111109494"/>
    <n v="2"/>
    <n v="0.11388888888905058"/>
    <n v="45.266666666662786"/>
    <n v="12"/>
    <n v="33.266666666662786"/>
    <n v="4.689378757515577"/>
    <m/>
    <m/>
    <m/>
    <m/>
    <m/>
  </r>
  <r>
    <d v="2025-03-05T00:00:00"/>
    <x v="2"/>
    <s v="KESH"/>
    <s v="F16037"/>
    <s v="Manual"/>
    <x v="40"/>
    <s v="UBP 311H"/>
    <s v="Boniface Harera"/>
    <n v="156"/>
    <s v="F16037"/>
    <s v="OM"/>
    <n v="448"/>
    <n v="446"/>
    <n v="-2"/>
    <m/>
    <d v="2025-03-04T23:09:00"/>
    <d v="2025-03-05T05:52:00"/>
    <d v="2025-03-04T23:38:00"/>
    <n v="-372.26851851179771"/>
    <n v="28.865740740972495"/>
    <x v="0"/>
    <d v="2025-03-05T13:04:00"/>
    <d v="2025-03-05T15:56:00"/>
    <n v="168.41666667191021"/>
    <m/>
    <d v="2025-03-05T20:09:00"/>
    <d v="2025-03-05T20:50:00"/>
    <n v="40.145833330825553"/>
    <m/>
    <n v="0.85486111111094942"/>
    <n v="2"/>
    <n v="1.1451388888890506"/>
    <n v="20.516666666662786"/>
    <n v="0"/>
    <n v="20.516666666662786"/>
    <n v="7.6035743298145979"/>
    <m/>
    <m/>
    <m/>
    <m/>
    <m/>
  </r>
  <r>
    <d v="2025-03-05T00:00:00"/>
    <x v="2"/>
    <s v="KESH"/>
    <s v="A21216"/>
    <s v="Manual"/>
    <x v="24"/>
    <s v="UBP 298H"/>
    <s v="Kato Investment Ltd -Kagadi"/>
    <n v="156"/>
    <s v="A21216"/>
    <s v="OM"/>
    <n v="670"/>
    <n v="669"/>
    <n v="-1"/>
    <m/>
    <d v="2025-03-04T19:45:00"/>
    <d v="2025-03-05T03:13:00"/>
    <d v="2025-03-04T20:14:00"/>
    <n v="-417.06018518889323"/>
    <n v="28.865740740972495"/>
    <x v="0"/>
    <d v="2025-03-06T12:01:00"/>
    <d v="2025-03-07T11:46:00"/>
    <n v="1395.3124999931606"/>
    <m/>
    <d v="2025-03-07T09:30:00"/>
    <d v="2025-03-07T10:13:00"/>
    <n v="42.104166670542327"/>
    <m/>
    <n v="2.5527777777824667"/>
    <n v="2"/>
    <n v="-0.55277777778246673"/>
    <n v="61.266666666779201"/>
    <n v="24"/>
    <n v="37.266666666779201"/>
    <n v="4.1860465116152659"/>
    <m/>
    <m/>
    <m/>
    <m/>
    <m/>
  </r>
  <r>
    <d v="2025-03-05T00:00:00"/>
    <x v="2"/>
    <s v="NBL"/>
    <s v="OMXD6KGRR"/>
    <s v="DJ"/>
    <x v="9"/>
    <s v="UAV 203T"/>
    <s v="Kabaco U Ltd "/>
    <n v="153.6"/>
    <s v="OMXD6KGRR"/>
    <s v="OM"/>
    <n v="320"/>
    <n v="319"/>
    <n v="-1"/>
    <m/>
    <d v="2025-03-05T18:14:00"/>
    <d v="2025-03-05T02:22:00"/>
    <d v="2025-03-05T18:43:00"/>
    <n v="976.45833333541907"/>
    <n v="28.865740740972495"/>
    <x v="0"/>
    <d v="2025-03-06T12:01:00"/>
    <d v="2025-03-07T11:46:00"/>
    <n v="1395.3124999931606"/>
    <s v="Waited for empties from trade"/>
    <d v="2025-03-08T12:05:00"/>
    <d v="2025-03-08T13:14:00"/>
    <n v="67.56250000478758"/>
    <s v="Failed batteries at the gate"/>
    <n v="2.7236111111051287"/>
    <n v="2"/>
    <n v="-0.72361111110512866"/>
    <n v="65.366666666523088"/>
    <n v="24"/>
    <n v="41.366666666523088"/>
    <n v="3.7131345689089392"/>
    <m/>
    <m/>
    <m/>
    <m/>
    <m/>
  </r>
  <r>
    <d v="2025-03-05T00:00:00"/>
    <x v="2"/>
    <s v="NBL"/>
    <s v="OM7NW09RR"/>
    <s v="DJ"/>
    <x v="12"/>
    <s v="UBJ 415C"/>
    <s v="Kabaco U Ltd "/>
    <n v="153.6"/>
    <s v="OM7NW09RR"/>
    <s v="OM"/>
    <n v="320"/>
    <n v="319"/>
    <n v="-1"/>
    <m/>
    <d v="2025-03-05T11:26:00"/>
    <d v="2025-03-05T02:22:00"/>
    <d v="2025-03-05T11:56:00"/>
    <n v="571.34259258818929"/>
    <n v="29.861111114587402"/>
    <x v="0"/>
    <d v="2025-03-06T12:20:00"/>
    <d v="2025-03-06T14:40:00"/>
    <n v="137.08333332877373"/>
    <m/>
    <d v="2025-03-08T12:05:00"/>
    <d v="2025-03-08T13:02:00"/>
    <n v="55.81249999726424"/>
    <m/>
    <n v="3.0062499999985448"/>
    <n v="2"/>
    <n v="-1.0062499999985448"/>
    <n v="72.149999999965075"/>
    <n v="36"/>
    <n v="36.149999999965075"/>
    <n v="4.2489626556057649"/>
    <m/>
    <m/>
    <m/>
    <m/>
    <m/>
  </r>
  <r>
    <d v="2025-03-06T00:00:00"/>
    <x v="2"/>
    <s v="KESH"/>
    <s v="A21244"/>
    <s v="Manual"/>
    <x v="33"/>
    <s v="UBR 541W"/>
    <s v="KATO INVESTMENTS LTD-KATIKARA"/>
    <n v="78"/>
    <s v="A21244"/>
    <s v="OM"/>
    <n v="790"/>
    <n v="786"/>
    <n v="-4"/>
    <m/>
    <d v="2025-03-03T18:28:00"/>
    <d v="2025-03-04T02:22:00"/>
    <d v="2025-03-03T19:20:00"/>
    <n v="-420.04629629930906"/>
    <n v="51.759259261113279"/>
    <x v="0"/>
    <d v="2025-03-07T14:16:00"/>
    <d v="2025-03-07T16:04:00"/>
    <n v="105.74999999589636"/>
    <m/>
    <d v="2025-03-04T17:56:00"/>
    <d v="2025-03-04T18:37:00"/>
    <n v="40.145833330825553"/>
    <m/>
    <n v="0.94166666666569654"/>
    <n v="3"/>
    <n v="2.0583333333343035"/>
    <n v="22.599999999976717"/>
    <n v="0"/>
    <n v="22.599999999976717"/>
    <n v="3.4513274336318744"/>
    <m/>
    <m/>
    <m/>
    <m/>
    <m/>
  </r>
  <r>
    <d v="2025-03-06T00:00:00"/>
    <x v="2"/>
    <s v="KESH"/>
    <s v="A21241"/>
    <s v="Manual"/>
    <x v="41"/>
    <s v="UBF 379L"/>
    <s v="Kato Investment Ltd -Mityana"/>
    <n v="141.6"/>
    <s v="A21241"/>
    <s v="OM"/>
    <n v="690"/>
    <n v="687"/>
    <n v="-3"/>
    <m/>
    <d v="2025-03-06T20:23:00"/>
    <d v="2025-03-06T04:04:00"/>
    <d v="2025-03-06T20:51:00"/>
    <n v="1002.3379629659757"/>
    <n v="27.870370367357584"/>
    <x v="0"/>
    <d v="2025-03-07T11:48:00"/>
    <d v="2025-03-07T14:08:00"/>
    <n v="137.08333332877373"/>
    <m/>
    <d v="2025-03-08T10:56:00"/>
    <d v="2025-03-08T11:53:00"/>
    <n v="55.81249999726424"/>
    <m/>
    <n v="1.5868055555547471"/>
    <n v="3"/>
    <n v="1.4131944444452529"/>
    <n v="38.083333333313931"/>
    <n v="12"/>
    <n v="26.083333333313931"/>
    <n v="5.4287539936142615"/>
    <m/>
    <m/>
    <m/>
    <m/>
    <m/>
  </r>
  <r>
    <d v="2025-03-06T00:00:00"/>
    <x v="2"/>
    <s v="KESH"/>
    <s v="A21243"/>
    <s v="Manual"/>
    <x v="39"/>
    <s v="UBJ 705D"/>
    <s v="Kato Investment Ltd -Mubende"/>
    <n v="78"/>
    <s v="A21243"/>
    <s v="OM"/>
    <n v="680"/>
    <n v="683"/>
    <n v="3"/>
    <m/>
    <d v="2025-03-03T18:09:00"/>
    <d v="2025-03-04T02:46:00"/>
    <d v="2025-03-03T18:37:00"/>
    <n v="-486.73611111250165"/>
    <n v="27.870370367357584"/>
    <x v="0"/>
    <d v="2025-03-06T11:37:00"/>
    <d v="2025-03-06T13:56:00"/>
    <n v="136.10416666917445"/>
    <m/>
    <d v="2025-03-05T08:50:00"/>
    <d v="2025-03-05T09:47:00"/>
    <n v="55.81249999726424"/>
    <m/>
    <n v="1.5923611111138598"/>
    <n v="3"/>
    <n v="1.4076388888861402"/>
    <n v="38.216666666732635"/>
    <n v="12"/>
    <n v="26.216666666732635"/>
    <n v="2.9752066115627613"/>
    <m/>
    <m/>
    <m/>
    <m/>
    <m/>
  </r>
  <r>
    <d v="2025-03-06T00:00:00"/>
    <x v="2"/>
    <s v="KESH"/>
    <s v="Z82949"/>
    <s v="Manual"/>
    <x v="32"/>
    <s v="UBJ 703D"/>
    <s v="Bates Enterprises U Ltd"/>
    <n v="156"/>
    <s v="Z82949"/>
    <s v="OM"/>
    <n v="464"/>
    <n v="462"/>
    <n v="-2"/>
    <m/>
    <d v="2025-03-03T18:20:00"/>
    <d v="2025-03-04T06:34:00"/>
    <d v="2025-03-03T18:47:00"/>
    <n v="-703.72685185138835"/>
    <n v="26.87500000417155"/>
    <x v="0"/>
    <d v="2025-03-06T08:47:00"/>
    <d v="2025-03-06T10:42:00"/>
    <n v="112.60416666438687"/>
    <m/>
    <d v="2025-03-06T09:24:00"/>
    <d v="2025-03-06T10:06:00"/>
    <n v="41.12500000068394"/>
    <m/>
    <n v="2.6090277777839219"/>
    <n v="3"/>
    <n v="0.39097222221607808"/>
    <n v="62.616666666814126"/>
    <n v="24"/>
    <n v="38.616666666814126"/>
    <n v="4.0397065170324806"/>
    <m/>
    <m/>
    <m/>
    <m/>
    <m/>
  </r>
  <r>
    <d v="2025-03-06T00:00:00"/>
    <x v="2"/>
    <s v="KESH"/>
    <s v="Z82951"/>
    <s v="Manual"/>
    <x v="51"/>
    <s v="UBR 536W"/>
    <s v="Kobusinge Acaali- Kyenjojo"/>
    <n v="78"/>
    <s v="Z82951"/>
    <s v="OM"/>
    <n v="580"/>
    <n v="577"/>
    <n v="-3"/>
    <m/>
    <d v="2025-03-03T06:34:00"/>
    <d v="2025-03-03T19:50:00"/>
    <d v="2025-03-03T07:03:00"/>
    <n v="-763.44907408056315"/>
    <n v="28.865740740972495"/>
    <x v="0"/>
    <d v="2025-03-06T08:47:00"/>
    <d v="2025-03-06T12:57:00"/>
    <n v="244.79166666438687"/>
    <s v="Waited for empties from trade"/>
    <d v="2025-03-06T09:24:00"/>
    <d v="2025-03-06T10:20:00"/>
    <n v="54.833333337664953"/>
    <m/>
    <n v="3.0979166666729725"/>
    <n v="2"/>
    <n v="-1.0979166666729725"/>
    <n v="74.35000000015134"/>
    <n v="36"/>
    <n v="38.35000000015134"/>
    <n v="2.0338983050767196"/>
    <m/>
    <m/>
    <m/>
    <m/>
    <m/>
  </r>
  <r>
    <d v="2025-03-06T00:00:00"/>
    <x v="2"/>
    <s v="KESH"/>
    <s v="A21240"/>
    <s v="Manual"/>
    <x v="35"/>
    <s v="UBP 312H"/>
    <s v="Kato Investment Ltd -Kagadi"/>
    <n v="78"/>
    <s v="A21240"/>
    <s v="OM"/>
    <n v="670"/>
    <n v="671"/>
    <n v="1"/>
    <m/>
    <d v="2025-03-05T18:14:00"/>
    <d v="2025-03-05T02:22:00"/>
    <d v="2025-03-05T18:43:00"/>
    <n v="976.45833333541907"/>
    <n v="28.865740740972495"/>
    <x v="0"/>
    <d v="2025-03-05T16:44:00"/>
    <d v="2025-03-05T20:14:00"/>
    <n v="205.6249999931606"/>
    <s v="Not enough casuals to offload"/>
    <d v="2025-03-05T21:55:00"/>
    <d v="2025-03-05T22:36:00"/>
    <n v="40.145833330825553"/>
    <m/>
    <n v="0.13333333333139308"/>
    <n v="2"/>
    <n v="1.8666666666686069"/>
    <n v="3.1999999999534339"/>
    <n v="0"/>
    <n v="3.1999999999534339"/>
    <n v="24.375000000354703"/>
    <m/>
    <m/>
    <m/>
    <m/>
    <m/>
  </r>
  <r>
    <d v="2025-03-06T00:00:00"/>
    <x v="2"/>
    <s v="KESH"/>
    <s v="Z82950"/>
    <s v="Manual"/>
    <x v="10"/>
    <s v="UBR 533W"/>
    <s v="Bates Enterprises U Ltd"/>
    <n v="156"/>
    <s v="Z82950"/>
    <s v="OM"/>
    <n v="464"/>
    <n v="462"/>
    <n v="-2"/>
    <m/>
    <d v="2025-03-05T11:27:00"/>
    <d v="2025-03-05T02:22:00"/>
    <d v="2025-03-05T11:56:00"/>
    <n v="571.34259258818929"/>
    <n v="28.865740740972495"/>
    <x v="0"/>
    <d v="2025-03-05T16:21:00"/>
    <d v="2025-03-05T18:26:00"/>
    <n v="122.39583333219343"/>
    <m/>
    <d v="2025-03-07T18:31:00"/>
    <d v="2025-03-07T19:25:00"/>
    <n v="52.87499999794818"/>
    <m/>
    <n v="2.2743055555547471"/>
    <n v="3"/>
    <n v="0.72569444444525288"/>
    <n v="54.583333333313931"/>
    <n v="24"/>
    <n v="30.583333333313931"/>
    <n v="5.1008174386953344"/>
    <m/>
    <m/>
    <m/>
    <m/>
    <m/>
  </r>
  <r>
    <d v="2025-03-06T00:00:00"/>
    <x v="2"/>
    <s v="KESH"/>
    <s v="A21233"/>
    <s v="Manual"/>
    <x v="38"/>
    <s v="UBK 862R"/>
    <s v="Sawan Distributors Ltd-Nabingo"/>
    <n v="156"/>
    <s v="A21233"/>
    <s v="OM"/>
    <n v="560"/>
    <n v="556"/>
    <n v="-4"/>
    <m/>
    <d v="2025-03-04T17:55:00"/>
    <d v="2025-03-04T18:00:00"/>
    <d v="2025-03-04T18:24:00"/>
    <n v="23.888888893755695"/>
    <n v="28.865740740972495"/>
    <x v="0"/>
    <d v="2025-03-06T11:55:00"/>
    <d v="2025-03-06T13:45:00"/>
    <n v="107.70833332535403"/>
    <m/>
    <d v="2025-03-06T12:14:00"/>
    <d v="2025-03-06T13:36:00"/>
    <n v="80.291666661651107"/>
    <s v="dj failures"/>
    <n v="1.7430555555547471"/>
    <n v="2"/>
    <n v="0.25694444444525288"/>
    <n v="41.833333333313931"/>
    <n v="12"/>
    <n v="29.833333333313931"/>
    <n v="5.22905027933301"/>
    <m/>
    <m/>
    <m/>
    <m/>
    <m/>
  </r>
  <r>
    <d v="2025-03-06T00:00:00"/>
    <x v="2"/>
    <s v="KESH"/>
    <s v="A21236"/>
    <s v="Manual"/>
    <x v="45"/>
    <s v="UBP 310H"/>
    <s v="Kato Investment Ltd -Mityana"/>
    <n v="156"/>
    <s v="A21236"/>
    <s v="OM"/>
    <n v="690"/>
    <n v="688"/>
    <n v="-2"/>
    <m/>
    <d v="2025-03-04T19:14:00"/>
    <d v="2025-03-04T19:46:00"/>
    <d v="2025-03-04T19:43:00"/>
    <n v="-2.9861111104158531"/>
    <n v="28.865740740972495"/>
    <x v="0"/>
    <d v="2025-03-05T21:03:00"/>
    <d v="2025-03-06T11:25:00"/>
    <n v="844.04166666849051"/>
    <s v="slept at the RD and offloaded the next day"/>
    <d v="2025-03-06T15:00:00"/>
    <d v="2025-03-06T15:59:00"/>
    <n v="57.770833336981013"/>
    <m/>
    <n v="1.8034722222218988"/>
    <n v="3"/>
    <n v="1.1965277777781012"/>
    <n v="43.283333333325572"/>
    <n v="12"/>
    <n v="31.283333333325572"/>
    <n v="4.9866808737359198"/>
    <m/>
    <m/>
    <m/>
    <m/>
    <m/>
  </r>
  <r>
    <d v="2025-03-06T00:00:00"/>
    <x v="2"/>
    <s v="KESH"/>
    <s v="A21234"/>
    <s v="Manual"/>
    <x v="52"/>
    <s v="UBR 535W"/>
    <s v="Kato Investment Ltd -Kagadi"/>
    <n v="156"/>
    <s v="A21234"/>
    <s v="OM"/>
    <n v="670"/>
    <n v="666"/>
    <n v="-4"/>
    <m/>
    <d v="2025-03-04T23:11:00"/>
    <d v="2025-03-05T05:52:00"/>
    <d v="2025-03-04T23:38:00"/>
    <n v="-372.26851851179771"/>
    <n v="26.87500000417155"/>
    <x v="0"/>
    <d v="2025-03-06T16:29:00"/>
    <d v="2025-03-07T10:37:00"/>
    <n v="1065.3333333383489"/>
    <s v="Waited for empties from trade"/>
    <d v="2025-03-07T16:17:00"/>
    <d v="2025-03-07T17:32:00"/>
    <n v="73.4375000034197"/>
    <s v="fueling delays"/>
    <n v="2.6937499999985448"/>
    <n v="2"/>
    <n v="-0.69374999999854481"/>
    <n v="64.649999999965075"/>
    <n v="24"/>
    <n v="40.649999999965075"/>
    <n v="3.8376383763870612"/>
    <m/>
    <m/>
    <m/>
    <m/>
    <m/>
  </r>
  <r>
    <d v="2025-03-06T00:00:00"/>
    <x v="2"/>
    <s v="KESH"/>
    <s v="Z82952"/>
    <s v="Manual"/>
    <x v="10"/>
    <s v="UBR 534W"/>
    <s v="Kobusinge Steven-FPortal"/>
    <n v="5.5439999999999996"/>
    <s v="Z82952"/>
    <s v="OM"/>
    <n v="304"/>
    <n v="307"/>
    <n v="3"/>
    <m/>
    <d v="2025-03-04T20:22:00"/>
    <d v="2025-03-05T04:14:00"/>
    <d v="2025-03-04T20:50:00"/>
    <n v="-441.94444444583496"/>
    <n v="27.870370367357584"/>
    <x v="0"/>
    <d v="2025-03-07T09:31:00"/>
    <d v="2025-03-07T13:59:00"/>
    <n v="262.41666667054233"/>
    <s v="Waited for empties from trade"/>
    <d v="2025-03-07T15:00:00"/>
    <d v="2025-03-07T15:42:00"/>
    <n v="41.12500000068394"/>
    <m/>
    <n v="2.7569444444452529"/>
    <n v="2"/>
    <n v="-0.75694444444525288"/>
    <n v="66.166666666686069"/>
    <n v="24"/>
    <n v="42.166666666686069"/>
    <n v="0.1314782608695047"/>
    <m/>
    <m/>
    <m/>
    <m/>
    <m/>
  </r>
  <r>
    <d v="2025-03-06T00:00:00"/>
    <x v="2"/>
    <s v="NBL"/>
    <s v="OMM9KJSRR"/>
    <s v="DJ"/>
    <x v="1"/>
    <s v="UBJ 375N"/>
    <s v="RUGOMA TRADERS CO. LTD NTUNGAM "/>
    <n v="153.6"/>
    <s v="OMM9KJSRR"/>
    <s v="OM"/>
    <n v="150"/>
    <n v="152"/>
    <n v="2"/>
    <m/>
    <d v="2025-03-06T17:56:00"/>
    <d v="2025-03-06T06:15:00"/>
    <d v="2025-03-06T18:24:00"/>
    <n v="725.62500000834314"/>
    <n v="27.870370367357584"/>
    <x v="0"/>
    <d v="2025-03-07T09:31:00"/>
    <d v="2025-03-07T13:59:00"/>
    <n v="262.41666667054233"/>
    <s v="Reached late and offloaded the next day"/>
    <d v="2025-03-07T16:17:00"/>
    <d v="2025-03-07T17:00:00"/>
    <n v="42.104166670542327"/>
    <m/>
    <n v="0.91180555555183673"/>
    <n v="1"/>
    <n v="8.8194444448163267E-2"/>
    <n v="21.883333333244082"/>
    <n v="0"/>
    <n v="21.883333333244082"/>
    <n v="7.0190403656036464"/>
    <m/>
    <m/>
    <m/>
    <m/>
    <m/>
  </r>
  <r>
    <d v="2025-03-06T00:00:00"/>
    <x v="2"/>
    <s v="NBL"/>
    <s v="OMJM25LRR"/>
    <s v="DJ"/>
    <x v="4"/>
    <s v="UBE 422T"/>
    <s v="Kabaco U Ltd "/>
    <n v="153.6"/>
    <s v="OMJM25LRR"/>
    <s v="OM"/>
    <n v="320"/>
    <n v="322"/>
    <n v="2"/>
    <m/>
    <d v="2025-03-06T10:09:00"/>
    <d v="2025-03-06T02:22:00"/>
    <d v="2025-03-06T11:02:00"/>
    <n v="517.5925925902751"/>
    <n v="52.75462963472819"/>
    <x v="0"/>
    <d v="2025-03-07T08:11:00"/>
    <d v="2025-03-07T13:06:00"/>
    <n v="288.85416666438687"/>
    <s v="Waited for empties from trade"/>
    <d v="2025-03-08T09:16:00"/>
    <d v="2025-03-08T10:15:00"/>
    <n v="57.770833336981013"/>
    <m/>
    <n v="1.9263888888890506"/>
    <n v="2"/>
    <n v="7.3611111110949423E-2"/>
    <n v="46.233333333337214"/>
    <n v="12"/>
    <n v="34.233333333337214"/>
    <n v="4.4868549172341554"/>
    <m/>
    <m/>
    <m/>
    <m/>
    <m/>
  </r>
  <r>
    <d v="2025-03-06T00:00:00"/>
    <x v="2"/>
    <s v="NBL"/>
    <s v="OMB1R5JRR"/>
    <s v="DJ"/>
    <x v="2"/>
    <s v="UBE 287X"/>
    <s v="RUGOMA TRADERS CO. LTD NTUNGAM "/>
    <n v="153.6"/>
    <s v="OMB1R5JRR"/>
    <s v="OM"/>
    <n v="150"/>
    <n v="152"/>
    <n v="2"/>
    <m/>
    <d v="2025-03-06T13:09:00"/>
    <d v="2025-03-06T06:15:00"/>
    <d v="2025-03-06T13:35:00"/>
    <n v="437.96296296180418"/>
    <n v="25.879629630556639"/>
    <x v="0"/>
    <d v="2025-03-07T11:50:00"/>
    <d v="2025-03-07T14:25:00"/>
    <n v="151.77083333561313"/>
    <m/>
    <d v="2025-03-07T15:00:00"/>
    <d v="2025-03-07T15:57:00"/>
    <n v="55.81249999726424"/>
    <m/>
    <n v="1.0590277777810115"/>
    <n v="1"/>
    <n v="-5.9027777781011537E-2"/>
    <n v="25.416666666744277"/>
    <n v="12"/>
    <n v="13.416666666744277"/>
    <n v="11.448447204902719"/>
    <m/>
    <m/>
    <m/>
    <m/>
    <m/>
  </r>
  <r>
    <d v="2025-03-06T00:00:00"/>
    <x v="2"/>
    <s v="NBL"/>
    <s v="OMXJO6NRR"/>
    <s v="DJ"/>
    <x v="17"/>
    <s v="UBA 523T"/>
    <s v="Kabaco U Ltd "/>
    <n v="153.6"/>
    <s v="OMXJO6NRR"/>
    <s v="OM"/>
    <n v="320"/>
    <n v="322"/>
    <n v="2"/>
    <m/>
    <d v="2025-03-06T08:18:00"/>
    <d v="2025-03-06T02:22:00"/>
    <d v="2025-03-06T08:46:00"/>
    <n v="382.22222221666016"/>
    <n v="27.870370367357584"/>
    <x v="0"/>
    <d v="2025-03-07T14:10:00"/>
    <d v="2025-03-07T17:54:00"/>
    <n v="219.33333333014161"/>
    <s v="Reached late and offloaded the next day"/>
    <d v="2025-03-08T10:43:00"/>
    <d v="2025-03-08T11:26:00"/>
    <n v="42.104166670542327"/>
    <m/>
    <n v="2.0812500000029104"/>
    <n v="2"/>
    <n v="-8.1250000002910383E-2"/>
    <n v="49.950000000069849"/>
    <n v="24"/>
    <n v="25.950000000069849"/>
    <n v="5.9190751444927381"/>
    <m/>
    <m/>
    <m/>
    <m/>
    <m/>
  </r>
  <r>
    <d v="2025-03-06T00:00:00"/>
    <x v="2"/>
    <s v="KESH"/>
    <s v="OMFLUW9RR"/>
    <s v="DJ"/>
    <x v="24"/>
    <s v="UBP 298H"/>
    <s v="Kato Investment Ltd -Kagadi"/>
    <n v="156"/>
    <s v="OMFLUW9RR"/>
    <s v="OM"/>
    <n v="670"/>
    <n v="672"/>
    <n v="2"/>
    <m/>
    <d v="2025-03-05T21:59:00"/>
    <d v="2025-03-05T22:30:00"/>
    <d v="2025-03-05T22:27:00"/>
    <n v="-2.9861111104158531"/>
    <n v="27.870370367357584"/>
    <x v="0"/>
    <d v="2025-03-06T16:29:00"/>
    <d v="2025-03-07T10:37:00"/>
    <n v="1065.3333333383489"/>
    <s v="truck faulty"/>
    <d v="2025-03-07T20:48:00"/>
    <d v="2025-03-07T21:36:00"/>
    <n v="46.99999999931606"/>
    <m/>
    <n v="1.9312500000014552"/>
    <n v="2"/>
    <n v="6.8749999998544808E-2"/>
    <n v="46.350000000034925"/>
    <n v="12"/>
    <n v="34.350000000034925"/>
    <n v="4.5414847161525875"/>
    <m/>
    <m/>
    <m/>
    <m/>
    <m/>
  </r>
  <r>
    <d v="2025-03-06T00:00:00"/>
    <x v="2"/>
    <s v="NBL"/>
    <s v="OM6CFFURR"/>
    <s v="DJ"/>
    <x v="3"/>
    <s v="UBK 881R"/>
    <s v="Kabaco U Ltd-Mbarara "/>
    <n v="153.6"/>
    <s v="OM6CFFURR"/>
    <s v="OM"/>
    <n v="20"/>
    <n v="17"/>
    <n v="-3"/>
    <m/>
    <d v="2025-03-05T20:09:00"/>
    <d v="2025-03-06T07:42:00"/>
    <d v="2025-03-05T20:38:00"/>
    <n v="-660.92592592152266"/>
    <n v="28.865740740972495"/>
    <x v="0"/>
    <d v="2025-03-05T21:03:00"/>
    <d v="2025-03-06T11:25:00"/>
    <n v="844.04166666849051"/>
    <s v="Waited for empties from trade"/>
    <d v="2025-03-06T12:14:00"/>
    <d v="2025-03-06T13:12:00"/>
    <n v="56.791666667122627"/>
    <m/>
    <n v="0.65000000000145519"/>
    <n v="3"/>
    <n v="2.3499999999985448"/>
    <n v="15.600000000034925"/>
    <n v="0"/>
    <n v="15.600000000034925"/>
    <n v="9.8461538461318021"/>
    <m/>
    <m/>
    <m/>
    <m/>
    <m/>
  </r>
  <r>
    <d v="2025-03-07T00:00:00"/>
    <x v="2"/>
    <s v="KESH"/>
    <s v="A21262"/>
    <s v="Manual"/>
    <x v="25"/>
    <s v="UBJ 420C"/>
    <s v="KATO INVESTMENTS LTD-KATIKARA"/>
    <n v="78"/>
    <s v="A21262"/>
    <s v="OM"/>
    <n v="790"/>
    <n v="786"/>
    <n v="-4"/>
    <m/>
    <d v="2025-03-04T18:32:00"/>
    <d v="2025-03-05T03:13:00"/>
    <d v="2025-03-04T19:01:00"/>
    <n v="-489.72222222291748"/>
    <n v="28.865740740972495"/>
    <x v="0"/>
    <d v="2025-03-08T18:43:00"/>
    <d v="2025-03-08T20:55:00"/>
    <n v="129.25000000068394"/>
    <m/>
    <d v="2025-03-05T18:06:00"/>
    <d v="2025-03-05T18:49:00"/>
    <n v="42.104166670542327"/>
    <m/>
    <n v="0.96180555555474712"/>
    <n v="3"/>
    <n v="2.0381944444452529"/>
    <n v="23.083333333313931"/>
    <n v="0"/>
    <n v="23.083333333313931"/>
    <n v="3.3790613718439957"/>
    <m/>
    <m/>
    <m/>
    <m/>
    <m/>
  </r>
  <r>
    <d v="2025-03-07T00:00:00"/>
    <x v="2"/>
    <s v="KESH"/>
    <s v="A21267"/>
    <s v="Manual"/>
    <x v="34"/>
    <s v="UBP 301H"/>
    <s v="Kato Investments Ltd-Bulenga"/>
    <n v="156"/>
    <s v="A21267"/>
    <s v="OM"/>
    <n v="560"/>
    <n v="559"/>
    <n v="-1"/>
    <m/>
    <d v="2025-03-04T19:58:00"/>
    <d v="2025-03-05T05:46:00"/>
    <d v="2025-03-04T20:20:00"/>
    <n v="-563.37962963055668"/>
    <n v="21.89814814652588"/>
    <x v="0"/>
    <d v="2025-03-08T07:51:00"/>
    <d v="2025-03-08T09:49:00"/>
    <n v="115.54166667396203"/>
    <m/>
    <d v="2025-03-05T13:08:00"/>
    <d v="2025-03-05T14:05:00"/>
    <n v="55.81249999726424"/>
    <m/>
    <n v="0.70000000000436557"/>
    <n v="3"/>
    <n v="2.2999999999956344"/>
    <n v="16.800000000104774"/>
    <n v="0"/>
    <n v="16.800000000104774"/>
    <n v="9.2857142856563755"/>
    <m/>
    <m/>
    <m/>
    <m/>
    <m/>
  </r>
  <r>
    <d v="2025-03-07T00:00:00"/>
    <x v="2"/>
    <s v="KESH"/>
    <s v="A21257"/>
    <s v="Manual"/>
    <x v="10"/>
    <s v="UBR 864Y"/>
    <s v="Kato Investment Ltd -Mityana"/>
    <n v="156"/>
    <s v="A21257"/>
    <s v="OM"/>
    <n v="690"/>
    <n v="687"/>
    <n v="-3"/>
    <m/>
    <d v="2025-03-04T19:26:00"/>
    <d v="2025-03-05T05:52:00"/>
    <d v="2025-03-04T19:53:00"/>
    <n v="-596.22685184513102"/>
    <n v="26.87500000417155"/>
    <x v="0"/>
    <d v="2025-03-07T07:06:00"/>
    <d v="2025-03-07T16:03:00"/>
    <n v="525.81250000068394"/>
    <s v="Waited for empties from trade"/>
    <d v="2025-03-06T13:08:00"/>
    <d v="2025-03-06T14:05:00"/>
    <n v="55.81249999726424"/>
    <m/>
    <n v="1.71875"/>
    <n v="3"/>
    <n v="1.28125"/>
    <n v="41.25"/>
    <n v="12"/>
    <n v="29.25"/>
    <n v="5.333333333333333"/>
    <m/>
    <m/>
    <m/>
    <m/>
    <m/>
  </r>
  <r>
    <d v="2025-03-07T00:00:00"/>
    <x v="2"/>
    <s v="KESH"/>
    <s v="Z82960"/>
    <s v="Manual"/>
    <x v="10"/>
    <s v="UBR 537W"/>
    <s v="Kabaco U Ltd "/>
    <n v="112.2"/>
    <s v="Z82960"/>
    <s v="OM"/>
    <n v="320"/>
    <n v="317"/>
    <n v="-3"/>
    <m/>
    <d v="2025-03-06T19:22:00"/>
    <d v="2025-03-06T02:22:00"/>
    <d v="2025-03-06T19:49:00"/>
    <n v="1042.1527777749968"/>
    <n v="26.87500000417155"/>
    <x v="0"/>
    <d v="2025-03-06T18:20:00"/>
    <d v="2025-03-07T12:03:00"/>
    <n v="1040.8541666637029"/>
    <s v="less casuals and offloaded the next day"/>
    <d v="2025-03-09T10:35:00"/>
    <d v="2025-03-09T11:18:00"/>
    <n v="42.104166670542327"/>
    <m/>
    <n v="2.6152777777751908"/>
    <n v="2"/>
    <n v="-0.61527777777519077"/>
    <n v="62.766666666604578"/>
    <n v="24"/>
    <n v="38.766666666604578"/>
    <n v="2.8942390369779805"/>
    <m/>
    <m/>
    <m/>
    <m/>
    <m/>
  </r>
  <r>
    <d v="2025-03-07T00:00:00"/>
    <x v="2"/>
    <s v="KESH"/>
    <s v="Z82961"/>
    <s v="Manual"/>
    <x v="27"/>
    <s v="UBM 648D"/>
    <s v="Kobusinge Steven-FPortal"/>
    <n v="6.3"/>
    <s v="Z82961"/>
    <s v="OM"/>
    <n v="304"/>
    <n v="305"/>
    <n v="1"/>
    <m/>
    <d v="2025-03-06T17:54:00"/>
    <d v="2025-03-06T06:15:00"/>
    <d v="2025-03-06T18:24:00"/>
    <n v="725.62500000834314"/>
    <n v="29.861111114587402"/>
    <x v="0"/>
    <d v="2025-03-07T10:22:00"/>
    <d v="2025-03-07T11:50:00"/>
    <n v="86.166666670542327"/>
    <m/>
    <d v="2025-03-09T10:35:00"/>
    <d v="2025-03-09T11:33:00"/>
    <n v="56.791666667122627"/>
    <m/>
    <n v="2.6743055555489263"/>
    <n v="2"/>
    <n v="-0.67430555554892635"/>
    <n v="64.183333333174232"/>
    <n v="24"/>
    <n v="40.183333333174232"/>
    <n v="0.15678141849916907"/>
    <m/>
    <m/>
    <m/>
    <m/>
    <m/>
  </r>
  <r>
    <d v="2025-03-07T00:00:00"/>
    <x v="2"/>
    <s v="KESH"/>
    <s v="A21259"/>
    <s v="Manual"/>
    <x v="47"/>
    <s v="UBR 538W"/>
    <s v="Kato Investments Ltd- Kyegegwa"/>
    <n v="78"/>
    <s v="A21259"/>
    <s v="OM"/>
    <n v="600"/>
    <n v="597"/>
    <n v="-3"/>
    <m/>
    <d v="2025-03-06T13:08:00"/>
    <d v="2025-03-06T06:15:00"/>
    <d v="2025-03-06T13:35:00"/>
    <n v="437.96296296180418"/>
    <n v="26.87500000417155"/>
    <x v="0"/>
    <d v="2025-03-07T17:45:00"/>
    <d v="2025-03-07T21:02:00"/>
    <n v="192.89583332603797"/>
    <s v="Dj failure at customer"/>
    <d v="2025-03-08T09:03:00"/>
    <d v="2025-03-08T09:51:00"/>
    <n v="46.99999999931606"/>
    <m/>
    <n v="1.8111111111138598"/>
    <n v="2"/>
    <n v="0.18888888888614019"/>
    <n v="43.466666666732635"/>
    <n v="12"/>
    <n v="31.466666666732635"/>
    <n v="2.478813559316837"/>
    <m/>
    <m/>
    <m/>
    <m/>
    <m/>
  </r>
  <r>
    <d v="2025-03-07T00:00:00"/>
    <x v="2"/>
    <s v="KESH"/>
    <s v="A21258"/>
    <s v="Manual"/>
    <x v="10"/>
    <s v="UBJ 421C"/>
    <s v="Kato Investment Ltd -Mityana"/>
    <n v="156"/>
    <s v="A21258"/>
    <s v="OM"/>
    <n v="690"/>
    <n v="688"/>
    <n v="-2"/>
    <m/>
    <d v="2025-03-05T12:58:00"/>
    <d v="2025-03-05T12:26:00"/>
    <d v="2025-03-05T13:24:00"/>
    <n v="57.731481481944989"/>
    <n v="25.879629630556639"/>
    <x v="0"/>
    <d v="2025-03-07T19:54:00"/>
    <d v="2025-03-08T14:32:00"/>
    <n v="1094.7083333315095"/>
    <s v="Waited for empties from trade"/>
    <d v="2025-03-07T18:06:00"/>
    <d v="2025-03-07T18:56:00"/>
    <n v="48.958333328773733"/>
    <m/>
    <n v="2.1958333333313931"/>
    <n v="3"/>
    <n v="0.80416666666860692"/>
    <n v="52.699999999953434"/>
    <n v="24"/>
    <n v="28.699999999953434"/>
    <n v="5.4355400696952305"/>
    <m/>
    <m/>
    <m/>
    <m/>
    <m/>
  </r>
  <r>
    <d v="2025-03-07T00:00:00"/>
    <x v="2"/>
    <s v="KESH"/>
    <s v="A21261"/>
    <s v="Manual"/>
    <x v="30"/>
    <s v="UBR 540W"/>
    <s v="Kato Investment Ltd -Kagadi"/>
    <n v="156"/>
    <s v="A21261"/>
    <s v="OM"/>
    <n v="670"/>
    <n v="667"/>
    <n v="-3"/>
    <m/>
    <d v="2025-03-05T21:59:00"/>
    <d v="2025-03-05T22:30:00"/>
    <d v="2025-03-05T22:27:00"/>
    <n v="-2.9861111104158531"/>
    <n v="27.870370367357584"/>
    <x v="0"/>
    <d v="2025-03-07T09:23:00"/>
    <d v="2025-03-07T15:06:00"/>
    <n v="335.85416666370293"/>
    <s v="Waited for empties from trade"/>
    <d v="2025-03-07T17:32:00"/>
    <d v="2025-03-07T18:15:00"/>
    <n v="42.104166670542327"/>
    <m/>
    <n v="1.7951388888905058"/>
    <n v="2"/>
    <n v="0.20486111110949423"/>
    <n v="43.083333333372138"/>
    <n v="12"/>
    <n v="31.083333333372138"/>
    <n v="5.0187667560259062"/>
    <m/>
    <m/>
    <m/>
    <m/>
    <m/>
  </r>
  <r>
    <d v="2025-03-07T00:00:00"/>
    <x v="2"/>
    <s v="NBL"/>
    <s v="OMHTHKORR"/>
    <s v="DJ"/>
    <x v="2"/>
    <s v="UBE 287X"/>
    <s v="Kabaco U Ltd "/>
    <n v="153.6"/>
    <s v="OMJNRQ6RR"/>
    <s v="OM"/>
    <n v="320"/>
    <n v="317"/>
    <n v="-3"/>
    <m/>
    <d v="2025-03-07T18:25:00"/>
    <d v="2025-03-07T02:22:00"/>
    <d v="2025-03-07T18:53:00"/>
    <n v="986.41203704028158"/>
    <n v="27.870370367357584"/>
    <x v="0"/>
    <d v="2025-03-08T11:26:00"/>
    <d v="2025-03-08T16:01:00"/>
    <n v="269.27083332877373"/>
    <s v="Waited for empties from trade"/>
    <d v="2025-03-10T10:02:00"/>
    <d v="2025-03-10T10:45:00"/>
    <n v="42.104166670542327"/>
    <m/>
    <n v="2.6312499999985448"/>
    <n v="2"/>
    <n v="-0.63124999999854481"/>
    <n v="63.149999999965075"/>
    <n v="24"/>
    <n v="39.149999999965075"/>
    <n v="3.9233716475130782"/>
    <m/>
    <m/>
    <m/>
    <m/>
    <m/>
  </r>
  <r>
    <d v="2025-03-07T00:00:00"/>
    <x v="2"/>
    <s v="NBL"/>
    <s v="OM2VQCMRR"/>
    <s v="DJ"/>
    <x v="12"/>
    <s v="UBJ 415C"/>
    <s v="Kabaco U Ltd-Mbarara "/>
    <n v="153.6"/>
    <s v="OM14WBURR"/>
    <s v="OM"/>
    <n v="20"/>
    <n v="17"/>
    <n v="-3"/>
    <m/>
    <d v="2025-03-07T16:34:00"/>
    <d v="2025-03-07T07:42:00"/>
    <d v="2025-03-07T17:02:00"/>
    <n v="557.4074074097249"/>
    <n v="27.870370367357584"/>
    <x v="0"/>
    <d v="2025-03-07T17:45:00"/>
    <d v="2025-03-07T21:02:00"/>
    <n v="192.89583332603797"/>
    <s v="found another truck at the RD"/>
    <d v="2025-03-09T09:03:00"/>
    <d v="2025-03-09T09:45:00"/>
    <n v="41.12500000068394"/>
    <m/>
    <n v="1.6673611111109494"/>
    <n v="2"/>
    <n v="0.33263888888905058"/>
    <n v="40.016666666662786"/>
    <n v="12"/>
    <n v="28.016666666662786"/>
    <n v="5.4824509220709556"/>
    <m/>
    <m/>
    <m/>
    <m/>
    <m/>
  </r>
  <r>
    <d v="2025-03-07T00:00:00"/>
    <x v="2"/>
    <s v="NBL"/>
    <s v="OMIE8WWRR"/>
    <s v="DJ"/>
    <x v="14"/>
    <s v="UBJ 988D"/>
    <s v="Sawan Distributors Ltd-Kayabwe"/>
    <n v="153.6"/>
    <s v="OMZZIPQRR"/>
    <s v="OM"/>
    <n v="382"/>
    <n v="379"/>
    <n v="-3"/>
    <m/>
    <d v="2025-03-07T09:56:00"/>
    <d v="2025-03-07T04:19:00"/>
    <d v="2025-03-07T10:48:00"/>
    <n v="387.19907407430583"/>
    <n v="51.759259261113279"/>
    <x v="0"/>
    <d v="2025-03-07T18:46:00"/>
    <d v="2025-03-08T12:16:00"/>
    <n v="1028.1249999965803"/>
    <s v="Waited for empties from trade"/>
    <d v="2025-03-09T18:45:00"/>
    <d v="2025-03-09T19:41:00"/>
    <n v="54.833333337664953"/>
    <m/>
    <n v="2.3312500000029104"/>
    <n v="2"/>
    <n v="-0.33125000000291038"/>
    <n v="55.950000000069849"/>
    <n v="24"/>
    <n v="31.950000000069849"/>
    <n v="4.8075117370786913"/>
    <m/>
    <m/>
    <m/>
    <m/>
    <m/>
  </r>
  <r>
    <d v="2025-03-07T00:00:00"/>
    <x v="2"/>
    <s v="NBL"/>
    <s v="OM3KEC6RR"/>
    <s v="DJ"/>
    <x v="20"/>
    <s v="UAY 265V"/>
    <s v="RUGOMA TRADERS CO. LTD NTUNGAM "/>
    <n v="153.6"/>
    <s v="OMKY5Y8RR"/>
    <s v="OM"/>
    <n v="150"/>
    <n v="148"/>
    <n v="-2"/>
    <m/>
    <d v="2025-03-07T11:41:00"/>
    <d v="2025-03-07T06:15:00"/>
    <d v="2025-03-07T12:09:00"/>
    <n v="352.36111111250165"/>
    <n v="27.870370367357584"/>
    <x v="0"/>
    <d v="2025-03-07T18:27:00"/>
    <d v="2025-03-07T20:37:00"/>
    <n v="127.29166666096717"/>
    <m/>
    <d v="2025-03-09T09:59:00"/>
    <d v="2025-03-09T10:55:00"/>
    <n v="54.833333337664953"/>
    <m/>
    <n v="1.9097222222262644"/>
    <n v="1"/>
    <n v="-0.90972222222626442"/>
    <n v="45.833333333430346"/>
    <n v="12"/>
    <n v="33.833333333430346"/>
    <n v="4.5399014778194946"/>
    <m/>
    <m/>
    <m/>
    <m/>
    <m/>
  </r>
  <r>
    <d v="2025-03-07T00:00:00"/>
    <x v="2"/>
    <s v="NBL"/>
    <s v="OM7NTMURR"/>
    <s v="DJ"/>
    <x v="5"/>
    <s v="UBE 419T"/>
    <s v="Ntale and Sons"/>
    <n v="153.6"/>
    <s v="OM2U5PIRR"/>
    <s v="OM"/>
    <n v="810"/>
    <n v="809"/>
    <n v="-1"/>
    <m/>
    <d v="2025-03-06T20:50:00"/>
    <d v="2025-03-06T21:30:00"/>
    <d v="2025-03-06T21:42:00"/>
    <n v="11.944444441663412"/>
    <n v="51.759259261113279"/>
    <x v="0"/>
    <d v="2025-03-07T19:54:00"/>
    <d v="2025-03-08T14:32:00"/>
    <n v="1094.7083333315095"/>
    <s v="Reached late and offloaded the next day"/>
    <d v="2025-03-08T18:06:00"/>
    <d v="2025-03-08T18:49:00"/>
    <n v="42.104166670542327"/>
    <m/>
    <n v="1.8499999999985448"/>
    <n v="3"/>
    <n v="1.1500000000014552"/>
    <n v="44.399999999965075"/>
    <n v="12"/>
    <n v="32.399999999965075"/>
    <n v="4.7407407407458511"/>
    <m/>
    <m/>
    <m/>
    <m/>
    <m/>
  </r>
  <r>
    <d v="2025-03-07T00:00:00"/>
    <x v="2"/>
    <s v="NBL"/>
    <s v="OMJNRQ6RR"/>
    <s v="DJ"/>
    <x v="3"/>
    <s v="UBK 881R"/>
    <s v="KATO INVESTMENTS LIMITED-MASAK "/>
    <n v="153.6"/>
    <s v="OMQ9CV1RR"/>
    <s v="OM"/>
    <n v="298"/>
    <n v="295"/>
    <n v="-3"/>
    <m/>
    <d v="2025-03-06T20:02:00"/>
    <d v="2025-03-07T04:14:00"/>
    <d v="2025-03-06T20:55:00"/>
    <n v="-436.96759258818929"/>
    <n v="52.75462963472819"/>
    <x v="0"/>
    <d v="2025-03-07T09:23:00"/>
    <d v="2025-03-07T15:06:00"/>
    <n v="335.85416666370293"/>
    <s v="Waited for empties from trade"/>
    <d v="2025-03-07T17:32:00"/>
    <d v="2025-03-07T18:29:00"/>
    <n v="55.81249999726424"/>
    <m/>
    <n v="0.85902777777664596"/>
    <n v="2"/>
    <n v="1.140972222223354"/>
    <n v="20.616666666639503"/>
    <n v="0"/>
    <n v="20.616666666639503"/>
    <n v="7.4502829426128878"/>
    <m/>
    <m/>
    <m/>
    <m/>
    <m/>
  </r>
  <r>
    <d v="2025-03-08T00:00:00"/>
    <x v="2"/>
    <s v="KESH"/>
    <s v="Z82968"/>
    <s v="Manual"/>
    <x v="24"/>
    <s v="UBP 298H"/>
    <s v="Kobusinge Steven-FPortal"/>
    <n v="5.04"/>
    <s v="Z82968"/>
    <s v="OM"/>
    <n v="304"/>
    <n v="301"/>
    <n v="-3"/>
    <m/>
    <d v="2025-03-05T13:47:00"/>
    <d v="2025-03-05T19:03:00"/>
    <d v="2025-03-05T14:39:00"/>
    <n v="-262.77777776873944"/>
    <n v="51.759259261113279"/>
    <x v="0"/>
    <d v="2025-03-08T17:51:00"/>
    <d v="2025-03-08T20:04:00"/>
    <n v="130.22916666028323"/>
    <m/>
    <d v="2025-03-07T08:56:00"/>
    <d v="2025-03-07T09:54:00"/>
    <n v="56.791666667122627"/>
    <m/>
    <n v="1.7618055555503815"/>
    <n v="2"/>
    <n v="0.23819444444961846"/>
    <n v="42.283333333209157"/>
    <n v="12"/>
    <n v="30.283333333209157"/>
    <n v="0.16642817831658777"/>
    <m/>
    <m/>
    <m/>
    <m/>
    <m/>
  </r>
  <r>
    <d v="2025-03-08T00:00:00"/>
    <x v="2"/>
    <s v="KESH"/>
    <s v="A21275"/>
    <s v="Manual"/>
    <x v="48"/>
    <s v="UBM 644D"/>
    <s v="Kato Investment Ltd -Mubende"/>
    <n v="156"/>
    <s v="A21275"/>
    <s v="OM"/>
    <n v="680"/>
    <n v="678"/>
    <n v="-2"/>
    <m/>
    <d v="2025-03-05T19:58:00"/>
    <d v="2025-03-06T07:00:00"/>
    <d v="2025-03-05T20:26:00"/>
    <n v="-631.06481480693526"/>
    <n v="27.870370367357584"/>
    <x v="0"/>
    <d v="2025-03-09T08:27:00"/>
    <d v="2025-03-09T17:34:00"/>
    <n v="535.60416666849051"/>
    <s v="Reached late and offloaded the next day"/>
    <d v="2025-03-07T18:21:00"/>
    <d v="2025-03-07T19:10:00"/>
    <n v="47.979166669174447"/>
    <m/>
    <n v="1.9131944444379769"/>
    <n v="3"/>
    <n v="1.0868055555620231"/>
    <n v="45.916666666511446"/>
    <n v="12"/>
    <n v="33.916666666511446"/>
    <n v="4.5995085995296492"/>
    <m/>
    <m/>
    <m/>
    <m/>
    <m/>
  </r>
  <r>
    <d v="2025-03-08T00:00:00"/>
    <x v="2"/>
    <s v="KESH"/>
    <s v="A21276"/>
    <s v="Manual"/>
    <x v="44"/>
    <s v="UBE 684K"/>
    <s v="KATO INVESTMENTS LTD-KATIKARA"/>
    <n v="156"/>
    <s v="A21276"/>
    <s v="OM"/>
    <n v="790"/>
    <n v="791"/>
    <n v="1"/>
    <m/>
    <d v="2025-03-05T20:09:00"/>
    <d v="2025-03-06T07:42:00"/>
    <d v="2025-03-05T20:38:00"/>
    <n v="-660.92592592152266"/>
    <n v="28.865740740972495"/>
    <x v="0"/>
    <d v="2025-03-10T08:49:00"/>
    <d v="2025-03-10T14:02:00"/>
    <n v="306.47916667054233"/>
    <s v="truck faulty"/>
    <d v="2025-03-06T15:34:00"/>
    <d v="2025-03-06T16:30:00"/>
    <n v="54.833333337664953"/>
    <m/>
    <n v="0.788888888884685"/>
    <n v="3"/>
    <n v="2.211111111115315"/>
    <n v="18.93333333323244"/>
    <n v="0"/>
    <n v="18.93333333323244"/>
    <n v="8.2394366197622162"/>
    <m/>
    <m/>
    <m/>
    <m/>
    <m/>
  </r>
  <r>
    <d v="2025-03-08T00:00:00"/>
    <x v="2"/>
    <s v="KESH"/>
    <s v="Z82966"/>
    <s v="Manual"/>
    <x v="40"/>
    <s v="UBP 311H"/>
    <s v="Rugoma Traders-Rukungiri"/>
    <n v="5.04"/>
    <s v="Z82966"/>
    <s v="OM"/>
    <n v="256"/>
    <n v="255"/>
    <n v="-1"/>
    <m/>
    <d v="2025-03-05T15:43:00"/>
    <d v="2025-03-06T05:52:00"/>
    <d v="2025-03-05T16:11:00"/>
    <n v="-817.1990740680485"/>
    <n v="27.870370367357584"/>
    <x v="0"/>
    <d v="2025-03-08T18:58:00"/>
    <d v="2025-03-09T12:32:00"/>
    <n v="1032.0416666657547"/>
    <s v="found another truck to be offloaded"/>
    <d v="2025-03-07T16:28:00"/>
    <d v="2025-03-07T17:25:00"/>
    <n v="55.81249999726424"/>
    <m/>
    <n v="2.0118055555576575"/>
    <n v="2"/>
    <n v="-1.1805555557657499E-2"/>
    <n v="48.28333333338378"/>
    <n v="24"/>
    <n v="24.28333333338378"/>
    <n v="0.20754975977993945"/>
    <m/>
    <m/>
    <m/>
    <m/>
    <m/>
  </r>
  <r>
    <d v="2025-03-08T00:00:00"/>
    <x v="2"/>
    <s v="NBL"/>
    <s v="OM14WBURR"/>
    <s v="DJ"/>
    <x v="17"/>
    <s v="UBA 523T"/>
    <s v="KATO INVESTMENTS LIMITED-MASAK "/>
    <n v="153.6"/>
    <s v="OM3SDLVRR"/>
    <s v="OM"/>
    <n v="298"/>
    <n v="297"/>
    <n v="-1"/>
    <m/>
    <d v="2025-03-08T16:52:00"/>
    <d v="2025-03-08T04:14:00"/>
    <d v="2025-03-08T17:20:00"/>
    <n v="782.36111110624427"/>
    <n v="27.870370367357584"/>
    <x v="0"/>
    <d v="2025-03-11T09:24:00"/>
    <d v="2025-03-11T12:40:00"/>
    <n v="191.91666666643869"/>
    <s v="slept at the RD and offloaded the next day"/>
    <d v="2025-03-09T18:21:00"/>
    <d v="2025-03-09T19:04:00"/>
    <n v="42.104166670542327"/>
    <s v="fueling delays"/>
    <n v="1.0423611111109494"/>
    <n v="2"/>
    <n v="0.95763888888905058"/>
    <n v="25.016666666662786"/>
    <n v="12"/>
    <n v="13.016666666662786"/>
    <n v="11.80025608194974"/>
    <m/>
    <m/>
    <m/>
    <m/>
    <m/>
  </r>
  <r>
    <d v="2025-03-08T00:00:00"/>
    <x v="2"/>
    <s v="NBL"/>
    <s v="OMZZIPQRR"/>
    <s v="DJ"/>
    <x v="4"/>
    <s v="UBE 422T"/>
    <s v="Sawan Distributors Ltd-Kayabwe"/>
    <n v="153.6"/>
    <s v="OM8QNZMRR"/>
    <s v="OM"/>
    <n v="382"/>
    <n v="381"/>
    <n v="-1"/>
    <m/>
    <d v="2025-03-08T14:04:00"/>
    <d v="2025-03-08T04:19:00"/>
    <d v="2025-03-08T14:57:00"/>
    <n v="635.04629630139482"/>
    <n v="52.75462963472819"/>
    <x v="0"/>
    <d v="2025-03-09T09:09:00"/>
    <d v="2025-03-12T16:38:00"/>
    <n v="4669.6458333404007"/>
    <s v="found another truck at the RD"/>
    <d v="2025-03-09T15:20:00"/>
    <d v="2025-03-09T16:19:00"/>
    <n v="57.770833336981013"/>
    <m/>
    <n v="1.015972222223354"/>
    <n v="2"/>
    <n v="0.98402777777664596"/>
    <n v="24.383333333360497"/>
    <n v="12"/>
    <n v="12.383333333360497"/>
    <n v="12.403768506029319"/>
    <m/>
    <m/>
    <m/>
    <m/>
    <m/>
  </r>
  <r>
    <d v="2025-03-08T00:00:00"/>
    <x v="2"/>
    <s v="NBL"/>
    <s v="OMKY5Y8RR"/>
    <s v="DJ"/>
    <x v="1"/>
    <s v="UBJ 375N"/>
    <s v="KATO INVESTMENTS LTD- KALISIZO"/>
    <n v="153.6"/>
    <s v="OM2IOKSRR"/>
    <s v="OM"/>
    <n v="350"/>
    <n v="351"/>
    <n v="1"/>
    <m/>
    <d v="2025-03-08T09:32:00"/>
    <d v="2025-03-08T03:43:00"/>
    <d v="2025-03-08T10:01:00"/>
    <n v="376.24999999582843"/>
    <n v="28.865740740972495"/>
    <x v="0"/>
    <d v="2025-03-09T12:06:00"/>
    <d v="2025-03-09T19:27:00"/>
    <n v="431.81250000205182"/>
    <s v="found another truck at the RD and offloaded the next day"/>
    <d v="2025-03-10T16:57:00"/>
    <d v="2025-03-10T17:54:00"/>
    <n v="55.81249999726424"/>
    <m/>
    <n v="2.288888888891961"/>
    <n v="2"/>
    <n v="-0.28888888889196096"/>
    <n v="54.933333333407063"/>
    <n v="24"/>
    <n v="30.933333333407063"/>
    <n v="4.9655172413674746"/>
    <m/>
    <m/>
    <m/>
    <m/>
    <m/>
  </r>
  <r>
    <d v="2025-03-08T00:00:00"/>
    <x v="2"/>
    <s v="NBL"/>
    <s v="OM2U5PIRR"/>
    <s v="DJ"/>
    <x v="3"/>
    <s v="UBK 881R"/>
    <s v="Ntale and Sons Ltd-Kakiri"/>
    <n v="153.6"/>
    <s v="OMSMRMKRR"/>
    <s v="OM"/>
    <n v="620"/>
    <n v="622"/>
    <n v="2"/>
    <m/>
    <d v="2025-03-08T07:19:00"/>
    <d v="2025-03-08T01:59:00"/>
    <d v="2025-03-08T07:46:00"/>
    <n v="345.39351851805503"/>
    <n v="26.87500000417155"/>
    <x v="0"/>
    <d v="2025-03-08T18:58:00"/>
    <d v="2025-03-09T12:32:00"/>
    <n v="1032.0416666657547"/>
    <s v="Waited for empties from trade"/>
    <d v="2025-03-10T15:34:00"/>
    <d v="2025-03-10T16:17:00"/>
    <n v="42.104166670542327"/>
    <m/>
    <n v="2.3249999999970896"/>
    <n v="3"/>
    <n v="0.67500000000291038"/>
    <n v="55.799999999930151"/>
    <n v="24"/>
    <n v="31.799999999930151"/>
    <n v="4.8301886792558921"/>
    <m/>
    <m/>
    <m/>
    <m/>
    <m/>
  </r>
  <r>
    <d v="2025-03-08T00:00:00"/>
    <x v="2"/>
    <s v="NBL"/>
    <s v="OMQ9CV1RR"/>
    <s v="DJ"/>
    <x v="7"/>
    <s v="UAY 526V"/>
    <s v="KATO INVESTMENTS LIMITED-MASAK "/>
    <n v="153.6"/>
    <s v="OM19WNFRR"/>
    <s v="OM"/>
    <n v="298"/>
    <n v="295"/>
    <n v="-3"/>
    <m/>
    <d v="2025-03-08T06:59:00"/>
    <d v="2025-03-08T04:14:00"/>
    <d v="2025-03-08T07:27:00"/>
    <n v="192.106481481945"/>
    <n v="27.870370367357584"/>
    <x v="0"/>
    <d v="2025-03-08T12:25:00"/>
    <d v="2025-03-08T15:30:00"/>
    <n v="181.14583333903283"/>
    <s v="found another truck at the RD"/>
    <d v="2025-03-10T16:28:00"/>
    <d v="2025-03-10T17:26:00"/>
    <n v="56.791666667122627"/>
    <m/>
    <n v="2.3756944444467081"/>
    <n v="2"/>
    <n v="-0.37569444444670808"/>
    <n v="57.016666666720994"/>
    <n v="24"/>
    <n v="33.016666666720994"/>
    <n v="4.6521958606687708"/>
    <m/>
    <m/>
    <m/>
    <m/>
    <m/>
  </r>
  <r>
    <d v="2025-03-09T00:00:00"/>
    <x v="2"/>
    <s v="KESH"/>
    <s v="Z82989"/>
    <s v="Manual"/>
    <x v="10"/>
    <s v="UBR 534W"/>
    <s v="Kobusinge Steven-Kamwenge"/>
    <n v="78"/>
    <s v="Z82989"/>
    <s v="OM"/>
    <n v="288"/>
    <n v="286"/>
    <n v="-2"/>
    <m/>
    <d v="2025-03-07T10:57:00"/>
    <d v="2025-03-06T14:15:00"/>
    <d v="2025-03-07T11:25:00"/>
    <n v="1264.1203703715291"/>
    <n v="27.870370367357584"/>
    <x v="0"/>
    <d v="2025-03-11T12:08:00"/>
    <d v="2025-03-11T15:18:00"/>
    <n v="186.04166665754747"/>
    <s v="Waited for empties from trade"/>
    <d v="2025-03-09T11:58:00"/>
    <d v="2025-03-09T12:47:00"/>
    <n v="47.979166669174447"/>
    <m/>
    <n v="2.0229166666686069"/>
    <n v="2"/>
    <n v="-2.2916666668606922E-2"/>
    <n v="48.550000000046566"/>
    <n v="24"/>
    <n v="24.550000000046566"/>
    <n v="3.177189409362609"/>
    <m/>
    <m/>
    <m/>
    <m/>
    <m/>
  </r>
  <r>
    <d v="2025-03-09T00:00:00"/>
    <x v="2"/>
    <s v="KESH"/>
    <s v="A21298"/>
    <s v="Manual"/>
    <x v="33"/>
    <s v="UBR 541W"/>
    <s v="Kato Investment Ltd -Mubende"/>
    <n v="78"/>
    <s v="A21298"/>
    <s v="OM"/>
    <n v="680"/>
    <n v="683"/>
    <n v="3"/>
    <m/>
    <d v="2025-03-07T18:26:00"/>
    <d v="2025-03-07T02:22:00"/>
    <d v="2025-03-07T18:53:00"/>
    <n v="986.41203704028158"/>
    <n v="26.87500000417155"/>
    <x v="0"/>
    <d v="2025-03-10T14:04:00"/>
    <d v="2025-03-10T16:50:00"/>
    <n v="162.54166667327809"/>
    <m/>
    <d v="2025-03-10T10:55:00"/>
    <d v="2025-03-10T11:48:00"/>
    <n v="51.895833338348893"/>
    <m/>
    <n v="2.6680555555503815"/>
    <n v="3"/>
    <n v="0.33194444444961846"/>
    <n v="64.033333333209157"/>
    <n v="24"/>
    <n v="40.033333333209157"/>
    <n v="1.9483763530451776"/>
    <m/>
    <m/>
    <m/>
    <m/>
    <m/>
  </r>
  <r>
    <d v="2025-03-09T00:00:00"/>
    <x v="2"/>
    <s v="KESH"/>
    <s v="Z82990"/>
    <s v="Manual"/>
    <x v="51"/>
    <s v="UBR 536W"/>
    <s v="Kobusinge Steven-Kamwenge"/>
    <n v="156"/>
    <s v="Z82990"/>
    <s v="OM"/>
    <n v="288"/>
    <n v="286"/>
    <n v="-2"/>
    <m/>
    <d v="2025-03-07T10:21:00"/>
    <d v="2025-03-07T04:19:00"/>
    <d v="2025-03-07T10:48:00"/>
    <n v="387.19907407430583"/>
    <n v="26.87500000417155"/>
    <x v="0"/>
    <d v="2025-03-09T18:09:00"/>
    <d v="2025-03-11T09:11:00"/>
    <n v="2293.2083333397168"/>
    <s v="Waited for empties from trade"/>
    <d v="2025-03-09T10:55:00"/>
    <d v="2025-03-09T11:52:00"/>
    <n v="55.81249999726424"/>
    <m/>
    <n v="2.0048611111124046"/>
    <n v="2"/>
    <n v="-4.8611111124046147E-3"/>
    <n v="48.116666666697711"/>
    <n v="24"/>
    <n v="24.116666666697711"/>
    <n v="6.4685556323344517"/>
    <m/>
    <m/>
    <m/>
    <m/>
    <m/>
  </r>
  <r>
    <d v="2025-03-09T00:00:00"/>
    <x v="2"/>
    <s v="KESH"/>
    <s v="A21291"/>
    <s v="Manual"/>
    <x v="10"/>
    <s v="UBR 868Y"/>
    <s v="Kato Investment Ltd -Mityana"/>
    <n v="157.5"/>
    <s v="A21291"/>
    <s v="OM"/>
    <n v="690"/>
    <n v="693"/>
    <n v="3"/>
    <m/>
    <d v="2025-03-07T11:00:00"/>
    <d v="2025-03-07T07:00:00"/>
    <d v="2025-03-07T11:50:00"/>
    <n v="288.65740740972495"/>
    <n v="49.768518513883464"/>
    <x v="0"/>
    <d v="2025-03-08T15:31:00"/>
    <d v="2025-03-08T17:52:00"/>
    <n v="138.06249999863212"/>
    <m/>
    <d v="2025-03-08T15:41:00"/>
    <d v="2025-03-08T16:38:00"/>
    <n v="55.81249999726424"/>
    <m/>
    <n v="1.1604166666656965"/>
    <n v="3"/>
    <n v="1.8395833333343035"/>
    <n v="27.849999999976717"/>
    <n v="12"/>
    <n v="15.849999999976717"/>
    <n v="9.9369085173647544"/>
    <m/>
    <m/>
    <m/>
    <m/>
    <m/>
  </r>
  <r>
    <d v="2025-03-09T00:00:00"/>
    <x v="2"/>
    <s v="KESH"/>
    <s v="A21292"/>
    <s v="Manual"/>
    <x v="10"/>
    <s v="UBP 294H"/>
    <s v="Kato Investment Ltd -Mityana"/>
    <n v="157.5"/>
    <s v="A21292"/>
    <s v="OM"/>
    <n v="690"/>
    <n v="691"/>
    <n v="1"/>
    <m/>
    <d v="2025-03-06T16:04:00"/>
    <d v="2025-03-06T15:44:00"/>
    <d v="2025-03-06T16:56:00"/>
    <n v="71.666666670838211"/>
    <n v="51.759259261113279"/>
    <x v="11"/>
    <d v="2025-03-10T11:06:00"/>
    <d v="2025-03-10T15:59:00"/>
    <n v="286.89583333492919"/>
    <s v="truck faulty"/>
    <d v="2025-03-08T15:41:00"/>
    <d v="2025-03-08T16:17:00"/>
    <n v="35.25000000205182"/>
    <m/>
    <n v="1.9479166666642413"/>
    <n v="3"/>
    <n v="1.0520833333357587"/>
    <n v="46.749999999941792"/>
    <n v="12"/>
    <n v="34.749999999941792"/>
    <n v="4.532374100727016"/>
    <m/>
    <m/>
    <m/>
    <m/>
    <m/>
  </r>
  <r>
    <d v="2025-03-09T00:00:00"/>
    <x v="2"/>
    <s v="KESH"/>
    <s v="Z82979"/>
    <s v="Manual"/>
    <x v="10"/>
    <s v="UBJ 423C"/>
    <s v="Kabaco U Ltd "/>
    <n v="156"/>
    <s v="Z82979"/>
    <s v="OM"/>
    <n v="320"/>
    <n v="163"/>
    <n v="-157"/>
    <m/>
    <d v="2025-03-06T10:58:00"/>
    <d v="2025-03-06T11:12:00"/>
    <d v="2025-03-06T11:24:00"/>
    <n v="11.944444441663412"/>
    <n v="25.879629630556639"/>
    <x v="0"/>
    <d v="2025-03-09T18:12:00"/>
    <d v="2025-03-09T20:15:00"/>
    <n v="120.43750000273576"/>
    <m/>
    <d v="2025-03-09T11:58:00"/>
    <d v="2025-03-09T12:54:00"/>
    <n v="54.833333337664953"/>
    <m/>
    <n v="3.023611111115315"/>
    <n v="2"/>
    <n v="-1.023611111115315"/>
    <n v="72.56666666676756"/>
    <n v="36"/>
    <n v="36.56666666676756"/>
    <n v="4.2661804922398243"/>
    <m/>
    <m/>
    <m/>
    <m/>
    <m/>
  </r>
  <r>
    <d v="2025-03-09T00:00:00"/>
    <x v="2"/>
    <s v="KESH"/>
    <s v="Z82985"/>
    <s v="Manual"/>
    <x v="10"/>
    <s v="UBR 535W"/>
    <s v="Rugoma Traders-Rukungiri"/>
    <n v="156"/>
    <s v="Z82985"/>
    <s v="OM"/>
    <n v="256"/>
    <n v="255"/>
    <n v="-1"/>
    <m/>
    <d v="2025-03-06T21:13:00"/>
    <d v="2025-03-06T21:30:00"/>
    <d v="2025-03-06T21:42:00"/>
    <n v="11.944444441663412"/>
    <n v="28.865740740972495"/>
    <x v="0"/>
    <d v="2025-03-12T09:27:00"/>
    <d v="2025-03-12T11:32:00"/>
    <n v="122.39583333219343"/>
    <m/>
    <d v="2025-03-09T10:55:00"/>
    <d v="2025-03-09T11:52:00"/>
    <n v="55.81249999726424"/>
    <m/>
    <n v="2.5506944444423425"/>
    <n v="2"/>
    <n v="-0.5506944444423425"/>
    <n v="61.21666666661622"/>
    <n v="24"/>
    <n v="37.21666666661622"/>
    <n v="4.191670398572632"/>
    <m/>
    <m/>
    <m/>
    <m/>
    <m/>
  </r>
  <r>
    <d v="2025-03-09T00:00:00"/>
    <x v="2"/>
    <s v="KESH"/>
    <s v="F16045"/>
    <s v="Manual"/>
    <x v="10"/>
    <s v="UBG 084G"/>
    <s v="KATO INVESTMENTS LIMITED-MASAK "/>
    <n v="72"/>
    <s v="F16045"/>
    <s v="OM"/>
    <n v="298"/>
    <n v="297"/>
    <n v="-1"/>
    <m/>
    <d v="2025-03-06T11:25:00"/>
    <d v="2025-03-06T11:42:00"/>
    <d v="2025-03-06T11:53:00"/>
    <n v="10.949074068048503"/>
    <n v="27.870370367357584"/>
    <x v="0"/>
    <d v="2025-03-09T12:41:00"/>
    <d v="2025-03-09T14:52:00"/>
    <n v="128.27083333082555"/>
    <m/>
    <d v="2025-03-08T18:28:00"/>
    <d v="2025-03-08T19:25:00"/>
    <n v="55.81249999726424"/>
    <m/>
    <n v="2.2743055555547471"/>
    <n v="2"/>
    <n v="-0.27430555555474712"/>
    <n v="54.583333333313931"/>
    <n v="24"/>
    <n v="30.583333333313931"/>
    <n v="2.3542234332440004"/>
    <m/>
    <m/>
    <m/>
    <m/>
    <m/>
  </r>
  <r>
    <d v="2025-03-09T00:00:00"/>
    <x v="2"/>
    <s v="KESH"/>
    <s v="F16048"/>
    <s v="Manual"/>
    <x v="49"/>
    <s v="UBR 539W"/>
    <s v="Boniface Harera"/>
    <n v="78"/>
    <s v="F16048"/>
    <s v="OM"/>
    <n v="448"/>
    <n v="449"/>
    <n v="1"/>
    <m/>
    <d v="2025-03-06T20:05:00"/>
    <d v="2025-03-07T04:14:00"/>
    <d v="2025-03-06T20:55:00"/>
    <n v="-436.96759258818929"/>
    <n v="49.768518513883464"/>
    <x v="0"/>
    <d v="2025-03-09T08:31:00"/>
    <d v="2025-03-10T12:05:00"/>
    <n v="1619.541666662335"/>
    <s v="Waited for empties from trade"/>
    <d v="2025-03-09T10:55:00"/>
    <d v="2025-03-09T11:31:00"/>
    <n v="35.25000000205182"/>
    <m/>
    <n v="2.5833333333284827"/>
    <n v="2"/>
    <n v="-0.58333333332848269"/>
    <n v="61.999999999883585"/>
    <n v="24"/>
    <n v="37.999999999883585"/>
    <n v="2.0526315789536569"/>
    <m/>
    <m/>
    <m/>
    <m/>
    <m/>
  </r>
  <r>
    <d v="2025-03-09T00:00:00"/>
    <x v="2"/>
    <s v="KESH"/>
    <s v="F16046"/>
    <s v="Manual"/>
    <x v="10"/>
    <s v="UBP 998T"/>
    <s v="Boniface Harera"/>
    <n v="156"/>
    <s v="F16046"/>
    <s v="OM"/>
    <n v="448"/>
    <n v="449"/>
    <n v="1"/>
    <m/>
    <d v="2025-03-06T21:44:00"/>
    <d v="2025-03-07T07:00:00"/>
    <d v="2025-03-06T22:12:00"/>
    <n v="-525.55555554790772"/>
    <n v="27.870370367357584"/>
    <x v="0"/>
    <d v="2025-03-10T12:53:00"/>
    <d v="2025-03-10T18:28:00"/>
    <n v="328.02083332535403"/>
    <s v="Waited for empties from trade"/>
    <d v="2025-03-08T15:41:00"/>
    <d v="2025-03-08T16:17:00"/>
    <n v="35.25000000205182"/>
    <m/>
    <n v="1.7284722222175333"/>
    <n v="2"/>
    <n v="0.27152777778246673"/>
    <n v="41.483333333220799"/>
    <n v="12"/>
    <n v="29.483333333220799"/>
    <n v="5.291124929358805"/>
    <m/>
    <m/>
    <m/>
    <m/>
    <m/>
  </r>
  <r>
    <d v="2025-03-09T00:00:00"/>
    <x v="2"/>
    <s v="KESH"/>
    <s v="Z82986"/>
    <s v="Manual"/>
    <x v="42"/>
    <s v="UBK 858R"/>
    <s v="Kobusinge Acaali- Kyenjojo"/>
    <n v="156"/>
    <s v="Z82986"/>
    <s v="OM"/>
    <n v="580"/>
    <n v="581"/>
    <n v="1"/>
    <m/>
    <d v="2025-03-06T19:09:00"/>
    <d v="2025-03-07T07:00:00"/>
    <d v="2025-03-06T20:02:00"/>
    <n v="-654.95370370069088"/>
    <n v="52.75462963472819"/>
    <x v="0"/>
    <d v="2025-03-09T18:12:00"/>
    <d v="2025-03-09T20:15:00"/>
    <n v="120.43750000273576"/>
    <m/>
    <d v="2025-03-08T15:53:00"/>
    <d v="2025-03-08T16:50:00"/>
    <n v="55.81249999726424"/>
    <m/>
    <n v="1.8270833333372138"/>
    <n v="2"/>
    <n v="0.17291666666278616"/>
    <n v="43.850000000093132"/>
    <n v="12"/>
    <n v="31.850000000093132"/>
    <n v="4.8979591836591476"/>
    <m/>
    <m/>
    <m/>
    <m/>
    <m/>
  </r>
  <r>
    <d v="2025-03-09T00:00:00"/>
    <x v="2"/>
    <s v="KESH"/>
    <s v="Z82987"/>
    <s v="Manual"/>
    <x v="37"/>
    <s v="UBK 866R"/>
    <s v="Kobusinge Steven-FPortal"/>
    <n v="156"/>
    <s v="Z82987"/>
    <s v="OM"/>
    <n v="304"/>
    <n v="303"/>
    <n v="-1"/>
    <m/>
    <d v="2025-03-06T15:18:00"/>
    <d v="2025-03-07T05:51:00"/>
    <d v="2025-03-06T16:08:00"/>
    <n v="-819.18981481527828"/>
    <n v="49.768518513883464"/>
    <x v="0"/>
    <d v="2025-03-12T09:27:00"/>
    <d v="2025-03-12T11:32:00"/>
    <n v="122.39583333219343"/>
    <m/>
    <d v="2025-03-07T15:53:00"/>
    <d v="2025-03-07T17:02:00"/>
    <n v="67.56250000478758"/>
    <s v="sorting delays"/>
    <n v="0.98958333333575865"/>
    <n v="2"/>
    <n v="1.0104166666642413"/>
    <n v="23.750000000058208"/>
    <n v="0"/>
    <n v="23.750000000058208"/>
    <n v="6.5684210526154807"/>
    <m/>
    <m/>
    <m/>
    <m/>
    <m/>
  </r>
  <r>
    <d v="2025-03-09T00:00:00"/>
    <x v="2"/>
    <s v="KESH"/>
    <s v="Z82988"/>
    <s v="Manual"/>
    <x v="39"/>
    <s v="UBJ 705D"/>
    <s v="Kobusinge Steven-FPortal"/>
    <n v="156"/>
    <s v="Z82988"/>
    <s v="OM"/>
    <n v="304"/>
    <n v="302"/>
    <n v="-2"/>
    <m/>
    <d v="2025-03-06T13:43:00"/>
    <d v="2025-03-07T04:57:00"/>
    <d v="2025-03-06T14:36:00"/>
    <n v="-857.01388889792725"/>
    <n v="52.75462963472819"/>
    <x v="0"/>
    <d v="2025-03-09T12:41:00"/>
    <d v="2025-03-09T15:52:00"/>
    <n v="187.02083333766495"/>
    <s v="Waited for empties from trade"/>
    <d v="2025-03-09T12:14:00"/>
    <d v="2025-03-09T12:56:00"/>
    <n v="41.12500000068394"/>
    <m/>
    <n v="2.9013888888948713"/>
    <n v="2"/>
    <n v="-0.90138888889487134"/>
    <n v="69.633333333476912"/>
    <n v="24"/>
    <n v="45.633333333476912"/>
    <n v="3.4185536888132031"/>
    <m/>
    <m/>
    <m/>
    <m/>
    <m/>
  </r>
  <r>
    <d v="2025-03-09T00:00:00"/>
    <x v="2"/>
    <s v="KESH"/>
    <s v="A21299"/>
    <s v="Manual"/>
    <x v="10"/>
    <s v="UBR 903Y"/>
    <s v="Kato Investments Ltd- Kyegegwa"/>
    <n v="156"/>
    <s v="A21299"/>
    <s v="OM"/>
    <n v="600"/>
    <n v="596"/>
    <n v="-4"/>
    <m/>
    <d v="2025-03-06T15:15:00"/>
    <d v="2025-03-07T06:34:00"/>
    <d v="2025-03-06T15:42:00"/>
    <n v="-887.87037036527181"/>
    <n v="26.87500000417155"/>
    <x v="0"/>
    <d v="2025-03-09T08:31:00"/>
    <d v="2025-03-10T12:05:00"/>
    <n v="1619.541666662335"/>
    <s v="found another truck at RD"/>
    <d v="2025-03-09T12:14:00"/>
    <d v="2025-03-09T12:57:00"/>
    <n v="42.104166670542327"/>
    <m/>
    <n v="2.8555555555576575"/>
    <n v="2"/>
    <n v="-0.8555555555576575"/>
    <n v="68.53333333338378"/>
    <n v="24"/>
    <n v="44.53333333338378"/>
    <n v="3.5029940119720799"/>
    <m/>
    <m/>
    <m/>
    <m/>
    <m/>
  </r>
  <r>
    <d v="2025-03-09T00:00:00"/>
    <x v="2"/>
    <s v="KESH"/>
    <s v="OM3SDLVRR"/>
    <s v="DJ"/>
    <x v="24"/>
    <s v="UBP 298H"/>
    <s v="Kobusinge Steven-FPortal"/>
    <n v="153.6"/>
    <s v="OMLTVKTRR"/>
    <s v="OM"/>
    <n v="304"/>
    <n v="303"/>
    <n v="-1"/>
    <m/>
    <d v="2025-03-11T09:53:00"/>
    <d v="2025-03-09T20:25:00"/>
    <d v="2025-03-11T10:46:00"/>
    <n v="2290.3472222208316"/>
    <n v="52.75462963472819"/>
    <x v="0"/>
    <d v="2025-03-11T10:50:00"/>
    <d v="2025-03-11T13:52:00"/>
    <n v="178.20833332945767"/>
    <m/>
    <d v="2025-03-12T10:55:00"/>
    <d v="2025-03-12T11:52:00"/>
    <n v="55.81249999726424"/>
    <m/>
    <n v="1.0062499999985448"/>
    <n v="2"/>
    <n v="0.99375000000145519"/>
    <n v="24.149999999965075"/>
    <n v="12"/>
    <n v="12.149999999965075"/>
    <n v="12.641975308678314"/>
    <m/>
    <m/>
    <m/>
    <m/>
    <m/>
  </r>
  <r>
    <d v="2025-03-10T00:00:00"/>
    <x v="2"/>
    <s v="KESH"/>
    <s v="Z82998"/>
    <s v="Manual"/>
    <x v="35"/>
    <s v="UBP 312H"/>
    <s v="Kabaco U Ltd "/>
    <n v="70.8"/>
    <s v="Z82998"/>
    <s v="OM"/>
    <n v="320"/>
    <n v="324"/>
    <n v="4"/>
    <m/>
    <d v="2025-03-06T19:35:00"/>
    <d v="2025-03-07T19:03:00"/>
    <d v="2025-03-06T20:25:00"/>
    <n v="-1351.7129629576327"/>
    <n v="49.768518513883464"/>
    <x v="0"/>
    <d v="2025-03-11T17:08:00"/>
    <d v="2025-03-11T19:18:00"/>
    <n v="127.29166667122627"/>
    <m/>
    <d v="2025-03-09T11:58:00"/>
    <d v="2025-03-09T12:55:00"/>
    <n v="55.81249999726424"/>
    <m/>
    <n v="2.6479166666686069"/>
    <n v="2"/>
    <n v="-0.64791666666860692"/>
    <n v="63.550000000046566"/>
    <n v="24"/>
    <n v="39.550000000046566"/>
    <n v="1.7901390644732398"/>
    <m/>
    <m/>
    <m/>
    <m/>
    <m/>
  </r>
  <r>
    <d v="2025-03-10T00:00:00"/>
    <x v="2"/>
    <s v="KESH"/>
    <s v="A21321"/>
    <s v="Manual"/>
    <x v="45"/>
    <s v="UBP 310H"/>
    <s v="KATO INVESTMENTS LTD-KATIKARA"/>
    <n v="147.6"/>
    <s v="A21321"/>
    <s v="OM"/>
    <n v="790"/>
    <n v="788"/>
    <n v="-2"/>
    <m/>
    <d v="2025-03-08T16:54:00"/>
    <d v="2025-03-08T04:14:00"/>
    <d v="2025-03-08T17:20:00"/>
    <n v="782.36111110624427"/>
    <n v="25.879629630556639"/>
    <x v="0"/>
    <d v="2025-03-10T09:44:00"/>
    <d v="2025-03-10T14:11:00"/>
    <n v="261.43750000068394"/>
    <s v="First offloaded their route sale trucks"/>
    <d v="2025-03-10T16:12:00"/>
    <d v="2025-03-10T16:55:00"/>
    <n v="42.104166670542327"/>
    <m/>
    <n v="1.9527777777839219"/>
    <n v="3"/>
    <n v="1.0472222222160781"/>
    <n v="46.866666666814126"/>
    <n v="12"/>
    <n v="34.866666666814126"/>
    <n v="4.23326959845246"/>
    <m/>
    <m/>
    <m/>
    <m/>
    <m/>
  </r>
  <r>
    <d v="2025-03-10T00:00:00"/>
    <x v="2"/>
    <s v="KESH"/>
    <s v="A21322"/>
    <s v="Manual"/>
    <x v="43"/>
    <s v="UBJ 419C"/>
    <s v="Kato Investment Ltd -Mityana"/>
    <n v="134.4"/>
    <s v="A21322"/>
    <s v="OM"/>
    <n v="690"/>
    <n v="686"/>
    <n v="-4"/>
    <m/>
    <d v="2025-03-08T09:11:00"/>
    <d v="2025-03-08T03:43:00"/>
    <d v="2025-03-08T10:01:00"/>
    <n v="376.24999999582843"/>
    <n v="49.768518513883464"/>
    <x v="0"/>
    <d v="2025-03-10T11:13:00"/>
    <d v="2025-03-10T13:08:00"/>
    <n v="112.60416666438687"/>
    <m/>
    <d v="2025-03-10T13:39:00"/>
    <d v="2025-03-10T14:36:00"/>
    <n v="55.81249999726424"/>
    <m/>
    <n v="2.1513888888875954"/>
    <n v="3"/>
    <n v="0.84861111111240461"/>
    <n v="51.633333333302289"/>
    <n v="24"/>
    <n v="27.633333333302289"/>
    <n v="4.863691194215356"/>
    <m/>
    <m/>
    <m/>
    <m/>
    <m/>
  </r>
  <r>
    <d v="2025-03-10T00:00:00"/>
    <x v="2"/>
    <s v="KESH"/>
    <s v="A21314"/>
    <s v="Manual"/>
    <x v="36"/>
    <s v="UBE 680K"/>
    <s v="Sawan Distributors Ltd-Nabingo"/>
    <n v="156"/>
    <s v="A21314"/>
    <s v="OM"/>
    <n v="560"/>
    <n v="559"/>
    <n v="-1"/>
    <m/>
    <d v="2025-03-08T07:19:00"/>
    <d v="2025-03-08T01:59:00"/>
    <d v="2025-03-08T07:46:00"/>
    <n v="345.39351851805503"/>
    <n v="26.87500000417155"/>
    <x v="0"/>
    <d v="2025-03-10T09:21:00"/>
    <d v="2025-03-10T16:22:00"/>
    <n v="412.22916666643869"/>
    <s v="Waited for empties from trade"/>
    <d v="2025-03-11T13:37:00"/>
    <d v="2025-03-11T14:19:00"/>
    <n v="41.12500000068394"/>
    <m/>
    <n v="3.2437500000014552"/>
    <n v="2"/>
    <n v="-1.2437500000014552"/>
    <n v="77.850000000034925"/>
    <n v="36"/>
    <n v="41.850000000034925"/>
    <n v="3.727598566305133"/>
    <m/>
    <m/>
    <m/>
    <m/>
    <m/>
  </r>
  <r>
    <d v="2025-03-10T00:00:00"/>
    <x v="2"/>
    <s v="KESH"/>
    <s v="A21318"/>
    <s v="Manual"/>
    <x v="10"/>
    <s v="UBR 900Y"/>
    <s v="Ntale and Sons Ltd-Kakiri"/>
    <n v="148.80000000000001"/>
    <s v="A21318"/>
    <s v="OM"/>
    <n v="620"/>
    <n v="617"/>
    <n v="-3"/>
    <m/>
    <d v="2025-03-07T13:18:00"/>
    <d v="2025-03-07T12:30:00"/>
    <d v="2025-03-07T13:48:00"/>
    <n v="77.638888881241044"/>
    <n v="29.861111114587402"/>
    <x v="0"/>
    <d v="2025-03-10T09:44:00"/>
    <d v="2025-03-10T14:11:00"/>
    <n v="261.43750000068394"/>
    <s v="slept at the RD and offloaded the next day"/>
    <d v="2025-03-08T19:47:00"/>
    <d v="2025-03-08T20:44:00"/>
    <n v="55.81249999726424"/>
    <m/>
    <n v="1.2493055555605679"/>
    <n v="3"/>
    <n v="1.7506944444394321"/>
    <n v="29.983333333453629"/>
    <n v="12"/>
    <n v="17.983333333453629"/>
    <n v="8.2743280815016487"/>
    <m/>
    <m/>
    <m/>
    <m/>
    <m/>
  </r>
  <r>
    <d v="2025-03-10T00:00:00"/>
    <x v="2"/>
    <s v="KESH"/>
    <s v="F16052"/>
    <s v="Manual"/>
    <x v="47"/>
    <s v="UBR 538W"/>
    <s v="Boniface Harera"/>
    <n v="44.4"/>
    <s v="F16052"/>
    <s v="OM"/>
    <n v="448"/>
    <n v="444"/>
    <n v="-4"/>
    <m/>
    <d v="2025-03-07T13:17:00"/>
    <d v="2025-03-07T13:00:00"/>
    <d v="2025-03-07T13:45:00"/>
    <n v="44.791666666666664"/>
    <n v="27.870370367357584"/>
    <x v="0"/>
    <d v="2025-03-12T09:55:00"/>
    <d v="2025-03-12T12:25:00"/>
    <n v="146.8749999965803"/>
    <m/>
    <d v="2025-03-09T11:58:00"/>
    <d v="2025-03-09T12:41:00"/>
    <n v="42.104166670542327"/>
    <m/>
    <n v="1.9256944444496185"/>
    <n v="2"/>
    <n v="7.4305555550381541E-2"/>
    <n v="46.216666666790843"/>
    <n v="12"/>
    <n v="34.216666666790843"/>
    <n v="1.2976132488993337"/>
    <m/>
    <m/>
    <m/>
    <m/>
    <m/>
  </r>
  <r>
    <d v="2025-03-10T00:00:00"/>
    <x v="2"/>
    <s v="KESH"/>
    <s v="A21315"/>
    <s v="Manual"/>
    <x v="32"/>
    <s v="UBJ 703D"/>
    <s v="Sawan Distributors Ltd-Nabingo"/>
    <n v="156"/>
    <s v="A21315"/>
    <s v="OM"/>
    <n v="560"/>
    <n v="556"/>
    <n v="-4"/>
    <m/>
    <d v="2025-03-10T20:02:00"/>
    <d v="2025-03-10T09:16:00"/>
    <d v="2025-03-10T20:55:00"/>
    <n v="695.76388889375573"/>
    <n v="52.75462963472819"/>
    <x v="1"/>
    <d v="2025-03-11T09:24:00"/>
    <d v="2025-03-11T12:40:00"/>
    <n v="191.91666666643869"/>
    <s v="Waited for empties from trade"/>
    <d v="2025-03-11T17:05:00"/>
    <d v="2025-03-11T18:03:00"/>
    <n v="56.791666667122627"/>
    <m/>
    <n v="0.84027777777373558"/>
    <n v="2"/>
    <n v="1.1597222222262644"/>
    <n v="20.166666666569654"/>
    <n v="0"/>
    <n v="20.166666666569654"/>
    <n v="7.7355371901198566"/>
    <m/>
    <m/>
    <m/>
    <m/>
    <m/>
  </r>
  <r>
    <d v="2025-03-10T00:00:00"/>
    <x v="2"/>
    <s v="KESH"/>
    <s v="A21316"/>
    <s v="Manual"/>
    <x v="40"/>
    <s v="UBP 311H"/>
    <s v="Sawan Distributors Ltd-Kayabwe"/>
    <n v="156"/>
    <s v="A21316"/>
    <s v="OM"/>
    <n v="382"/>
    <n v="379"/>
    <n v="-3"/>
    <m/>
    <d v="2025-03-11T08:44:00"/>
    <d v="2025-03-09T11:00:00"/>
    <d v="2025-03-11T09:08:00"/>
    <n v="2755.1851851868073"/>
    <n v="23.888888893755695"/>
    <x v="0"/>
    <d v="2025-03-11T09:24:00"/>
    <d v="2025-03-11T12:40:00"/>
    <n v="191.91666666643869"/>
    <s v="Reached late and offloaded the next day"/>
    <d v="2025-03-11T14:22:00"/>
    <d v="2025-03-11T15:09:00"/>
    <n v="46.020833329457673"/>
    <m/>
    <n v="0.21805555555329192"/>
    <n v="2"/>
    <n v="1.7819444444467081"/>
    <n v="5.2333333332790062"/>
    <n v="0"/>
    <n v="5.2333333332790062"/>
    <n v="29.808917197761676"/>
    <m/>
    <m/>
    <m/>
    <m/>
    <m/>
  </r>
  <r>
    <d v="2025-03-10T00:00:00"/>
    <x v="2"/>
    <s v="NBL"/>
    <s v="OM8QNZMRR"/>
    <s v="DJ"/>
    <x v="17"/>
    <s v="UBA 523T"/>
    <s v="Ntale and Sons"/>
    <n v="153.6"/>
    <s v="OMQOK5MRR"/>
    <s v="OM"/>
    <n v="810"/>
    <n v="809"/>
    <n v="-1"/>
    <s v="Deviated due to road mantanance"/>
    <d v="2025-03-10T08:26:00"/>
    <d v="2025-03-09T17:00:00"/>
    <d v="2025-03-10T09:19:00"/>
    <n v="974.46759258818929"/>
    <n v="52.75462963472819"/>
    <x v="5"/>
    <d v="2025-03-11T09:24:00"/>
    <d v="2025-03-11T12:40:00"/>
    <n v="191.91666666643869"/>
    <s v="Waited for empties from trade"/>
    <d v="2025-03-12T13:37:00"/>
    <d v="2025-03-12T14:13:00"/>
    <n v="35.25000000205182"/>
    <m/>
    <n v="2.1791666666686069"/>
    <n v="3"/>
    <n v="0.82083333333139308"/>
    <n v="52.300000000046566"/>
    <n v="24"/>
    <n v="28.300000000046566"/>
    <n v="5.4275618374468992"/>
    <m/>
    <m/>
    <m/>
    <m/>
    <m/>
  </r>
  <r>
    <d v="2025-03-10T00:00:00"/>
    <x v="2"/>
    <s v="NBL"/>
    <s v="OM2IOKSRR"/>
    <s v="DJ"/>
    <x v="9"/>
    <s v="UAV 203T"/>
    <s v="Kabaco U Ltd-Mbarara "/>
    <n v="153.6"/>
    <s v="OMMB4GSRR"/>
    <s v="OM"/>
    <n v="20"/>
    <n v="17"/>
    <n v="-3"/>
    <m/>
    <d v="2025-03-10T08:08:00"/>
    <d v="2025-03-10T07:42:00"/>
    <d v="2025-03-10T08:35:00"/>
    <n v="52.75462963472819"/>
    <n v="26.87500000417155"/>
    <x v="0"/>
    <d v="2025-03-10T09:21:00"/>
    <d v="2025-03-10T16:22:00"/>
    <n v="412.22916666643869"/>
    <s v="space consquents"/>
    <d v="2025-03-10T17:05:00"/>
    <d v="2025-03-10T17:53:00"/>
    <n v="46.99999999931606"/>
    <m/>
    <n v="0.35416666666424135"/>
    <n v="3"/>
    <n v="2.6458333333357587"/>
    <n v="8.4999999999417923"/>
    <n v="0"/>
    <n v="8.4999999999417923"/>
    <n v="18.070588235417862"/>
    <m/>
    <m/>
    <m/>
    <m/>
    <m/>
  </r>
  <r>
    <d v="2025-03-10T00:00:00"/>
    <x v="2"/>
    <s v="NBL"/>
    <s v="OMSMRMKRR"/>
    <s v="DJ"/>
    <x v="2"/>
    <s v="UBE 287X"/>
    <s v="KATO INVESTMENTS LTD- KALISIZO"/>
    <n v="153.6"/>
    <m/>
    <s v="OM"/>
    <n v="350"/>
    <n v="348"/>
    <n v="-2"/>
    <m/>
    <d v="2025-03-09T16:32:00"/>
    <d v="2025-03-10T03:43:00"/>
    <d v="2025-03-09T17:22:00"/>
    <n v="-618.12500000208581"/>
    <n v="49.768518513883464"/>
    <x v="10"/>
    <d v="2025-03-10T14:49:00"/>
    <d v="2025-03-10T16:46:00"/>
    <n v="114.56250000410364"/>
    <m/>
    <d v="2025-03-11T14:22:00"/>
    <d v="2025-03-11T15:05:00"/>
    <n v="42.104166670542327"/>
    <m/>
    <n v="1.875"/>
    <n v="2"/>
    <n v="0.125"/>
    <n v="45"/>
    <n v="12"/>
    <n v="33"/>
    <n v="4.6545454545454543"/>
    <m/>
    <m/>
    <m/>
    <m/>
    <m/>
  </r>
  <r>
    <d v="2025-03-11T00:00:00"/>
    <x v="2"/>
    <s v="KESH"/>
    <s v="A21340"/>
    <s v="Manual"/>
    <x v="30"/>
    <s v="UBR 540W"/>
    <s v="Kato Investment Ltd -Mityana"/>
    <n v="148.80000000000001"/>
    <s v="A21340"/>
    <s v="OM"/>
    <n v="690"/>
    <n v="693"/>
    <n v="3"/>
    <m/>
    <d v="2025-03-11T10:24:00"/>
    <d v="2025-03-09T20:25:00"/>
    <d v="2025-03-11T10:46:00"/>
    <n v="2290.3472222208316"/>
    <n v="21.89814814652588"/>
    <x v="0"/>
    <d v="2025-03-11T10:04:00"/>
    <d v="2025-03-11T13:41:00"/>
    <n v="212.47916667191021"/>
    <s v="truck faulty"/>
    <d v="2025-03-11T20:05:00"/>
    <d v="2025-03-11T20:58:00"/>
    <n v="51.895833338348893"/>
    <m/>
    <n v="0.38819444444379769"/>
    <n v="3"/>
    <n v="2.6118055555562023"/>
    <n v="9.3166666666511446"/>
    <n v="0"/>
    <n v="9.3166666666511446"/>
    <n v="15.971377459776162"/>
    <m/>
    <m/>
    <m/>
    <m/>
    <m/>
  </r>
  <r>
    <d v="2025-03-11T00:00:00"/>
    <x v="2"/>
    <s v="KESH"/>
    <s v="A21339"/>
    <s v="Manual"/>
    <x v="44"/>
    <s v="UBE 684K"/>
    <s v="Kato Investments Ltd- Kakumiro"/>
    <n v="54.6"/>
    <s v="A21339"/>
    <s v="OM"/>
    <n v="790"/>
    <n v="793"/>
    <n v="3"/>
    <m/>
    <d v="2025-03-10T07:20:00"/>
    <d v="2025-03-08T20:05:00"/>
    <d v="2025-03-10T07:49:00"/>
    <n v="2134.0740740743058"/>
    <n v="28.865740740972495"/>
    <x v="0"/>
    <d v="2025-03-12T16:02:00"/>
    <d v="2025-03-12T18:07:00"/>
    <n v="122.39583333219343"/>
    <m/>
    <d v="2025-03-11T20:40:00"/>
    <d v="2025-03-11T21:22:00"/>
    <n v="41.12500000068394"/>
    <m/>
    <n v="1.5354166666656965"/>
    <n v="3"/>
    <n v="1.4645833333343035"/>
    <n v="36.849999999976717"/>
    <n v="12"/>
    <n v="24.849999999976717"/>
    <n v="2.1971830985936078"/>
    <m/>
    <m/>
    <m/>
    <m/>
    <m/>
  </r>
  <r>
    <d v="2025-03-11T00:00:00"/>
    <x v="2"/>
    <s v="KESH"/>
    <s v="Z83017"/>
    <s v="Manual"/>
    <x v="41"/>
    <s v="UBF 379L"/>
    <s v="Kabaco U Ltd "/>
    <n v="6.3"/>
    <s v="Z83017"/>
    <s v="OM"/>
    <n v="320"/>
    <n v="323"/>
    <n v="3"/>
    <m/>
    <d v="2025-03-09T10:54:00"/>
    <d v="2025-03-09T02:46:00"/>
    <d v="2025-03-09T11:21:00"/>
    <n v="512.61574074305827"/>
    <n v="26.87500000417155"/>
    <x v="0"/>
    <d v="2025-03-11T12:33:00"/>
    <d v="2025-03-11T14:19:00"/>
    <n v="103.79166666643869"/>
    <m/>
    <d v="2025-03-11T20:05:00"/>
    <d v="2025-03-11T21:03:00"/>
    <n v="56.791666667122627"/>
    <m/>
    <n v="2.3638888888890506"/>
    <n v="2"/>
    <n v="-0.36388888888905058"/>
    <n v="56.733333333337214"/>
    <n v="24"/>
    <n v="32.733333333337214"/>
    <n v="0.19246435845211568"/>
    <m/>
    <m/>
    <m/>
    <m/>
    <m/>
  </r>
  <r>
    <d v="2025-03-11T00:00:00"/>
    <x v="2"/>
    <s v="KESH"/>
    <s v="Z83016"/>
    <s v="Manual"/>
    <x v="46"/>
    <s v="UBE 678K"/>
    <s v="Kabaco U Ltd "/>
    <n v="156"/>
    <s v="Z83016"/>
    <s v="OM"/>
    <n v="320"/>
    <n v="162"/>
    <n v="-158"/>
    <m/>
    <d v="2025-03-08T14:33:00"/>
    <d v="2025-03-08T14:00:00"/>
    <d v="2025-03-08T15:02:00"/>
    <n v="61.712962955546878"/>
    <n v="28.865740740972495"/>
    <x v="0"/>
    <d v="2025-03-11T06:55:00"/>
    <d v="2025-03-11T10:30:00"/>
    <n v="210.52083333219343"/>
    <s v="Waited for empties from trade"/>
    <d v="2025-03-11T20:05:00"/>
    <d v="2025-03-11T21:01:00"/>
    <n v="54.833333337664953"/>
    <m/>
    <n v="3.2104166666686069"/>
    <n v="2"/>
    <n v="-1.2104166666686069"/>
    <n v="77.050000000046566"/>
    <n v="36"/>
    <n v="41.050000000046566"/>
    <n v="3.800243605355007"/>
    <m/>
    <m/>
    <m/>
    <m/>
    <m/>
  </r>
  <r>
    <d v="2025-03-11T00:00:00"/>
    <x v="2"/>
    <s v="KESH"/>
    <s v="Z83018"/>
    <s v="Manual"/>
    <x v="25"/>
    <s v="UBJ 420C"/>
    <s v="Kabaco U Ltd "/>
    <n v="156"/>
    <s v="Z83018"/>
    <s v="OM"/>
    <n v="320"/>
    <n v="317"/>
    <n v="-3"/>
    <m/>
    <d v="2025-03-08T11:06:00"/>
    <d v="2025-03-08T14:52:00"/>
    <d v="2025-03-08T11:59:00"/>
    <n v="-172.19907407222004"/>
    <n v="52.75462963472819"/>
    <x v="0"/>
    <d v="2025-03-11T08:35:00"/>
    <d v="2025-03-11T11:01:00"/>
    <n v="142.95833332740585"/>
    <m/>
    <d v="2025-03-10T20:40:00"/>
    <d v="2025-03-10T21:55:00"/>
    <n v="73.4375000034197"/>
    <s v="dj failures at the gate"/>
    <n v="2.3618055555562023"/>
    <n v="2"/>
    <n v="-0.36180555555620231"/>
    <n v="56.683333333348855"/>
    <n v="24"/>
    <n v="32.683333333348855"/>
    <n v="4.7730749617519406"/>
    <m/>
    <m/>
    <m/>
    <m/>
    <m/>
  </r>
  <r>
    <d v="2025-03-11T00:00:00"/>
    <x v="2"/>
    <s v="KESH"/>
    <s v="F16055"/>
    <s v="Manual"/>
    <x v="10"/>
    <s v="UBP 998T"/>
    <s v="Boniface Harera"/>
    <n v="156"/>
    <s v="F16055"/>
    <s v="OM"/>
    <n v="448"/>
    <n v="444"/>
    <n v="-4"/>
    <m/>
    <d v="2025-03-08T11:48:00"/>
    <d v="2025-03-08T19:03:00"/>
    <d v="2025-03-08T12:16:00"/>
    <n v="-405.11574073680094"/>
    <n v="27.870370367357584"/>
    <x v="0"/>
    <d v="2025-03-11T16:46:00"/>
    <d v="2025-03-11T19:04:00"/>
    <n v="135.12499999931606"/>
    <m/>
    <d v="2025-03-10T19:27:00"/>
    <d v="2025-03-10T20:10:00"/>
    <n v="42.104166670542327"/>
    <m/>
    <n v="2.2993055555562023"/>
    <n v="2"/>
    <n v="-0.29930555555620231"/>
    <n v="55.183333333348855"/>
    <n v="24"/>
    <n v="31.183333333348855"/>
    <n v="5.0026723677153075"/>
    <m/>
    <m/>
    <m/>
    <m/>
    <m/>
  </r>
  <r>
    <d v="2025-03-11T00:00:00"/>
    <x v="2"/>
    <s v="KESH"/>
    <s v="Z83013"/>
    <s v="Manual"/>
    <x v="34"/>
    <s v="UBP 301H"/>
    <s v="Kobusinge Acaali- Kyenjojo"/>
    <n v="156"/>
    <s v="Z83013"/>
    <s v="OM"/>
    <n v="580"/>
    <n v="578"/>
    <n v="-2"/>
    <m/>
    <d v="2025-03-08T19:28:00"/>
    <d v="2025-03-09T05:52:00"/>
    <d v="2025-03-08T20:21:00"/>
    <n v="-568.3564814777734"/>
    <n v="52.75462963472819"/>
    <x v="0"/>
    <d v="2025-03-11T10:37:00"/>
    <d v="2025-03-11T12:42:00"/>
    <n v="122.39583333219343"/>
    <m/>
    <d v="2025-03-10T19:27:00"/>
    <d v="2025-03-10T20:18:00"/>
    <n v="49.93749999863212"/>
    <m/>
    <n v="1.9625000000014552"/>
    <n v="2"/>
    <n v="3.7499999998544808E-2"/>
    <n v="47.100000000034925"/>
    <n v="12"/>
    <n v="35.100000000034925"/>
    <n v="4.4444444444400224"/>
    <m/>
    <m/>
    <m/>
    <m/>
    <m/>
  </r>
  <r>
    <d v="2025-03-11T00:00:00"/>
    <x v="2"/>
    <s v="KESH"/>
    <s v="A21338"/>
    <s v="Manual"/>
    <x v="49"/>
    <s v="UBR 539W"/>
    <s v="Kato Investment Ltd -Kagadi"/>
    <n v="39"/>
    <s v="A21338"/>
    <s v="OM"/>
    <n v="670"/>
    <n v="674"/>
    <n v="4"/>
    <m/>
    <d v="2025-03-11T08:42:00"/>
    <d v="2025-03-09T11:00:00"/>
    <d v="2025-03-11T09:08:00"/>
    <n v="2755.1851851868073"/>
    <n v="25.879629630556639"/>
    <x v="0"/>
    <d v="2025-03-12T13:06:00"/>
    <d v="2025-03-12T19:58:00"/>
    <n v="403.41666666849051"/>
    <s v="Reached late and offloaded the next day"/>
    <d v="2025-03-11T11:32:00"/>
    <d v="2025-03-11T12:28:00"/>
    <n v="54.833333337664953"/>
    <m/>
    <n v="9.9999999998544808E-2"/>
    <n v="2"/>
    <n v="1.9000000000014552"/>
    <n v="2.3999999999650754"/>
    <n v="0"/>
    <n v="2.3999999999650754"/>
    <n v="16.250000000236469"/>
    <m/>
    <m/>
    <m/>
    <m/>
    <m/>
  </r>
  <r>
    <d v="2025-03-11T00:00:00"/>
    <x v="2"/>
    <s v="KESH"/>
    <s v="A21353"/>
    <s v="Manual"/>
    <x v="27"/>
    <s v="UBM 648D"/>
    <s v="Sawan Distributors Ltd-Nabingo"/>
    <n v="156"/>
    <s v="A21353"/>
    <s v="OM"/>
    <n v="560"/>
    <n v="557"/>
    <n v="-3"/>
    <m/>
    <d v="2025-03-10T09:31:00"/>
    <d v="2025-03-09T13:00:00"/>
    <d v="2025-03-10T10:23:00"/>
    <n v="1277.0601851868075"/>
    <n v="51.759259261113279"/>
    <x v="0"/>
    <d v="2025-03-12T10:22:00"/>
    <d v="2025-03-12T13:24:00"/>
    <n v="178.20833333971677"/>
    <m/>
    <d v="2025-03-12T08:25:00"/>
    <d v="2025-03-12T09:21:00"/>
    <n v="54.833333337664953"/>
    <m/>
    <n v="1.9180555555576575"/>
    <n v="2"/>
    <n v="8.1944444442342501E-2"/>
    <n v="46.03333333338378"/>
    <n v="12"/>
    <n v="34.03333333338378"/>
    <n v="4.5837414299638226"/>
    <m/>
    <m/>
    <m/>
    <m/>
    <m/>
  </r>
  <r>
    <d v="2025-03-11T00:00:00"/>
    <x v="2"/>
    <s v="NBL"/>
    <s v="OMAIF00RR"/>
    <s v="DJ"/>
    <x v="1"/>
    <s v="UBJ 375N"/>
    <s v="KATO INVESTMENTS LIMITED-MASAK "/>
    <n v="153.6"/>
    <m/>
    <s v="OM"/>
    <n v="298"/>
    <n v="295"/>
    <n v="-3"/>
    <m/>
    <d v="2025-03-11T18:05:00"/>
    <d v="2025-03-11T04:14:00"/>
    <d v="2025-03-11T18:26:00"/>
    <n v="848.05555555625085"/>
    <n v="20.902777772910969"/>
    <x v="0"/>
    <d v="2025-03-12T10:22:00"/>
    <d v="2025-03-12T13:24:00"/>
    <n v="178.20833333971677"/>
    <m/>
    <d v="2025-03-13T17:41:00"/>
    <d v="2025-03-13T18:22:00"/>
    <n v="40.145833330825553"/>
    <m/>
    <n v="1.96875"/>
    <n v="2"/>
    <n v="3.125E-2"/>
    <n v="47.25"/>
    <n v="12"/>
    <n v="35.25"/>
    <n v="4.3574468085106384"/>
    <m/>
    <m/>
    <m/>
    <m/>
    <m/>
  </r>
  <r>
    <d v="2025-03-11T00:00:00"/>
    <x v="2"/>
    <s v="NBL"/>
    <s v="OMB59V1RR"/>
    <s v="DJ"/>
    <x v="9"/>
    <s v="UAV 203T"/>
    <s v="Ntale and Sons"/>
    <n v="153.6"/>
    <m/>
    <s v="OM"/>
    <n v="810"/>
    <n v="809"/>
    <n v="-1"/>
    <m/>
    <d v="2025-03-11T06:16:00"/>
    <d v="2025-03-10T21:00:00"/>
    <d v="2025-03-11T06:43:00"/>
    <n v="580.30092592986568"/>
    <n v="26.87500000417155"/>
    <x v="0"/>
    <d v="2025-03-11T18:19:00"/>
    <d v="2025-03-12T13:34:00"/>
    <n v="1130.9375000034197"/>
    <s v="Waited for empties from trade"/>
    <d v="2025-03-12T17:41:00"/>
    <d v="2025-03-12T18:37:00"/>
    <n v="54.833333337664953"/>
    <m/>
    <n v="1.4569444444423425"/>
    <n v="3"/>
    <n v="1.5430555555576575"/>
    <n v="34.96666666661622"/>
    <n v="12"/>
    <n v="22.96666666661622"/>
    <n v="6.6879535558927738"/>
    <m/>
    <m/>
    <m/>
    <m/>
    <m/>
  </r>
  <r>
    <d v="2025-03-12T00:00:00"/>
    <x v="2"/>
    <s v="KESH"/>
    <s v="Z83021"/>
    <s v="Manual"/>
    <x v="48"/>
    <s v="UBM 644D"/>
    <s v="Kobusinge Steven-Kamwenge"/>
    <n v="156"/>
    <s v="Z83021"/>
    <s v="OM"/>
    <n v="288"/>
    <n v="287"/>
    <n v="-1"/>
    <m/>
    <d v="2025-03-10T08:57:00"/>
    <d v="2025-03-09T17:00:00"/>
    <d v="2025-03-10T09:19:00"/>
    <n v="974.46759258818929"/>
    <n v="21.89814814652588"/>
    <x v="0"/>
    <d v="2025-03-12T20:13:00"/>
    <d v="2025-03-13T13:22:00"/>
    <n v="1007.5624999911088"/>
    <s v="Dj failure at customer"/>
    <d v="2025-03-12T17:41:00"/>
    <d v="2025-03-12T18:22:00"/>
    <n v="40.145833330825553"/>
    <m/>
    <n v="2.3486111111124046"/>
    <n v="2"/>
    <n v="-0.34861111111240461"/>
    <n v="56.366666666697711"/>
    <n v="24"/>
    <n v="32.366666666697711"/>
    <n v="4.8197734294495485"/>
    <m/>
    <m/>
    <m/>
    <m/>
    <m/>
  </r>
  <r>
    <d v="2025-03-12T00:00:00"/>
    <x v="2"/>
    <s v="KESH"/>
    <s v="Z83022"/>
    <s v="Manual"/>
    <x v="10"/>
    <s v="UBJ 421C"/>
    <s v="Kobusinge Steven-Kamwenge"/>
    <n v="156"/>
    <s v="Z83022"/>
    <s v="OM"/>
    <n v="288"/>
    <n v="292"/>
    <n v="4"/>
    <m/>
    <d v="2025-03-10T08:09:00"/>
    <d v="2025-03-10T07:42:00"/>
    <d v="2025-03-10T08:35:00"/>
    <n v="52.75462963472819"/>
    <n v="25.879629630556639"/>
    <x v="0"/>
    <d v="2025-03-12T12:03:00"/>
    <d v="2025-03-12T14:31:00"/>
    <n v="144.91666666712263"/>
    <m/>
    <d v="2025-03-12T18:43:00"/>
    <d v="2025-03-12T19:41:00"/>
    <n v="56.791666667122627"/>
    <m/>
    <n v="2.422222222223354"/>
    <n v="2"/>
    <n v="-0.42222222222335404"/>
    <n v="58.133333333360497"/>
    <n v="24"/>
    <n v="34.133333333360497"/>
    <n v="4.5703124999963629"/>
    <m/>
    <m/>
    <m/>
    <m/>
    <m/>
  </r>
  <r>
    <d v="2025-03-12T00:00:00"/>
    <x v="2"/>
    <s v="KESH"/>
    <s v="A21362"/>
    <s v="Manual"/>
    <x v="10"/>
    <s v="UBE 692K"/>
    <s v="Kato Investments Ltd- Kyegegwa"/>
    <n v="21.6"/>
    <s v="A21362"/>
    <s v="OM"/>
    <n v="600"/>
    <n v="597"/>
    <n v="-3"/>
    <m/>
    <d v="2025-03-09T16:53:00"/>
    <d v="2025-03-10T03:43:00"/>
    <d v="2025-03-09T17:22:00"/>
    <n v="-618.12500000208581"/>
    <n v="28.865740740972495"/>
    <x v="0"/>
    <d v="2025-03-13T12:17:00"/>
    <d v="2025-03-13T15:04:00"/>
    <n v="163.52083333287737"/>
    <m/>
    <d v="2025-03-12T18:43:00"/>
    <d v="2025-03-12T19:40:00"/>
    <n v="55.81249999726424"/>
    <m/>
    <n v="3.0562500000014552"/>
    <n v="2"/>
    <n v="-1.0562500000014552"/>
    <n v="73.350000000034925"/>
    <n v="36"/>
    <n v="37.350000000034925"/>
    <n v="0.57831325301150749"/>
    <m/>
    <m/>
    <m/>
    <m/>
    <m/>
  </r>
  <r>
    <d v="2025-03-12T00:00:00"/>
    <x v="2"/>
    <s v="KESH"/>
    <s v="Z83023"/>
    <s v="Manual"/>
    <x v="10"/>
    <s v="UBR 864Y"/>
    <s v="Kobusinge Steven-FPortal"/>
    <n v="156"/>
    <s v="Z83023"/>
    <s v="OM"/>
    <n v="304"/>
    <n v="307"/>
    <n v="3"/>
    <m/>
    <d v="2025-03-11T18:09:00"/>
    <d v="2025-03-10T22:25:00"/>
    <d v="2025-03-11T18:37:00"/>
    <n v="1206.3888888791553"/>
    <n v="27.870370367357584"/>
    <x v="0"/>
    <d v="2025-03-12T17:38:00"/>
    <d v="2025-03-12T20:23:00"/>
    <n v="161.5625000034197"/>
    <m/>
    <d v="2025-03-12T18:43:00"/>
    <d v="2025-03-12T19:39:00"/>
    <n v="54.833333337664953"/>
    <m/>
    <n v="1.0041666666729725"/>
    <n v="2"/>
    <n v="0.9958333333270275"/>
    <n v="24.10000000015134"/>
    <n v="12"/>
    <n v="12.10000000015134"/>
    <n v="12.892561983309822"/>
    <m/>
    <m/>
    <m/>
    <m/>
    <m/>
  </r>
  <r>
    <d v="2025-03-12T00:00:00"/>
    <x v="2"/>
    <s v="KESH"/>
    <s v="Z83025"/>
    <s v="Manual"/>
    <x v="24"/>
    <s v="UBP 298H"/>
    <s v="Kobusinge Steven-FPortal"/>
    <n v="156"/>
    <s v="Z83025"/>
    <s v="OM"/>
    <n v="304"/>
    <n v="301"/>
    <n v="-3"/>
    <m/>
    <d v="2025-03-11T05:50:00"/>
    <d v="2025-03-10T21:00:00"/>
    <d v="2025-03-11T06:43:00"/>
    <n v="580.30092592986568"/>
    <n v="52.75462963472819"/>
    <x v="9"/>
    <d v="2025-03-12T07:21:00"/>
    <d v="2025-03-12T12:54:00"/>
    <n v="326.06249999589636"/>
    <s v="slept at the RD and offloaded the next day"/>
    <d v="2025-03-13T08:48:00"/>
    <d v="2025-03-13T09:29:00"/>
    <n v="40.145833330825553"/>
    <m/>
    <n v="2.0868055555547471"/>
    <n v="2"/>
    <n v="-8.6805555554747116E-2"/>
    <n v="50.083333333313931"/>
    <n v="24"/>
    <n v="26.083333333313931"/>
    <n v="5.9808306709309669"/>
    <m/>
    <m/>
    <m/>
    <m/>
    <m/>
  </r>
  <r>
    <d v="2025-03-12T00:00:00"/>
    <x v="2"/>
    <s v="KESH"/>
    <s v="A21370"/>
    <s v="Manual"/>
    <x v="10"/>
    <s v="UBR 903Y"/>
    <s v="KATO INVESTMENTS LTD-KATIKARA"/>
    <n v="6.3"/>
    <s v="A21370"/>
    <s v="OM"/>
    <n v="790"/>
    <n v="786"/>
    <n v="-4"/>
    <m/>
    <d v="2025-03-11T08:09:00"/>
    <d v="2025-03-11T05:52:00"/>
    <d v="2025-03-11T08:35:00"/>
    <n v="162.24537037778646"/>
    <n v="25.879629630556639"/>
    <x v="0"/>
    <d v="2025-03-13T13:30:00"/>
    <d v="2025-03-13T15:37:00"/>
    <n v="124.35416666165111"/>
    <m/>
    <d v="2025-03-12T11:50:00"/>
    <d v="2025-03-12T12:47:00"/>
    <n v="55.81249999726424"/>
    <m/>
    <n v="1.1354166666642413"/>
    <n v="3"/>
    <n v="1.8645833333357587"/>
    <n v="27.249999999941792"/>
    <n v="12"/>
    <n v="15.249999999941792"/>
    <n v="0.41311475409993748"/>
    <m/>
    <m/>
    <m/>
    <m/>
    <m/>
  </r>
  <r>
    <d v="2025-03-12T00:00:00"/>
    <x v="2"/>
    <s v="KESH"/>
    <s v="A21371"/>
    <s v="Manual"/>
    <x v="32"/>
    <s v="UBJ 703D"/>
    <s v="Kato Investment Ltd -Mubende"/>
    <n v="156"/>
    <s v="A21371"/>
    <s v="OM"/>
    <n v="680"/>
    <n v="677"/>
    <n v="-3"/>
    <m/>
    <d v="2025-03-11T06:58:00"/>
    <d v="2025-03-11T07:40:00"/>
    <d v="2025-03-11T07:25:00"/>
    <n v="-14.930555552079264"/>
    <n v="26.87500000417155"/>
    <x v="0"/>
    <d v="2025-03-11T17:02:00"/>
    <d v="2025-03-12T10:56:00"/>
    <n v="1051.6250000013679"/>
    <s v="found another truck at the RD and offloaded the next day"/>
    <d v="2025-03-12T12:51:00"/>
    <d v="2025-03-12T13:47:00"/>
    <n v="54.833333337664953"/>
    <m/>
    <n v="1.226388888884685"/>
    <n v="3"/>
    <n v="1.773611111115315"/>
    <n v="29.43333333323244"/>
    <n v="12"/>
    <n v="17.43333333323244"/>
    <n v="8.9483747610460522"/>
    <m/>
    <m/>
    <m/>
    <m/>
    <m/>
  </r>
  <r>
    <d v="2025-03-12T00:00:00"/>
    <x v="2"/>
    <s v="KESH"/>
    <s v="A21373"/>
    <s v="Manual"/>
    <x v="33"/>
    <s v="UBR 541W"/>
    <s v="Kato Investment Ltd -Mityana"/>
    <n v="156"/>
    <s v="A21373"/>
    <s v="OM"/>
    <n v="690"/>
    <n v="687"/>
    <n v="-3"/>
    <m/>
    <d v="2025-03-10T10:33:00"/>
    <d v="2025-03-10T16:40:00"/>
    <d v="2025-03-10T11:00:00"/>
    <n v="-338.42592592360842"/>
    <n v="26.87500000417155"/>
    <x v="0"/>
    <d v="2025-03-12T08:37:00"/>
    <d v="2025-03-12T12:27:00"/>
    <n v="225.20833333903283"/>
    <s v="found another truck at the RD"/>
    <d v="2025-03-12T13:04:00"/>
    <d v="2025-03-12T14:00:00"/>
    <n v="54.833333337664953"/>
    <m/>
    <n v="2.086111111108039"/>
    <n v="3"/>
    <n v="0.91388888889196096"/>
    <n v="50.066666666592937"/>
    <n v="24"/>
    <n v="26.066666666592937"/>
    <n v="5.9846547314747278"/>
    <m/>
    <m/>
    <m/>
    <m/>
    <m/>
  </r>
  <r>
    <d v="2025-03-12T00:00:00"/>
    <x v="2"/>
    <s v="KESH"/>
    <s v="A21372"/>
    <s v="Manual"/>
    <x v="37"/>
    <s v="UBK 866R"/>
    <s v="Kato Investments Ltd- Kyegegwa"/>
    <n v="156"/>
    <s v="A21372"/>
    <s v="OM"/>
    <n v="600"/>
    <n v="598"/>
    <n v="-2"/>
    <m/>
    <d v="2025-03-10T15:05:00"/>
    <d v="2025-03-11T05:46:00"/>
    <d v="2025-03-10T15:34:00"/>
    <n v="-848.05555555625085"/>
    <n v="28.865740740972495"/>
    <x v="0"/>
    <d v="2025-03-12T12:06:00"/>
    <d v="2025-03-12T15:38:00"/>
    <n v="207.58333333287737"/>
    <s v="Waited for empties from trade"/>
    <d v="2025-03-13T10:00:00"/>
    <d v="2025-03-13T10:41:00"/>
    <n v="40.145833330825553"/>
    <m/>
    <n v="2.7680555555562023"/>
    <n v="3"/>
    <n v="0.23194444444379769"/>
    <n v="66.433333333348855"/>
    <n v="24"/>
    <n v="42.433333333348855"/>
    <n v="3.6763550667700615"/>
    <m/>
    <m/>
    <m/>
    <m/>
    <m/>
  </r>
  <r>
    <d v="2025-03-12T00:00:00"/>
    <x v="2"/>
    <s v="NBL"/>
    <s v="OMLTVKTRR"/>
    <s v="DJ"/>
    <x v="12"/>
    <s v="UBJ 415C"/>
    <s v="Kabaco U Ltd-Mbarara "/>
    <n v="153.6"/>
    <m/>
    <s v="OM"/>
    <n v="20"/>
    <n v="17"/>
    <n v="-3"/>
    <m/>
    <d v="2025-03-12T08:20:00"/>
    <d v="2025-03-12T10:00:00"/>
    <d v="2025-03-12T08:46:00"/>
    <n v="-73.657407407639155"/>
    <n v="25.879629630556639"/>
    <x v="0"/>
    <d v="2025-03-12T16:03:00"/>
    <d v="2025-03-12T18:13:00"/>
    <n v="127.29166667122627"/>
    <m/>
    <d v="2025-03-12T16:43:00"/>
    <d v="2025-03-12T17:39:00"/>
    <n v="54.833333337664953"/>
    <m/>
    <n v="0.33125000000291038"/>
    <n v="1"/>
    <n v="0.66874999999708962"/>
    <n v="7.9500000000698492"/>
    <n v="0"/>
    <n v="7.9500000000698492"/>
    <n v="19.320754716811379"/>
    <m/>
    <m/>
    <m/>
    <m/>
    <m/>
  </r>
  <r>
    <d v="2025-03-12T00:00:00"/>
    <x v="2"/>
    <s v="NBL"/>
    <s v="OMQOK5MRR"/>
    <s v="DJ"/>
    <x v="3"/>
    <s v="UBK 881R"/>
    <s v="KATO INVESTMENTS LIMITED-MASAK "/>
    <n v="153.6"/>
    <m/>
    <s v="OM"/>
    <n v="298"/>
    <n v="297"/>
    <n v="-1"/>
    <m/>
    <d v="2025-03-11T20:28:00"/>
    <d v="2025-03-12T08:00:00"/>
    <d v="2025-03-11T20:55:00"/>
    <n v="-661.92129629513749"/>
    <n v="26.87500000417155"/>
    <x v="0"/>
    <d v="2025-03-12T12:06:00"/>
    <d v="2025-03-12T15:38:00"/>
    <n v="207.58333333287737"/>
    <s v="Reached late and offloaded the next day"/>
    <d v="2025-03-13T10:00:00"/>
    <d v="2025-03-13T10:56:00"/>
    <n v="54.833333337664953"/>
    <m/>
    <n v="1.5451388888832298"/>
    <n v="2"/>
    <n v="0.45486111111677019"/>
    <n v="37.083333333197515"/>
    <n v="12"/>
    <n v="25.083333333197515"/>
    <n v="6.1235880399002669"/>
    <m/>
    <m/>
    <m/>
    <m/>
    <m/>
  </r>
  <r>
    <d v="2025-03-12T00:00:00"/>
    <x v="2"/>
    <s v="NBL"/>
    <s v="OMMB4GSRR"/>
    <s v="DJ"/>
    <x v="2"/>
    <s v="UBE 287X"/>
    <s v="Kabaco U Ltd-Mbarara "/>
    <n v="153.6"/>
    <m/>
    <s v="OM"/>
    <n v="20"/>
    <n v="17"/>
    <n v="-3"/>
    <m/>
    <d v="2025-03-11T20:19:00"/>
    <d v="2025-03-12T10:00:00"/>
    <d v="2025-03-11T20:45:00"/>
    <n v="-791.31944443749182"/>
    <n v="25.879629630556639"/>
    <x v="0"/>
    <d v="2025-03-12T08:37:00"/>
    <d v="2025-03-12T12:27:00"/>
    <n v="225.20833333903283"/>
    <s v="Waited for empties from trade"/>
    <d v="2025-03-12T13:04:00"/>
    <d v="2025-03-12T13:45:00"/>
    <n v="40.145833330825553"/>
    <m/>
    <n v="0.67986111110803904"/>
    <n v="1"/>
    <n v="0.32013888889196096"/>
    <n v="16.316666666592937"/>
    <n v="0"/>
    <n v="16.316666666592937"/>
    <n v="9.413687436201883"/>
    <m/>
    <m/>
    <m/>
    <m/>
    <m/>
  </r>
  <r>
    <d v="2025-03-13T00:00:00"/>
    <x v="2"/>
    <s v="KESH"/>
    <s v="A21386"/>
    <s v="Manual"/>
    <x v="10"/>
    <s v="UBR 863Y"/>
    <s v="Kato Investments Ltd- Kakumiro"/>
    <n v="5.04"/>
    <s v="A21386"/>
    <s v="OM"/>
    <n v="790"/>
    <n v="788"/>
    <n v="-2"/>
    <m/>
    <d v="2025-03-11T15:22:00"/>
    <d v="2025-03-11T14:31:00"/>
    <d v="2025-03-11T15:48:00"/>
    <n v="76.643518518055018"/>
    <n v="25.879629630556639"/>
    <x v="0"/>
    <d v="2025-03-12T16:36:00"/>
    <d v="2025-03-12T18:27:00"/>
    <n v="108.68750000547152"/>
    <m/>
    <d v="2025-03-13T16:56:00"/>
    <d v="2025-03-13T17:52:00"/>
    <n v="54.833333337664953"/>
    <m/>
    <n v="2.047222222223354"/>
    <n v="3"/>
    <n v="0.95277777777664596"/>
    <n v="49.133333333360497"/>
    <n v="24"/>
    <n v="25.133333333360497"/>
    <n v="0.20053050397856312"/>
    <m/>
    <m/>
    <m/>
    <m/>
    <m/>
  </r>
  <r>
    <d v="2025-03-13T00:00:00"/>
    <x v="2"/>
    <s v="KESH"/>
    <s v="Z83037"/>
    <s v="Manual"/>
    <x v="10"/>
    <s v="UBJ 423C"/>
    <s v="Kobusinge Steven-Kamwenge"/>
    <n v="5.04"/>
    <s v="Z83037"/>
    <s v="OM"/>
    <n v="288"/>
    <n v="292"/>
    <n v="4"/>
    <m/>
    <d v="2025-03-10T12:24:00"/>
    <d v="2025-03-10T12:22:00"/>
    <d v="2025-03-10T12:50:00"/>
    <n v="27.870370367357584"/>
    <n v="25.879629630556639"/>
    <x v="0"/>
    <d v="2025-03-13T07:28:00"/>
    <d v="2025-03-13T13:09:00"/>
    <n v="333.89583333424525"/>
    <s v="Reached late and offloaded the next day"/>
    <d v="2025-03-13T06:43:00"/>
    <d v="2025-03-13T07:24:00"/>
    <n v="40.145833330825553"/>
    <m/>
    <n v="2.7451388888948713"/>
    <n v="2"/>
    <n v="-0.74513888889487134"/>
    <n v="65.883333333476912"/>
    <n v="24"/>
    <n v="41.883333333476912"/>
    <n v="0.1203342618380276"/>
    <m/>
    <m/>
    <m/>
    <m/>
    <m/>
  </r>
  <r>
    <d v="2025-03-13T00:00:00"/>
    <x v="2"/>
    <s v="KESH"/>
    <s v="A21395"/>
    <s v="Manual"/>
    <x v="51"/>
    <s v="UBR 880Y"/>
    <s v="KATO INVESTMENTS LTD-KATIKARA"/>
    <n v="156"/>
    <s v="A21395"/>
    <s v="OM"/>
    <n v="790"/>
    <n v="789"/>
    <n v="-1"/>
    <m/>
    <d v="2025-03-11T17:35:00"/>
    <d v="2025-03-11T17:50:00"/>
    <d v="2025-03-11T18:01:00"/>
    <n v="10.949074078477375"/>
    <n v="25.879629630556639"/>
    <x v="0"/>
    <d v="2025-03-13T10:42:00"/>
    <d v="2025-03-13T12:55:00"/>
    <n v="130.22916667054233"/>
    <m/>
    <d v="2025-03-13T15:37:00"/>
    <d v="2025-03-13T16:34:00"/>
    <n v="55.81249999726424"/>
    <m/>
    <n v="1.8999999999941792"/>
    <n v="3"/>
    <n v="1.1000000000058208"/>
    <n v="45.599999999860302"/>
    <n v="12"/>
    <n v="33.599999999860302"/>
    <n v="4.642857142876446"/>
    <m/>
    <m/>
    <m/>
    <m/>
    <m/>
  </r>
  <r>
    <d v="2025-03-13T00:00:00"/>
    <x v="2"/>
    <s v="KESH"/>
    <s v="A21384"/>
    <s v="Manual"/>
    <x v="42"/>
    <s v="UBK 858R"/>
    <s v="KATO INVESTMENTS LTD-KATIKARA"/>
    <n v="5.04"/>
    <s v="A21384"/>
    <s v="OM"/>
    <n v="790"/>
    <n v="787"/>
    <n v="-3"/>
    <m/>
    <d v="2025-03-12T17:07:00"/>
    <d v="2025-03-12T16:25:00"/>
    <d v="2025-03-12T18:00:00"/>
    <n v="94.560185180550135"/>
    <n v="52.75462963472819"/>
    <x v="12"/>
    <d v="2025-03-13T10:54:00"/>
    <d v="2025-03-13T12:33:00"/>
    <n v="96.93749999794818"/>
    <m/>
    <d v="2025-03-13T15:55:00"/>
    <d v="2025-03-13T16:36:00"/>
    <n v="40.145833330825553"/>
    <m/>
    <n v="0.91319444444525288"/>
    <n v="3"/>
    <n v="2.0868055555547471"/>
    <n v="21.916666666686069"/>
    <n v="0"/>
    <n v="21.916666666686069"/>
    <n v="0.2299619771861082"/>
    <m/>
    <m/>
    <m/>
    <m/>
    <m/>
  </r>
  <r>
    <d v="2025-03-13T00:00:00"/>
    <x v="2"/>
    <s v="KESH"/>
    <s v="A21400"/>
    <s v="Manual"/>
    <x v="10"/>
    <s v="UBR 900Y"/>
    <s v="Kato Investment Ltd -Mityana"/>
    <n v="156"/>
    <s v="A21400"/>
    <s v="OM"/>
    <n v="690"/>
    <n v="688"/>
    <n v="-2"/>
    <m/>
    <d v="2025-03-11T13:25:00"/>
    <d v="2025-03-11T13:42:00"/>
    <d v="2025-03-11T13:54:00"/>
    <n v="11.944444441663412"/>
    <n v="28.865740740972495"/>
    <x v="0"/>
    <d v="2025-03-12T16:30:00"/>
    <d v="2025-03-13T10:37:00"/>
    <n v="1064.3541666684905"/>
    <s v="found another truck to be offloaded"/>
    <d v="2025-03-13T07:11:00"/>
    <d v="2025-03-13T08:11:00"/>
    <n v="58.7499999965803"/>
    <m/>
    <n v="1.7201388888861402"/>
    <n v="3"/>
    <n v="1.2798611111138598"/>
    <n v="41.283333333267365"/>
    <n v="12"/>
    <n v="29.283333333267365"/>
    <n v="5.3272623790672089"/>
    <m/>
    <m/>
    <m/>
    <m/>
    <m/>
  </r>
  <r>
    <d v="2025-03-13T00:00:00"/>
    <x v="2"/>
    <s v="KESH"/>
    <s v="F16062"/>
    <s v="Manual"/>
    <x v="38"/>
    <s v="UBK 862R"/>
    <s v="Boniface Harera"/>
    <n v="78"/>
    <s v="F16062"/>
    <s v="OM"/>
    <n v="448"/>
    <n v="447"/>
    <n v="-1"/>
    <m/>
    <d v="2025-03-12T07:16:00"/>
    <d v="2025-03-12T07:24:00"/>
    <d v="2025-03-12T07:43:00"/>
    <n v="18.912037036110025"/>
    <n v="26.87500000417155"/>
    <x v="0"/>
    <d v="2025-03-12T15:30:00"/>
    <d v="2025-03-12T17:51:00"/>
    <n v="138.06249999863212"/>
    <m/>
    <d v="2025-03-13T16:30:00"/>
    <d v="2025-03-13T17:26:00"/>
    <n v="54.833333337664953"/>
    <m/>
    <n v="1.3659722222218988"/>
    <n v="2"/>
    <n v="0.63402777777810115"/>
    <n v="32.783333333325572"/>
    <n v="12"/>
    <n v="20.783333333325572"/>
    <n v="3.7530072173229732"/>
    <m/>
    <m/>
    <m/>
    <m/>
    <m/>
  </r>
  <r>
    <d v="2025-03-13T00:00:00"/>
    <x v="2"/>
    <s v="KESH"/>
    <s v="Z83039"/>
    <s v="Manual"/>
    <x v="10"/>
    <s v="UBP 294H"/>
    <s v="Kobusinge Acaali- Kyenjojo"/>
    <n v="6.3"/>
    <s v="Z83039"/>
    <s v="OM"/>
    <n v="580"/>
    <n v="577"/>
    <n v="-3"/>
    <m/>
    <d v="2025-03-11T13:43:00"/>
    <d v="2025-03-11T12:35:00"/>
    <d v="2025-03-11T14:10:00"/>
    <n v="94.560185180550135"/>
    <n v="26.87500000417155"/>
    <x v="0"/>
    <d v="2025-03-13T15:51:00"/>
    <d v="2025-03-13T17:39:00"/>
    <n v="105.75000000615546"/>
    <m/>
    <d v="2025-03-13T17:16:00"/>
    <d v="2025-03-13T18:14:00"/>
    <n v="56.791666667122627"/>
    <m/>
    <n v="2.1291666666656965"/>
    <n v="2"/>
    <n v="-0.12916666666569654"/>
    <n v="51.099999999976717"/>
    <n v="24"/>
    <n v="27.099999999976717"/>
    <n v="0.23247232472344695"/>
    <m/>
    <m/>
    <m/>
    <m/>
    <m/>
  </r>
  <r>
    <d v="2025-03-13T00:00:00"/>
    <x v="2"/>
    <s v="KESH"/>
    <s v="A21389"/>
    <s v="Manual"/>
    <x v="40"/>
    <s v="UBP 311H"/>
    <s v="Ntale and Sons Ltd-Kakiri"/>
    <n v="156"/>
    <s v="A21389"/>
    <s v="OM"/>
    <n v="620"/>
    <n v="619"/>
    <n v="-1"/>
    <m/>
    <d v="2025-03-12T08:19:00"/>
    <d v="2025-03-12T08:34:00"/>
    <d v="2025-03-12T08:46:00"/>
    <n v="11.944444441663412"/>
    <n v="26.87500000417155"/>
    <x v="0"/>
    <d v="2025-03-13T13:56:00"/>
    <d v="2025-03-13T18:02:00"/>
    <n v="240.87499999521242"/>
    <s v="slept at the RD and offloaded the next day"/>
    <d v="2025-03-13T16:56:00"/>
    <d v="2025-03-13T17:37:00"/>
    <n v="40.145833330825553"/>
    <m/>
    <n v="1.3402777777810115"/>
    <n v="3"/>
    <n v="1.6597222222189885"/>
    <n v="32.166666666744277"/>
    <n v="12"/>
    <n v="20.166666666744277"/>
    <n v="7.7355371900528747"/>
    <m/>
    <m/>
    <m/>
    <m/>
    <m/>
  </r>
  <r>
    <d v="2025-03-13T00:00:00"/>
    <x v="2"/>
    <s v="KESH"/>
    <s v="A21382"/>
    <s v="Manual"/>
    <x v="39"/>
    <s v="UBJ 705D"/>
    <s v="Kato Investment Ltd -Mubende"/>
    <n v="156"/>
    <s v="A21382"/>
    <s v="OM"/>
    <n v="680"/>
    <n v="679"/>
    <n v="-1"/>
    <m/>
    <d v="2025-03-12T11:02:00"/>
    <d v="2025-03-12T11:18:00"/>
    <d v="2025-03-12T11:28:00"/>
    <n v="9.9537037048624679"/>
    <n v="25.879629630556639"/>
    <x v="0"/>
    <d v="2025-03-13T15:36:00"/>
    <d v="2025-03-13T19:58:00"/>
    <n v="256.54166666165111"/>
    <s v="found another truck at the RD"/>
    <d v="2025-03-13T06:43:00"/>
    <d v="2025-03-13T07:39:00"/>
    <n v="54.833333337664953"/>
    <m/>
    <n v="0.80208333333575865"/>
    <n v="3"/>
    <n v="2.1979166666642413"/>
    <n v="19.250000000058208"/>
    <n v="0"/>
    <n v="19.250000000058208"/>
    <n v="8.1038961038716"/>
    <m/>
    <m/>
    <m/>
    <m/>
    <m/>
  </r>
  <r>
    <d v="2025-03-13T00:00:00"/>
    <x v="2"/>
    <s v="KESH"/>
    <s v="A21394"/>
    <s v="Manual"/>
    <x v="53"/>
    <s v="UBR 860Y"/>
    <s v="Kato Investment Ltd -Mubende"/>
    <n v="156"/>
    <s v="A21394"/>
    <s v="OM"/>
    <n v="680"/>
    <n v="679"/>
    <n v="-1"/>
    <m/>
    <d v="2025-03-12T18:12:00"/>
    <d v="2025-03-12T18:28:00"/>
    <d v="2025-03-12T18:38:00"/>
    <n v="9.9537037048624679"/>
    <n v="25.879629630556639"/>
    <x v="0"/>
    <d v="2025-03-13T07:28:00"/>
    <d v="2025-03-13T13:09:00"/>
    <n v="333.89583333424525"/>
    <s v="found another truck at the RD"/>
    <d v="2025-03-14T07:11:00"/>
    <d v="2025-03-14T07:52:00"/>
    <n v="40.145833330825553"/>
    <m/>
    <n v="1.5229166666686069"/>
    <n v="3"/>
    <n v="1.4770833333313931"/>
    <n v="36.550000000046566"/>
    <n v="12"/>
    <n v="24.550000000046566"/>
    <n v="6.3543788187252179"/>
    <m/>
    <m/>
    <m/>
    <m/>
    <m/>
  </r>
  <r>
    <d v="2025-03-13T00:00:00"/>
    <x v="2"/>
    <s v="KESH"/>
    <s v="A21392"/>
    <s v="Manual"/>
    <x v="34"/>
    <s v="UBP 301H"/>
    <s v="Kato Investment Ltd -Mityana"/>
    <n v="78"/>
    <s v="A21392"/>
    <s v="OM"/>
    <n v="690"/>
    <n v="694"/>
    <n v="4"/>
    <m/>
    <d v="2025-03-12T15:26:00"/>
    <d v="2025-03-12T15:31:00"/>
    <d v="2025-03-12T15:52:00"/>
    <n v="20.902777772910969"/>
    <n v="25.879629630556639"/>
    <x v="0"/>
    <d v="2025-03-13T10:54:00"/>
    <d v="2025-03-13T12:33:00"/>
    <n v="96.93749999794818"/>
    <m/>
    <d v="2025-03-13T17:16:00"/>
    <d v="2025-03-13T17:57:00"/>
    <n v="40.145833330825553"/>
    <m/>
    <n v="1.0583333333343035"/>
    <n v="3"/>
    <n v="1.9416666666656965"/>
    <n v="25.400000000023283"/>
    <n v="12"/>
    <n v="13.400000000023283"/>
    <n v="5.8208955223779455"/>
    <m/>
    <m/>
    <m/>
    <m/>
    <m/>
  </r>
  <r>
    <d v="2025-03-13T00:00:00"/>
    <x v="2"/>
    <s v="KESH"/>
    <s v="Z83038"/>
    <s v="Manual"/>
    <x v="10"/>
    <s v="UBR 868Y"/>
    <s v="Kobusinge Steven-FPortal"/>
    <n v="156"/>
    <s v="Z83038"/>
    <s v="OM"/>
    <n v="304"/>
    <n v="303"/>
    <n v="-1"/>
    <m/>
    <d v="2025-03-11T12:07:00"/>
    <d v="2025-03-11T12:19:00"/>
    <d v="2025-03-11T12:32:00"/>
    <n v="12.93981481527832"/>
    <n v="24.884259256941732"/>
    <x v="0"/>
    <d v="2025-03-12T15:30:00"/>
    <d v="2025-03-12T17:51:00"/>
    <n v="138.06249999863212"/>
    <m/>
    <d v="2025-03-13T16:56:00"/>
    <d v="2025-03-13T17:53:00"/>
    <n v="55.81249999726424"/>
    <m/>
    <n v="2.1833333333343035"/>
    <n v="2"/>
    <n v="-0.18333333333430346"/>
    <n v="52.400000000023283"/>
    <n v="24"/>
    <n v="28.400000000023283"/>
    <n v="5.49295774647437"/>
    <m/>
    <m/>
    <m/>
    <m/>
    <m/>
  </r>
  <r>
    <d v="2025-03-13T00:00:00"/>
    <x v="2"/>
    <s v="KESH"/>
    <s v="A21385"/>
    <s v="Manual"/>
    <x v="36"/>
    <s v="UBE 680K"/>
    <s v="Ntale and Sons Ltd-Kakiri"/>
    <n v="5.5439999999999996"/>
    <s v="A21385"/>
    <s v="OM"/>
    <n v="620"/>
    <n v="618"/>
    <n v="-2"/>
    <m/>
    <d v="2025-03-12T08:26:00"/>
    <d v="2025-03-12T07:17:00"/>
    <d v="2025-03-12T08:52:00"/>
    <n v="94.560185180550135"/>
    <n v="25.879629630556639"/>
    <x v="0"/>
    <d v="2025-03-13T15:51:00"/>
    <d v="2025-03-13T17:39:00"/>
    <n v="105.75000000615546"/>
    <m/>
    <d v="2025-03-13T06:43:00"/>
    <d v="2025-03-13T07:32:00"/>
    <n v="47.979166669174447"/>
    <m/>
    <n v="0.9104166666729725"/>
    <n v="3"/>
    <n v="2.0895833333270275"/>
    <n v="21.85000000015134"/>
    <n v="0"/>
    <n v="21.85000000015134"/>
    <n v="0.25372997711494738"/>
    <m/>
    <m/>
    <m/>
    <m/>
    <m/>
  </r>
  <r>
    <d v="2025-03-13T00:00:00"/>
    <x v="2"/>
    <s v="KESH"/>
    <s v="Z83047"/>
    <s v="Manual"/>
    <x v="43"/>
    <s v="UBJ 419C"/>
    <s v="Kobusinge Acaali- Kyenjojo"/>
    <n v="156"/>
    <s v="Z83047"/>
    <s v="OM"/>
    <n v="580"/>
    <n v="579"/>
    <n v="-1"/>
    <m/>
    <d v="2025-03-12T17:33:00"/>
    <d v="2025-03-12T17:50:00"/>
    <d v="2025-03-12T18:00:00"/>
    <n v="9.9537037048624679"/>
    <n v="26.87500000417155"/>
    <x v="0"/>
    <d v="2025-03-13T13:56:00"/>
    <d v="2025-03-13T16:02:00"/>
    <n v="123.37500000205182"/>
    <m/>
    <d v="2025-03-13T16:56:00"/>
    <d v="2025-03-13T17:33:00"/>
    <n v="36.229166661651107"/>
    <m/>
    <n v="0.95555555555620231"/>
    <n v="2"/>
    <n v="1.0444444444437977"/>
    <n v="22.933333333348855"/>
    <n v="0"/>
    <n v="22.933333333348855"/>
    <n v="6.8023255813907451"/>
    <m/>
    <m/>
    <m/>
    <m/>
    <m/>
  </r>
  <r>
    <d v="2025-03-13T00:00:00"/>
    <x v="2"/>
    <s v="KESH"/>
    <s v="F16064"/>
    <s v="Manual"/>
    <x v="45"/>
    <s v="UBP 310H"/>
    <s v="Boniface Harera"/>
    <n v="156"/>
    <s v="F16064"/>
    <s v="OM"/>
    <n v="448"/>
    <n v="449"/>
    <n v="1"/>
    <m/>
    <d v="2025-03-12T12:18:00"/>
    <d v="2025-03-12T12:10:00"/>
    <d v="2025-03-12T12:44:00"/>
    <n v="33.842592588189291"/>
    <n v="25.879629630556639"/>
    <x v="0"/>
    <d v="2025-03-13T15:36:00"/>
    <d v="2025-03-13T19:58:00"/>
    <n v="256.54166666165111"/>
    <s v="Waited for empties from trade"/>
    <d v="2025-03-13T06:43:00"/>
    <d v="2025-03-13T07:39:00"/>
    <n v="54.833333337664953"/>
    <m/>
    <n v="0.74930555556056788"/>
    <n v="2"/>
    <n v="1.2506944444394321"/>
    <n v="17.983333333453629"/>
    <n v="0"/>
    <n v="17.983333333453629"/>
    <n v="8.6746987951226959"/>
    <m/>
    <m/>
    <m/>
    <m/>
    <m/>
  </r>
  <r>
    <d v="2025-03-13T00:00:00"/>
    <x v="2"/>
    <s v="KESH"/>
    <s v="A21402"/>
    <s v="Manual"/>
    <x v="47"/>
    <s v="UBR 538W"/>
    <s v="Ntale and Sons Ltd-Kakiri"/>
    <n v="156"/>
    <s v="A21402"/>
    <s v="OM"/>
    <n v="620"/>
    <n v="619"/>
    <n v="-1"/>
    <m/>
    <d v="2025-03-12T11:02:00"/>
    <d v="2025-03-12T11:07:00"/>
    <d v="2025-03-12T11:28:00"/>
    <n v="20.902777772910969"/>
    <n v="25.879629630556639"/>
    <x v="0"/>
    <d v="2025-03-13T13:25:00"/>
    <d v="2025-03-13T15:30:00"/>
    <n v="122.39583333219343"/>
    <m/>
    <d v="2025-03-13T15:37:00"/>
    <d v="2025-03-13T16:13:00"/>
    <n v="35.25000000205182"/>
    <m/>
    <n v="1.1729166666627862"/>
    <n v="3"/>
    <n v="1.8270833333372138"/>
    <n v="28.149999999906868"/>
    <n v="12"/>
    <n v="16.149999999906868"/>
    <n v="9.659442724513907"/>
    <m/>
    <m/>
    <m/>
    <m/>
    <m/>
  </r>
  <r>
    <d v="2025-03-14T00:00:00"/>
    <x v="2"/>
    <s v="KESH"/>
    <s v="Z83049"/>
    <s v="Manual"/>
    <x v="10"/>
    <s v="UBP 304H"/>
    <s v="Kabaco U Ltd"/>
    <n v="11.087999999999999"/>
    <s v="Z83049"/>
    <s v="OM"/>
    <n v="320"/>
    <n v="319"/>
    <n v="-1"/>
    <m/>
    <d v="2024-03-14T08:32:00"/>
    <d v="2024-03-14T07:30:00"/>
    <d v="2024-03-14T08:58:00"/>
    <n v="87.592592596532384"/>
    <n v="25.879629630556639"/>
    <x v="0"/>
    <d v="2024-03-14T17:58:00"/>
    <d v="2024-03-15T17:33:31"/>
    <n v="1386.0267361085425"/>
    <s v="Waited for empties from trade"/>
    <d v="2024-03-16T15:09:31"/>
    <d v="2024-03-16T15:45:31"/>
    <n v="35.25000000205182"/>
    <m/>
    <n v="2.2579976851848187"/>
    <n v="2"/>
    <n v="-0.25799768518481869"/>
    <n v="54.191944444435649"/>
    <n v="24"/>
    <n v="30.191944444435649"/>
    <n v="0.36725027831201873"/>
    <m/>
    <m/>
    <m/>
    <m/>
    <m/>
  </r>
  <r>
    <d v="2025-03-14T00:00:00"/>
    <x v="2"/>
    <s v="KESH"/>
    <s v="A21414"/>
    <s v="Manual"/>
    <x v="54"/>
    <s v="UBK 882R"/>
    <s v="Kato Investment Ltd -Mubende"/>
    <n v="93.6"/>
    <s v="A21414"/>
    <s v="OM"/>
    <n v="680"/>
    <n v="677"/>
    <n v="-3"/>
    <m/>
    <d v="2024-03-14T08:19:00"/>
    <d v="2024-03-14T07:30:00"/>
    <d v="2024-03-14T08:47:00"/>
    <n v="76.643518518055018"/>
    <n v="27.870370367357584"/>
    <x v="0"/>
    <d v="2024-03-15T03:02:00"/>
    <d v="2024-03-15T06:00:00"/>
    <n v="174.29166667054233"/>
    <m/>
    <d v="2024-03-16T15:49:51"/>
    <d v="2024-03-16T16:46:51"/>
    <n v="55.81249999726424"/>
    <m/>
    <n v="2.2936458333351766"/>
    <n v="3"/>
    <n v="0.70635416666482342"/>
    <n v="55.047500000044238"/>
    <n v="24"/>
    <n v="31.047500000044238"/>
    <n v="3.0147354859446533"/>
    <m/>
    <m/>
    <m/>
    <m/>
    <m/>
  </r>
  <r>
    <d v="2025-03-14T00:00:00"/>
    <x v="2"/>
    <s v="KESH"/>
    <s v="Z83048"/>
    <s v="Manual"/>
    <x v="48"/>
    <s v="UBM 644D"/>
    <s v="Kobusinge Steven-Kamwenge"/>
    <n v="156"/>
    <s v="Z83048"/>
    <s v="OM"/>
    <n v="288"/>
    <n v="286"/>
    <n v="-2"/>
    <m/>
    <d v="2024-03-14T08:35:00"/>
    <d v="2024-03-14T07:30:00"/>
    <d v="2024-03-14T09:02:00"/>
    <n v="91.574074070134273"/>
    <n v="26.87500000417155"/>
    <x v="0"/>
    <d v="2024-03-15T10:17:00"/>
    <d v="2024-03-16T12:41:00"/>
    <n v="1550.9999999979482"/>
    <s v="Reached late and offloaded the next day"/>
    <d v="2024-03-16T17:29:00"/>
    <d v="2024-03-16T18:21:00"/>
    <n v="50.916666668490507"/>
    <m/>
    <n v="2.352083333338669"/>
    <n v="2"/>
    <n v="-0.35208333333866904"/>
    <n v="56.450000000128057"/>
    <n v="24"/>
    <n v="32.450000000128057"/>
    <n v="4.8073959938177007"/>
    <m/>
    <m/>
    <m/>
    <m/>
    <m/>
  </r>
  <r>
    <d v="2025-03-14T00:00:00"/>
    <x v="2"/>
    <s v="KESH"/>
    <s v="Z83055"/>
    <s v="Manual"/>
    <x v="27"/>
    <s v="UBM 648D"/>
    <s v="Bates Enterprises U Ltd"/>
    <n v="156"/>
    <s v="Z83055"/>
    <s v="OM"/>
    <n v="464"/>
    <n v="461"/>
    <n v="-3"/>
    <m/>
    <d v="2024-03-14T08:09:00"/>
    <d v="2024-03-14T07:30:00"/>
    <d v="2024-03-14T08:38:00"/>
    <n v="67.685185186807459"/>
    <n v="28.865740740972495"/>
    <x v="0"/>
    <d v="2024-03-15T07:08:00"/>
    <d v="2024-03-15T15:37:00"/>
    <n v="498.39583332672191"/>
    <s v="truck faulty"/>
    <d v="2024-03-16T10:15:12"/>
    <d v="2024-03-16T10:59:12"/>
    <n v="43.083333340400713"/>
    <m/>
    <n v="2.0674999999973807"/>
    <n v="3"/>
    <n v="0.93250000000261934"/>
    <n v="49.619999999937136"/>
    <n v="24"/>
    <n v="25.619999999937136"/>
    <n v="6.0889929742538165"/>
    <m/>
    <m/>
    <m/>
    <m/>
    <m/>
  </r>
  <r>
    <d v="2025-03-14T00:00:00"/>
    <x v="2"/>
    <s v="KESH"/>
    <s v="Z83060"/>
    <s v="Manual"/>
    <x v="10"/>
    <s v="UBG 084B"/>
    <s v="Kobusinge Acaali- Kyenjojo"/>
    <n v="139.19999999999999"/>
    <s v="Z83060"/>
    <s v="OM"/>
    <n v="580"/>
    <n v="579"/>
    <n v="-1"/>
    <m/>
    <d v="2024-03-14T08:17:00"/>
    <d v="2024-03-14T07:30:00"/>
    <d v="2024-03-14T08:46:00"/>
    <n v="75.6481481444401"/>
    <n v="28.865740740972495"/>
    <x v="0"/>
    <d v="2024-03-15T06:16:00"/>
    <d v="2024-03-15T09:53:00"/>
    <n v="212.47916667191021"/>
    <s v="slept at the RD and offloaded the next day"/>
    <d v="2024-03-16T08:41:00"/>
    <d v="2024-03-16T09:42:00"/>
    <n v="59.729166666438687"/>
    <m/>
    <n v="1.9965277777810115"/>
    <n v="2"/>
    <n v="3.4722222189884633E-3"/>
    <n v="47.916666666744277"/>
    <n v="12"/>
    <n v="35.916666666744277"/>
    <n v="3.8756380510357085"/>
    <m/>
    <m/>
    <m/>
    <m/>
    <m/>
  </r>
  <r>
    <d v="2025-03-14T00:00:00"/>
    <x v="2"/>
    <s v="KESH"/>
    <s v="Z83058"/>
    <s v="Manual"/>
    <x v="35"/>
    <s v="UBP 312H"/>
    <s v="Kabaco U Ltd"/>
    <n v="156"/>
    <s v="Z83058"/>
    <s v="OM"/>
    <n v="320"/>
    <n v="317"/>
    <n v="-3"/>
    <m/>
    <d v="2024-03-15T01:31:10"/>
    <d v="2024-03-15T00:51:10"/>
    <d v="2024-03-15T01:59:10"/>
    <n v="67.685185186807459"/>
    <n v="27.870370367357584"/>
    <x v="0"/>
    <d v="2024-03-16T03:29:10"/>
    <d v="2024-03-16T17:31:34"/>
    <n v="824.84999999876891"/>
    <s v="Waited for empties from trade"/>
    <d v="2024-03-16T20:16:34"/>
    <d v="2024-03-16T21:13:34"/>
    <n v="55.81249999726424"/>
    <m/>
    <n v="1.7620833333348855"/>
    <n v="2"/>
    <n v="0.23791666666511446"/>
    <n v="42.290000000037253"/>
    <n v="12"/>
    <n v="30.290000000037253"/>
    <n v="5.1502145922683438"/>
    <m/>
    <m/>
    <m/>
    <m/>
    <m/>
  </r>
  <r>
    <d v="2025-03-14T00:00:00"/>
    <x v="2"/>
    <s v="KESH"/>
    <s v="Z83057"/>
    <s v="Manual"/>
    <x v="55"/>
    <s v="UBJ 417C"/>
    <s v="Kobusinge Steven-Kamwenge"/>
    <n v="156"/>
    <s v="Z83057"/>
    <s v="OM"/>
    <n v="288"/>
    <n v="285"/>
    <n v="-3"/>
    <m/>
    <d v="2024-03-15T02:01:40"/>
    <d v="2024-03-15T01:00:40"/>
    <d v="2024-03-15T02:28:40"/>
    <n v="87.592592596532384"/>
    <n v="26.87500000417155"/>
    <x v="0"/>
    <d v="2024-03-16T08:28:40"/>
    <d v="2024-03-17T15:27:42"/>
    <n v="1820.3034722232405"/>
    <s v="found another truck at the RD and offloaded the next day"/>
    <d v="2024-03-17T17:37:18"/>
    <d v="2024-03-17T18:33:18"/>
    <n v="54.833333337664953"/>
    <m/>
    <n v="2.6309953703676001"/>
    <n v="2"/>
    <n v="-0.63099537036760012"/>
    <n v="63.143888888822403"/>
    <n v="24"/>
    <n v="39.143888888822403"/>
    <n v="3.9852964135238498"/>
    <m/>
    <m/>
    <m/>
    <m/>
    <m/>
  </r>
  <r>
    <d v="2025-03-14T00:00:00"/>
    <x v="2"/>
    <s v="KESH"/>
    <s v="F16070"/>
    <s v="Manual"/>
    <x v="10"/>
    <s v="UBP 998T"/>
    <s v="Boniface Harera"/>
    <n v="139.19999999999999"/>
    <s v="F16070"/>
    <s v="OM"/>
    <n v="448"/>
    <n v="445"/>
    <n v="-3"/>
    <m/>
    <d v="2024-03-15T19:19:00"/>
    <d v="2024-03-15T03:43:00"/>
    <d v="2024-03-15T19:46:00"/>
    <n v="958.54166666249512"/>
    <n v="26.87500000417155"/>
    <x v="0"/>
    <d v="2024-03-16T03:58:00"/>
    <d v="2024-03-16T17:27:00"/>
    <n v="792.14583333014161"/>
    <s v="space consquents"/>
    <d v="2024-03-17T14:14:00"/>
    <d v="2024-03-17T14:59:00"/>
    <n v="44.0625"/>
    <m/>
    <n v="1.7694444444423425"/>
    <n v="2"/>
    <n v="0.2305555555576575"/>
    <n v="42.46666666661622"/>
    <n v="12"/>
    <n v="30.46666666661622"/>
    <n v="4.5689277899419194"/>
    <m/>
    <m/>
    <m/>
    <m/>
    <m/>
  </r>
  <r>
    <d v="2025-03-14T00:00:00"/>
    <x v="2"/>
    <s v="KESH"/>
    <s v="A21413"/>
    <s v="Manual"/>
    <x v="25"/>
    <s v="UBJ 420C"/>
    <s v="Sawan Distributors Ltd-Nabingo"/>
    <n v="156"/>
    <s v="A21413"/>
    <s v="OM"/>
    <n v="560"/>
    <n v="557"/>
    <n v="-3"/>
    <m/>
    <d v="2024-03-14T13:58:15"/>
    <d v="2024-03-14T13:12:15"/>
    <d v="2024-03-14T14:24:15"/>
    <n v="71.666666670838211"/>
    <n v="25.879629630556639"/>
    <x v="0"/>
    <d v="2024-03-15T09:54:15"/>
    <d v="2024-03-15T14:31:15"/>
    <n v="271.22916665823141"/>
    <s v="Waited for empties from trade"/>
    <d v="2024-03-16T10:19:15"/>
    <d v="2024-03-16T11:19:15"/>
    <n v="58.7499999965803"/>
    <m/>
    <n v="1.8298611111094942"/>
    <n v="2"/>
    <n v="0.17013888889050577"/>
    <n v="43.916666666627862"/>
    <n v="12"/>
    <n v="31.916666666627862"/>
    <n v="4.8877284595359685"/>
    <m/>
    <m/>
    <m/>
    <m/>
    <m/>
  </r>
  <r>
    <d v="2025-03-14T00:00:00"/>
    <x v="2"/>
    <s v="KESH"/>
    <s v="Z83059"/>
    <s v="Manual"/>
    <x v="41"/>
    <s v="UBF 379L"/>
    <s v="Kobusinge Steven-FPortal"/>
    <n v="116.4"/>
    <s v="Z83059"/>
    <s v="OM"/>
    <n v="304"/>
    <n v="301"/>
    <n v="-3"/>
    <m/>
    <d v="2024-03-14T13:48:00"/>
    <d v="2024-03-15T04:19:00"/>
    <d v="2024-03-14T14:15:00"/>
    <n v="-840.09259258818929"/>
    <n v="26.87500000417155"/>
    <x v="0"/>
    <d v="2024-03-14T21:59:00"/>
    <d v="2024-03-15T00:47:00"/>
    <n v="164.50000000273576"/>
    <m/>
    <d v="2024-03-15T21:50:00"/>
    <d v="2024-03-15T22:47:00"/>
    <n v="55.81250000752334"/>
    <m/>
    <n v="1.3159722222189885"/>
    <n v="2"/>
    <n v="0.68402777778101154"/>
    <n v="31.583333333255723"/>
    <n v="12"/>
    <n v="19.583333333255723"/>
    <n v="5.9438297872575987"/>
    <m/>
    <m/>
    <m/>
    <m/>
    <m/>
  </r>
  <r>
    <d v="2025-03-15T00:00:00"/>
    <x v="2"/>
    <s v="KESH"/>
    <s v="F16073"/>
    <s v="Manual"/>
    <x v="10"/>
    <s v="UBR 864Y"/>
    <s v="Boniface Harera"/>
    <n v="78"/>
    <s v="F16073"/>
    <s v="OM"/>
    <n v="448"/>
    <n v="447"/>
    <n v="-1"/>
    <m/>
    <d v="2024-03-15T09:06:09"/>
    <d v="2024-03-15T08:10:09"/>
    <d v="2024-03-15T09:33:09"/>
    <n v="82.615740738886714"/>
    <n v="26.87500000417155"/>
    <x v="0"/>
    <d v="2024-03-15T15:33:09"/>
    <d v="2024-03-15T20:13:09"/>
    <n v="274.16666666780657"/>
    <s v="Reached late and offloaded the next day"/>
    <d v="2024-03-16T10:08:21"/>
    <d v="2024-03-16T10:49:21"/>
    <n v="40.145833330825553"/>
    <m/>
    <n v="1.0244444444469991"/>
    <n v="2"/>
    <n v="0.97555555555300089"/>
    <n v="24.586666666727979"/>
    <n v="12"/>
    <n v="12.586666666727979"/>
    <n v="6.1970338982748974"/>
    <m/>
    <m/>
    <m/>
    <m/>
    <m/>
  </r>
  <r>
    <d v="2025-03-15T00:00:00"/>
    <x v="2"/>
    <s v="KESH"/>
    <s v="Z83071"/>
    <s v="Manual"/>
    <x v="10"/>
    <s v="UBR 868Y"/>
    <s v="Kobusinge Steven-Kamwenge"/>
    <n v="156"/>
    <s v="Z83071"/>
    <s v="OM"/>
    <n v="288"/>
    <n v="287"/>
    <n v="-1"/>
    <m/>
    <d v="2024-03-14T21:54:00"/>
    <d v="2024-03-14T20:30:00"/>
    <d v="2024-03-14T22:47:00"/>
    <n v="136.36574074722981"/>
    <n v="52.75462963472819"/>
    <x v="13"/>
    <d v="2024-03-16T07:58:00"/>
    <d v="2024-03-16T10:42:00"/>
    <n v="160.58333333356131"/>
    <m/>
    <d v="2024-03-16T18:18:00"/>
    <d v="2024-03-16T19:07:00"/>
    <n v="47.979166669174447"/>
    <m/>
    <n v="1.8131944444394321"/>
    <n v="2"/>
    <n v="0.18680555556056788"/>
    <n v="43.516666666546371"/>
    <n v="12"/>
    <n v="31.516666666546371"/>
    <n v="4.9497620306904953"/>
    <m/>
    <m/>
    <m/>
    <m/>
    <m/>
  </r>
  <r>
    <d v="2025-03-15T00:00:00"/>
    <x v="2"/>
    <s v="KESH"/>
    <s v="A21416"/>
    <s v="Manual"/>
    <x v="49"/>
    <s v="UBR 539W"/>
    <s v="Sawan Distributors Ltd-Kayabwe"/>
    <n v="15.75"/>
    <s v="A21416"/>
    <s v="OM"/>
    <n v="382"/>
    <n v="379"/>
    <n v="-3"/>
    <m/>
    <d v="2024-03-15T08:12:00"/>
    <d v="2024-03-15T07:30:00"/>
    <d v="2024-03-15T08:38:00"/>
    <n v="67.685185186807459"/>
    <n v="25.879629630556639"/>
    <x v="0"/>
    <d v="2024-03-15T14:38:00"/>
    <d v="2024-03-15T18:58:00"/>
    <n v="254.58333333219343"/>
    <s v="Waited for empties from trade"/>
    <d v="2024-03-16T08:53:12"/>
    <d v="2024-03-16T09:41:12"/>
    <n v="46.99999999931606"/>
    <m/>
    <n v="1.0105555555564933"/>
    <n v="2"/>
    <n v="0.98944444444350665"/>
    <n v="24.25333333335584"/>
    <n v="12"/>
    <n v="12.25333333335584"/>
    <n v="1.2853645266570515"/>
    <m/>
    <m/>
    <m/>
    <m/>
    <m/>
  </r>
  <r>
    <d v="2025-03-15T00:00:00"/>
    <x v="2"/>
    <s v="KESH"/>
    <s v="A21428"/>
    <s v="Manual"/>
    <x v="44"/>
    <s v="UBE 684K"/>
    <s v="Sawan Distributors Ltd-Kayabwe"/>
    <n v="139.19999999999999"/>
    <s v="A21428"/>
    <s v="OM"/>
    <n v="382"/>
    <n v="379"/>
    <n v="-3"/>
    <m/>
    <d v="2024-03-15T21:43:00"/>
    <d v="2024-03-16T02:22:00"/>
    <d v="2024-03-15T22:09:00"/>
    <n v="-251.82870370069091"/>
    <n v="25.879629630556639"/>
    <x v="0"/>
    <d v="2024-03-17T12:34:00"/>
    <d v="2024-03-17T17:42:00"/>
    <n v="301.58333334176859"/>
    <s v="Waited for empties from trade"/>
    <d v="2024-03-17T18:41:00"/>
    <d v="2024-03-17T19:25:00"/>
    <n v="43.083333340400713"/>
    <m/>
    <n v="1.8555555555503815"/>
    <n v="2"/>
    <n v="0.14444444444961846"/>
    <n v="44.533333333209157"/>
    <n v="12"/>
    <n v="32.533333333209157"/>
    <n v="4.278688524606495"/>
    <m/>
    <m/>
    <m/>
    <m/>
    <m/>
  </r>
  <r>
    <d v="2025-03-15T00:00:00"/>
    <x v="2"/>
    <s v="NBL"/>
    <s v="A21427"/>
    <s v="Manual"/>
    <x v="10"/>
    <s v="UBE 422T"/>
    <s v="Kato Investment Ltd -Mityana"/>
    <n v="69.599999999999994"/>
    <s v="A21427"/>
    <s v="OM"/>
    <n v="690"/>
    <n v="687"/>
    <n v="-3"/>
    <m/>
    <d v="2024-03-16T19:04:00"/>
    <d v="2024-03-16T01:59:00"/>
    <d v="2024-03-16T19:58:00"/>
    <n v="1074.0046296263852"/>
    <n v="53.749999997914223"/>
    <x v="9"/>
    <d v="2024-03-17T10:22:00"/>
    <d v="2024-03-17T15:40:00"/>
    <n v="311.37500000957516"/>
    <s v="Waited for empties from trade"/>
    <d v="2024-03-18T12:02:00"/>
    <d v="2024-03-18T13:03:00"/>
    <n v="59.729166666438687"/>
    <m/>
    <n v="1.6694444444437977"/>
    <n v="3"/>
    <n v="1.3305555555562023"/>
    <n v="40.066666666651145"/>
    <n v="12"/>
    <n v="28.066666666651145"/>
    <n v="2.479809976248402"/>
    <m/>
    <m/>
    <m/>
    <m/>
    <m/>
  </r>
  <r>
    <d v="2025-03-15T00:00:00"/>
    <x v="2"/>
    <s v="NBL"/>
    <s v="A21425"/>
    <s v="Manual"/>
    <x v="10"/>
    <s v="UBE 419T"/>
    <s v="Kato Investment Ltd -Mubende"/>
    <n v="146.4"/>
    <s v="A21425"/>
    <s v="OM"/>
    <n v="680"/>
    <n v="677"/>
    <n v="-3"/>
    <m/>
    <d v="2024-03-16T08:19:00"/>
    <d v="2024-03-16T07:30:00"/>
    <d v="2024-03-16T08:47:00"/>
    <n v="76.643518518055018"/>
    <n v="27.870370367357584"/>
    <x v="0"/>
    <d v="2024-03-17T03:07:00"/>
    <d v="2024-03-17T14:26:00"/>
    <n v="664.85416666917445"/>
    <s v="Waited for empties from trade"/>
    <d v="2024-03-17T21:16:00"/>
    <d v="2024-03-17T22:07:00"/>
    <n v="49.93749999863212"/>
    <m/>
    <n v="1.5201388888890506"/>
    <n v="3"/>
    <n v="1.4798611111109494"/>
    <n v="36.483333333337214"/>
    <n v="12"/>
    <n v="24.483333333337214"/>
    <n v="5.9795779441787662"/>
    <m/>
    <m/>
    <m/>
    <m/>
    <m/>
  </r>
  <r>
    <d v="2025-03-15T00:00:00"/>
    <x v="2"/>
    <s v="NBL"/>
    <s v="Z83064"/>
    <s v="Manual"/>
    <x v="10"/>
    <s v="UBJ 988D"/>
    <s v="Kabaco U Ltd"/>
    <n v="153.6"/>
    <s v="Z83064"/>
    <s v="OM"/>
    <n v="320"/>
    <n v="318"/>
    <n v="-2"/>
    <m/>
    <d v="2024-03-16T15:51:00"/>
    <d v="2024-03-16T20:13:00"/>
    <d v="2024-03-16T16:19:00"/>
    <n v="-232.91666667500976"/>
    <n v="27.870370367357584"/>
    <x v="0"/>
    <d v="2024-03-17T10:16:00"/>
    <d v="2024-03-17T15:48:00"/>
    <n v="325.08333333629707"/>
    <s v="Waited for empties from trade"/>
    <d v="2024-03-18T14:51:00"/>
    <d v="2024-03-18T15:48:00"/>
    <n v="55.81249999726424"/>
    <m/>
    <n v="1.9388888888934162"/>
    <n v="2"/>
    <n v="6.1111111106583849E-2"/>
    <n v="46.533333333441988"/>
    <n v="12"/>
    <n v="34.533333333441988"/>
    <n v="4.4478764478624528"/>
    <m/>
    <m/>
    <m/>
    <m/>
    <m/>
  </r>
  <r>
    <d v="2025-03-15T00:00:00"/>
    <x v="2"/>
    <s v="KESH"/>
    <s v="Z83063"/>
    <s v="Manual"/>
    <x v="10"/>
    <s v="UBJ 421C"/>
    <s v="Rugoma Traders-Rukungiri"/>
    <n v="156"/>
    <s v="Z83063"/>
    <s v="OM"/>
    <n v="256"/>
    <n v="253"/>
    <n v="-3"/>
    <m/>
    <d v="2024-03-17T02:08:42"/>
    <d v="2024-03-17T01:22:42"/>
    <d v="2024-03-17T02:37:42"/>
    <n v="74.652777781254073"/>
    <n v="28.865740740972495"/>
    <x v="0"/>
    <d v="2024-03-19T08:37:42"/>
    <d v="2024-03-19T13:12:42"/>
    <n v="269.27083332877373"/>
    <s v="Waited for empties from trade"/>
    <d v="2024-03-20T07:06:59"/>
    <d v="2024-03-20T07:47:59"/>
    <n v="40.145833330825553"/>
    <m/>
    <n v="3.1870023148148903"/>
    <n v="2"/>
    <n v="-1.1870023148148903"/>
    <n v="76.488055555557366"/>
    <n v="36"/>
    <n v="40.488055555557366"/>
    <n v="3.8529881926766802"/>
    <m/>
    <m/>
    <m/>
    <m/>
    <m/>
  </r>
  <r>
    <d v="2025-03-15T00:00:00"/>
    <x v="2"/>
    <s v="KESH"/>
    <s v="A21418"/>
    <s v="Manual"/>
    <x v="46"/>
    <s v="UBE 678K"/>
    <s v="KATO INVESTMENTS LTD-KATIKARA"/>
    <n v="148.80000000000001"/>
    <s v="A21418"/>
    <s v="OM"/>
    <n v="790"/>
    <n v="787"/>
    <n v="-3"/>
    <m/>
    <d v="2024-03-17T02:24:02"/>
    <d v="2024-03-17T01:41:02"/>
    <d v="2024-03-17T02:53:02"/>
    <n v="71.666666660409348"/>
    <n v="28.865740740972495"/>
    <x v="0"/>
    <d v="2024-03-18T09:10:02"/>
    <d v="2024-03-18T15:15:02"/>
    <n v="357.39583333903283"/>
    <s v="Not enough casuals to offload"/>
    <d v="2024-03-18T18:07:50"/>
    <d v="2024-03-18T19:03:50"/>
    <n v="54.833333337664953"/>
    <m/>
    <n v="1.6352777777792653"/>
    <n v="3"/>
    <n v="1.3647222222207347"/>
    <n v="39.246666666702367"/>
    <n v="12"/>
    <n v="27.246666666702367"/>
    <n v="5.4612184976684013"/>
    <m/>
    <m/>
    <m/>
    <m/>
    <m/>
  </r>
  <r>
    <d v="2025-03-15T00:00:00"/>
    <x v="2"/>
    <s v="KESH"/>
    <s v="A21417"/>
    <s v="Manual"/>
    <x v="10"/>
    <s v="UBJ 423C"/>
    <s v="Kato Investment Ltd -Mityana"/>
    <n v="5.04"/>
    <s v="A21417"/>
    <s v="OM"/>
    <n v="690"/>
    <n v="688"/>
    <n v="-2"/>
    <m/>
    <d v="2024-03-17T15:57:34"/>
    <d v="2024-03-17T03:16:34"/>
    <d v="2024-03-17T16:24:34"/>
    <n v="784.35185185347416"/>
    <n v="26.87500000417155"/>
    <x v="0"/>
    <d v="2024-03-17T16:55:34"/>
    <d v="2024-03-18T03:22:56"/>
    <n v="614.29652777005685"/>
    <s v="found another truck to be offloaded"/>
    <d v="2024-03-18T03:50:56"/>
    <d v="2024-03-18T04:47:56"/>
    <n v="55.81249999726424"/>
    <m/>
    <n v="0.47664351852290565"/>
    <n v="3"/>
    <n v="2.5233564814770943"/>
    <n v="11.439444444549736"/>
    <n v="0"/>
    <n v="11.439444444549736"/>
    <n v="0.44058083628364331"/>
    <m/>
    <m/>
    <m/>
    <m/>
    <m/>
  </r>
  <r>
    <d v="2025-03-16T00:00:00"/>
    <x v="2"/>
    <s v="KESH"/>
    <s v="A21438"/>
    <s v="Manual"/>
    <x v="10"/>
    <s v="UBR 903Y"/>
    <s v="KATO INVESTMENTS LTD-KATIKARA"/>
    <n v="156"/>
    <s v="A21438"/>
    <s v="OM"/>
    <n v="790"/>
    <n v="787"/>
    <n v="-3"/>
    <m/>
    <d v="2024-03-17T08:45:00"/>
    <d v="2024-03-16T08:00:00"/>
    <d v="2024-03-17T09:12:00"/>
    <n v="1504.9999999937427"/>
    <n v="26.87500000417155"/>
    <x v="0"/>
    <d v="2024-03-17T09:50:00"/>
    <d v="2024-03-17T17:28:00"/>
    <n v="448.45833333834889"/>
    <s v="Waited for empties from trade"/>
    <d v="2024-03-17T18:14:00"/>
    <d v="2024-03-17T18:55:00"/>
    <n v="40.145833330825553"/>
    <m/>
    <n v="0.37638888889341615"/>
    <n v="3"/>
    <n v="2.6236111111065838"/>
    <n v="9.0333333334419876"/>
    <n v="0"/>
    <n v="9.0333333334419876"/>
    <n v="17.26937269351922"/>
    <m/>
    <m/>
    <m/>
    <m/>
    <m/>
  </r>
  <r>
    <d v="2025-03-16T00:00:00"/>
    <x v="2"/>
    <s v="KESH"/>
    <s v="A21440"/>
    <s v="Manual"/>
    <x v="39"/>
    <s v="UBJ 705D"/>
    <s v="Sawan Distributors Ltd-Kayabwe"/>
    <n v="15.75"/>
    <s v="A21440"/>
    <s v="OM"/>
    <n v="382"/>
    <n v="379"/>
    <n v="-3"/>
    <m/>
    <d v="2024-03-16T20:58:00"/>
    <d v="2024-03-16T08:00:00"/>
    <d v="2024-03-16T21:26:00"/>
    <n v="802.26851851596928"/>
    <n v="27.870370367357584"/>
    <x v="0"/>
    <d v="2024-03-17T16:14:00"/>
    <d v="2024-03-18T03:30:00"/>
    <n v="661.91666666985839"/>
    <s v="Waited for empties from trade"/>
    <d v="2024-03-18T08:53:00"/>
    <d v="2024-03-18T09:42:00"/>
    <n v="47.979166669174447"/>
    <m/>
    <n v="1.4770833333313931"/>
    <n v="2"/>
    <n v="0.52291666666860692"/>
    <n v="35.449999999953434"/>
    <n v="12"/>
    <n v="23.449999999953434"/>
    <n v="0.67164179104610988"/>
    <m/>
    <m/>
    <m/>
    <m/>
    <m/>
  </r>
  <r>
    <d v="2025-03-16T00:00:00"/>
    <x v="2"/>
    <s v="KESH"/>
    <s v="Z83078"/>
    <s v="Manual"/>
    <x v="36"/>
    <s v="UBE 680K"/>
    <s v="Kabaco U Ltd"/>
    <n v="156"/>
    <s v="Z83078"/>
    <s v="OM"/>
    <n v="320"/>
    <n v="317"/>
    <n v="-3"/>
    <m/>
    <d v="2024-03-18T02:44:00"/>
    <d v="2024-03-17T08:00:00"/>
    <d v="2024-03-18T03:10:00"/>
    <n v="1144.6759259236085"/>
    <n v="25.879629630556639"/>
    <x v="0"/>
    <d v="2024-03-18T03:16:00"/>
    <d v="2024-03-18T17:35:00"/>
    <n v="841.10416666917445"/>
    <s v="Waited for empties from trade"/>
    <d v="2024-03-18T19:09:00"/>
    <d v="2024-03-18T19:43:00"/>
    <n v="33.291666662335047"/>
    <m/>
    <n v="0.66597222222480923"/>
    <n v="2"/>
    <n v="1.3340277777751908"/>
    <n v="15.983333333395422"/>
    <n v="0"/>
    <n v="15.983333333395422"/>
    <n v="9.7601668404208972"/>
    <m/>
    <m/>
    <m/>
    <m/>
    <m/>
  </r>
  <r>
    <d v="2025-03-16T00:00:00"/>
    <x v="2"/>
    <s v="KESH"/>
    <s v="F16075"/>
    <s v="Manual"/>
    <x v="32"/>
    <s v="UBJ 703D"/>
    <s v="Boniface Harera"/>
    <n v="156"/>
    <s v="F16075"/>
    <s v="OM"/>
    <n v="448"/>
    <n v="446"/>
    <n v="-2"/>
    <m/>
    <d v="2024-03-18T08:10:00"/>
    <d v="2024-03-18T07:30:00"/>
    <d v="2024-03-18T08:38:00"/>
    <n v="67.685185186807459"/>
    <n v="27.870370367357584"/>
    <x v="0"/>
    <d v="2024-03-19T09:53:00"/>
    <d v="2024-03-19T13:14:00"/>
    <n v="196.81249999521242"/>
    <m/>
    <d v="2024-03-20T18:02:00"/>
    <d v="2024-03-20T19:00:00"/>
    <n v="56.791666667122627"/>
    <m/>
    <n v="2.3916666666627862"/>
    <n v="2"/>
    <n v="-0.39166666666278616"/>
    <n v="57.399999999906868"/>
    <n v="24"/>
    <n v="33.399999999906868"/>
    <n v="4.6706586826477539"/>
    <m/>
    <m/>
    <m/>
    <m/>
    <m/>
  </r>
  <r>
    <d v="2025-03-16T00:00:00"/>
    <x v="2"/>
    <s v="KESH"/>
    <s v="A21443"/>
    <s v="Manual"/>
    <x v="43"/>
    <s v="UBJ 419C"/>
    <s v="Kato Investment Ltd -Mityana"/>
    <n v="78"/>
    <s v="A21443"/>
    <s v="OM"/>
    <n v="690"/>
    <n v="689"/>
    <n v="-1"/>
    <m/>
    <d v="2024-03-18T08:08:00"/>
    <d v="2024-03-18T07:30:00"/>
    <d v="2024-03-18T09:02:00"/>
    <n v="91.574074070134273"/>
    <n v="53.749999997914223"/>
    <x v="11"/>
    <d v="2024-03-18T18:02:00"/>
    <d v="2024-03-19T17:37:31"/>
    <n v="1386.0267361188016"/>
    <s v="Waited for empties from trade"/>
    <d v="2024-03-20T12:49:31"/>
    <d v="2024-03-20T13:43:31"/>
    <n v="52.87499999794818"/>
    <m/>
    <n v="2.1579976851862739"/>
    <n v="3"/>
    <n v="0.84200231481372612"/>
    <n v="51.791944444470573"/>
    <n v="24"/>
    <n v="27.791944444470573"/>
    <n v="2.8065686499858673"/>
    <m/>
    <m/>
    <m/>
    <m/>
    <m/>
  </r>
  <r>
    <d v="2025-03-16T00:00:00"/>
    <x v="2"/>
    <s v="KESH"/>
    <s v="Z83080"/>
    <s v="Manual"/>
    <x v="10"/>
    <s v="UBR 880Y"/>
    <s v="Kabaco U Ltd"/>
    <n v="156"/>
    <s v="Z83080"/>
    <s v="OM"/>
    <n v="320"/>
    <n v="319"/>
    <n v="-1"/>
    <m/>
    <d v="2024-03-18T08:12:00"/>
    <d v="2024-03-18T07:30:00"/>
    <d v="2024-03-18T08:38:00"/>
    <n v="67.685185186807459"/>
    <n v="25.879629630556639"/>
    <x v="0"/>
    <d v="2024-03-18T17:38:00"/>
    <d v="2024-03-19T17:13:31"/>
    <n v="1386.0267361085425"/>
    <s v="space consquents"/>
    <d v="2024-03-20T12:25:31"/>
    <d v="2024-03-20T13:25:31"/>
    <n v="58.7499999965803"/>
    <m/>
    <n v="2.1579976851862739"/>
    <n v="2"/>
    <n v="-0.15799768518627388"/>
    <n v="51.791944444470573"/>
    <n v="24"/>
    <n v="27.791944444470573"/>
    <n v="5.6131372999717346"/>
    <m/>
    <m/>
    <m/>
    <m/>
    <m/>
  </r>
  <r>
    <d v="2025-03-16T00:00:00"/>
    <x v="2"/>
    <s v="NBL"/>
    <s v="F16076"/>
    <s v="Manual"/>
    <x v="10"/>
    <s v="UBJ 988D"/>
    <s v="KATO INVESTMENTS LIMITED-MASAK"/>
    <n v="153.6"/>
    <s v="F16076"/>
    <s v="OM"/>
    <n v="298"/>
    <n v="295"/>
    <n v="-3"/>
    <m/>
    <d v="2024-03-18T07:44:00"/>
    <d v="2024-03-18T07:30:00"/>
    <d v="2024-03-18T08:13:00"/>
    <n v="42.80092592986572"/>
    <n v="28.865740740972495"/>
    <x v="0"/>
    <d v="2024-03-19T03:43:00"/>
    <d v="2024-03-19T16:20:00"/>
    <n v="741.22916666165111"/>
    <s v="truck faulty"/>
    <d v="2024-03-20T03:57:55"/>
    <d v="2024-03-20T04:38:55"/>
    <n v="40.145833330825553"/>
    <s v="dj failures at the gate"/>
    <n v="1.822858796294895"/>
    <n v="2"/>
    <n v="0.177141203705105"/>
    <n v="43.74861111107748"/>
    <n v="12"/>
    <n v="31.74861111107748"/>
    <n v="4.8380069119435296"/>
    <m/>
    <m/>
    <m/>
    <m/>
    <m/>
  </r>
  <r>
    <d v="2025-03-16T00:00:00"/>
    <x v="2"/>
    <s v="KESH"/>
    <s v="F16074"/>
    <s v="Manual"/>
    <x v="37"/>
    <s v="UBK 866R"/>
    <s v="Boniface Harera"/>
    <n v="156"/>
    <s v="F16074"/>
    <s v="OM"/>
    <n v="448"/>
    <n v="445"/>
    <n v="-3"/>
    <m/>
    <d v="2024-03-19T06:56:00"/>
    <d v="2024-03-18T21:55:00"/>
    <d v="2024-03-19T07:23:00"/>
    <n v="565.37037036735762"/>
    <n v="26.87500000417155"/>
    <x v="0"/>
    <d v="2024-03-20T03:58:00"/>
    <d v="2024-03-20T15:17:00"/>
    <n v="664.85416666917445"/>
    <s v="slept at the RD and offloaded the next day"/>
    <d v="2024-03-20T09:56:00"/>
    <d v="2024-03-20T10:56:00"/>
    <n v="58.7499999965803"/>
    <m/>
    <n v="1.1062500000043656"/>
    <n v="2"/>
    <n v="0.89374999999563443"/>
    <n v="26.550000000104774"/>
    <n v="12"/>
    <n v="14.550000000104774"/>
    <n v="10.721649484458876"/>
    <m/>
    <m/>
    <m/>
    <m/>
    <m/>
  </r>
  <r>
    <d v="2025-03-17T00:00:00"/>
    <x v="2"/>
    <s v="KESH"/>
    <s v="A21467"/>
    <s v="Manual"/>
    <x v="10"/>
    <s v="UBE 692K"/>
    <s v="Kato Investments Ltd-Bulenga"/>
    <n v="156"/>
    <s v="A21467"/>
    <s v="OM"/>
    <n v="560"/>
    <n v="558"/>
    <n v="-2"/>
    <m/>
    <d v="2024-03-19T08:24:27"/>
    <d v="2024-03-19T07:30:27"/>
    <d v="2024-03-19T08:53:27"/>
    <n v="82.615740738886714"/>
    <n v="28.865740740972495"/>
    <x v="0"/>
    <d v="2024-03-20T07:23:27"/>
    <d v="2024-03-20T12:56:27"/>
    <n v="326.06250000615546"/>
    <s v="Waited for empties from trade"/>
    <d v="2024-03-21T06:02:49"/>
    <d v="2024-03-21T06:46:49"/>
    <n v="43.083333330141613"/>
    <m/>
    <n v="1.8815046296294895"/>
    <n v="3"/>
    <n v="1.1184953703705105"/>
    <n v="45.156111111107748"/>
    <n v="12"/>
    <n v="33.156111111107748"/>
    <n v="4.705014996397991"/>
    <m/>
    <m/>
    <m/>
    <m/>
    <m/>
  </r>
  <r>
    <d v="2025-03-17T00:00:00"/>
    <x v="2"/>
    <s v="KESH"/>
    <s v="A21468"/>
    <s v="Manual"/>
    <x v="53"/>
    <s v="UBR 860Y"/>
    <s v="Kato Investment Ltd -Mubende"/>
    <n v="78"/>
    <s v="A21468"/>
    <s v="OM"/>
    <n v="680"/>
    <n v="677"/>
    <n v="-3"/>
    <m/>
    <d v="2024-03-19T15:39:00"/>
    <d v="2024-03-18T19:35:00"/>
    <d v="2024-03-19T16:05:00"/>
    <n v="1224.3055555625081"/>
    <n v="25.879629630556639"/>
    <x v="0"/>
    <d v="2024-03-20T12:27:00"/>
    <d v="2024-03-20T16:42:00"/>
    <n v="249.6874999931606"/>
    <s v="Waited for empties from trade"/>
    <d v="2024-03-21T07:55:00"/>
    <d v="2024-03-21T08:54:00"/>
    <n v="57.770833336981013"/>
    <m/>
    <n v="1.6597222222189885"/>
    <n v="3"/>
    <n v="1.3402777777810115"/>
    <n v="39.833333333255723"/>
    <n v="12"/>
    <n v="27.833333333255723"/>
    <n v="2.8023952095886524"/>
    <m/>
    <m/>
    <m/>
    <m/>
    <m/>
  </r>
  <r>
    <d v="2025-03-17T00:00:00"/>
    <x v="2"/>
    <s v="KESH"/>
    <s v="Z83096"/>
    <s v="Manual"/>
    <x v="10"/>
    <s v="UBJ 421C"/>
    <s v="Bates Enterprises Ltd-Ntoroko"/>
    <n v="56"/>
    <s v="Z83096"/>
    <s v="OM"/>
    <n v="464"/>
    <n v="461"/>
    <n v="-3"/>
    <m/>
    <d v="2024-03-19T13:12:00"/>
    <d v="2024-03-18T15:48:00"/>
    <d v="2024-03-19T13:38:00"/>
    <n v="1303.9351851909789"/>
    <n v="25.879629630556639"/>
    <x v="0"/>
    <d v="2024-03-21T08:55:00"/>
    <d v="2024-03-21T13:58:00"/>
    <n v="296.68749999247666"/>
    <s v="found another truck at the RD and offloaded the next day"/>
    <d v="2024-03-22T09:15:00"/>
    <d v="2024-03-22T10:05:00"/>
    <n v="48.958333339032833"/>
    <m/>
    <n v="2.8173611111051287"/>
    <n v="3"/>
    <n v="0.18263888889487134"/>
    <n v="67.616666666523088"/>
    <n v="24"/>
    <n v="43.616666666523088"/>
    <n v="1.2839128773446926"/>
    <m/>
    <m/>
    <m/>
    <m/>
    <m/>
  </r>
  <r>
    <d v="2025-03-17T00:00:00"/>
    <x v="2"/>
    <s v="KESH"/>
    <s v="A21464"/>
    <s v="Manual"/>
    <x v="24"/>
    <s v="UBP 298H"/>
    <s v="Ntale and Sons Ltd-Kakiri"/>
    <n v="148.80000000000001"/>
    <s v="A21464"/>
    <s v="OM"/>
    <n v="620"/>
    <n v="621"/>
    <n v="1"/>
    <m/>
    <d v="2024-03-19T08:29:00"/>
    <d v="2024-03-19T07:30:00"/>
    <d v="2024-03-19T08:58:00"/>
    <n v="87.592592596532384"/>
    <n v="28.865740740972495"/>
    <x v="0"/>
    <d v="2024-03-20T07:48:00"/>
    <d v="2024-03-20T14:05:00"/>
    <n v="369.14583333629707"/>
    <s v="Waited for empties from trade"/>
    <d v="2024-03-21T12:53:00"/>
    <d v="2024-03-21T13:31:00"/>
    <n v="37.208333331509493"/>
    <m/>
    <n v="2.1631944444452529"/>
    <n v="3"/>
    <n v="0.83680555555474712"/>
    <n v="51.916666666686069"/>
    <n v="24"/>
    <n v="27.916666666686069"/>
    <n v="5.3301492537276394"/>
    <m/>
    <m/>
    <m/>
    <m/>
    <m/>
  </r>
  <r>
    <d v="2025-03-17T00:00:00"/>
    <x v="2"/>
    <s v="KESH"/>
    <s v="Z83104"/>
    <s v="Manual"/>
    <x v="10"/>
    <s v="UBR 863Y"/>
    <s v="Kobusinge Steven-Kamwenge"/>
    <n v="156"/>
    <s v="Z83104"/>
    <s v="OM"/>
    <n v="288"/>
    <n v="285"/>
    <n v="-3"/>
    <m/>
    <d v="2024-03-19T08:10:00"/>
    <d v="2024-03-19T07:30:00"/>
    <d v="2024-03-19T08:38:00"/>
    <n v="67.685185186807459"/>
    <n v="27.870370367357584"/>
    <x v="0"/>
    <d v="2024-03-20T10:38:00"/>
    <d v="2024-03-20T15:40:00"/>
    <n v="295.70833333287737"/>
    <s v="Waited for empties from trade"/>
    <d v="2024-03-21T13:05:55"/>
    <d v="2024-03-21T13:56:55"/>
    <n v="49.93749999863212"/>
    <m/>
    <n v="2.1860532407372375"/>
    <n v="2"/>
    <n v="-0.1860532407372375"/>
    <n v="52.4652777776937"/>
    <n v="24"/>
    <n v="28.4652777776937"/>
    <n v="5.4803610636902542"/>
    <m/>
    <m/>
    <m/>
    <m/>
    <m/>
  </r>
  <r>
    <d v="2025-03-17T00:00:00"/>
    <x v="2"/>
    <s v="KESH"/>
    <s v="Z83095"/>
    <s v="Manual"/>
    <x v="55"/>
    <s v="UBJ 417C"/>
    <s v="Rugoma Traders-Rukungiri"/>
    <n v="156"/>
    <s v="Z83095"/>
    <s v="OM"/>
    <n v="256"/>
    <n v="253"/>
    <n v="-3"/>
    <m/>
    <d v="2024-03-19T08:15:00"/>
    <d v="2024-03-19T07:30:00"/>
    <d v="2024-03-19T08:42:00"/>
    <n v="71.666666670838211"/>
    <n v="26.87500000417155"/>
    <x v="0"/>
    <d v="2024-03-19T21:12:00"/>
    <d v="2024-03-20T17:23:02"/>
    <n v="1185.8034722273442"/>
    <s v="Waited for empties from trade"/>
    <d v="2024-03-21T15:20:38"/>
    <d v="2024-03-21T16:17:38"/>
    <n v="55.81249999726424"/>
    <m/>
    <n v="2.2768287037033588"/>
    <n v="2"/>
    <n v="-0.27682870370335877"/>
    <n v="54.64388888888061"/>
    <n v="24"/>
    <n v="30.64388888888061"/>
    <n v="5.0907376856011863"/>
    <m/>
    <m/>
    <m/>
    <m/>
    <m/>
  </r>
  <r>
    <d v="2025-03-17T00:00:00"/>
    <x v="2"/>
    <s v="KESH"/>
    <s v="A21465"/>
    <s v="Manual"/>
    <x v="54"/>
    <s v="UBK 882R"/>
    <s v="Kato Investment Ltd -Mityana"/>
    <n v="187.2"/>
    <s v="A21465"/>
    <s v="OM"/>
    <n v="690"/>
    <n v="687"/>
    <n v="-3"/>
    <m/>
    <d v="2024-03-20T01:34:50"/>
    <d v="2024-03-20T00:53:50"/>
    <d v="2024-03-20T02:01:50"/>
    <n v="67.685185186807459"/>
    <n v="26.87500000417155"/>
    <x v="0"/>
    <d v="2024-03-20T14:31:50"/>
    <d v="2024-03-20T18:08:50"/>
    <n v="212.47916667191021"/>
    <s v="less casuals and offloaded the next day"/>
    <d v="2024-03-21T14:32:50"/>
    <d v="2024-03-21T15:32:50"/>
    <n v="58.7499999965803"/>
    <m/>
    <n v="1.5215277777751908"/>
    <n v="3"/>
    <n v="1.4784722222248092"/>
    <n v="36.516666666604578"/>
    <n v="12"/>
    <n v="24.516666666604578"/>
    <n v="7.6356220258521033"/>
    <m/>
    <m/>
    <m/>
    <m/>
    <m/>
  </r>
  <r>
    <d v="2025-03-17T00:00:00"/>
    <x v="2"/>
    <s v="KESH"/>
    <s v="A21466"/>
    <s v="Manual"/>
    <x v="45"/>
    <s v="UBP 310H"/>
    <s v="KATO INVESTMENTS LTD-KATIKARA"/>
    <n v="70.8"/>
    <s v="A21466"/>
    <s v="OM"/>
    <n v="790"/>
    <n v="787"/>
    <n v="-3"/>
    <m/>
    <d v="2024-03-20T08:19:32"/>
    <d v="2024-03-20T07:30:32"/>
    <d v="2024-03-20T08:47:32"/>
    <n v="76.643518518055018"/>
    <n v="27.870370367357584"/>
    <x v="0"/>
    <d v="2024-03-20T09:14:32"/>
    <d v="2024-03-20T12:31:32"/>
    <n v="192.89583332603797"/>
    <s v="Waited for empties from trade"/>
    <d v="2024-03-20T13:01:32"/>
    <d v="2024-03-20T13:46:32"/>
    <n v="44.0625"/>
    <m/>
    <n v="0.17638888888905058"/>
    <n v="3"/>
    <n v="2.8236111111109494"/>
    <n v="4.2333333333372138"/>
    <n v="0"/>
    <n v="4.2333333333372138"/>
    <n v="16.724409448803566"/>
    <m/>
    <m/>
    <m/>
    <m/>
    <m/>
  </r>
  <r>
    <d v="2025-03-17T00:00:00"/>
    <x v="2"/>
    <s v="KESH"/>
    <s v="Z83094"/>
    <s v="Manual"/>
    <x v="10"/>
    <s v="UBP 304H"/>
    <s v="Bates Enterprises U Ltd"/>
    <n v="156"/>
    <s v="Z83094"/>
    <s v="OM"/>
    <n v="464"/>
    <n v="461"/>
    <n v="-3"/>
    <m/>
    <d v="2024-03-20T08:12:55"/>
    <d v="2024-03-20T07:32:55"/>
    <d v="2024-03-20T08:40:55"/>
    <n v="67.685185186807459"/>
    <n v="27.870370367357584"/>
    <x v="0"/>
    <d v="2024-03-20T10:50:55"/>
    <d v="2024-03-20T15:30:55"/>
    <n v="274.16666666780657"/>
    <s v="Waited for empties from trade"/>
    <d v="2024-03-20T17:40:55"/>
    <d v="2024-03-20T18:28:55"/>
    <n v="46.99999999931606"/>
    <m/>
    <n v="0.375"/>
    <n v="3"/>
    <n v="2.625"/>
    <n v="9"/>
    <n v="0"/>
    <n v="9"/>
    <n v="17.333333333333332"/>
    <m/>
    <m/>
    <m/>
    <m/>
    <m/>
  </r>
  <r>
    <d v="2025-03-17T00:00:00"/>
    <x v="2"/>
    <s v="KESH"/>
    <s v="A21469"/>
    <s v="Manual"/>
    <x v="42"/>
    <s v="UBK 858R"/>
    <s v="Kato Investment Ltd -Kagadi"/>
    <n v="156"/>
    <s v="A21469"/>
    <s v="OM"/>
    <n v="670"/>
    <n v="671"/>
    <n v="1"/>
    <m/>
    <d v="2024-03-17T20:47:00"/>
    <d v="2024-03-17T01:59:00"/>
    <d v="2024-03-17T21:13:00"/>
    <n v="1148.6574074076391"/>
    <n v="25.879629630556639"/>
    <x v="0"/>
    <d v="2024-03-18T14:03:00"/>
    <d v="2024-03-18T16:16:00"/>
    <n v="130.22916666028323"/>
    <s v="slept at the RD and offloaded the next day"/>
    <d v="2024-03-19T09:19:00"/>
    <d v="2024-03-19T10:07:00"/>
    <n v="46.99999999931606"/>
    <m/>
    <n v="1.5041666666656965"/>
    <n v="2"/>
    <n v="0.49583333333430346"/>
    <n v="36.099999999976717"/>
    <n v="12"/>
    <n v="24.099999999976717"/>
    <n v="6.4730290456494073"/>
    <m/>
    <m/>
    <m/>
    <m/>
    <m/>
  </r>
  <r>
    <d v="2025-03-17T00:00:00"/>
    <x v="2"/>
    <s v="NBL"/>
    <s v="F16083"/>
    <s v="Manual"/>
    <x v="10"/>
    <s v="UBJ 988D"/>
    <s v="Rugoma Traders-Kanungu/Kihihi"/>
    <n v="153.6"/>
    <s v="F16083"/>
    <s v="OM"/>
    <n v="414"/>
    <n v="411"/>
    <n v="-3"/>
    <m/>
    <d v="2024-03-20T08:18:00"/>
    <d v="2024-03-20T07:30:00"/>
    <d v="2024-03-20T08:45:00"/>
    <n v="74.652777781254073"/>
    <n v="26.87500000417155"/>
    <x v="0"/>
    <d v="2024-03-21T08:45:00"/>
    <d v="2024-03-21T13:44:00"/>
    <n v="292.77083333356131"/>
    <s v="Waited for empties from trade"/>
    <d v="2024-03-22T09:57:00"/>
    <d v="2024-03-22T10:53:00"/>
    <n v="54.833333337664953"/>
    <m/>
    <n v="2.0499999999956344"/>
    <n v="2"/>
    <n v="-4.9999999995634425E-2"/>
    <n v="49.199999999895226"/>
    <n v="24"/>
    <n v="25.199999999895226"/>
    <n v="6.0952380952634373"/>
    <m/>
    <m/>
    <m/>
    <m/>
    <m/>
  </r>
  <r>
    <d v="2025-03-17T00:00:00"/>
    <x v="2"/>
    <s v="KESH"/>
    <s v="Z83099"/>
    <s v="Manual"/>
    <x v="48"/>
    <s v="UBM 644D"/>
    <s v="Kabaco U Ltd"/>
    <n v="148.80000000000001"/>
    <s v="Z83099"/>
    <s v="OM"/>
    <n v="320"/>
    <n v="319"/>
    <n v="-1"/>
    <m/>
    <d v="2024-03-20T08:27:00"/>
    <d v="2024-03-20T07:30:00"/>
    <d v="2024-03-20T08:53:00"/>
    <n v="82.615740738886714"/>
    <n v="25.879629630556639"/>
    <x v="0"/>
    <d v="2024-03-21T08:23:00"/>
    <d v="2024-03-21T13:00:00"/>
    <n v="271.22916665823141"/>
    <s v="Waited for empties from trade"/>
    <d v="2024-03-22T03:48:00"/>
    <d v="2024-03-22T04:41:00"/>
    <n v="51.895833338348893"/>
    <m/>
    <n v="1.7881944444452529"/>
    <n v="2"/>
    <n v="0.21180555555474712"/>
    <n v="42.916666666686069"/>
    <n v="12"/>
    <n v="30.916666666686069"/>
    <n v="4.8129380053878155"/>
    <m/>
    <m/>
    <m/>
    <m/>
    <m/>
  </r>
  <r>
    <d v="2025-03-17T00:00:00"/>
    <x v="2"/>
    <s v="KESH"/>
    <s v="Z83102"/>
    <s v="Manual"/>
    <x v="10"/>
    <s v="UBR 538W"/>
    <s v="Kobusinge Steven-FPortal"/>
    <n v="156"/>
    <s v="Z83102"/>
    <s v="OM"/>
    <n v="304"/>
    <n v="301"/>
    <n v="-3"/>
    <m/>
    <d v="2024-03-20T20:52:00"/>
    <d v="2024-03-20T16:40:00"/>
    <d v="2024-03-20T21:21:00"/>
    <n v="279.6990740680485"/>
    <n v="28.865740740972495"/>
    <x v="0"/>
    <d v="2024-03-21T15:23:00"/>
    <d v="2024-03-22T08:51:00"/>
    <n v="1026.1666666671226"/>
    <s v="found another truck to be offloaded"/>
    <d v="2024-03-23T17:22:00"/>
    <d v="2024-03-23T18:03:00"/>
    <n v="40.145833330825553"/>
    <m/>
    <n v="2.8340277777824667"/>
    <n v="2"/>
    <n v="-0.83402777778246673"/>
    <n v="68.016666666779201"/>
    <n v="24"/>
    <n v="44.016666666779201"/>
    <n v="3.5441120787489853"/>
    <m/>
    <m/>
    <m/>
    <m/>
    <m/>
  </r>
  <r>
    <d v="2025-03-18T00:00:00"/>
    <x v="2"/>
    <s v="KESH"/>
    <s v="Z83125"/>
    <s v="Manual"/>
    <x v="40"/>
    <s v="UBP 311H"/>
    <s v="Kabaco U Ltd"/>
    <n v="156"/>
    <s v="Z83125"/>
    <s v="OM"/>
    <n v="320"/>
    <n v="317"/>
    <n v="-3"/>
    <m/>
    <d v="2024-03-21T09:52:37"/>
    <d v="2024-03-21T09:03:37"/>
    <d v="2024-03-21T10:19:37"/>
    <n v="75.648148154868977"/>
    <n v="26.87500000417155"/>
    <x v="0"/>
    <d v="2024-03-22T08:49:37"/>
    <d v="2024-03-22T12:26:37"/>
    <n v="212.47916666165111"/>
    <s v="Waited for empties from trade"/>
    <d v="2024-03-23T10:24:13"/>
    <d v="2024-03-23T11:24:13"/>
    <n v="58.7499999965803"/>
    <m/>
    <n v="2.0031944444417604"/>
    <n v="2"/>
    <n v="-3.1944444417604245E-3"/>
    <n v="48.07666666660225"/>
    <n v="24"/>
    <n v="24.07666666660225"/>
    <n v="6.4793022290080593"/>
    <m/>
    <m/>
    <m/>
    <m/>
    <m/>
  </r>
  <r>
    <d v="2025-03-18T00:00:00"/>
    <x v="2"/>
    <s v="NBL"/>
    <s v="F16092"/>
    <s v="Manual"/>
    <x v="10"/>
    <s v="UBE 422T"/>
    <s v="KATO INVESTMENTS LIMITED-MASAK"/>
    <n v="76.8"/>
    <s v="F16092"/>
    <s v="OM"/>
    <n v="298"/>
    <n v="297"/>
    <n v="-1"/>
    <m/>
    <d v="2024-03-21T15:59:00"/>
    <d v="2024-03-20T09:00:00"/>
    <d v="2024-03-21T16:25:00"/>
    <n v="1876.2731481527833"/>
    <n v="25.879629630556639"/>
    <x v="0"/>
    <d v="2024-03-22T12:32:00"/>
    <d v="2024-03-24T07:30:00"/>
    <n v="2524.2916666671226"/>
    <s v="Waited for empties from trade"/>
    <d v="2024-03-24T15:03:00"/>
    <d v="2024-03-24T16:00:00"/>
    <n v="55.81249999726424"/>
    <m/>
    <n v="2.9430555555518367"/>
    <n v="2"/>
    <n v="-0.94305555555183673"/>
    <n v="70.633333333244082"/>
    <n v="24"/>
    <n v="46.633333333244082"/>
    <n v="1.6468906361718438"/>
    <m/>
    <m/>
    <m/>
    <m/>
    <m/>
  </r>
  <r>
    <d v="2025-03-18T00:00:00"/>
    <x v="2"/>
    <s v="KESH"/>
    <s v="Z83126"/>
    <s v="Manual"/>
    <x v="35"/>
    <s v="UBP 312H"/>
    <s v="Kabaco U Ltd"/>
    <n v="156"/>
    <s v="Z83126"/>
    <s v="OM"/>
    <n v="320"/>
    <n v="319"/>
    <n v="-1"/>
    <m/>
    <d v="2024-03-21T16:58:00"/>
    <d v="2024-03-20T08:00:00"/>
    <d v="2024-03-21T17:24:00"/>
    <n v="1994.7222222166602"/>
    <n v="25.879629630556639"/>
    <x v="0"/>
    <d v="2024-03-23T12:08:00"/>
    <d v="2024-03-23T16:12:00"/>
    <n v="238.91666666575475"/>
    <s v="truck faulty"/>
    <d v="2024-03-24T03:31:00"/>
    <d v="2024-03-24T04:12:00"/>
    <n v="40.145833330825553"/>
    <m/>
    <n v="2.421527777776646"/>
    <n v="2"/>
    <n v="-0.42152777777664596"/>
    <n v="58.116666666639503"/>
    <n v="24"/>
    <n v="34.116666666639503"/>
    <n v="4.5725451880837582"/>
    <m/>
    <m/>
    <m/>
    <m/>
    <m/>
  </r>
  <r>
    <d v="2025-03-18T00:00:00"/>
    <x v="2"/>
    <s v="NBL"/>
    <s v="Z83124"/>
    <s v="Manual"/>
    <x v="10"/>
    <s v="UBE 419T"/>
    <s v="Kabaco U Ltd"/>
    <n v="153.6"/>
    <s v="Z83124"/>
    <s v="OM"/>
    <n v="320"/>
    <n v="319"/>
    <n v="-1"/>
    <m/>
    <d v="2024-03-22T06:36:00"/>
    <d v="2024-03-20T08:00:00"/>
    <d v="2024-03-22T07:03:00"/>
    <n v="2809.9305555479077"/>
    <n v="26.87500000417155"/>
    <x v="0"/>
    <d v="2024-03-22T14:03:00"/>
    <d v="2024-03-22T16:21:00"/>
    <n v="135.12499999931606"/>
    <m/>
    <d v="2024-03-23T03:31:00"/>
    <d v="2024-03-23T04:23:00"/>
    <n v="50.916666668490507"/>
    <m/>
    <n v="0.85277777777810115"/>
    <n v="2"/>
    <n v="1.1472222222218988"/>
    <n v="20.466666666674428"/>
    <n v="0"/>
    <n v="20.466666666674428"/>
    <n v="7.5048859934824961"/>
    <m/>
    <m/>
    <m/>
    <m/>
    <m/>
  </r>
  <r>
    <d v="2025-03-18T00:00:00"/>
    <x v="2"/>
    <s v="KESH"/>
    <s v="Z83127"/>
    <s v="Manual"/>
    <x v="49"/>
    <s v="UBR 539W"/>
    <s v="Kabaco U Ltd"/>
    <n v="156"/>
    <s v="Z83127"/>
    <s v="OM"/>
    <n v="320"/>
    <n v="318"/>
    <n v="-2"/>
    <m/>
    <d v="2024-03-21T08:12:00"/>
    <d v="2024-03-21T07:30:00"/>
    <d v="2024-03-21T08:38:00"/>
    <n v="67.685185186807459"/>
    <n v="25.879629630556639"/>
    <x v="0"/>
    <d v="2024-03-22T10:23:00"/>
    <d v="2024-03-22T15:45:00"/>
    <n v="315.29166666849051"/>
    <s v="Waited for empties from trade"/>
    <d v="2024-03-23T17:54:36"/>
    <d v="2024-03-23T18:35:36"/>
    <n v="40.145833330825553"/>
    <m/>
    <n v="2.3865277777731535"/>
    <n v="2"/>
    <n v="-0.3865277777731535"/>
    <n v="57.276666666555684"/>
    <n v="24"/>
    <n v="33.276666666555684"/>
    <n v="4.6879695482476293"/>
    <m/>
    <m/>
    <m/>
    <m/>
    <m/>
  </r>
  <r>
    <d v="2025-03-18T00:00:00"/>
    <x v="2"/>
    <s v="KESH"/>
    <s v="A21497"/>
    <s v="Manual"/>
    <x v="41"/>
    <s v="UBF 379L"/>
    <s v="Sawan Distributors Ltd-Kayabwe"/>
    <n v="156"/>
    <s v="A21497"/>
    <s v="OM"/>
    <n v="382"/>
    <n v="381"/>
    <n v="-1"/>
    <m/>
    <d v="2024-03-21T08:16:00"/>
    <d v="2024-03-21T07:30:00"/>
    <d v="2024-03-21T08:42:00"/>
    <n v="71.666666670838211"/>
    <n v="25.879629630556639"/>
    <x v="0"/>
    <d v="2024-03-22T03:07:00"/>
    <d v="2024-03-22T19:28:00"/>
    <n v="960.56250000205182"/>
    <s v="Not enough casuals to offload"/>
    <d v="2024-03-23T21:54:44"/>
    <d v="2024-03-23T22:54:44"/>
    <n v="58.7499999965803"/>
    <m/>
    <n v="2.5505092592575238"/>
    <n v="2"/>
    <n v="-0.55050925925752381"/>
    <n v="61.212222222180571"/>
    <n v="24"/>
    <n v="37.212222222180571"/>
    <n v="4.1921710310279519"/>
    <m/>
    <m/>
    <m/>
    <m/>
    <m/>
  </r>
  <r>
    <d v="2025-03-18T00:00:00"/>
    <x v="2"/>
    <s v="KESH"/>
    <s v="F16094"/>
    <s v="Manual"/>
    <x v="25"/>
    <s v="UBJ 420C"/>
    <s v="Boniface Harera"/>
    <n v="156"/>
    <s v="F16094"/>
    <s v="OM"/>
    <n v="448"/>
    <n v="447"/>
    <n v="-1"/>
    <m/>
    <d v="2024-03-21T08:11:00"/>
    <d v="2024-03-21T07:30:00"/>
    <d v="2024-03-21T08:38:00"/>
    <n v="67.685185186807459"/>
    <n v="26.87500000417155"/>
    <x v="0"/>
    <d v="2024-03-22T09:38:00"/>
    <d v="2024-03-22T14:38:00"/>
    <n v="293.7500000034197"/>
    <s v="Reached late and offloaded the next day"/>
    <d v="2024-03-23T12:14:00"/>
    <d v="2024-03-23T13:14:00"/>
    <n v="58.7499999965803"/>
    <m/>
    <n v="2.1500000000014552"/>
    <n v="2"/>
    <n v="-0.15000000000145519"/>
    <n v="51.600000000034925"/>
    <n v="24"/>
    <n v="27.600000000034925"/>
    <n v="5.652173913036326"/>
    <m/>
    <m/>
    <m/>
    <m/>
    <m/>
  </r>
  <r>
    <d v="2025-03-18T00:00:00"/>
    <x v="2"/>
    <s v="KESH"/>
    <s v="Z83131"/>
    <s v="Manual"/>
    <x v="10"/>
    <s v="UBR 880Y"/>
    <s v="Kobusinge Steven-FPortal"/>
    <n v="156"/>
    <s v="Z83131"/>
    <s v="OM"/>
    <n v="304"/>
    <n v="301"/>
    <n v="-3"/>
    <m/>
    <d v="2024-03-21T08:12:00"/>
    <d v="2024-03-21T07:30:00"/>
    <d v="2024-03-21T08:38:00"/>
    <n v="67.685185186807459"/>
    <n v="25.879629630556639"/>
    <x v="0"/>
    <d v="2024-03-22T07:08:00"/>
    <d v="2024-03-22T16:17:00"/>
    <n v="537.56249999794818"/>
    <s v="found another truck to be offloaded"/>
    <d v="2024-03-23T08:53:07"/>
    <d v="2024-03-23T09:38:07"/>
    <n v="44.0625"/>
    <m/>
    <n v="2.010497685187147"/>
    <n v="2"/>
    <n v="-1.0497685187146999E-2"/>
    <n v="48.251944444491528"/>
    <n v="24"/>
    <n v="24.251944444491528"/>
    <n v="6.4324739138775779"/>
    <m/>
    <m/>
    <m/>
    <m/>
    <m/>
  </r>
  <r>
    <d v="2025-03-20T00:00:00"/>
    <x v="2"/>
    <s v="KESH"/>
    <s v="Z83162"/>
    <s v="Manual"/>
    <x v="10"/>
    <s v="UBG 084B"/>
    <s v="Rugoma Traders-Rukungiri"/>
    <n v="156"/>
    <s v="Z83162"/>
    <s v="OM"/>
    <n v="256"/>
    <n v="255"/>
    <n v="-1"/>
    <m/>
    <d v="2024-03-21T08:31:00"/>
    <d v="2024-03-21T07:30:00"/>
    <d v="2024-03-21T08:58:00"/>
    <n v="87.592592596532384"/>
    <n v="26.87500000417155"/>
    <x v="0"/>
    <d v="2024-03-21T15:58:00"/>
    <d v="2024-03-21T19:29:00"/>
    <n v="206.60416666301899"/>
    <s v="found another truck at the RD"/>
    <d v="2024-03-22T19:29:00"/>
    <d v="2024-03-22T20:38:00"/>
    <n v="67.56250000478758"/>
    <s v="sorting delays"/>
    <n v="1.4381944444394321"/>
    <n v="2"/>
    <n v="0.56180555556056788"/>
    <n v="34.516666666546371"/>
    <n v="12"/>
    <n v="22.516666666546371"/>
    <n v="6.9282013323834244"/>
    <m/>
    <m/>
    <m/>
    <m/>
    <m/>
  </r>
  <r>
    <d v="2025-03-20T00:00:00"/>
    <x v="2"/>
    <s v="NBL"/>
    <s v="A21544"/>
    <s v="Manual"/>
    <x v="10"/>
    <s v="UBE 422T"/>
    <s v="Kato Investments Ltd- Kakumiro"/>
    <n v="76.8"/>
    <s v="A21544"/>
    <s v="OM"/>
    <n v="790"/>
    <n v="788"/>
    <n v="-2"/>
    <m/>
    <d v="2024-03-21T08:16:00"/>
    <d v="2024-03-21T07:30:00"/>
    <d v="2024-03-21T08:42:00"/>
    <n v="71.666666670838211"/>
    <n v="25.879629630556639"/>
    <x v="0"/>
    <d v="2024-03-21T15:42:00"/>
    <d v="2024-03-21T19:20:00"/>
    <n v="213.45833333150949"/>
    <s v="Waited for empties from trade"/>
    <d v="2024-03-22T02:50:00"/>
    <d v="2024-03-22T03:41:00"/>
    <n v="49.93749999863212"/>
    <m/>
    <n v="0.75555555555183673"/>
    <n v="3"/>
    <n v="2.2444444444481633"/>
    <n v="18.133333333244082"/>
    <n v="0"/>
    <n v="18.133333333244082"/>
    <n v="4.2352941176679044"/>
    <m/>
    <m/>
    <m/>
    <m/>
    <m/>
  </r>
  <r>
    <d v="2025-03-20T00:00:00"/>
    <x v="2"/>
    <s v="KESH"/>
    <s v="Z83163"/>
    <s v="Manual"/>
    <x v="48"/>
    <s v="UBM 644D"/>
    <s v="Kobusinge Steven-Kamwenge"/>
    <n v="6.3"/>
    <s v="Z83163"/>
    <s v="OM"/>
    <n v="288"/>
    <n v="285"/>
    <n v="-3"/>
    <m/>
    <d v="2024-03-22T08:36:00"/>
    <d v="2024-03-21T20:25:00"/>
    <d v="2024-03-22T09:02:00"/>
    <n v="753.49537036527181"/>
    <n v="25.879629630556639"/>
    <x v="0"/>
    <d v="2024-03-23T08:47:00"/>
    <d v="2024-03-23T13:12:00"/>
    <n v="259.47916667122627"/>
    <s v="Waited for empties from trade"/>
    <d v="2024-03-23T13:41:00"/>
    <d v="2024-03-23T14:38:00"/>
    <n v="55.81249999726424"/>
    <m/>
    <n v="1.1937500000058208"/>
    <n v="2"/>
    <n v="0.80624999999417923"/>
    <n v="28.650000000139698"/>
    <n v="12"/>
    <n v="16.650000000139698"/>
    <n v="0.37837837837520366"/>
    <m/>
    <m/>
    <m/>
    <m/>
    <m/>
  </r>
  <r>
    <d v="2025-03-20T00:00:00"/>
    <x v="2"/>
    <s v="KESH"/>
    <s v="A21547"/>
    <s v="Manual"/>
    <x v="10"/>
    <s v="UBR 864Y"/>
    <s v="Kato Investment Ltd -Kagadi"/>
    <n v="78"/>
    <s v="A21547"/>
    <s v="OM"/>
    <n v="670"/>
    <n v="667"/>
    <n v="-3"/>
    <m/>
    <d v="2024-03-22T03:07:00"/>
    <d v="2024-03-21T08:00:00"/>
    <d v="2024-03-22T03:34:00"/>
    <n v="1168.5648148069351"/>
    <n v="26.87500000417155"/>
    <x v="0"/>
    <d v="2024-03-23T08:37:00"/>
    <d v="2024-03-23T13:57:00"/>
    <n v="313.33333333903283"/>
    <m/>
    <d v="2024-03-23T21:43:00"/>
    <d v="2024-03-23T22:26:00"/>
    <n v="42.104166660283227"/>
    <m/>
    <n v="1.7562500000058208"/>
    <n v="2"/>
    <n v="0.24374999999417923"/>
    <n v="42.150000000139698"/>
    <n v="12"/>
    <n v="30.150000000139698"/>
    <n v="2.5870646766049283"/>
    <m/>
    <m/>
    <m/>
    <m/>
    <m/>
  </r>
  <r>
    <d v="2025-03-20T00:00:00"/>
    <x v="2"/>
    <s v="KESH"/>
    <s v="Z83164"/>
    <s v="Manual"/>
    <x v="24"/>
    <s v="UBP 298H"/>
    <s v="Bates Enterprises U Ltd"/>
    <n v="78"/>
    <s v="Z83164"/>
    <s v="OM"/>
    <n v="464"/>
    <n v="461"/>
    <n v="-3"/>
    <m/>
    <d v="2024-03-22T12:19:13"/>
    <d v="2024-03-22T03:34:13"/>
    <d v="2024-03-22T12:46:13"/>
    <n v="549.44444444166345"/>
    <n v="26.87500000417155"/>
    <x v="0"/>
    <d v="2024-03-22T13:22:13"/>
    <d v="2024-03-22T15:40:13"/>
    <n v="135.12499999931606"/>
    <m/>
    <d v="2024-03-22T16:10:13"/>
    <d v="2024-03-22T17:03:13"/>
    <n v="51.895833338348893"/>
    <m/>
    <n v="0.14166666666278616"/>
    <n v="3"/>
    <n v="2.8583333333372138"/>
    <n v="3.3999999999068677"/>
    <n v="0"/>
    <n v="3.3999999999068677"/>
    <n v="22.941176471216636"/>
    <m/>
    <m/>
    <m/>
    <m/>
    <m/>
  </r>
  <r>
    <d v="2025-03-20T00:00:00"/>
    <x v="2"/>
    <s v="KESH"/>
    <s v="F16102"/>
    <s v="Manual"/>
    <x v="25"/>
    <s v="UBJ 420C"/>
    <s v="Boniface Harera"/>
    <n v="148.80000000000001"/>
    <s v="F16102"/>
    <s v="OM"/>
    <n v="448"/>
    <n v="446"/>
    <n v="-2"/>
    <m/>
    <d v="2024-03-22T12:34:22"/>
    <d v="2024-03-22T03:39:22"/>
    <d v="2024-03-22T13:02:22"/>
    <n v="560.39351852014079"/>
    <n v="27.870370367357584"/>
    <x v="0"/>
    <d v="2024-03-22T19:02:22"/>
    <d v="2024-03-23T03:47:29"/>
    <n v="514.17673611045757"/>
    <m/>
    <d v="2024-03-23T17:07:29"/>
    <d v="2024-03-23T17:48:29"/>
    <n v="40.145833330825553"/>
    <m/>
    <n v="1.1702199074061355"/>
    <n v="2"/>
    <n v="0.82978009259386454"/>
    <n v="28.085277777747251"/>
    <n v="12"/>
    <n v="16.085277777747251"/>
    <n v="9.2506950800596925"/>
    <m/>
    <m/>
    <m/>
    <m/>
    <m/>
  </r>
  <r>
    <d v="2025-03-20T00:00:00"/>
    <x v="2"/>
    <s v="NBL"/>
    <s v="A21545"/>
    <s v="Manual"/>
    <x v="10"/>
    <s v="UBE 419T"/>
    <s v="Ntale and Sons"/>
    <n v="153.6"/>
    <s v="A21545"/>
    <s v="OM"/>
    <n v="810"/>
    <n v="807"/>
    <n v="-3"/>
    <m/>
    <d v="2024-03-22T08:11:00"/>
    <d v="2024-03-22T07:30:00"/>
    <d v="2024-03-22T08:38:00"/>
    <n v="67.685185186807459"/>
    <n v="26.87500000417155"/>
    <x v="0"/>
    <d v="2024-03-23T10:38:00"/>
    <d v="2024-03-23T15:53:00"/>
    <n v="308.4375"/>
    <m/>
    <d v="2024-03-24T14:41:00"/>
    <d v="2024-03-24T15:33:00"/>
    <n v="50.916666668490507"/>
    <m/>
    <n v="2.2520833333328483"/>
    <n v="3"/>
    <n v="0.74791666666715173"/>
    <n v="54.049999999988358"/>
    <n v="24"/>
    <n v="30.049999999988358"/>
    <n v="5.1114808652266053"/>
    <m/>
    <m/>
    <m/>
    <m/>
    <m/>
  </r>
  <r>
    <d v="2025-03-20T00:00:00"/>
    <x v="2"/>
    <s v="NBL"/>
    <s v="Z83160"/>
    <s v="Manual"/>
    <x v="10"/>
    <s v="UBJ 988D"/>
    <s v="Kabaco U Ltd-Mbarara "/>
    <n v="153.6"/>
    <s v="Z83160"/>
    <s v="OM"/>
    <n v="20"/>
    <n v="17"/>
    <n v="-3"/>
    <m/>
    <d v="2024-03-22T08:21:00"/>
    <d v="2024-03-22T07:30:00"/>
    <d v="2024-03-22T08:47:00"/>
    <n v="76.643518518055018"/>
    <n v="25.879629630556639"/>
    <x v="0"/>
    <d v="2024-03-22T17:47:00"/>
    <d v="2024-03-23T14:26:50"/>
    <n v="1214.0034722228302"/>
    <s v="space consquents"/>
    <d v="2024-03-24T07:58:02"/>
    <d v="2024-03-24T08:39:02"/>
    <n v="40.145833330825553"/>
    <m/>
    <n v="1.965995370374003"/>
    <n v="1"/>
    <n v="-0.96599537037400296"/>
    <n v="47.183888888976071"/>
    <n v="12"/>
    <n v="35.183888888976071"/>
    <n v="4.3656345233663592"/>
    <m/>
    <m/>
    <m/>
    <m/>
    <m/>
  </r>
  <r>
    <d v="2025-03-20T00:00:00"/>
    <x v="2"/>
    <s v="KESH"/>
    <s v="F16103"/>
    <s v="Manual"/>
    <x v="32"/>
    <s v="UBJ 703D"/>
    <s v="Boniface Harera"/>
    <n v="156"/>
    <s v="F16103"/>
    <s v="OM"/>
    <n v="448"/>
    <n v="445"/>
    <n v="-3"/>
    <m/>
    <d v="2024-03-22T08:11:00"/>
    <d v="2024-03-22T07:30:00"/>
    <d v="2024-03-22T08:38:00"/>
    <n v="67.685185186807459"/>
    <n v="26.87500000417155"/>
    <x v="0"/>
    <d v="2024-03-23T10:38:00"/>
    <d v="2024-03-23T15:26:00"/>
    <n v="281.99999999589636"/>
    <s v="Reached late and offloaded the next day"/>
    <d v="2024-03-24T03:03:55"/>
    <d v="2024-03-24T03:59:55"/>
    <n v="54.833333337664953"/>
    <m/>
    <n v="1.767997685186856"/>
    <n v="2"/>
    <n v="0.23200231481314404"/>
    <n v="42.431944444484543"/>
    <n v="12"/>
    <n v="30.431944444484543"/>
    <n v="5.1261923234837301"/>
    <m/>
    <m/>
    <m/>
    <m/>
    <m/>
  </r>
  <r>
    <d v="2025-03-20T00:00:00"/>
    <x v="2"/>
    <s v="KESH"/>
    <s v="A21548"/>
    <s v="Manual"/>
    <x v="10"/>
    <s v="UBR 903Y"/>
    <s v="Kato Investments Ltd- Kyegegwa"/>
    <n v="78"/>
    <s v="A21548"/>
    <s v="OM"/>
    <n v="600"/>
    <n v="599"/>
    <n v="-1"/>
    <m/>
    <d v="2024-03-22T08:11:00"/>
    <d v="2024-03-22T07:30:00"/>
    <d v="2024-03-22T08:38:00"/>
    <n v="67.685185186807459"/>
    <n v="26.87500000417155"/>
    <x v="0"/>
    <d v="2024-03-23T09:53:00"/>
    <d v="2024-03-23T16:39:00"/>
    <n v="397.54166665959929"/>
    <s v="truck faulty"/>
    <d v="2024-03-24T21:54:22"/>
    <d v="2024-03-24T22:50:22"/>
    <n v="54.833333337664953"/>
    <m/>
    <n v="2.5530324074061355"/>
    <n v="2"/>
    <n v="-0.55303240740613546"/>
    <n v="61.272777777747251"/>
    <n v="24"/>
    <n v="37.272777777747251"/>
    <n v="2.0926800912211023"/>
    <m/>
    <m/>
    <m/>
    <m/>
    <m/>
  </r>
  <r>
    <d v="2025-03-20T00:00:00"/>
    <x v="2"/>
    <s v="KESH"/>
    <s v="Z83157"/>
    <s v="Manual"/>
    <x v="37"/>
    <s v="UBK 866R"/>
    <s v="Kabaco U Ltd"/>
    <n v="156"/>
    <s v="Z83157"/>
    <s v="OM"/>
    <n v="320"/>
    <n v="164"/>
    <n v="-156"/>
    <m/>
    <d v="2024-03-23T13:41:22"/>
    <d v="2024-03-23T00:55:22"/>
    <d v="2024-03-23T14:07:22"/>
    <n v="788.33333332707605"/>
    <n v="25.879629630556639"/>
    <x v="0"/>
    <d v="2024-03-23T14:34:22"/>
    <d v="2024-03-23T18:03:22"/>
    <n v="204.64583333356131"/>
    <s v="slept at the RD and offloaded the next day"/>
    <d v="2024-03-23T18:41:22"/>
    <d v="2024-03-23T19:29:22"/>
    <n v="46.99999999931606"/>
    <m/>
    <n v="0.19027777777955635"/>
    <n v="2"/>
    <n v="1.8097222222204437"/>
    <n v="4.5666666667093523"/>
    <n v="0"/>
    <n v="4.5666666667093523"/>
    <n v="34.160583941286532"/>
    <m/>
    <m/>
    <m/>
    <m/>
    <m/>
  </r>
  <r>
    <d v="2025-03-20T00:00:00"/>
    <x v="2"/>
    <s v="KESH"/>
    <s v="Z83158"/>
    <s v="Manual"/>
    <x v="10"/>
    <s v="UBR 863Y"/>
    <s v="Kabaco U Ltd"/>
    <n v="156"/>
    <s v="Z83158"/>
    <s v="OM"/>
    <n v="320"/>
    <n v="317"/>
    <n v="-3"/>
    <m/>
    <d v="2024-03-23T08:35:00"/>
    <d v="2024-03-23T07:30:00"/>
    <d v="2024-03-23T09:02:00"/>
    <n v="91.574074070134273"/>
    <n v="26.87500000417155"/>
    <x v="0"/>
    <d v="2024-03-24T10:17:00"/>
    <d v="2024-03-24T13:15:00"/>
    <n v="174.29166667054233"/>
    <m/>
    <d v="2024-03-25T21:48:12"/>
    <d v="2024-03-25T22:29:12"/>
    <n v="40.145833330825553"/>
    <m/>
    <n v="2.5320833333389601"/>
    <n v="2"/>
    <n v="-0.53208333333896007"/>
    <n v="60.770000000135042"/>
    <n v="24"/>
    <n v="36.770000000135042"/>
    <n v="4.2425890671587458"/>
    <m/>
    <m/>
    <m/>
    <m/>
    <m/>
  </r>
  <r>
    <d v="2025-03-20T00:00:00"/>
    <x v="2"/>
    <s v="KESH"/>
    <s v="F16104"/>
    <s v="Manual"/>
    <x v="55"/>
    <s v="UBJ 417C"/>
    <s v="Boniface Harera"/>
    <n v="156"/>
    <s v="F16104"/>
    <s v="OM"/>
    <n v="448"/>
    <n v="447"/>
    <n v="-1"/>
    <m/>
    <d v="2024-03-23T08:11:00"/>
    <d v="2024-03-23T07:30:00"/>
    <d v="2024-03-23T08:38:00"/>
    <n v="67.685185186807459"/>
    <n v="26.87500000417155"/>
    <x v="0"/>
    <d v="2024-03-23T14:38:00"/>
    <d v="2024-03-23T19:53:00"/>
    <n v="308.4375"/>
    <s v="space consquents"/>
    <d v="2024-03-24T01:13:00"/>
    <d v="2024-03-24T01:58:00"/>
    <n v="44.0625"/>
    <m/>
    <n v="0.69097222221898846"/>
    <n v="2"/>
    <n v="1.3090277777810115"/>
    <n v="16.583333333255723"/>
    <n v="0"/>
    <n v="16.583333333255723"/>
    <n v="9.4070351759234221"/>
    <m/>
    <m/>
    <m/>
    <m/>
    <m/>
  </r>
  <r>
    <d v="2025-03-21T00:00:00"/>
    <x v="2"/>
    <s v="KESH"/>
    <s v="Z83175"/>
    <s v="Manual"/>
    <x v="27"/>
    <s v="UBM 648D"/>
    <s v="Kobusinge Steven-Kamwenge"/>
    <n v="156"/>
    <s v="Z83175"/>
    <s v="OM"/>
    <n v="288"/>
    <n v="287"/>
    <n v="-1"/>
    <m/>
    <d v="2024-03-24T02:50:00"/>
    <d v="2024-03-24T04:14:00"/>
    <d v="2024-03-24T03:16:00"/>
    <n v="-57.731481481944989"/>
    <n v="25.879629630556639"/>
    <x v="0"/>
    <d v="2024-03-24T15:17:00"/>
    <d v="2024-03-24T18:19:00"/>
    <n v="178.20833332945767"/>
    <m/>
    <d v="2024-03-25T12:54:00"/>
    <d v="2024-03-25T13:53:00"/>
    <n v="57.770833336981013"/>
    <m/>
    <n v="1.4013888888875954"/>
    <n v="2"/>
    <n v="0.59861111111240461"/>
    <n v="33.633333333302289"/>
    <n v="12"/>
    <n v="21.633333333302289"/>
    <n v="7.211093990765356"/>
    <m/>
    <m/>
    <m/>
    <m/>
    <m/>
  </r>
  <r>
    <d v="2025-03-21T00:00:00"/>
    <x v="2"/>
    <s v="KESH"/>
    <s v="A21559"/>
    <s v="Manual"/>
    <x v="10"/>
    <s v="UBR 900Y"/>
    <s v="Kato Investment Ltd -Mityana"/>
    <n v="78"/>
    <s v="A21559"/>
    <s v="OM"/>
    <n v="690"/>
    <n v="687"/>
    <n v="-3"/>
    <m/>
    <d v="2024-03-23T15:29:00"/>
    <d v="2024-03-23T17:30:00"/>
    <d v="2024-03-23T15:55:00"/>
    <n v="-94.560185180550135"/>
    <n v="25.879629630556639"/>
    <x v="0"/>
    <d v="2024-03-24T12:36:00"/>
    <d v="2024-03-24T19:26:00"/>
    <n v="401.45833332877373"/>
    <s v="Waited for empties from trade"/>
    <d v="2024-03-24T09:44:00"/>
    <d v="2024-03-24T10:41:00"/>
    <n v="55.81249999726424"/>
    <m/>
    <n v="0.74236111110803904"/>
    <n v="3"/>
    <n v="2.257638888891961"/>
    <n v="17.816666666592937"/>
    <n v="0"/>
    <n v="17.816666666592937"/>
    <n v="4.3779232928151233"/>
    <m/>
    <m/>
    <m/>
    <m/>
    <m/>
  </r>
  <r>
    <d v="2025-03-21T00:00:00"/>
    <x v="2"/>
    <s v="KESH"/>
    <s v="A21558"/>
    <s v="Manual"/>
    <x v="36"/>
    <s v="UBE 680K"/>
    <s v="KATO INVESTMENTS LTD-KATIKARA"/>
    <n v="5.5439999999999996"/>
    <s v="A21558"/>
    <s v="OM"/>
    <n v="790"/>
    <n v="787"/>
    <n v="-3"/>
    <m/>
    <d v="2024-03-24T04:15:44"/>
    <d v="2024-03-24T03:20:44"/>
    <d v="2024-03-24T04:43:44"/>
    <n v="82.615740749315592"/>
    <n v="27.870370367357584"/>
    <x v="0"/>
    <d v="2024-03-24T13:43:44"/>
    <d v="2024-03-24T18:12:44"/>
    <n v="263.39583333014161"/>
    <s v="Waited for empties from trade"/>
    <d v="2024-03-25T14:36:44"/>
    <d v="2024-03-25T15:24:44"/>
    <n v="46.99999999931606"/>
    <m/>
    <n v="1.4118055555518367"/>
    <n v="3"/>
    <n v="1.5881944444481633"/>
    <n v="33.883333333244082"/>
    <n v="12"/>
    <n v="21.883333333244082"/>
    <n v="0.25334348819600661"/>
    <m/>
    <m/>
    <m/>
    <m/>
    <m/>
  </r>
  <r>
    <d v="2025-03-21T00:00:00"/>
    <x v="2"/>
    <s v="NBL"/>
    <s v="F16105"/>
    <s v="Manual"/>
    <x v="10"/>
    <s v="UBJ 988D"/>
    <s v="KATO INVESTMENTS LIMITED-MASAK"/>
    <n v="76.8"/>
    <s v="F16105"/>
    <s v="OM"/>
    <n v="298"/>
    <n v="297"/>
    <n v="-1"/>
    <m/>
    <d v="2024-03-25T12:50:00"/>
    <d v="2024-03-24T07:42:00"/>
    <d v="2024-03-25T13:19:00"/>
    <n v="1768.773148146526"/>
    <n v="28.865740740972495"/>
    <x v="0"/>
    <d v="2024-03-25T14:02:00"/>
    <d v="2024-03-25T17:49:00"/>
    <n v="222.27083332945767"/>
    <s v="slept at the RD and offloaded the next day"/>
    <d v="2024-03-25T18:46:00"/>
    <d v="2024-03-25T19:43:00"/>
    <n v="55.81249999726424"/>
    <m/>
    <n v="0.22708333333866904"/>
    <n v="2"/>
    <n v="1.772916666661331"/>
    <n v="5.4500000001280569"/>
    <n v="0"/>
    <n v="5.4500000001280569"/>
    <n v="14.091743118934945"/>
    <m/>
    <m/>
    <m/>
    <m/>
    <m/>
  </r>
  <r>
    <d v="2025-03-21T00:00:00"/>
    <x v="2"/>
    <s v="KESH"/>
    <s v="F16108"/>
    <s v="Manual"/>
    <x v="10"/>
    <s v="UBR 538W"/>
    <s v="Boniface Harera"/>
    <n v="148.80000000000001"/>
    <s v="F16108"/>
    <s v="OM"/>
    <n v="448"/>
    <n v="445"/>
    <n v="-3"/>
    <m/>
    <d v="2024-03-24T17:11:00"/>
    <d v="2024-03-24T03:52:00"/>
    <d v="2024-03-24T17:39:00"/>
    <n v="823.17129629930912"/>
    <n v="27.870370367357584"/>
    <x v="0"/>
    <d v="2024-03-24T18:17:00"/>
    <d v="2024-03-25T03:05:00"/>
    <n v="516.99999999247666"/>
    <s v="Reached late and offloaded the next day"/>
    <d v="2024-03-25T03:40:00"/>
    <d v="2024-03-25T04:32:00"/>
    <n v="50.916666668490507"/>
    <m/>
    <n v="0.41736111111094942"/>
    <n v="2"/>
    <n v="1.5826388888890506"/>
    <n v="10.016666666662786"/>
    <n v="0"/>
    <n v="10.016666666662786"/>
    <n v="14.855241264564825"/>
    <m/>
    <m/>
    <m/>
    <m/>
    <m/>
  </r>
  <r>
    <d v="2025-03-21T00:00:00"/>
    <x v="2"/>
    <s v="KESH"/>
    <s v="F16109"/>
    <s v="Manual"/>
    <x v="42"/>
    <s v="UBK 858R"/>
    <s v="Boniface Harera"/>
    <n v="148.80000000000001"/>
    <s v="F16109"/>
    <s v="OM"/>
    <n v="448"/>
    <n v="445"/>
    <n v="-3"/>
    <m/>
    <d v="2024-03-24T12:46:00"/>
    <d v="2024-03-24T03:43:00"/>
    <d v="2024-03-24T13:12:00"/>
    <n v="566.36574074097246"/>
    <n v="25.879629630556639"/>
    <x v="0"/>
    <d v="2024-03-25T12:17:00"/>
    <d v="2024-03-25T17:19:00"/>
    <n v="295.70833333287737"/>
    <s v="found another truck to be offloaded"/>
    <d v="2024-03-26T12:22:00"/>
    <d v="2024-03-26T13:07:00"/>
    <n v="44.0625"/>
    <m/>
    <n v="1.9652777777737356"/>
    <n v="2"/>
    <n v="3.4722222226264421E-2"/>
    <n v="47.166666666569654"/>
    <n v="12"/>
    <n v="35.166666666569654"/>
    <n v="4.2312796208647532"/>
    <m/>
    <m/>
    <m/>
    <m/>
    <m/>
  </r>
  <r>
    <d v="2025-03-21T00:00:00"/>
    <x v="2"/>
    <s v="KESH"/>
    <s v="F16110"/>
    <s v="Manual"/>
    <x v="10"/>
    <s v="UBJ 421C"/>
    <s v="Boniface Harera"/>
    <n v="156"/>
    <s v="F16110"/>
    <s v="OM"/>
    <n v="448"/>
    <n v="445"/>
    <n v="-3"/>
    <m/>
    <d v="2024-03-25T08:19:00"/>
    <d v="2024-03-25T07:30:00"/>
    <d v="2024-03-25T08:47:00"/>
    <n v="76.643518518055018"/>
    <n v="27.870370367357584"/>
    <x v="0"/>
    <d v="2024-03-26T10:02:00"/>
    <d v="2024-03-27T14:50:00"/>
    <n v="1691.9999999958964"/>
    <s v="Waited for empties from trade"/>
    <d v="2024-03-27T19:38:00"/>
    <d v="2024-03-27T20:29:00"/>
    <n v="49.93749999863212"/>
    <m/>
    <n v="2.4520833333372138"/>
    <n v="2"/>
    <n v="-0.45208333333721384"/>
    <n v="58.850000000093132"/>
    <n v="24"/>
    <n v="34.850000000093132"/>
    <n v="4.4763271162003759"/>
    <m/>
    <m/>
    <m/>
    <m/>
    <m/>
  </r>
  <r>
    <d v="2025-03-22T00:00:00"/>
    <x v="2"/>
    <s v="KESH"/>
    <s v="A21579"/>
    <s v="Manual"/>
    <x v="54"/>
    <s v="UBK 882R"/>
    <s v="Kato Investment Ltd -Mubende"/>
    <n v="187.2"/>
    <s v="A21579"/>
    <s v="OM"/>
    <n v="680"/>
    <n v="679"/>
    <n v="-1"/>
    <m/>
    <d v="2024-03-25T07:48:00"/>
    <d v="2024-03-25T07:30:00"/>
    <d v="2024-03-25T08:42:00"/>
    <n v="71.666666670838211"/>
    <n v="53.749999997914223"/>
    <x v="10"/>
    <d v="2024-03-26T09:57:00"/>
    <d v="2024-03-26T16:43:00"/>
    <n v="397.54166666985839"/>
    <s v="Waited for empties from trade"/>
    <d v="2024-03-27T17:03:48"/>
    <d v="2024-03-27T17:59:48"/>
    <n v="54.833333327405853"/>
    <m/>
    <n v="2.3484722222201526"/>
    <n v="3"/>
    <n v="0.65152777777984738"/>
    <n v="56.363333333283663"/>
    <n v="24"/>
    <n v="32.363333333283663"/>
    <n v="5.7843238232656491"/>
    <m/>
    <m/>
    <m/>
    <m/>
    <m/>
  </r>
  <r>
    <d v="2025-03-22T00:00:00"/>
    <x v="2"/>
    <s v="KESH"/>
    <s v="A21581"/>
    <s v="Manual"/>
    <x v="45"/>
    <s v="UBP 310H"/>
    <s v="KATO INVESTMENTS LTD-KATIKARA"/>
    <n v="148.80000000000001"/>
    <s v="A21581"/>
    <s v="OM"/>
    <n v="790"/>
    <n v="787"/>
    <n v="-3"/>
    <m/>
    <d v="2024-03-22T08:35:00"/>
    <d v="2024-03-25T07:30:00"/>
    <d v="2024-03-22T09:02:00"/>
    <n v="-4208.425925929866"/>
    <n v="26.87500000417155"/>
    <x v="0"/>
    <d v="2024-03-23T10:17:00"/>
    <d v="2024-03-23T18:43:00"/>
    <n v="495.45833333766495"/>
    <s v="truck faulty"/>
    <d v="2024-03-23T21:07:00"/>
    <d v="2024-03-23T21:58:00"/>
    <n v="49.93749999863212"/>
    <m/>
    <n v="1.5034722222262644"/>
    <n v="3"/>
    <n v="1.4965277777737356"/>
    <n v="36.083333333430346"/>
    <n v="12"/>
    <n v="24.083333333430346"/>
    <n v="6.1785467127778801"/>
    <m/>
    <m/>
    <m/>
    <m/>
    <m/>
  </r>
  <r>
    <d v="2025-03-22T00:00:00"/>
    <x v="2"/>
    <s v="KESH"/>
    <s v="Z83189"/>
    <s v="Manual"/>
    <x v="49"/>
    <s v="UBR 539W"/>
    <s v="Kabaco U Ltd"/>
    <n v="156"/>
    <s v="Z83189"/>
    <s v="OM"/>
    <n v="320"/>
    <n v="317"/>
    <n v="-3"/>
    <m/>
    <d v="2024-03-25T08:12:00"/>
    <d v="2024-03-25T07:30:00"/>
    <d v="2024-03-25T08:38:00"/>
    <n v="67.685185186807459"/>
    <n v="25.879629630556639"/>
    <x v="0"/>
    <d v="2024-03-26T08:38:00"/>
    <d v="2024-03-26T13:42:00"/>
    <n v="297.66666666233505"/>
    <s v="less casuals and offloaded the next day"/>
    <d v="2024-03-27T06:14:00"/>
    <d v="2024-03-27T07:05:00"/>
    <n v="49.93749999863212"/>
    <m/>
    <n v="1.9000000000014552"/>
    <n v="2"/>
    <n v="9.9999999998544808E-2"/>
    <n v="45.600000000034925"/>
    <n v="12"/>
    <n v="33.600000000034925"/>
    <n v="4.6428571428523169"/>
    <m/>
    <m/>
    <m/>
    <m/>
    <m/>
  </r>
  <r>
    <d v="2025-03-22T00:00:00"/>
    <x v="2"/>
    <s v="KESH"/>
    <s v="Z83187"/>
    <s v="Manual"/>
    <x v="10"/>
    <s v="UBJ 423C"/>
    <s v="Kobusinge Acaali- Kyenjojo"/>
    <n v="148.80000000000001"/>
    <s v="Z83187"/>
    <s v="OM"/>
    <n v="580"/>
    <n v="577"/>
    <n v="-3"/>
    <m/>
    <d v="2024-03-25T08:16:00"/>
    <d v="2024-03-25T07:30:00"/>
    <d v="2024-03-25T08:42:00"/>
    <n v="71.666666670838211"/>
    <n v="25.879629630556639"/>
    <x v="0"/>
    <d v="2024-03-25T15:42:00"/>
    <d v="2024-03-25T19:32:24"/>
    <n v="225.59999999466527"/>
    <s v="Not enough casuals to offload"/>
    <d v="2024-03-26T08:32:24"/>
    <d v="2024-03-26T09:17:24"/>
    <n v="44.0625"/>
    <m/>
    <n v="0.99333333333197515"/>
    <n v="2"/>
    <n v="1.0066666666680248"/>
    <n v="23.839999999967404"/>
    <n v="0"/>
    <n v="23.839999999967404"/>
    <n v="6.2416107382635682"/>
    <m/>
    <m/>
    <m/>
    <m/>
    <m/>
  </r>
  <r>
    <d v="2025-03-22T00:00:00"/>
    <x v="2"/>
    <s v="KESH"/>
    <s v="A21582"/>
    <s v="Manual"/>
    <x v="44"/>
    <s v="UBE 684K"/>
    <s v="Kato Investment Ltd -Mityana"/>
    <n v="148.80000000000001"/>
    <s v="A21582"/>
    <s v="OM"/>
    <n v="690"/>
    <n v="687"/>
    <n v="-3"/>
    <m/>
    <d v="2024-03-26T14:51:21"/>
    <d v="2024-03-26T01:54:21"/>
    <d v="2024-03-26T15:17:21"/>
    <n v="799.28240740555339"/>
    <n v="25.879629630556639"/>
    <x v="0"/>
    <d v="2024-03-26T18:30:21"/>
    <d v="2024-03-27T13:13:33"/>
    <n v="1099.7999999983585"/>
    <s v="Waited for empties from trade"/>
    <d v="2024-03-27T15:53:33"/>
    <d v="2024-03-27T16:50:33"/>
    <n v="55.81249999726424"/>
    <m/>
    <n v="1.0251388888864312"/>
    <n v="3"/>
    <n v="1.9748611111135688"/>
    <n v="24.60333333327435"/>
    <n v="12"/>
    <n v="12.60333333327435"/>
    <n v="11.806400423223728"/>
    <m/>
    <m/>
    <m/>
    <m/>
    <m/>
  </r>
  <r>
    <d v="2025-03-22T00:00:00"/>
    <x v="2"/>
    <s v="KESH"/>
    <s v="F16114"/>
    <s v="Manual"/>
    <x v="35"/>
    <s v="UBP 312H"/>
    <s v="Boniface Harera"/>
    <n v="156"/>
    <s v="F16114"/>
    <s v="OM"/>
    <n v="448"/>
    <n v="447"/>
    <n v="-1"/>
    <m/>
    <d v="2024-03-25T14:24:00"/>
    <d v="2024-03-26T01:59:00"/>
    <d v="2024-03-25T14:50:00"/>
    <n v="-665.90277777916833"/>
    <n v="25.879629630556639"/>
    <x v="0"/>
    <d v="2024-03-26T10:26:00"/>
    <d v="2024-03-26T19:12:00"/>
    <n v="515.04166667327809"/>
    <s v="found another truck to be offloaded"/>
    <d v="2024-03-27T15:25:00"/>
    <d v="2024-03-27T16:23:00"/>
    <n v="56.791666667122627"/>
    <m/>
    <n v="2.0243055555547471"/>
    <n v="2"/>
    <n v="-2.4305555554747116E-2"/>
    <n v="48.583333333313931"/>
    <n v="24"/>
    <n v="24.583333333313931"/>
    <n v="6.3457627118694155"/>
    <m/>
    <m/>
    <m/>
    <m/>
    <m/>
  </r>
  <r>
    <d v="2025-03-22T00:00:00"/>
    <x v="2"/>
    <s v="KESH"/>
    <s v="A21578"/>
    <s v="Manual"/>
    <x v="43"/>
    <s v="UBJ 419C"/>
    <s v="Sawan Distributors Ltd-Nabingo"/>
    <n v="6.3"/>
    <s v="A21578"/>
    <s v="OM"/>
    <n v="560"/>
    <n v="558"/>
    <n v="-2"/>
    <m/>
    <d v="2024-03-29T03:13:00"/>
    <d v="2024-03-26T07:42:00"/>
    <d v="2024-03-29T03:39:00"/>
    <n v="4058.1250000041714"/>
    <n v="25.879629630556639"/>
    <x v="0"/>
    <d v="2024-03-29T03:43:00"/>
    <d v="2024-03-29T06:28:00"/>
    <n v="161.5625000034197"/>
    <m/>
    <d v="2024-03-30T03:03:00"/>
    <d v="2024-03-30T03:44:00"/>
    <n v="40.145833330825553"/>
    <m/>
    <n v="0.97499999999854481"/>
    <n v="2"/>
    <n v="1.0250000000014552"/>
    <n v="23.399999999965075"/>
    <n v="0"/>
    <n v="23.399999999965075"/>
    <n v="0.26923076923117106"/>
    <m/>
    <m/>
    <m/>
    <m/>
    <m/>
  </r>
  <r>
    <d v="2025-03-22T00:00:00"/>
    <x v="2"/>
    <s v="KESH"/>
    <s v="A21577"/>
    <s v="Manual"/>
    <x v="41"/>
    <s v="UBF 379L"/>
    <s v="Kato Investments Ltd- Kyegegwa"/>
    <n v="156"/>
    <s v="A21577"/>
    <s v="OM"/>
    <n v="600"/>
    <n v="599"/>
    <n v="-1"/>
    <m/>
    <d v="2024-03-26T19:38:00"/>
    <d v="2024-03-26T04:14:00"/>
    <d v="2024-03-26T20:02:00"/>
    <n v="943.61111111041589"/>
    <n v="23.888888893755695"/>
    <x v="0"/>
    <d v="2024-03-27T14:04:00"/>
    <d v="2024-03-29T08:05:00"/>
    <n v="2468.4791666698584"/>
    <s v="Waited for empties from trade"/>
    <d v="2024-03-29T20:06:00"/>
    <d v="2024-03-29T21:06:00"/>
    <n v="58.7499999965803"/>
    <m/>
    <n v="3.0027777777795563"/>
    <n v="2"/>
    <n v="-1.0027777777795563"/>
    <n v="72.066666666709352"/>
    <n v="36"/>
    <n v="36.066666666709352"/>
    <n v="4.3253234750410918"/>
    <m/>
    <m/>
    <m/>
    <m/>
    <m/>
  </r>
  <r>
    <d v="2025-03-23T00:00:00"/>
    <x v="2"/>
    <s v="NBL"/>
    <s v="Z83205"/>
    <s v="Manual"/>
    <x v="10"/>
    <s v="UBE 422T"/>
    <s v="Kabaco U Ltd-Mbarara "/>
    <n v="153.6"/>
    <s v="Z83205"/>
    <s v="OM"/>
    <n v="20"/>
    <n v="17"/>
    <n v="-3"/>
    <m/>
    <d v="2024-03-26T02:58:39"/>
    <d v="2024-03-26T10:17:39"/>
    <d v="2024-03-26T03:25:39"/>
    <n v="-410.09259259444661"/>
    <n v="26.87500000417155"/>
    <x v="0"/>
    <d v="2024-03-26T17:25:39"/>
    <d v="2024-03-27T14:47:15"/>
    <n v="1254.8999999991793"/>
    <s v="space consquents"/>
    <d v="2024-03-27T20:07:15"/>
    <d v="2024-03-27T21:03:15"/>
    <n v="54.833333337664953"/>
    <m/>
    <n v="1.695555555554165"/>
    <n v="1"/>
    <n v="-0.69555555555416504"/>
    <n v="40.693333333299961"/>
    <n v="12"/>
    <n v="28.693333333299961"/>
    <n v="5.3531598513073408"/>
    <m/>
    <m/>
    <m/>
    <m/>
    <m/>
  </r>
  <r>
    <d v="2025-03-23T00:00:00"/>
    <x v="2"/>
    <s v="KESH"/>
    <s v="Z83203"/>
    <s v="Manual"/>
    <x v="34"/>
    <s v="UBP 301H"/>
    <s v="Bates Enterprises Ltd-Ntoroko"/>
    <n v="141.6"/>
    <s v="Z83203"/>
    <s v="OM"/>
    <n v="464"/>
    <n v="461"/>
    <n v="-3"/>
    <m/>
    <d v="2024-03-26T12:13:42"/>
    <d v="2024-03-26T03:22:42"/>
    <d v="2024-03-26T12:39:42"/>
    <n v="554.42129628888017"/>
    <n v="25.879629630556639"/>
    <x v="0"/>
    <d v="2024-03-26T21:39:42"/>
    <d v="2024-03-27T00:27:42"/>
    <n v="164.50000000273576"/>
    <m/>
    <d v="2024-03-28T16:27:13"/>
    <d v="2024-03-28T17:08:13"/>
    <n v="40.145833330825553"/>
    <m/>
    <n v="2.1579976851862739"/>
    <n v="2"/>
    <n v="-0.15799768518627388"/>
    <n v="51.791944444470573"/>
    <n v="24"/>
    <n v="27.791944444470573"/>
    <n v="5.0950015492051124"/>
    <m/>
    <m/>
    <m/>
    <m/>
    <m/>
  </r>
  <r>
    <d v="2025-03-23T00:00:00"/>
    <x v="2"/>
    <s v="KESH"/>
    <s v="F16128"/>
    <s v="Manual"/>
    <x v="40"/>
    <s v="UBP 311H"/>
    <s v="Boniface Harera"/>
    <n v="156"/>
    <s v="F16128"/>
    <s v="OM"/>
    <n v="448"/>
    <n v="446"/>
    <n v="-2"/>
    <m/>
    <d v="2024-03-26T12:08:07"/>
    <d v="2024-03-26T03:26:07"/>
    <d v="2024-03-26T12:34:07"/>
    <n v="545.46296296806156"/>
    <n v="25.879629630556639"/>
    <x v="0"/>
    <d v="2024-03-26T14:39:07"/>
    <d v="2024-03-26T19:25:07"/>
    <n v="280.04166666643869"/>
    <s v="slept at the RD and offloaded the next day"/>
    <d v="2024-03-27T07:39:31"/>
    <d v="2024-03-27T08:39:31"/>
    <n v="58.7499999965803"/>
    <m/>
    <n v="0.79541666666773381"/>
    <n v="2"/>
    <n v="1.2045833333322662"/>
    <n v="19.090000000025611"/>
    <n v="0"/>
    <n v="19.090000000025611"/>
    <n v="8.1718177055940657"/>
    <m/>
    <m/>
    <m/>
    <m/>
    <m/>
  </r>
  <r>
    <d v="2025-03-24T00:00:00"/>
    <x v="2"/>
    <s v="KESH"/>
    <s v="Z83220"/>
    <s v="Manual"/>
    <x v="10"/>
    <s v="UBR 864Y"/>
    <s v="Rugoma Traders-Rukungiri"/>
    <n v="156"/>
    <s v="Z83220"/>
    <s v="OM"/>
    <n v="256"/>
    <n v="253"/>
    <n v="-3"/>
    <m/>
    <d v="2024-03-27T22:04:00"/>
    <d v="2024-03-26T22:00:00"/>
    <d v="2024-03-27T22:32:00"/>
    <n v="1465.1851851847216"/>
    <n v="27.870370367357584"/>
    <x v="0"/>
    <d v="2024-03-28T12:34:00"/>
    <d v="2024-03-28T18:36:00"/>
    <n v="354.45833333971677"/>
    <s v="Waited for empties from trade"/>
    <d v="2024-03-29T21:57:00"/>
    <d v="2024-03-29T22:43:00"/>
    <n v="45.041666669858387"/>
    <m/>
    <n v="1.9756944444452529"/>
    <n v="2"/>
    <n v="2.4305555554747116E-2"/>
    <n v="47.416666666686069"/>
    <n v="12"/>
    <n v="35.416666666686069"/>
    <n v="4.4047058823505285"/>
    <m/>
    <m/>
    <m/>
    <m/>
    <m/>
  </r>
  <r>
    <d v="2025-03-24T00:00:00"/>
    <x v="2"/>
    <s v="KESH"/>
    <s v="A21630"/>
    <s v="Manual"/>
    <x v="10"/>
    <s v="UBR 866R"/>
    <s v="Sawan Distributors Ltd-Nabingo"/>
    <n v="78"/>
    <s v="A21630"/>
    <s v="OM"/>
    <n v="560"/>
    <n v="558"/>
    <n v="-2"/>
    <m/>
    <d v="2024-03-29T11:41:00"/>
    <d v="2024-03-26T22:00:00"/>
    <d v="2024-03-29T12:07:00"/>
    <n v="3709.7453703757005"/>
    <n v="25.879629630556639"/>
    <x v="0"/>
    <d v="2024-03-29T12:10:00"/>
    <d v="2024-03-29T15:00:00"/>
    <n v="166.45833333219343"/>
    <m/>
    <d v="2024-03-30T08:41:00"/>
    <d v="2024-03-30T09:22:00"/>
    <n v="40.145833330825553"/>
    <m/>
    <n v="0.85694444444379769"/>
    <n v="2"/>
    <n v="1.1430555555562023"/>
    <n v="20.566666666651145"/>
    <n v="0"/>
    <n v="20.566666666651145"/>
    <n v="3.7925445705052936"/>
    <m/>
    <m/>
    <m/>
    <m/>
    <m/>
  </r>
  <r>
    <d v="2025-03-24T00:00:00"/>
    <x v="2"/>
    <s v="KESH"/>
    <s v="Z83222"/>
    <s v="Manual"/>
    <x v="10"/>
    <s v="UBG 084B"/>
    <s v="Kobusinge Steven-FPortal"/>
    <n v="156"/>
    <s v="Z83222"/>
    <s v="OM"/>
    <n v="304"/>
    <n v="301"/>
    <n v="-3"/>
    <m/>
    <d v="2024-03-28T08:57:00"/>
    <d v="2024-03-28T08:15:00"/>
    <d v="2024-03-28T09:23:00"/>
    <n v="67.685185186807459"/>
    <n v="25.879629630556639"/>
    <x v="0"/>
    <d v="2024-03-28T18:43:00"/>
    <d v="2024-03-29T18:18:31"/>
    <n v="1386.0267361085425"/>
    <s v="space consquents"/>
    <d v="2024-03-30T15:54:31"/>
    <d v="2024-03-30T16:50:31"/>
    <n v="54.833333337664953"/>
    <m/>
    <n v="2.2718865740753245"/>
    <n v="2"/>
    <n v="-0.27188657407532446"/>
    <n v="54.525277777807787"/>
    <n v="24"/>
    <n v="30.525277777807787"/>
    <n v="5.1105186047942768"/>
    <m/>
    <m/>
    <m/>
    <m/>
    <m/>
  </r>
  <r>
    <d v="2025-03-24T00:00:00"/>
    <x v="2"/>
    <s v="KESH"/>
    <s v="Z83223"/>
    <s v="Manual"/>
    <x v="55"/>
    <s v="UBJ 417C"/>
    <s v="Kobusinge Steven-FPortal"/>
    <n v="148.80000000000001"/>
    <s v="Z83223"/>
    <s v="OM"/>
    <n v="304"/>
    <n v="301"/>
    <n v="-3"/>
    <m/>
    <d v="2024-03-28T09:38:39"/>
    <d v="2024-03-28T08:39:39"/>
    <d v="2024-03-28T10:03:39"/>
    <n v="83.611111112501632"/>
    <n v="24.884259256941732"/>
    <x v="0"/>
    <d v="2024-03-28T16:03:39"/>
    <d v="2024-03-29T10:33:15"/>
    <n v="1086.4833333272691"/>
    <s v="Waited for empties from trade"/>
    <d v="2024-03-29T15:53:15"/>
    <d v="2024-03-29T16:50:15"/>
    <n v="55.81249999726424"/>
    <m/>
    <n v="1.2427777777775191"/>
    <n v="2"/>
    <n v="0.75722222222248092"/>
    <n v="29.826666666660458"/>
    <n v="12"/>
    <n v="17.826666666660458"/>
    <n v="8.3470456245354434"/>
    <m/>
    <m/>
    <m/>
    <m/>
    <m/>
  </r>
  <r>
    <d v="2025-03-24T00:00:00"/>
    <x v="2"/>
    <s v="NBL"/>
    <s v="Z83211"/>
    <s v="Manual"/>
    <x v="10"/>
    <s v="UBE 419T"/>
    <s v="Kabaco U Ltd"/>
    <n v="153.6"/>
    <s v="Z83211"/>
    <s v="OM"/>
    <n v="320"/>
    <n v="319"/>
    <n v="-1"/>
    <m/>
    <d v="2024-03-29T07:54:47"/>
    <d v="2024-03-29T07:06:47"/>
    <d v="2024-03-29T08:21:47"/>
    <n v="74.652777781254073"/>
    <n v="26.87500000417155"/>
    <x v="0"/>
    <d v="2024-03-29T08:57:47"/>
    <d v="2024-03-29T12:34:47"/>
    <n v="212.47916667191021"/>
    <s v="Waited for empties from trade"/>
    <d v="2024-03-29T13:07:47"/>
    <d v="2024-03-29T13:59:47"/>
    <n v="50.916666668490507"/>
    <m/>
    <n v="0.19861111111094942"/>
    <n v="2"/>
    <n v="1.8013888888890506"/>
    <n v="4.7666666666627862"/>
    <n v="0"/>
    <n v="4.7666666666627862"/>
    <n v="32.223776223802453"/>
    <m/>
    <m/>
    <m/>
    <m/>
    <m/>
  </r>
  <r>
    <d v="2025-03-24T00:00:00"/>
    <x v="2"/>
    <s v="NBL"/>
    <s v="Z83213"/>
    <s v="Manual"/>
    <x v="10"/>
    <s v="UBE 422T"/>
    <s v="Kabaco U Ltd"/>
    <n v="153.6"/>
    <s v="Z83213"/>
    <s v="OM"/>
    <n v="320"/>
    <n v="317"/>
    <n v="-3"/>
    <m/>
    <d v="2024-03-28T19:43:00"/>
    <d v="2024-03-29T02:30:00"/>
    <d v="2024-03-28T20:10:00"/>
    <n v="-378.24074073262938"/>
    <n v="26.87500000417155"/>
    <x v="0"/>
    <d v="2024-03-30T09:33:00"/>
    <d v="2024-03-30T13:17:00"/>
    <n v="219.33333333014161"/>
    <s v="Waited for empties from trade"/>
    <d v="2024-03-31T08:49:00"/>
    <d v="2024-03-31T09:30:00"/>
    <n v="40.145833330825553"/>
    <m/>
    <n v="2.5270833333270275"/>
    <n v="2"/>
    <n v="-0.5270833333270275"/>
    <n v="60.64999999984866"/>
    <n v="24"/>
    <n v="36.64999999984866"/>
    <n v="4.1909959072478653"/>
    <m/>
    <m/>
    <m/>
    <m/>
    <m/>
  </r>
  <r>
    <d v="2025-03-24T00:00:00"/>
    <x v="2"/>
    <s v="NBL"/>
    <s v="F16131"/>
    <s v="Manual"/>
    <x v="10"/>
    <s v="UBJ 988D"/>
    <s v="Rugoma Traders-Kanungu/Kihihi"/>
    <n v="153.6"/>
    <s v="F16131"/>
    <s v="OM"/>
    <n v="414"/>
    <n v="411"/>
    <n v="-3"/>
    <m/>
    <d v="2024-03-29T08:20:00"/>
    <d v="2024-03-29T07:30:00"/>
    <d v="2024-03-29T08:46:00"/>
    <n v="75.6481481444401"/>
    <n v="25.879629630556639"/>
    <x v="0"/>
    <d v="2024-03-30T03:03:00"/>
    <d v="2024-03-30T15:48:00"/>
    <n v="749.0625"/>
    <s v="slept at the RD and offloaded the next day"/>
    <d v="2024-03-31T18:40:48"/>
    <d v="2024-03-31T19:36:48"/>
    <n v="54.833333337664953"/>
    <m/>
    <n v="2.4130555555602768"/>
    <n v="2"/>
    <n v="-0.41305555556027684"/>
    <n v="57.913333333446644"/>
    <n v="24"/>
    <n v="33.913333333446644"/>
    <n v="4.5291920581724039"/>
    <m/>
    <m/>
    <m/>
    <m/>
    <m/>
  </r>
  <r>
    <d v="2025-03-24T00:00:00"/>
    <x v="2"/>
    <s v="KESH"/>
    <s v="A21629"/>
    <s v="Manual"/>
    <x v="10"/>
    <s v="UBR 863Y"/>
    <s v="Ntale and Sons Ltd-Kakiri"/>
    <n v="78"/>
    <s v="A21629"/>
    <s v="OM"/>
    <n v="620"/>
    <n v="617"/>
    <n v="-3"/>
    <m/>
    <d v="2024-03-29T08:15:00"/>
    <d v="2024-03-29T07:30:00"/>
    <d v="2024-03-29T08:42:00"/>
    <n v="71.666666670838211"/>
    <n v="26.87500000417155"/>
    <x v="0"/>
    <d v="2024-03-30T08:42:00"/>
    <d v="2024-03-30T14:06:00"/>
    <n v="317.24999999794818"/>
    <s v="Reached late and offloaded the next day"/>
    <d v="2024-03-30T12:54:00"/>
    <d v="2024-03-30T13:35:00"/>
    <n v="40.145833330825553"/>
    <m/>
    <n v="1.1749999999956344"/>
    <n v="3"/>
    <n v="1.8250000000043656"/>
    <n v="28.199999999895226"/>
    <n v="12"/>
    <n v="16.199999999895226"/>
    <n v="4.8148148148459544"/>
    <m/>
    <m/>
    <m/>
    <m/>
    <m/>
  </r>
  <r>
    <d v="2025-03-24T00:00:00"/>
    <x v="2"/>
    <s v="KESH"/>
    <s v="Z83214"/>
    <s v="Manual"/>
    <x v="56"/>
    <s v="UBR 903Y"/>
    <s v="Kobusinge Acaali- Kyenjojo"/>
    <n v="156"/>
    <s v="Z83214"/>
    <s v="OM"/>
    <n v="580"/>
    <n v="579"/>
    <n v="-1"/>
    <m/>
    <d v="2024-03-29T08:14:00"/>
    <d v="2024-03-29T07:30:00"/>
    <d v="2024-03-29T08:38:00"/>
    <n v="67.685185186807459"/>
    <n v="23.888888893755695"/>
    <x v="0"/>
    <d v="2024-03-29T21:08:00"/>
    <d v="2024-03-30T16:54:42"/>
    <n v="1161.9770833291841"/>
    <s v="found another truck to be offloaded"/>
    <d v="2024-03-31T15:42:42"/>
    <d v="2024-03-31T16:23:42"/>
    <n v="40.145833330825553"/>
    <m/>
    <n v="2.2949305555521278"/>
    <n v="2"/>
    <n v="-0.29493055555212777"/>
    <n v="55.078333333251067"/>
    <n v="24"/>
    <n v="31.078333333251067"/>
    <n v="5.0195741942536474"/>
    <m/>
    <m/>
    <m/>
    <m/>
    <m/>
  </r>
  <r>
    <d v="2025-03-24T00:00:00"/>
    <x v="2"/>
    <s v="KESH"/>
    <s v="Z83221"/>
    <s v="Manual"/>
    <x v="10"/>
    <s v="UBP 304H"/>
    <s v="Kobusinge Steven-FPortal"/>
    <n v="148.80000000000001"/>
    <s v="Z83221"/>
    <s v="OM"/>
    <n v="304"/>
    <n v="301"/>
    <n v="-3"/>
    <m/>
    <d v="2025-03-29T08:27:00"/>
    <d v="2025-03-29T07:30:00"/>
    <d v="2025-03-29T08:53:00"/>
    <n v="82.615740738886714"/>
    <n v="25.879629630556639"/>
    <x v="0"/>
    <d v="2025-03-30T10:08:00"/>
    <d v="2025-03-30T12:58:00"/>
    <n v="166.45833333219343"/>
    <m/>
    <d v="2025-03-31T14:55:51"/>
    <d v="2025-03-31T15:31:51"/>
    <n v="35.24999999179272"/>
    <m/>
    <n v="2.2519791666709352"/>
    <n v="2"/>
    <n v="-0.25197916667093523"/>
    <n v="54.047500000102445"/>
    <n v="24"/>
    <n v="30.047500000102445"/>
    <n v="4.9521590814374798"/>
    <m/>
    <m/>
    <m/>
    <m/>
    <m/>
  </r>
  <r>
    <d v="2025-03-24T00:00:00"/>
    <x v="2"/>
    <s v="KESH"/>
    <s v="A21625"/>
    <s v="Manual"/>
    <x v="32"/>
    <s v="UBJ 703D"/>
    <s v="Sawan Distributors Ltd-Kayabwe"/>
    <n v="69.599999999999994"/>
    <s v="A21625"/>
    <s v="OM"/>
    <n v="382"/>
    <n v="381"/>
    <n v="-1"/>
    <m/>
    <d v="2024-03-29T08:34:00"/>
    <d v="2024-03-29T07:30:00"/>
    <d v="2024-03-29T09:02:00"/>
    <n v="91.574074070134273"/>
    <n v="27.870370367357584"/>
    <x v="0"/>
    <d v="2024-03-30T10:32:00"/>
    <d v="2024-03-30T16:07:00"/>
    <n v="328.02083333561313"/>
    <s v="Waited for empties from trade"/>
    <d v="2024-03-31T14:55:00"/>
    <d v="2024-03-31T15:51:00"/>
    <n v="54.833333337664953"/>
    <m/>
    <n v="2.2451388888948713"/>
    <n v="2"/>
    <n v="-0.24513888889487134"/>
    <n v="53.883333333476912"/>
    <n v="24"/>
    <n v="29.883333333476912"/>
    <n v="2.3290574456106725"/>
    <m/>
    <m/>
    <m/>
    <m/>
    <m/>
  </r>
  <r>
    <d v="2025-03-24T00:00:00"/>
    <x v="2"/>
    <s v="KESH"/>
    <s v="Z83219"/>
    <s v="Manual"/>
    <x v="48"/>
    <s v="UBM 644D"/>
    <s v="Kobusinge Acaali- Kyenjojo"/>
    <n v="156"/>
    <s v="Z83219"/>
    <s v="OM"/>
    <n v="580"/>
    <n v="577"/>
    <n v="-3"/>
    <m/>
    <d v="2024-03-30T08:28:07"/>
    <d v="2024-03-30T07:47:07"/>
    <d v="2024-03-30T08:55:07"/>
    <n v="67.685185186807459"/>
    <n v="26.87500000417155"/>
    <x v="0"/>
    <d v="2024-03-30T14:55:07"/>
    <d v="2024-03-30T17:57:07"/>
    <n v="178.20833332945767"/>
    <m/>
    <d v="2024-03-31T08:49:55"/>
    <d v="2024-03-31T09:45:55"/>
    <n v="54.833333337664953"/>
    <m/>
    <n v="0.99638888888875954"/>
    <n v="2"/>
    <n v="1.0036111111112405"/>
    <n v="23.913333333330229"/>
    <n v="0"/>
    <n v="23.913333333330229"/>
    <n v="6.5235572902155106"/>
    <m/>
    <m/>
    <m/>
    <m/>
    <m/>
  </r>
  <r>
    <d v="2025-03-25T00:00:00"/>
    <x v="2"/>
    <s v="KESH"/>
    <s v="A21641"/>
    <s v="Manual"/>
    <x v="24"/>
    <s v="UBP 298H"/>
    <s v="Kato Investments Ltd- Kyegegwa"/>
    <n v="156"/>
    <s v="A21641"/>
    <s v="OM"/>
    <n v="600"/>
    <n v="597"/>
    <n v="-3"/>
    <m/>
    <d v="2025-03-30T21:36:00"/>
    <d v="2025-03-30T21:55:00"/>
    <d v="2025-03-30T22:02:00"/>
    <n v="6.9675925944466144"/>
    <n v="25.879629630556639"/>
    <x v="0"/>
    <d v="2025-03-30T19:02:00"/>
    <d v="2025-03-31T19:43:00"/>
    <n v="1450.1458333308256"/>
    <s v="space consquents"/>
    <d v="2025-04-01T20:54:00"/>
    <d v="2025-04-01T21:50:00"/>
    <n v="54.833333337664953"/>
    <m/>
    <n v="1.952777777776646"/>
    <n v="2"/>
    <n v="4.7222222223354038E-2"/>
    <n v="46.866666666639503"/>
    <n v="12"/>
    <n v="34.866666666639503"/>
    <n v="4.4741873805006174"/>
    <m/>
    <m/>
    <m/>
    <m/>
    <m/>
  </r>
  <r>
    <d v="2025-03-25T00:00:00"/>
    <x v="2"/>
    <s v="KESH"/>
    <s v="A21643"/>
    <s v="Manual"/>
    <x v="25"/>
    <s v="UBJ 420C"/>
    <s v="Kato Investments Ltd- Kyegegwa"/>
    <n v="156"/>
    <s v="A21643"/>
    <s v="OM"/>
    <n v="600"/>
    <n v="599"/>
    <n v="-1"/>
    <m/>
    <d v="2024-03-30T21:56:00"/>
    <d v="2024-03-30T21:55:00"/>
    <d v="2024-03-30T22:25:00"/>
    <n v="29.861111114587402"/>
    <n v="28.865740740972495"/>
    <x v="0"/>
    <d v="2024-03-01T18:17:00"/>
    <d v="2024-03-01T21:05:00"/>
    <n v="164.50000000273576"/>
    <m/>
    <d v="2024-03-31T18:52:00"/>
    <d v="2024-03-31T19:48:00"/>
    <n v="54.833333337664953"/>
    <m/>
    <n v="0.85208333333139308"/>
    <n v="2"/>
    <n v="1.1479166666686069"/>
    <n v="20.449999999953434"/>
    <n v="0"/>
    <n v="20.449999999953434"/>
    <n v="7.6283618582080797"/>
    <m/>
    <m/>
    <m/>
    <m/>
    <m/>
  </r>
  <r>
    <d v="2025-03-25T00:00:00"/>
    <x v="2"/>
    <s v="KESH"/>
    <s v="Z83237"/>
    <s v="Manual"/>
    <x v="10"/>
    <s v="UBJ 900Y"/>
    <s v="Kobusinge Steven-FPortal"/>
    <n v="156"/>
    <s v="Z83237"/>
    <s v="OM"/>
    <n v="304"/>
    <n v="301"/>
    <n v="-3"/>
    <m/>
    <d v="2024-03-14T19:57:00"/>
    <d v="2024-03-14T15:48:00"/>
    <d v="2024-03-14T20:24:00"/>
    <n v="274.72222222083172"/>
    <n v="26.87500000417155"/>
    <x v="0"/>
    <d v="2024-03-15T08:52:00"/>
    <d v="2024-03-15T17:39:00"/>
    <n v="516.02083334313647"/>
    <s v="Waited for empties from trade"/>
    <d v="2024-03-16T13:04:00"/>
    <d v="2024-03-16T13:45:00"/>
    <n v="40.145833330825553"/>
    <m/>
    <n v="1.6944444444452529"/>
    <n v="2"/>
    <n v="0.30555555555474712"/>
    <n v="40.666666666686069"/>
    <n v="12"/>
    <n v="28.666666666686069"/>
    <n v="5.4418604651125957"/>
    <m/>
    <m/>
    <m/>
    <m/>
    <m/>
  </r>
  <r>
    <d v="2025-03-25T00:00:00"/>
    <x v="2"/>
    <s v="KESH"/>
    <s v="A21635"/>
    <s v="Manual"/>
    <x v="49"/>
    <s v="UBR 539W"/>
    <s v="Nakuya Enterprises Ltd"/>
    <n v="156"/>
    <s v="A21635"/>
    <s v="OM"/>
    <n v="560"/>
    <n v="558"/>
    <n v="-2"/>
    <m/>
    <d v="2024-03-14T13:08:00"/>
    <d v="2024-03-15T01:59:00"/>
    <d v="2024-03-14T13:34:00"/>
    <n v="-741.55092592360836"/>
    <n v="25.879629630556639"/>
    <x v="0"/>
    <d v="2024-03-15T12:40:00"/>
    <d v="2024-03-15T17:45:00"/>
    <n v="298.64583333219343"/>
    <s v="Waited for empties from trade"/>
    <d v="2024-03-16T16:47:00"/>
    <d v="2024-03-16T17:43:00"/>
    <n v="54.833333337664953"/>
    <m/>
    <n v="2.1340277777781012"/>
    <n v="2"/>
    <n v="-0.13402777777810115"/>
    <n v="51.216666666674428"/>
    <n v="24"/>
    <n v="27.216666666674428"/>
    <n v="5.7317819963241465"/>
    <m/>
    <m/>
    <m/>
    <m/>
    <m/>
  </r>
  <r>
    <d v="2025-03-25T00:00:00"/>
    <x v="2"/>
    <s v="KESH"/>
    <s v="A21636"/>
    <s v="Manual"/>
    <x v="46"/>
    <s v="UBE 678K"/>
    <s v="Ntemenro Enterprises"/>
    <n v="156"/>
    <s v="A21636"/>
    <s v="OM"/>
    <n v="560"/>
    <n v="558"/>
    <n v="-2"/>
    <m/>
    <d v="2024-03-14T18:17:00"/>
    <d v="2024-03-14T19:30:00"/>
    <d v="2024-03-14T18:43:00"/>
    <n v="-46.782407403467609"/>
    <n v="25.879629630556639"/>
    <x v="0"/>
    <d v="2024-03-15T12:01:00"/>
    <d v="2024-03-16T12:14:00"/>
    <n v="1422.7291666671226"/>
    <s v="slept at the RD and offloaded the next day"/>
    <d v="2024-03-17T07:23:00"/>
    <d v="2024-03-17T08:21:00"/>
    <n v="56.791666667122627"/>
    <m/>
    <n v="2.5277777777737356"/>
    <n v="2"/>
    <n v="-0.52777777777373558"/>
    <n v="60.666666666569654"/>
    <n v="24"/>
    <n v="36.666666666569654"/>
    <n v="4.2545454545567116"/>
    <m/>
    <m/>
    <m/>
    <m/>
    <m/>
  </r>
  <r>
    <d v="2025-03-25T00:00:00"/>
    <x v="2"/>
    <s v="KESH"/>
    <s v="F16134"/>
    <s v="Manual"/>
    <x v="27"/>
    <s v="UBM 648D"/>
    <s v="Boniface Harera"/>
    <n v="148.80000000000001"/>
    <s v="F16134"/>
    <s v="OM"/>
    <n v="448"/>
    <n v="446"/>
    <n v="-2"/>
    <m/>
    <d v="2024-03-16T08:30:00"/>
    <d v="2024-03-15T01:59:00"/>
    <d v="2024-03-16T08:58:00"/>
    <n v="1850.3935185222265"/>
    <n v="27.870370367357584"/>
    <x v="0"/>
    <d v="2024-03-16T14:00:00"/>
    <d v="2024-03-16T19:58:00"/>
    <n v="350.54166666028323"/>
    <s v="Reached late and offloaded the next day"/>
    <d v="2024-03-17T12:52:00"/>
    <d v="2024-03-17T14:04:00"/>
    <n v="70.50000000410364"/>
    <s v="Failed batteries at the gate"/>
    <n v="1.1624999999985448"/>
    <n v="2"/>
    <n v="0.83750000000145519"/>
    <n v="27.899999999965075"/>
    <n v="12"/>
    <n v="15.899999999965075"/>
    <n v="9.3584905660582933"/>
    <m/>
    <m/>
    <m/>
    <m/>
    <m/>
  </r>
  <r>
    <d v="2025-03-25T00:00:00"/>
    <x v="2"/>
    <s v="KESH"/>
    <s v="Z83226"/>
    <s v="Manual"/>
    <x v="10"/>
    <s v="UBJ 421C"/>
    <s v="Bates Enterprises U Ltd"/>
    <n v="156"/>
    <s v="Z83226"/>
    <s v="OM"/>
    <n v="464"/>
    <n v="461"/>
    <n v="-3"/>
    <m/>
    <d v="2024-03-15T08:33:02"/>
    <d v="2024-03-15T07:52:02"/>
    <d v="2024-03-15T09:00:02"/>
    <n v="67.685185186807459"/>
    <n v="26.87500000417155"/>
    <x v="0"/>
    <d v="2024-03-15T03:30:02"/>
    <d v="2024-03-15T14:36:02"/>
    <n v="652.12500000205182"/>
    <s v="found another truck to be offloaded"/>
    <d v="2024-03-16T18:06:02"/>
    <d v="2024-03-16T19:02:02"/>
    <n v="54.833333337664953"/>
    <m/>
    <n v="1.3791666666656965"/>
    <n v="3"/>
    <n v="1.6208333333343035"/>
    <n v="33.099999999976717"/>
    <n v="12"/>
    <n v="21.099999999976717"/>
    <n v="7.3933649289181105"/>
    <m/>
    <m/>
    <m/>
    <m/>
    <m/>
  </r>
  <r>
    <d v="2025-03-25T00:00:00"/>
    <x v="2"/>
    <s v="KESH"/>
    <s v="A21639"/>
    <s v="Manual"/>
    <x v="35"/>
    <s v="UBP 312H"/>
    <s v="Kato Investment Ltd -Mubende"/>
    <n v="148.80000000000001"/>
    <s v="A21639"/>
    <s v="OM"/>
    <n v="680"/>
    <n v="679"/>
    <n v="-1"/>
    <m/>
    <d v="2024-03-15T08:16:00"/>
    <d v="2024-03-15T07:30:00"/>
    <d v="2024-03-15T08:42:00"/>
    <n v="71.666666670838211"/>
    <n v="25.879629630556639"/>
    <x v="0"/>
    <d v="2024-03-15T14:42:00"/>
    <d v="2024-03-15T19:12:00"/>
    <n v="264.375"/>
    <s v="Waited for empties from trade"/>
    <d v="2024-03-16T09:07:12"/>
    <d v="2024-03-16T09:48:12"/>
    <n v="40.145833330825553"/>
    <m/>
    <n v="1.0174999999944703"/>
    <n v="3"/>
    <n v="1.9825000000055297"/>
    <n v="24.419999999867287"/>
    <n v="12"/>
    <n v="12.419999999867287"/>
    <n v="11.980676328630436"/>
    <m/>
    <m/>
    <m/>
    <m/>
    <m/>
  </r>
  <r>
    <d v="2025-03-25T00:00:00"/>
    <x v="2"/>
    <s v="KESH"/>
    <s v="A21640"/>
    <s v="Manual"/>
    <x v="42"/>
    <s v="UBK 858R"/>
    <s v="Kato Investments Ltd- Kakumiro"/>
    <n v="156"/>
    <s v="A21640"/>
    <s v="OM"/>
    <n v="790"/>
    <n v="787"/>
    <n v="-3"/>
    <m/>
    <d v="2024-03-15T14:34:00"/>
    <d v="2024-03-16T02:22:00"/>
    <d v="2024-03-15T15:01:00"/>
    <n v="-677.84722222083167"/>
    <n v="26.87500000417155"/>
    <x v="0"/>
    <d v="2024-03-16T03:13:00"/>
    <d v="2024-03-16T14:41:00"/>
    <n v="673.66666666712263"/>
    <s v="Waited for empties from trade"/>
    <d v="2024-03-16T19:44:00"/>
    <d v="2024-03-16T20:40:00"/>
    <n v="54.833333337664953"/>
    <m/>
    <n v="1.1965277777781012"/>
    <n v="3"/>
    <n v="1.8034722222218988"/>
    <n v="28.716666666674428"/>
    <n v="12"/>
    <n v="16.716666666674428"/>
    <n v="9.3320039880315591"/>
    <m/>
    <m/>
    <m/>
    <m/>
    <m/>
  </r>
  <r>
    <d v="2025-03-25T00:00:00"/>
    <x v="2"/>
    <s v="KESH"/>
    <s v="A21637"/>
    <s v="Manual"/>
    <x v="10"/>
    <s v="UBR 880Y"/>
    <s v="Kato Investment Ltd -Mityana"/>
    <n v="156"/>
    <s v="A21637"/>
    <s v="OM"/>
    <n v="690"/>
    <n v="689"/>
    <n v="-1"/>
    <m/>
    <d v="2024-03-15T22:04:00"/>
    <d v="2024-03-16T02:22:00"/>
    <d v="2024-03-15T22:33:00"/>
    <n v="-227.93981481736409"/>
    <n v="28.865740740972495"/>
    <x v="0"/>
    <d v="2024-03-16T12:52:00"/>
    <d v="2024-03-16T18:38:00"/>
    <n v="338.79166666301899"/>
    <s v="Waited for empties from trade"/>
    <d v="2024-03-17T10:22:00"/>
    <d v="2024-03-17T11:19:00"/>
    <n v="55.81249999726424"/>
    <m/>
    <n v="1.492361111108039"/>
    <n v="3"/>
    <n v="1.507638888891961"/>
    <n v="35.816666666592937"/>
    <n v="12"/>
    <n v="23.816666666592937"/>
    <n v="6.550034989523426"/>
    <m/>
    <m/>
    <m/>
    <m/>
    <m/>
  </r>
  <r>
    <d v="2025-03-25T00:00:00"/>
    <x v="2"/>
    <s v="KESH"/>
    <s v="A21657"/>
    <s v="Manual"/>
    <x v="40"/>
    <s v="UBP 311H"/>
    <s v="Kato Investment Ltd -Mubende"/>
    <n v="156"/>
    <s v="A21657"/>
    <s v="OM"/>
    <n v="680"/>
    <n v="677"/>
    <n v="-3"/>
    <m/>
    <d v="2024-03-15T22:09:00"/>
    <d v="2024-03-16T07:42:00"/>
    <d v="2024-03-15T22:35:00"/>
    <n v="-544.46759259444661"/>
    <n v="25.879629630556639"/>
    <x v="0"/>
    <d v="2024-03-16T09:52:00"/>
    <d v="2024-03-16T14:07:00"/>
    <n v="249.6874999931606"/>
    <s v="found another truck to be offloaded"/>
    <d v="2024-03-17T17:03:00"/>
    <d v="2024-03-17T18:18:00"/>
    <n v="73.4375000034197"/>
    <s v="sorting delays"/>
    <n v="1.7694444444496185"/>
    <n v="3"/>
    <n v="1.2305555555503815"/>
    <n v="42.466666666790843"/>
    <n v="12"/>
    <n v="30.466666666790843"/>
    <n v="5.1203501093883208"/>
    <m/>
    <m/>
    <m/>
    <m/>
    <m/>
  </r>
  <r>
    <d v="2025-03-25T00:00:00"/>
    <x v="2"/>
    <s v="KESH"/>
    <s v="A21638"/>
    <s v="Manual"/>
    <x v="36"/>
    <s v="UBE 680K"/>
    <s v="Kato Investment Ltd -Mityana"/>
    <n v="156"/>
    <s v="A21638"/>
    <s v="OM"/>
    <n v="690"/>
    <n v="688"/>
    <n v="-2"/>
    <m/>
    <d v="2024-03-17T09:33:00"/>
    <d v="2024-03-17T02:22:00"/>
    <d v="2024-03-17T10:01:00"/>
    <n v="456.87499999791424"/>
    <n v="27.870370367357584"/>
    <x v="0"/>
    <d v="2024-03-17T03:58:00"/>
    <d v="2024-03-17T20:54:00"/>
    <n v="994.83333333424525"/>
    <s v="truck faulty"/>
    <d v="2024-03-18T18:43:00"/>
    <d v="2024-03-18T19:39:00"/>
    <n v="54.833333337664953"/>
    <m/>
    <n v="1.3625000000029104"/>
    <n v="3"/>
    <n v="1.6374999999970896"/>
    <n v="32.700000000069849"/>
    <n v="12"/>
    <n v="20.700000000069849"/>
    <n v="7.5362318840325413"/>
    <m/>
    <m/>
    <m/>
    <m/>
    <m/>
  </r>
  <r>
    <d v="2025-03-25T00:00:00"/>
    <x v="2"/>
    <s v="KESH"/>
    <s v="Z83238"/>
    <s v="Manual"/>
    <x v="10"/>
    <s v="UBR 538W"/>
    <s v="Kabaco U Ltd"/>
    <n v="156"/>
    <s v="Z83238"/>
    <s v="OM"/>
    <n v="320"/>
    <n v="319"/>
    <n v="-1"/>
    <m/>
    <d v="2024-03-18T08:30:18"/>
    <d v="2024-03-18T07:30:18"/>
    <d v="2024-03-18T08:58:18"/>
    <n v="87.592592596532384"/>
    <n v="27.870370367357584"/>
    <x v="0"/>
    <d v="2024-03-18T09:40:18"/>
    <d v="2024-03-18T13:17:18"/>
    <n v="212.47916666165111"/>
    <s v="Not enough casuals to offload"/>
    <d v="2024-03-19T13:45:18"/>
    <d v="2024-03-19T14:26:18"/>
    <n v="40.145833330825553"/>
    <m/>
    <n v="1.1993055555576575"/>
    <n v="2"/>
    <n v="0.8006944444423425"/>
    <n v="28.78333333338378"/>
    <n v="12"/>
    <n v="16.78333333338378"/>
    <n v="9.2949354518092022"/>
    <m/>
    <m/>
    <m/>
    <m/>
    <m/>
  </r>
  <r>
    <d v="2025-03-25T00:00:00"/>
    <x v="2"/>
    <s v="KESH"/>
    <s v="Z83233"/>
    <s v="Manual"/>
    <x v="32"/>
    <s v="UBJ 703D"/>
    <s v="Kobusinge Steven-FPortal"/>
    <n v="156"/>
    <s v="Z83233"/>
    <s v="OM"/>
    <n v="304"/>
    <n v="303"/>
    <n v="-1"/>
    <m/>
    <d v="2024-03-19T09:01:00"/>
    <d v="2024-03-18T08:00:00"/>
    <d v="2024-03-19T09:27:00"/>
    <n v="1519.9305555562507"/>
    <n v="25.879629630556639"/>
    <x v="0"/>
    <d v="2024-03-19T20:30:00"/>
    <d v="2024-03-20T03:40:00"/>
    <n v="421.04166667464597"/>
    <s v="Waited for empties from trade"/>
    <d v="2024-03-21T10:52:00"/>
    <d v="2024-03-21T11:46:00"/>
    <n v="52.87499999794818"/>
    <m/>
    <n v="2.0590277777737356"/>
    <n v="2"/>
    <n v="-5.9027777773735579E-2"/>
    <n v="49.416666666569654"/>
    <n v="24"/>
    <n v="25.416666666569654"/>
    <n v="6.1377049180562135"/>
    <m/>
    <m/>
    <m/>
    <m/>
    <m/>
  </r>
  <r>
    <d v="2025-03-25T00:00:00"/>
    <x v="2"/>
    <s v="NBL"/>
    <s v="F16139"/>
    <s v="Manual"/>
    <x v="10"/>
    <s v="UBE 419T"/>
    <s v="KATO INVESTMENTS LIMITED-MASAK"/>
    <n v="153.6"/>
    <s v="F16139"/>
    <s v="OM"/>
    <n v="298"/>
    <n v="295"/>
    <n v="-3"/>
    <m/>
    <d v="2024-03-19T06:36:00"/>
    <d v="2024-03-18T08:00:00"/>
    <d v="2024-03-19T07:03:00"/>
    <n v="1376.5972222145745"/>
    <n v="26.87500000417155"/>
    <x v="0"/>
    <d v="2024-03-19T15:07:00"/>
    <d v="2024-03-19T21:15:00"/>
    <n v="360.33333332808979"/>
    <s v="Reached late and offloaded the next day"/>
    <d v="2024-03-20T19:37:00"/>
    <d v="2024-03-20T20:20:00"/>
    <n v="42.104166670542327"/>
    <s v="sorting delays"/>
    <n v="1.523611111115315"/>
    <n v="2"/>
    <n v="0.476388888884685"/>
    <n v="36.56666666676756"/>
    <n v="12"/>
    <n v="24.56666666676756"/>
    <n v="6.2523744911547832"/>
    <m/>
    <m/>
    <m/>
    <m/>
    <m/>
  </r>
  <r>
    <d v="2025-03-25T00:00:00"/>
    <x v="2"/>
    <s v="KESH"/>
    <s v="A21656"/>
    <s v="Manual"/>
    <x v="38"/>
    <s v="UBK 862R"/>
    <s v="KATO INVESTMENTS LTD-KATIKARA"/>
    <n v="156"/>
    <s v="A21656"/>
    <s v="OM"/>
    <n v="790"/>
    <n v="789"/>
    <n v="-1"/>
    <m/>
    <d v="2024-03-19T08:37:00"/>
    <d v="2024-03-18T21:55:00"/>
    <d v="2024-03-19T09:05:00"/>
    <n v="666.89814814235433"/>
    <n v="27.870370367357584"/>
    <x v="0"/>
    <d v="2024-03-19T21:43:00"/>
    <d v="2024-03-20T19:20:00"/>
    <n v="1269.9791666616511"/>
    <s v="Waited for empties from trade"/>
    <d v="2024-03-20T18:27:00"/>
    <d v="2024-03-20T19:23:00"/>
    <n v="54.833333337664953"/>
    <m/>
    <n v="1.3902777777839219"/>
    <n v="3"/>
    <n v="1.6097222222160781"/>
    <n v="33.366666666814126"/>
    <n v="12"/>
    <n v="21.366666666814126"/>
    <n v="7.3010920436313596"/>
    <m/>
    <m/>
    <m/>
    <m/>
    <m/>
  </r>
  <r>
    <d v="2025-03-25T00:00:00"/>
    <x v="2"/>
    <s v="KESH"/>
    <s v="A21658"/>
    <s v="Manual"/>
    <x v="10"/>
    <s v="UBJ 423C"/>
    <s v="Kato Investment Ltd -Mityana"/>
    <n v="156"/>
    <s v="A21658"/>
    <s v="OM"/>
    <n v="690"/>
    <n v="689"/>
    <n v="-1"/>
    <m/>
    <d v="2024-03-18T15:29:00"/>
    <d v="2024-03-18T21:45:00"/>
    <d v="2024-03-18T15:57:00"/>
    <n v="-346.38888889166992"/>
    <n v="27.870370367357584"/>
    <x v="0"/>
    <d v="2024-03-20T09:17:00"/>
    <d v="2024-03-20T13:35:00"/>
    <n v="252.62499999247666"/>
    <s v="space consquents"/>
    <d v="2024-03-19T18:18:00"/>
    <d v="2024-03-19T19:40:00"/>
    <n v="80.291666661651107"/>
    <s v="pre trip inspections"/>
    <n v="1.0979166666656965"/>
    <n v="3"/>
    <n v="1.9020833333343035"/>
    <n v="26.349999999976717"/>
    <n v="12"/>
    <n v="14.349999999976717"/>
    <n v="10.871080139390461"/>
    <m/>
    <m/>
    <m/>
    <m/>
    <m/>
  </r>
  <r>
    <d v="2025-03-25T00:00:00"/>
    <x v="2"/>
    <s v="KESH"/>
    <s v="F16141"/>
    <s v="Manual"/>
    <x v="10"/>
    <s v="UBR 864Y"/>
    <s v="Boniface Harera"/>
    <n v="156"/>
    <s v="F16141"/>
    <s v="OM"/>
    <n v="448"/>
    <n v="445"/>
    <n v="-3"/>
    <m/>
    <d v="2024-03-19T07:13:00"/>
    <d v="2024-03-19T15:48:00"/>
    <d v="2024-03-19T07:39:00"/>
    <n v="-486.73611111250165"/>
    <n v="25.879629630556639"/>
    <x v="0"/>
    <d v="2024-03-19T21:46:00"/>
    <d v="2024-03-20T14:15:00"/>
    <n v="968.39583333014161"/>
    <s v="Reached late and offloaded the next day"/>
    <d v="2024-03-21T06:26:00"/>
    <d v="2024-03-21T07:09:00"/>
    <n v="42.104166670542327"/>
    <s v="sorting delays"/>
    <n v="1.9493055555576575"/>
    <n v="2"/>
    <n v="5.0694444442342501E-2"/>
    <n v="46.78333333338378"/>
    <n v="12"/>
    <n v="34.78333333338378"/>
    <n v="4.4849065644400694"/>
    <m/>
    <m/>
    <m/>
    <m/>
    <m/>
  </r>
  <r>
    <d v="2025-03-26T00:00:00"/>
    <x v="2"/>
    <s v="KESH"/>
    <s v="A21678"/>
    <s v="Manual"/>
    <x v="55"/>
    <s v="UBJ 417C"/>
    <s v="Kato Investment Ltd -Kagadi"/>
    <n v="78"/>
    <s v="A21678"/>
    <s v="OM"/>
    <n v="670"/>
    <n v="667"/>
    <n v="-3"/>
    <m/>
    <d v="2024-03-19T09:05:00"/>
    <d v="2024-03-18T20:13:00"/>
    <d v="2024-03-19T09:29:00"/>
    <n v="792.31481481110677"/>
    <n v="23.888888893755695"/>
    <x v="0"/>
    <d v="2024-03-19T18:56:00"/>
    <d v="2024-03-20T15:23:00"/>
    <n v="1201.4374999972642"/>
    <s v="slept at the RD and offloaded the next day"/>
    <d v="2024-03-21T14:17:00"/>
    <d v="2024-03-21T15:13:00"/>
    <n v="54.833333337664953"/>
    <m/>
    <n v="2.1999999999970896"/>
    <n v="2"/>
    <n v="-0.19999999999708962"/>
    <n v="52.799999999930151"/>
    <n v="24"/>
    <n v="28.799999999930151"/>
    <n v="2.708333333339902"/>
    <m/>
    <m/>
    <m/>
    <m/>
    <m/>
  </r>
  <r>
    <d v="2025-03-26T00:00:00"/>
    <x v="2"/>
    <s v="NBL"/>
    <s v="Z83259"/>
    <s v="Manual"/>
    <x v="10"/>
    <s v="UBJ 988D"/>
    <s v="Kabaco U Ltd"/>
    <n v="153.6"/>
    <s v="Z83259"/>
    <s v="OM"/>
    <n v="320"/>
    <n v="160"/>
    <n v="-160"/>
    <m/>
    <d v="2024-03-19T06:36:00"/>
    <d v="2024-03-18T20:13:00"/>
    <d v="2024-03-19T07:03:00"/>
    <n v="646.99074073262943"/>
    <n v="26.87500000417155"/>
    <x v="0"/>
    <d v="2024-03-20T13:41:00"/>
    <d v="2024-03-20T16:30:00"/>
    <n v="165.47916666233505"/>
    <m/>
    <d v="2024-03-21T03:52:00"/>
    <d v="2024-03-21T04:42:00"/>
    <n v="48.958333328773733"/>
    <m/>
    <n v="1.867361111115315"/>
    <n v="2"/>
    <n v="0.132638888884685"/>
    <n v="44.81666666676756"/>
    <n v="12"/>
    <n v="32.81666666676756"/>
    <n v="4.6805485017631616"/>
    <m/>
    <m/>
    <m/>
    <m/>
    <m/>
  </r>
  <r>
    <d v="2025-03-26T00:00:00"/>
    <x v="2"/>
    <s v="NBL"/>
    <s v="A21672"/>
    <s v="Manual"/>
    <x v="10"/>
    <s v="UBE 422T"/>
    <s v="Ntale and Sons Ltd-Kakiri"/>
    <n v="153.6"/>
    <s v="A21672"/>
    <s v="OM"/>
    <n v="620"/>
    <n v="617"/>
    <n v="-3"/>
    <m/>
    <d v="2024-03-19T09:39:00"/>
    <d v="2024-03-18T08:00:00"/>
    <d v="2024-03-19T10:08:00"/>
    <n v="1560.7407407388866"/>
    <n v="28.865740740972495"/>
    <x v="0"/>
    <d v="2024-03-19T10:48:00"/>
    <d v="2024-03-19T15:55:00"/>
    <n v="300.60416667191021"/>
    <s v="Waited for empties from trade"/>
    <d v="2024-03-20T15:22:00"/>
    <d v="2024-03-20T16:05:00"/>
    <n v="42.104166670542327"/>
    <m/>
    <n v="1.2180555555532919"/>
    <n v="3"/>
    <n v="1.7819444444467081"/>
    <n v="29.233333333279006"/>
    <n v="12"/>
    <n v="17.233333333279006"/>
    <n v="8.912959381072584"/>
    <m/>
    <m/>
    <m/>
    <m/>
    <m/>
  </r>
  <r>
    <d v="2025-03-26T00:00:00"/>
    <x v="2"/>
    <s v="KESH"/>
    <s v="F16144"/>
    <s v="Manual"/>
    <x v="48"/>
    <s v="UBM 644D"/>
    <s v="Boniface Harera"/>
    <n v="156"/>
    <s v="F16144"/>
    <s v="OM"/>
    <n v="448"/>
    <n v="445"/>
    <n v="-3"/>
    <m/>
    <d v="2024-03-19T08:21:06"/>
    <d v="2024-03-19T07:30:06"/>
    <d v="2024-03-19T08:47:06"/>
    <n v="76.643518518055018"/>
    <n v="25.879629630556639"/>
    <x v="0"/>
    <d v="2024-03-19T12:00:06"/>
    <d v="2024-03-19T17:09:06"/>
    <n v="302.56250000136788"/>
    <s v="found another truck at the RD and offloaded the next day"/>
    <d v="2024-03-20T19:49:06"/>
    <d v="2024-03-20T20:45:06"/>
    <n v="54.833333337664953"/>
    <s v="found another truck waiting to offload"/>
    <n v="1.4597222222218988"/>
    <n v="2"/>
    <n v="0.54027777777810115"/>
    <n v="35.033333333325572"/>
    <n v="12"/>
    <n v="23.033333333325572"/>
    <n v="6.7727930535478684"/>
    <m/>
    <m/>
    <m/>
    <m/>
    <m/>
  </r>
  <r>
    <d v="2025-03-26T00:00:00"/>
    <x v="2"/>
    <s v="KESH"/>
    <s v="Z83257"/>
    <s v="Manual"/>
    <x v="34"/>
    <s v="UBP 301H"/>
    <s v="Kobusinge Acaali- Kyenjojo"/>
    <n v="156"/>
    <s v="Z83257"/>
    <s v="OM"/>
    <n v="580"/>
    <n v="577"/>
    <n v="-3"/>
    <m/>
    <d v="2024-03-19T08:11:05"/>
    <d v="2024-03-19T07:30:05"/>
    <d v="2024-03-19T08:38:05"/>
    <n v="67.685185186807459"/>
    <n v="26.87500000417155"/>
    <x v="0"/>
    <d v="2024-03-19T03:51:05"/>
    <d v="2024-03-19T17:43:05"/>
    <n v="814.66666666507081"/>
    <s v="Waited for empties from trade"/>
    <d v="2024-03-21T08:07:05"/>
    <d v="2024-03-21T09:22:05"/>
    <n v="73.4375000034197"/>
    <s v="fueling delays"/>
    <n v="1.9784722222248092"/>
    <n v="2"/>
    <n v="2.1527777775190771E-2"/>
    <n v="47.483333333395422"/>
    <n v="12"/>
    <n v="35.483333333395422"/>
    <n v="4.3964302489354727"/>
    <m/>
    <m/>
    <m/>
    <m/>
    <m/>
  </r>
  <r>
    <d v="2025-03-27T00:00:00"/>
    <x v="2"/>
    <s v="KESH"/>
    <s v="Z83263"/>
    <s v="Manual"/>
    <x v="53"/>
    <s v="UBR 860Y"/>
    <s v="Kobusinge Steven-Kamwenge"/>
    <n v="156"/>
    <s v="Z83263"/>
    <s v="OM"/>
    <n v="288"/>
    <n v="286"/>
    <n v="-2"/>
    <m/>
    <d v="2024-03-19T15:22:00"/>
    <d v="2024-03-18T20:13:00"/>
    <d v="2024-03-19T15:48:00"/>
    <n v="1169.5601851805502"/>
    <n v="25.879629630556639"/>
    <x v="0"/>
    <d v="2024-03-21T09:48:00"/>
    <d v="2024-03-21T15:21:00"/>
    <n v="326.06249999589636"/>
    <s v="space consquents"/>
    <d v="2024-03-21T07:56:00"/>
    <d v="2024-03-21T09:08:00"/>
    <n v="70.50000000410364"/>
    <s v="sorting delays"/>
    <n v="1.672222222223354"/>
    <n v="2"/>
    <n v="0.32777777777664596"/>
    <n v="40.133333333360497"/>
    <n v="12"/>
    <n v="28.133333333360497"/>
    <n v="5.5450236966771103"/>
    <m/>
    <m/>
    <m/>
    <m/>
    <m/>
  </r>
  <r>
    <d v="2025-03-27T00:00:00"/>
    <x v="2"/>
    <s v="KESH"/>
    <s v="Z83274"/>
    <s v="Manual"/>
    <x v="53"/>
    <s v="UBR 860Y"/>
    <s v="Kobusinge Steven-Kamwenge"/>
    <n v="156"/>
    <s v="Z83274"/>
    <s v="OM"/>
    <n v="288"/>
    <n v="287"/>
    <n v="-1"/>
    <m/>
    <d v="2024-03-19T08:12:00"/>
    <d v="2024-03-19T07:30:00"/>
    <d v="2024-03-19T08:38:00"/>
    <n v="67.685185186807459"/>
    <n v="25.879629630556639"/>
    <x v="0"/>
    <d v="2024-03-20T10:53:00"/>
    <d v="2024-03-20T15:39:00"/>
    <n v="280.04166666643869"/>
    <s v="Waited for empties from trade"/>
    <d v="2024-03-21T20:27:00"/>
    <d v="2024-03-21T21:10:00"/>
    <n v="42.104166670542327"/>
    <m/>
    <n v="2.492361111108039"/>
    <n v="2"/>
    <n v="-0.49236111110803904"/>
    <n v="59.816666666592937"/>
    <n v="24"/>
    <n v="35.816666666592937"/>
    <n v="4.3555141926567087"/>
    <m/>
    <m/>
    <m/>
    <m/>
    <m/>
  </r>
  <r>
    <d v="2025-03-27T00:00:00"/>
    <x v="2"/>
    <s v="KESH"/>
    <s v="Z83268"/>
    <s v="Manual"/>
    <x v="49"/>
    <s v="UBR 539W"/>
    <s v="Kobusinge Steven-FPortal"/>
    <n v="156"/>
    <s v="Z83268"/>
    <s v="OM"/>
    <n v="304"/>
    <n v="303"/>
    <n v="-1"/>
    <m/>
    <d v="2024-03-21T07:02:00"/>
    <d v="2024-03-19T20:00:00"/>
    <d v="2024-03-21T07:30:00"/>
    <n v="2120.1388888854126"/>
    <n v="27.870370367357584"/>
    <x v="0"/>
    <d v="2024-03-21T19:13:00"/>
    <d v="2024-03-22T16:07:00"/>
    <n v="1227.8750000013679"/>
    <s v="Waited for empties from trade"/>
    <d v="2024-03-23T19:37:00"/>
    <d v="2024-03-23T20:52:00"/>
    <n v="73.4375000034197"/>
    <s v="Failed batteries at the gate"/>
    <n v="2.5048611111124046"/>
    <n v="2"/>
    <n v="-0.50486111111240461"/>
    <n v="60.116666666697711"/>
    <n v="24"/>
    <n v="36.116666666697711"/>
    <n v="4.3193354868444649"/>
    <m/>
    <m/>
    <m/>
    <m/>
    <m/>
  </r>
  <r>
    <d v="2025-03-27T00:00:00"/>
    <x v="2"/>
    <s v="KESH"/>
    <s v="Z83270"/>
    <s v="Manual"/>
    <x v="43"/>
    <s v="UBJ 419C"/>
    <s v="Rugoma Traders-Rukungiri"/>
    <n v="156"/>
    <s v="Z83270"/>
    <s v="OM"/>
    <n v="256"/>
    <n v="253"/>
    <n v="-3"/>
    <m/>
    <d v="2024-03-20T17:15:00"/>
    <d v="2024-03-19T19:00:00"/>
    <d v="2024-03-20T17:39:00"/>
    <n v="1352.7083333416765"/>
    <n v="23.888888893755695"/>
    <x v="0"/>
    <d v="2024-03-21T13:18:00"/>
    <d v="2024-03-21T19:05:00"/>
    <n v="339.77083333287737"/>
    <s v="less casuals and offloaded the next day"/>
    <d v="2024-03-22T18:47:00"/>
    <d v="2024-03-22T19:43:00"/>
    <n v="54.833333337664953"/>
    <s v="offloading delays"/>
    <n v="2.0472222222160781"/>
    <n v="2"/>
    <n v="-4.722222221607808E-2"/>
    <n v="49.133333333185874"/>
    <n v="24"/>
    <n v="25.133333333185874"/>
    <n v="6.2068965517605541"/>
    <m/>
    <m/>
    <m/>
    <m/>
    <m/>
  </r>
  <r>
    <d v="2025-03-27T00:00:00"/>
    <x v="2"/>
    <s v="KESH"/>
    <s v="A21691"/>
    <s v="Manual"/>
    <x v="44"/>
    <s v="UBE 684K"/>
    <s v="KATO INVESTMENTS LTD-KATIKARA"/>
    <n v="156"/>
    <s v="A21691"/>
    <s v="OM"/>
    <n v="790"/>
    <n v="787"/>
    <n v="-3"/>
    <m/>
    <d v="2024-03-20T16:55:00"/>
    <d v="2024-03-19T08:00:00"/>
    <d v="2024-03-20T17:23:00"/>
    <n v="1993.726851853474"/>
    <n v="27.870370367357584"/>
    <x v="0"/>
    <d v="2024-03-21T08:24:00"/>
    <d v="2024-03-21T12:15:00"/>
    <n v="226.18749999863212"/>
    <s v="Waited for empties from trade"/>
    <d v="2024-03-22T15:38:00"/>
    <d v="2024-03-22T16:53:00"/>
    <n v="73.4375000034197"/>
    <s v="fueling delays"/>
    <n v="1.9270833333284827"/>
    <n v="3"/>
    <n v="1.0729166666715173"/>
    <n v="46.249999999883585"/>
    <n v="12"/>
    <n v="34.249999999883585"/>
    <n v="4.5547445255629269"/>
    <m/>
    <m/>
    <m/>
    <m/>
    <m/>
  </r>
  <r>
    <d v="2025-03-27T00:00:00"/>
    <x v="2"/>
    <s v="KESH"/>
    <s v="A21688"/>
    <s v="Manual"/>
    <x v="10"/>
    <s v="UBR 903Y"/>
    <s v="KATO INVESTMENTS LTD-KATIKARA"/>
    <n v="156"/>
    <s v="A21688"/>
    <s v="OM"/>
    <n v="790"/>
    <n v="787"/>
    <n v="-3"/>
    <m/>
    <d v="2024-03-19T21:27:00"/>
    <d v="2024-03-20T22:00:00"/>
    <d v="2024-03-19T21:54:00"/>
    <n v="-1439.305555554165"/>
    <n v="26.87500000417155"/>
    <x v="0"/>
    <d v="2024-03-20T03:29:00"/>
    <d v="2024-03-20T15:59:00"/>
    <n v="734.3750000034197"/>
    <s v="Waited for empties from trade"/>
    <d v="2024-03-21T10:15:00"/>
    <d v="2024-03-21T10:58:00"/>
    <n v="42.104166670542327"/>
    <m/>
    <n v="1.5145833333372138"/>
    <n v="3"/>
    <n v="1.4854166666627862"/>
    <n v="36.350000000093132"/>
    <n v="12"/>
    <n v="24.350000000093132"/>
    <n v="6.4065708418646139"/>
    <m/>
    <m/>
    <m/>
    <m/>
    <m/>
  </r>
  <r>
    <d v="2025-03-27T00:00:00"/>
    <x v="2"/>
    <s v="KESH"/>
    <s v="A21698"/>
    <s v="Manual"/>
    <x v="10"/>
    <s v="UBR 538W"/>
    <s v="Ntale and Sons Ltd-Kakiri"/>
    <n v="78"/>
    <s v="A21698"/>
    <s v="OM"/>
    <n v="620"/>
    <n v="621"/>
    <n v="1"/>
    <m/>
    <d v="2024-03-19T21:53:00"/>
    <d v="2024-03-20T15:48:00"/>
    <d v="2024-03-19T22:19:00"/>
    <n v="-1044.1435185222265"/>
    <n v="25.879629630556639"/>
    <x v="0"/>
    <d v="2024-03-20T22:56:00"/>
    <d v="2024-03-21T01:54:00"/>
    <n v="174.29166667054233"/>
    <m/>
    <d v="2024-03-21T15:30:00"/>
    <d v="2024-03-21T16:45:00"/>
    <n v="73.4375000034197"/>
    <s v="fueling delays"/>
    <n v="1.7159722222277196"/>
    <n v="3"/>
    <n v="1.2840277777722804"/>
    <n v="41.183333333465271"/>
    <n v="12"/>
    <n v="29.183333333465271"/>
    <n v="2.6727584237457691"/>
    <m/>
    <m/>
    <m/>
    <m/>
    <m/>
  </r>
  <r>
    <d v="2025-03-27T00:00:00"/>
    <x v="2"/>
    <s v="KESH"/>
    <s v="A21689"/>
    <s v="Manual"/>
    <x v="10"/>
    <s v="UBP 304H"/>
    <s v="Kato Investment Ltd -Mityana"/>
    <n v="156"/>
    <s v="A21689"/>
    <s v="OM"/>
    <n v="690"/>
    <n v="687"/>
    <n v="-3"/>
    <m/>
    <d v="2024-03-19T22:05:00"/>
    <d v="2024-03-19T17:46:00"/>
    <d v="2024-03-19T22:33:00"/>
    <n v="285.67129629930906"/>
    <n v="27.870370367357584"/>
    <x v="0"/>
    <d v="2024-03-20T10:42:00"/>
    <d v="2024-03-20T18:50:00"/>
    <n v="477.83333333150949"/>
    <s v="Reached late and offloaded the next day"/>
    <d v="2024-03-21T16:26:00"/>
    <d v="2024-03-21T17:46:00"/>
    <n v="78.333333332193433"/>
    <s v="dj failures at the gate"/>
    <n v="1.7451388888875954"/>
    <n v="3"/>
    <n v="1.2548611111124046"/>
    <n v="41.883333333302289"/>
    <n v="12"/>
    <n v="29.883333333302289"/>
    <n v="5.2203011712268399"/>
    <m/>
    <m/>
    <m/>
    <m/>
    <m/>
  </r>
  <r>
    <d v="2025-03-27T00:00:00"/>
    <x v="2"/>
    <s v="NBL"/>
    <s v="A21687"/>
    <s v="Manual"/>
    <x v="10"/>
    <s v="UBE 419T"/>
    <s v="Sawan Distributors Ltd-Kayabwe"/>
    <n v="153.6"/>
    <s v="A21687"/>
    <s v="OM"/>
    <n v="382"/>
    <n v="379"/>
    <n v="-3"/>
    <m/>
    <d v="2024-03-20T08:17:00"/>
    <d v="2024-03-20T07:30:00"/>
    <d v="2024-03-20T08:42:00"/>
    <n v="71.666666670838211"/>
    <n v="24.884259256941732"/>
    <x v="0"/>
    <d v="2024-03-20T14:42:00"/>
    <d v="2024-03-20T19:02:00"/>
    <n v="254.58333333219343"/>
    <s v="found another truck to be offloaded"/>
    <d v="2024-03-21T08:57:12"/>
    <d v="2024-03-21T09:40:12"/>
    <n v="42.104166670542327"/>
    <m/>
    <n v="1.0105555555492174"/>
    <n v="2"/>
    <n v="0.98944444445078261"/>
    <n v="24.253333333181217"/>
    <n v="12"/>
    <n v="12.253333333181217"/>
    <n v="12.535364526815028"/>
    <m/>
    <m/>
    <m/>
    <m/>
    <m/>
  </r>
  <r>
    <d v="2025-03-27T00:00:00"/>
    <x v="2"/>
    <s v="KESH"/>
    <s v="F16150"/>
    <s v="Manual"/>
    <x v="10"/>
    <s v="UBR 880Y"/>
    <s v="Boniface Harera"/>
    <n v="156"/>
    <s v="F16150"/>
    <s v="OM"/>
    <n v="448"/>
    <n v="446"/>
    <n v="-2"/>
    <m/>
    <d v="2024-03-21T10:07:03"/>
    <d v="2024-03-21T09:06:03"/>
    <d v="2024-03-21T10:34:03"/>
    <n v="87.592592596532384"/>
    <n v="26.87500000417155"/>
    <x v="0"/>
    <d v="2024-03-22T08:24:03"/>
    <d v="2024-03-22T14:41:03"/>
    <n v="369.14583333629707"/>
    <s v="Waited for empties from trade"/>
    <d v="2024-03-23T10:29:03"/>
    <d v="2024-03-23T11:20:03"/>
    <n v="49.93749999863212"/>
    <s v="sorting delays"/>
    <n v="1.9965277777737356"/>
    <n v="2"/>
    <n v="3.4722222262644209E-3"/>
    <n v="47.916666666569654"/>
    <n v="12"/>
    <n v="35.916666666569654"/>
    <n v="4.3433874710094118"/>
    <m/>
    <m/>
    <m/>
    <m/>
    <m/>
  </r>
  <r>
    <d v="2025-03-27T00:00:00"/>
    <x v="2"/>
    <s v="KESH"/>
    <s v="Z83264"/>
    <s v="Manual"/>
    <x v="10"/>
    <s v="UBR 863Y"/>
    <s v="Kobusinge Steven-FPortal"/>
    <n v="156"/>
    <s v="Z83264"/>
    <s v="OM"/>
    <n v="304"/>
    <n v="301"/>
    <n v="-3"/>
    <m/>
    <d v="2024-03-21T09:17:00"/>
    <d v="2024-03-20T09:00:00"/>
    <d v="2024-03-21T09:45:00"/>
    <n v="1478.125"/>
    <n v="27.870370367357584"/>
    <x v="0"/>
    <d v="2024-03-21T12:14:00"/>
    <d v="2024-03-21T18:17:00"/>
    <n v="355.43749999931606"/>
    <s v="Waited for empties from trade"/>
    <d v="2024-03-22T14:45:00"/>
    <d v="2024-03-22T15:43:00"/>
    <n v="56.791666667122627"/>
    <s v="beer topup delays"/>
    <n v="1.2083333333357587"/>
    <n v="2"/>
    <n v="0.79166666666424135"/>
    <n v="29.000000000058208"/>
    <n v="12"/>
    <n v="17.000000000058208"/>
    <n v="9.1764705882038733"/>
    <m/>
    <m/>
    <m/>
    <m/>
    <m/>
  </r>
  <r>
    <d v="2025-03-27T00:00:00"/>
    <x v="2"/>
    <s v="KESH"/>
    <s v="A21692"/>
    <s v="Manual"/>
    <x v="27"/>
    <s v="UBM 648D"/>
    <s v="Sawan Distributors Ltd-Nabingo"/>
    <n v="156"/>
    <s v="A21692"/>
    <s v="OM"/>
    <n v="560"/>
    <n v="558"/>
    <n v="-2"/>
    <m/>
    <d v="2024-03-21T14:42:00"/>
    <d v="2024-03-20T08:00:00"/>
    <d v="2024-03-21T15:08:00"/>
    <n v="1859.351851853474"/>
    <n v="25.879629630556639"/>
    <x v="0"/>
    <d v="2024-03-22T08:46:00"/>
    <d v="2024-03-22T12:13:00"/>
    <n v="202.68750000410364"/>
    <s v="found another truck to be offloaded"/>
    <d v="2024-03-24T16:01:00"/>
    <d v="2024-03-24T17:23:00"/>
    <n v="80.291666661651107"/>
    <s v="Fork Lift Breakdown"/>
    <n v="3.0368055555518367"/>
    <n v="2"/>
    <n v="-1.0368055555518367"/>
    <n v="72.883333333244082"/>
    <n v="36"/>
    <n v="36.883333333244082"/>
    <n v="4.2295526434806368"/>
    <m/>
    <m/>
    <m/>
    <m/>
    <m/>
  </r>
  <r>
    <d v="2025-03-27T00:00:00"/>
    <x v="2"/>
    <s v="KESH"/>
    <s v="Z83273"/>
    <s v="Manual"/>
    <x v="39"/>
    <s v="UBJ 705D"/>
    <s v="Bates Enterprises U Ltd"/>
    <n v="78"/>
    <s v="Z83273"/>
    <s v="OM"/>
    <n v="464"/>
    <n v="461"/>
    <n v="-3"/>
    <m/>
    <d v="2024-03-22T06:49:00"/>
    <d v="2024-03-20T08:00:00"/>
    <d v="2024-03-22T07:17:00"/>
    <n v="2823.8657407368009"/>
    <n v="27.870370367357584"/>
    <x v="0"/>
    <d v="2024-03-23T09:35:00"/>
    <d v="2024-03-23T13:20:00"/>
    <n v="220.3125"/>
    <s v="Waited for empties from trade"/>
    <d v="2024-03-24T08:23:00"/>
    <d v="2024-03-24T09:32:00"/>
    <n v="67.56250000478758"/>
    <s v="sorting delays"/>
    <n v="2.0458333333372138"/>
    <n v="3"/>
    <n v="0.95416666666278616"/>
    <n v="49.100000000093132"/>
    <n v="24"/>
    <n v="25.100000000093132"/>
    <n v="3.1075697211040074"/>
    <m/>
    <m/>
    <m/>
    <m/>
    <m/>
  </r>
  <r>
    <d v="2025-03-27T00:00:00"/>
    <x v="2"/>
    <s v="KESH"/>
    <s v="A21702"/>
    <s v="Manual"/>
    <x v="41"/>
    <s v="UBF 379L"/>
    <s v="Kato Investment Ltd -Mityana"/>
    <n v="156"/>
    <s v="A21702"/>
    <s v="OM"/>
    <n v="690"/>
    <n v="688"/>
    <n v="-2"/>
    <m/>
    <d v="2024-03-21T03:25:00"/>
    <d v="2024-03-21T07:00:00"/>
    <d v="2024-03-21T03:52:00"/>
    <n v="-187.12962962429933"/>
    <n v="26.87500000417155"/>
    <x v="0"/>
    <d v="2024-03-21T15:35:00"/>
    <d v="2024-03-21T18:18:00"/>
    <n v="159.60416666370293"/>
    <m/>
    <d v="2024-03-22T18:00:00"/>
    <d v="2024-03-22T18:40:00"/>
    <n v="39.166666671226267"/>
    <s v="dj failures at the gate"/>
    <n v="1.5888888888875954"/>
    <n v="3"/>
    <n v="1.4111111111124046"/>
    <n v="38.133333333302289"/>
    <n v="12"/>
    <n v="26.133333333302289"/>
    <n v="5.9693877551091319"/>
    <m/>
    <m/>
    <m/>
    <m/>
    <m/>
  </r>
  <r>
    <d v="2025-03-27T00:00:00"/>
    <x v="2"/>
    <s v="KESH"/>
    <s v="A21700"/>
    <s v="Manual"/>
    <x v="33"/>
    <s v="UBR 541W"/>
    <s v="Sawan Distributors Ltd-Nabingo"/>
    <n v="156"/>
    <s v="A21700"/>
    <s v="OM"/>
    <n v="560"/>
    <n v="558"/>
    <n v="-2"/>
    <m/>
    <d v="2024-03-21T08:13:00"/>
    <d v="2024-03-21T07:30:00"/>
    <d v="2024-03-21T08:42:00"/>
    <n v="71.666666670838211"/>
    <n v="28.865740740972495"/>
    <x v="0"/>
    <d v="2024-03-21T17:12:00"/>
    <d v="2024-03-22T13:08:38"/>
    <n v="1171.7034722244716"/>
    <s v="truck faulty"/>
    <d v="2024-03-23T07:27:22"/>
    <d v="2024-03-23T08:26:22"/>
    <n v="57.770833336981013"/>
    <s v="empties confirmation delays"/>
    <n v="1.948171296295186"/>
    <n v="2"/>
    <n v="5.1828703704813961E-2"/>
    <n v="46.756111111084465"/>
    <n v="12"/>
    <n v="34.756111111084465"/>
    <n v="4.4884193027639467"/>
    <m/>
    <m/>
    <m/>
    <m/>
    <m/>
  </r>
  <r>
    <d v="2025-03-27T00:00:00"/>
    <x v="2"/>
    <s v="KESH"/>
    <s v="A21701"/>
    <s v="Manual"/>
    <x v="40"/>
    <s v="UBP 311H"/>
    <s v="Sawan Distributors Ltd-Nabingo"/>
    <n v="156"/>
    <s v="A21701"/>
    <s v="OM"/>
    <n v="560"/>
    <n v="556"/>
    <n v="-4"/>
    <m/>
    <d v="2024-03-21T08:19:00"/>
    <d v="2024-03-21T07:30:00"/>
    <d v="2024-03-21T08:46:00"/>
    <n v="75.6481481444401"/>
    <n v="26.87500000417155"/>
    <x v="0"/>
    <d v="2024-03-21T03:16:00"/>
    <d v="2024-03-21T17:16:00"/>
    <n v="822.5000000034197"/>
    <s v="less casuals and offloaded the next day"/>
    <d v="2024-03-22T20:46:00"/>
    <d v="2024-03-22T21:26:00"/>
    <n v="39.166666671226267"/>
    <m/>
    <n v="1.5"/>
    <n v="2"/>
    <n v="0.5"/>
    <n v="36"/>
    <n v="12"/>
    <n v="24"/>
    <n v="6.5"/>
    <m/>
    <m/>
    <m/>
    <m/>
    <m/>
  </r>
  <r>
    <d v="2025-03-28T00:00:00"/>
    <x v="2"/>
    <s v="KESH"/>
    <s v="Z83279"/>
    <s v="Manual"/>
    <x v="10"/>
    <s v="UBJ 423C"/>
    <s v="Kobusinge Steven-FPortal"/>
    <n v="78"/>
    <s v="Z83279"/>
    <s v="OM"/>
    <n v="304"/>
    <n v="303"/>
    <n v="-1"/>
    <m/>
    <d v="2024-03-21T08:34:00"/>
    <d v="2024-03-21T07:30:00"/>
    <d v="2024-03-21T09:02:00"/>
    <n v="91.574074070134273"/>
    <n v="27.870370367357584"/>
    <x v="0"/>
    <d v="2024-03-21T16:02:00"/>
    <d v="2024-03-22T13:52:24"/>
    <n v="1283.0999999946653"/>
    <s v="Waited for empties from trade"/>
    <d v="2024-03-22T16:52:24"/>
    <d v="2024-03-22T17:42:24"/>
    <n v="48.958333328773733"/>
    <s v="dj completion delays"/>
    <n v="1.3266666666677338"/>
    <n v="2"/>
    <n v="0.67333333333226619"/>
    <n v="31.840000000025611"/>
    <n v="12"/>
    <n v="19.840000000025611"/>
    <n v="3.9314516128981509"/>
    <m/>
    <m/>
    <m/>
    <m/>
    <m/>
  </r>
  <r>
    <d v="2025-03-28T00:00:00"/>
    <x v="2"/>
    <s v="KESH"/>
    <s v="F16152"/>
    <s v="Manual"/>
    <x v="38"/>
    <s v="UBK 862R"/>
    <s v="Boniface Harera"/>
    <n v="156"/>
    <s v="F16152"/>
    <s v="OM"/>
    <n v="448"/>
    <n v="447"/>
    <n v="-1"/>
    <m/>
    <d v="2024-03-21T07:55:00"/>
    <d v="2024-03-21T07:30:00"/>
    <d v="2024-03-21T08:47:00"/>
    <n v="76.643518518055018"/>
    <n v="51.759259261113279"/>
    <x v="2"/>
    <d v="2024-03-22T07:17:00"/>
    <d v="2024-03-22T12:01:00"/>
    <n v="278.08333333698101"/>
    <s v="Not enough casuals to offload"/>
    <d v="2024-03-23T08:00:12"/>
    <d v="2024-03-23T08:54:12"/>
    <n v="52.87499999794818"/>
    <s v="pre trip inspections"/>
    <n v="1.9674999999988358"/>
    <n v="2"/>
    <n v="3.2500000001164153E-2"/>
    <n v="47.21999999997206"/>
    <n v="12"/>
    <n v="35.21999999997206"/>
    <n v="4.429301533223275"/>
    <m/>
    <m/>
    <m/>
    <m/>
    <m/>
  </r>
  <r>
    <d v="2025-03-28T00:00:00"/>
    <x v="2"/>
    <s v="KESH"/>
    <s v="F16153"/>
    <s v="Manual"/>
    <x v="10"/>
    <s v="UBP 998T"/>
    <s v="Boniface Harera"/>
    <n v="78"/>
    <s v="F16153"/>
    <s v="OM"/>
    <n v="448"/>
    <n v="445"/>
    <n v="-3"/>
    <m/>
    <d v="2024-03-22T03:26:00"/>
    <d v="2024-03-21T20:25:00"/>
    <d v="2024-03-22T03:54:00"/>
    <n v="446.92129629305174"/>
    <n v="27.870370367357584"/>
    <x v="0"/>
    <d v="2024-03-24T07:57:00"/>
    <d v="2024-03-24T13:09:00"/>
    <n v="305.50000000068394"/>
    <s v="Waited for empties from trade"/>
    <d v="2024-03-24T19:03:00"/>
    <d v="2024-03-24T19:43:00"/>
    <n v="39.166666671226267"/>
    <m/>
    <n v="2.6312499999985448"/>
    <n v="2"/>
    <n v="-0.63124999999854481"/>
    <n v="63.149999999965075"/>
    <n v="24"/>
    <n v="39.149999999965075"/>
    <n v="1.9923371647527353"/>
    <m/>
    <m/>
    <m/>
    <m/>
    <m/>
  </r>
  <r>
    <d v="2025-03-28T00:00:00"/>
    <x v="2"/>
    <s v="KESH"/>
    <s v="Z83281"/>
    <s v="Manual"/>
    <x v="24"/>
    <s v="UBP 298H"/>
    <s v="Kabaco U Ltd"/>
    <n v="156"/>
    <s v="Z83281"/>
    <s v="OM"/>
    <n v="320"/>
    <n v="317"/>
    <n v="-3"/>
    <m/>
    <d v="2024-03-21T22:22:00"/>
    <d v="2024-03-21T20:25:00"/>
    <d v="2024-03-21T22:49:00"/>
    <n v="143.33333333124756"/>
    <n v="26.87500000417155"/>
    <x v="0"/>
    <d v="2024-03-23T12:27:00"/>
    <d v="2024-03-23T17:41:00"/>
    <n v="307.45833333014161"/>
    <s v="Reached late and offloaded the next day"/>
    <d v="2024-03-23T20:53:00"/>
    <d v="2024-03-23T21:52:00"/>
    <n v="57.770833336981013"/>
    <m/>
    <n v="1.9194444444437977"/>
    <n v="2"/>
    <n v="8.0555555556202307E-2"/>
    <n v="46.066666666651145"/>
    <n v="12"/>
    <n v="34.066666666651145"/>
    <n v="4.5792563600803646"/>
    <m/>
    <m/>
    <m/>
    <m/>
    <m/>
  </r>
  <r>
    <d v="2025-03-28T00:00:00"/>
    <x v="2"/>
    <s v="KESH"/>
    <s v="Z83285"/>
    <s v="Manual"/>
    <x v="36"/>
    <s v="UBE 680K"/>
    <s v="Kobusinge Acaali- Kyenjojo"/>
    <n v="39"/>
    <s v="Z83285"/>
    <s v="OM"/>
    <n v="580"/>
    <n v="579"/>
    <n v="-1"/>
    <m/>
    <d v="2024-03-22T16:18:00"/>
    <d v="2024-03-21T08:00:00"/>
    <d v="2024-03-22T16:45:00"/>
    <n v="1955.9027777708252"/>
    <n v="26.87500000417155"/>
    <x v="0"/>
    <d v="2024-03-23T03:33:00"/>
    <d v="2024-03-23T17:19:00"/>
    <n v="808.79166666643869"/>
    <s v="found another truck to be offloaded"/>
    <d v="2024-03-24T18:25:00"/>
    <d v="2024-03-24T19:47:00"/>
    <n v="80.291666661651107"/>
    <s v="dj failures at the gate"/>
    <n v="2.0694444444452529"/>
    <n v="2"/>
    <n v="-6.9444444445252884E-2"/>
    <n v="49.666666666686069"/>
    <n v="24"/>
    <n v="25.666666666686069"/>
    <n v="1.5194805194793708"/>
    <m/>
    <m/>
    <m/>
    <m/>
    <m/>
  </r>
  <r>
    <d v="2025-03-28T00:00:00"/>
    <x v="2"/>
    <s v="KESH"/>
    <s v="Z83287"/>
    <s v="Manual"/>
    <x v="42"/>
    <s v="UBK 858R"/>
    <s v="Kobusinge Steven-FPortal"/>
    <n v="156"/>
    <s v="Z83287"/>
    <s v="OM"/>
    <n v="304"/>
    <n v="301"/>
    <n v="-3"/>
    <m/>
    <d v="2024-03-22T11:56:34"/>
    <d v="2024-03-22T03:15:34"/>
    <d v="2024-03-22T12:23:34"/>
    <n v="545.46296295763261"/>
    <n v="26.87500000417155"/>
    <x v="0"/>
    <d v="2024-03-22T18:23:34"/>
    <d v="2024-03-22T21:11:34"/>
    <n v="164.50000000273576"/>
    <m/>
    <d v="2024-03-23T17:43:34"/>
    <d v="2024-03-23T18:26:34"/>
    <n v="42.104166670542327"/>
    <m/>
    <n v="1.2222222222262644"/>
    <n v="2"/>
    <n v="0.77777777777373558"/>
    <n v="29.333333333430346"/>
    <n v="12"/>
    <n v="17.333333333430346"/>
    <n v="8.9999999999496278"/>
    <m/>
    <m/>
    <m/>
    <m/>
    <m/>
  </r>
  <r>
    <d v="2025-03-28T00:00:00"/>
    <x v="2"/>
    <s v="KESH"/>
    <s v="Z83289"/>
    <s v="Manual"/>
    <x v="43"/>
    <s v="UBJ 419C"/>
    <s v="Bates Enterprises U Ltd"/>
    <n v="78"/>
    <s v="Z83289"/>
    <s v="OM"/>
    <n v="464"/>
    <n v="461"/>
    <n v="-3"/>
    <m/>
    <d v="2024-03-24T10:04:00"/>
    <d v="2024-03-21T09:00:00"/>
    <d v="2024-03-24T10:28:00"/>
    <n v="4387.5925925965321"/>
    <n v="23.888888893755695"/>
    <x v="0"/>
    <d v="2024-03-24T17:47:00"/>
    <d v="2024-03-24T20:32:00"/>
    <n v="161.5625000034197"/>
    <m/>
    <d v="2024-03-26T10:58:00"/>
    <d v="2024-03-26T11:56:00"/>
    <n v="56.791666667122627"/>
    <m/>
    <n v="2.0208333333284827"/>
    <n v="3"/>
    <n v="0.97916666667151731"/>
    <n v="48.499999999883585"/>
    <n v="24"/>
    <n v="24.499999999883585"/>
    <n v="3.183673469402883"/>
    <m/>
    <m/>
    <m/>
    <m/>
    <m/>
  </r>
  <r>
    <d v="2025-03-28T00:00:00"/>
    <x v="2"/>
    <s v="KESH"/>
    <s v="A21718"/>
    <s v="Manual"/>
    <x v="35"/>
    <s v="UBP 312H"/>
    <s v="KATO INVESTMENTS LTD-KATIKARA"/>
    <n v="156"/>
    <s v="A21718"/>
    <s v="OM"/>
    <n v="790"/>
    <n v="789"/>
    <n v="-1"/>
    <m/>
    <d v="2024-03-22T12:40:00"/>
    <d v="2024-03-21T09:00:00"/>
    <d v="2024-03-22T13:07:00"/>
    <n v="1679.1898148131925"/>
    <n v="26.87500000417155"/>
    <x v="0"/>
    <d v="2024-03-23T08:56:00"/>
    <d v="2024-03-23T16:47:00"/>
    <n v="461.18750000547152"/>
    <s v="Waited for empties from trade"/>
    <d v="2024-03-24T10:06:00"/>
    <d v="2024-03-24T11:05:00"/>
    <n v="57.770833336981013"/>
    <m/>
    <n v="1.8743055555532919"/>
    <n v="3"/>
    <n v="1.1256944444467081"/>
    <n v="44.983333333279006"/>
    <n v="12"/>
    <n v="32.983333333279006"/>
    <n v="4.7296614451821206"/>
    <m/>
    <m/>
    <m/>
    <m/>
    <m/>
  </r>
  <r>
    <d v="2025-03-28T00:00:00"/>
    <x v="2"/>
    <s v="KESH"/>
    <s v="Z83280"/>
    <s v="Manual"/>
    <x v="25"/>
    <s v="UBJ 420C"/>
    <s v="Bates Enterprises Ltd-Ntoroko"/>
    <n v="78"/>
    <s v="Z83280"/>
    <s v="OM"/>
    <n v="464"/>
    <n v="461"/>
    <n v="-3"/>
    <m/>
    <d v="2024-03-23T19:05:00"/>
    <d v="2024-03-23T16:40:00"/>
    <d v="2024-03-23T19:59:00"/>
    <n v="198.07870370277669"/>
    <n v="53.749999997914223"/>
    <x v="1"/>
    <d v="2024-03-24T17:57:00"/>
    <d v="2024-03-25T14:43:00"/>
    <n v="1220.041666663019"/>
    <s v="Waited for empties from trade"/>
    <d v="2024-03-26T19:35:00"/>
    <d v="2024-03-26T20:47:00"/>
    <n v="70.50000000410364"/>
    <s v="dj failures at the gate"/>
    <n v="2.9833333333299379"/>
    <n v="3"/>
    <n v="1.6666666670062114E-2"/>
    <n v="71.599999999918509"/>
    <n v="24"/>
    <n v="47.599999999918509"/>
    <n v="1.6386554621876792"/>
    <m/>
    <m/>
    <m/>
    <m/>
    <m/>
  </r>
  <r>
    <d v="2025-03-28T00:00:00"/>
    <x v="2"/>
    <s v="KESH"/>
    <s v="Z83282"/>
    <s v="Manual"/>
    <x v="10"/>
    <s v="UBJ 421C"/>
    <s v="Kobusinge Steven-Kamwenge"/>
    <n v="156"/>
    <s v="Z83282"/>
    <s v="OM"/>
    <n v="288"/>
    <n v="286"/>
    <n v="-2"/>
    <m/>
    <d v="2024-03-23T01:22:44"/>
    <d v="2024-03-23T00:41:44"/>
    <d v="2024-03-23T01:49:44"/>
    <n v="67.685185186807459"/>
    <n v="26.87500000417155"/>
    <x v="0"/>
    <d v="2024-03-24T03:19:44"/>
    <d v="2024-03-25T12:46:08"/>
    <n v="1964.6000000001368"/>
    <s v="space consquents"/>
    <d v="2024-03-25T10:42:18"/>
    <d v="2024-03-25T11:32:18"/>
    <n v="48.958333328773733"/>
    <m/>
    <n v="2.369837962964084"/>
    <n v="2"/>
    <n v="-0.369837962964084"/>
    <n v="56.876111111138016"/>
    <n v="24"/>
    <n v="32.876111111138016"/>
    <n v="4.7450867735736892"/>
    <m/>
    <m/>
    <m/>
    <m/>
    <m/>
  </r>
  <r>
    <d v="2025-03-28T00:00:00"/>
    <x v="2"/>
    <s v="KESH"/>
    <s v="Z83288"/>
    <s v="Manual"/>
    <x v="30"/>
    <s v="UBR 540W"/>
    <s v="Bates Enterprises U Ltd"/>
    <n v="78"/>
    <s v="Z83288"/>
    <s v="OM"/>
    <n v="464"/>
    <n v="461"/>
    <n v="-3"/>
    <m/>
    <d v="2024-03-23T08:49:45"/>
    <d v="2024-03-23T07:48:45"/>
    <d v="2024-03-23T09:16:45"/>
    <n v="87.592592586103521"/>
    <n v="26.87500000417155"/>
    <x v="0"/>
    <d v="2024-03-24T09:16:45"/>
    <d v="2024-03-24T12:47:45"/>
    <n v="206.60416667327809"/>
    <s v="Reached late and offloaded the next day"/>
    <d v="2024-03-25T09:16:45"/>
    <d v="2024-03-25T09:59:45"/>
    <n v="42.104166670542327"/>
    <m/>
    <n v="2"/>
    <n v="3"/>
    <n v="1"/>
    <n v="48"/>
    <n v="24"/>
    <n v="24"/>
    <n v="3.25"/>
    <m/>
    <m/>
    <m/>
    <m/>
    <m/>
  </r>
  <r>
    <d v="2025-03-28T00:00:00"/>
    <x v="2"/>
    <s v="KESH"/>
    <s v="A21719"/>
    <s v="Manual"/>
    <x v="10"/>
    <s v="UBR 864Y"/>
    <s v="Kato Investment Ltd -Mityana"/>
    <n v="156"/>
    <s v="A21719"/>
    <s v="OM"/>
    <n v="690"/>
    <n v="688"/>
    <n v="-2"/>
    <m/>
    <d v="2024-03-22T20:41:00"/>
    <d v="2024-03-23T03:17:00"/>
    <d v="2024-03-22T21:09:00"/>
    <n v="-366.29629630139488"/>
    <n v="27.870370367357584"/>
    <x v="0"/>
    <d v="2024-03-23T14:07:00"/>
    <d v="2024-03-23T16:40:00"/>
    <n v="149.81250000615546"/>
    <m/>
    <d v="2024-03-24T19:14:00"/>
    <d v="2024-03-24T20:06:00"/>
    <n v="50.916666668490507"/>
    <m/>
    <n v="1.9201388888905058"/>
    <n v="3"/>
    <n v="1.0798611111094942"/>
    <n v="46.083333333372138"/>
    <n v="12"/>
    <n v="34.083333333372138"/>
    <n v="4.5770171149092143"/>
    <m/>
    <m/>
    <m/>
    <m/>
    <m/>
  </r>
  <r>
    <d v="2025-03-28T00:00:00"/>
    <x v="2"/>
    <s v="KESH"/>
    <s v="A21713"/>
    <s v="Manual"/>
    <x v="10"/>
    <s v="UBR 900Y"/>
    <s v="Sawan Distributors Ltd-Kayabwe"/>
    <n v="156"/>
    <s v="A21713"/>
    <s v="OM"/>
    <n v="382"/>
    <n v="381"/>
    <n v="-1"/>
    <m/>
    <d v="2024-03-23T08:48:00"/>
    <d v="2024-03-23T02:30:00"/>
    <d v="2024-03-23T09:17:00"/>
    <n v="405.11574074722984"/>
    <n v="28.865740740972495"/>
    <x v="0"/>
    <d v="2024-03-25T09:32:00"/>
    <d v="2024-03-25T12:15:00"/>
    <n v="159.60416666370293"/>
    <m/>
    <d v="2024-03-25T20:42:00"/>
    <d v="2024-03-25T21:32:00"/>
    <n v="48.958333328773733"/>
    <m/>
    <n v="2.4756944444452529"/>
    <n v="2"/>
    <n v="-0.47569444444525288"/>
    <n v="59.416666666686069"/>
    <n v="24"/>
    <n v="35.416666666686069"/>
    <n v="4.4047058823505285"/>
    <m/>
    <m/>
    <m/>
    <m/>
    <m/>
  </r>
  <r>
    <d v="2025-03-28T00:00:00"/>
    <x v="2"/>
    <s v="KESH"/>
    <s v="A21715"/>
    <s v="Manual"/>
    <x v="34"/>
    <s v="UBP 301H"/>
    <s v="Sawan Distributors Ltd-Nabingo"/>
    <n v="156"/>
    <s v="A21715"/>
    <s v="OM"/>
    <n v="560"/>
    <n v="558"/>
    <n v="-2"/>
    <m/>
    <d v="2024-03-23T14:21:00"/>
    <d v="2024-03-24T02:22:00"/>
    <d v="2024-03-23T14:48:00"/>
    <n v="-690.78703703611006"/>
    <n v="26.87500000417155"/>
    <x v="0"/>
    <d v="2024-03-24T09:12:00"/>
    <d v="2024-03-24T15:02:00"/>
    <n v="342.70833333219343"/>
    <s v="space consquents"/>
    <d v="2024-03-24T17:46:00"/>
    <d v="2024-03-24T18:29:00"/>
    <n v="42.104166670542327"/>
    <m/>
    <n v="1.1236111111065838"/>
    <n v="2"/>
    <n v="0.87638888889341615"/>
    <n v="26.966666666558012"/>
    <n v="12"/>
    <n v="14.966666666558012"/>
    <n v="10.4231625835946"/>
    <m/>
    <m/>
    <m/>
    <m/>
    <m/>
  </r>
  <r>
    <d v="2025-03-29T00:00:00"/>
    <x v="2"/>
    <s v="KESH"/>
    <s v="Z83304"/>
    <s v="Manual"/>
    <x v="24"/>
    <s v="UBP 298H"/>
    <s v="Kobusinge Acaali- Kyenjojo"/>
    <n v="156"/>
    <s v="Z83304"/>
    <s v="OM"/>
    <n v="580"/>
    <n v="577"/>
    <n v="-3"/>
    <m/>
    <d v="2024-03-24T03:08:00"/>
    <d v="2024-03-23T17:30:00"/>
    <d v="2024-03-24T03:36:00"/>
    <n v="603.19444445000647"/>
    <n v="27.870370367357584"/>
    <x v="0"/>
    <d v="2024-03-25T07:04:00"/>
    <d v="2024-03-25T19:03:00"/>
    <n v="704.02083333014161"/>
    <s v="space consquents"/>
    <d v="2024-03-26T06:54:00"/>
    <d v="2024-03-26T07:52:00"/>
    <n v="56.791666667122627"/>
    <m/>
    <n v="2.1374999999970896"/>
    <n v="2"/>
    <n v="-0.13749999999708962"/>
    <n v="51.299999999930151"/>
    <n v="24"/>
    <n v="27.299999999930151"/>
    <n v="5.7142857143003347"/>
    <m/>
    <m/>
    <m/>
    <m/>
    <m/>
  </r>
  <r>
    <d v="2025-03-29T00:00:00"/>
    <x v="2"/>
    <s v="KESH"/>
    <s v="F16155"/>
    <s v="Manual"/>
    <x v="39"/>
    <s v="UBJ 705D"/>
    <s v="Boniface Harera"/>
    <n v="156"/>
    <s v="F16155"/>
    <s v="OM"/>
    <n v="448"/>
    <n v="445"/>
    <n v="-3"/>
    <m/>
    <d v="2024-03-25T15:39:00"/>
    <d v="2024-03-23T20:13:00"/>
    <d v="2024-03-25T16:29:00"/>
    <n v="2643.7037036965194"/>
    <n v="49.768518513883464"/>
    <x v="5"/>
    <d v="2024-03-26T09:35:00"/>
    <d v="2024-03-26T15:12:00"/>
    <n v="329.97916666507081"/>
    <s v="Waited for empties from trade"/>
    <d v="2024-03-27T06:07:00"/>
    <d v="2024-03-27T07:22:00"/>
    <n v="73.4375000034197"/>
    <s v="dj failures at the gate"/>
    <n v="1.5680555555591127"/>
    <n v="2"/>
    <n v="0.43194444444088731"/>
    <n v="37.633333333418705"/>
    <n v="12"/>
    <n v="25.633333333418705"/>
    <n v="6.0858257477040487"/>
    <m/>
    <m/>
    <m/>
    <m/>
    <m/>
  </r>
  <r>
    <d v="2025-03-29T00:00:00"/>
    <x v="2"/>
    <s v="KESH"/>
    <s v="F16158"/>
    <s v="Manual"/>
    <x v="27"/>
    <s v="UBM 648D"/>
    <s v="Boniface Harera"/>
    <n v="156"/>
    <s v="F16158"/>
    <s v="OM"/>
    <n v="448"/>
    <n v="447"/>
    <n v="-1"/>
    <m/>
    <d v="2024-03-24T09:35:00"/>
    <d v="2024-03-24T04:14:00"/>
    <d v="2024-03-24T10:01:00"/>
    <n v="345.39351851805503"/>
    <n v="25.879629630556639"/>
    <x v="0"/>
    <d v="2024-03-24T14:09:00"/>
    <d v="2024-03-24T16:43:00"/>
    <n v="150.79166666575475"/>
    <m/>
    <d v="2024-03-26T09:06:00"/>
    <d v="2024-03-26T10:15:00"/>
    <n v="67.56250000478758"/>
    <s v="sorting delays"/>
    <n v="1.9618055555547471"/>
    <n v="2"/>
    <n v="3.8194444445252884E-2"/>
    <n v="47.083333333313931"/>
    <n v="12"/>
    <n v="35.083333333313931"/>
    <n v="4.4465558194798938"/>
    <m/>
    <m/>
    <m/>
    <m/>
    <m/>
  </r>
  <r>
    <d v="2025-03-29T00:00:00"/>
    <x v="2"/>
    <s v="KESH"/>
    <s v="Z83302"/>
    <s v="Manual"/>
    <x v="10"/>
    <s v="UBG 084B"/>
    <s v="Kobusinge Steven-Kamwenge"/>
    <n v="156"/>
    <s v="Z83302"/>
    <s v="OM"/>
    <n v="288"/>
    <n v="287"/>
    <n v="-1"/>
    <m/>
    <d v="2024-03-24T04:14:54"/>
    <d v="2024-03-24T03:30:54"/>
    <d v="2024-03-24T04:42:54"/>
    <n v="71.666666660409348"/>
    <n v="27.870370367357584"/>
    <x v="0"/>
    <d v="2024-03-24T03:42:54"/>
    <d v="2024-03-24T16:42:54"/>
    <n v="763.7499999965803"/>
    <s v="less casuals and offloaded the next day"/>
    <d v="2024-03-25T16:42:54"/>
    <d v="2024-03-25T17:22:54"/>
    <n v="39.166666671226267"/>
    <m/>
    <n v="1.5"/>
    <n v="2"/>
    <n v="0.5"/>
    <n v="36"/>
    <n v="12"/>
    <n v="24"/>
    <n v="6.5"/>
    <m/>
    <m/>
    <m/>
    <m/>
    <m/>
  </r>
  <r>
    <d v="2025-03-29T00:00:00"/>
    <x v="2"/>
    <s v="KESH"/>
    <s v="Z83305"/>
    <s v="Manual"/>
    <x v="10"/>
    <s v="UBR 903Y"/>
    <s v="Kobusinge Steven-Kamwenge"/>
    <n v="156"/>
    <s v="Z83305"/>
    <s v="OM"/>
    <n v="288"/>
    <n v="287"/>
    <n v="-1"/>
    <m/>
    <d v="2025-03-24T04:24:39"/>
    <d v="2025-03-24T03:42:39"/>
    <d v="2025-03-24T04:50:39"/>
    <n v="67.685185186807459"/>
    <n v="25.879629630556639"/>
    <x v="0"/>
    <d v="2025-03-25T06:35:39"/>
    <d v="2025-03-25T10:56:39"/>
    <n v="255.56249999179272"/>
    <s v="Waited for empties from trade"/>
    <d v="2025-03-26T20:03:00"/>
    <d v="2025-03-26T21:02:00"/>
    <n v="57.770833336981013"/>
    <m/>
    <n v="2.6335763888928341"/>
    <n v="2"/>
    <n v="-0.63357638889283407"/>
    <n v="63.205833333428018"/>
    <n v="24"/>
    <n v="39.205833333428018"/>
    <n v="3.9789997236709653"/>
    <m/>
    <m/>
    <m/>
    <m/>
    <m/>
  </r>
  <r>
    <d v="2025-03-29T00:00:00"/>
    <x v="2"/>
    <s v="KESH"/>
    <s v="A21743"/>
    <s v="Manual"/>
    <x v="38"/>
    <s v="UBK 862R"/>
    <s v="Kato Investments Ltd- Kakumiro"/>
    <n v="70.8"/>
    <s v="A21743"/>
    <s v="OM"/>
    <n v="790"/>
    <n v="788"/>
    <n v="-2"/>
    <m/>
    <d v="2024-03-23T14:33:00"/>
    <d v="2024-03-23T21:00:00"/>
    <d v="2024-03-23T15:00:00"/>
    <n v="-358.33333333333331"/>
    <n v="26.87500000417155"/>
    <x v="0"/>
    <d v="2024-03-26T08:44:00"/>
    <d v="2024-03-26T14:17:00"/>
    <n v="326.06249999589636"/>
    <s v="Waited for empties from trade"/>
    <d v="2024-03-24T19:42:00"/>
    <d v="2024-03-24T20:33:00"/>
    <n v="49.93749999863212"/>
    <m/>
    <n v="1.1958333333313931"/>
    <n v="3"/>
    <n v="1.8041666666686069"/>
    <n v="28.699999999953434"/>
    <n v="12"/>
    <n v="16.699999999953434"/>
    <n v="4.2395209580956532"/>
    <m/>
    <m/>
    <m/>
    <m/>
    <m/>
  </r>
  <r>
    <d v="2025-03-29T00:00:00"/>
    <x v="2"/>
    <s v="KESH"/>
    <s v="Z83301"/>
    <s v="Manual"/>
    <x v="10"/>
    <s v="UBR 863Y"/>
    <s v="Rugoma Traders-Rukungiri"/>
    <n v="148.80000000000001"/>
    <s v="Z83301"/>
    <s v="OM"/>
    <n v="256"/>
    <n v="255"/>
    <n v="-1"/>
    <m/>
    <d v="2024-03-24T13:52:00"/>
    <d v="2024-03-23T09:00:00"/>
    <d v="2024-03-24T14:19:00"/>
    <n v="1750.8564814840308"/>
    <n v="26.87500000417155"/>
    <x v="0"/>
    <d v="2024-03-25T03:40:00"/>
    <d v="2024-03-25T13:45:00"/>
    <n v="592.39583332535403"/>
    <s v="found another truck to be offloaded"/>
    <d v="2024-03-25T18:43:00"/>
    <d v="2024-03-25T19:23:00"/>
    <n v="39.166666671226267"/>
    <m/>
    <n v="1.1833333333343035"/>
    <n v="2"/>
    <n v="0.81666666666569654"/>
    <n v="28.400000000023283"/>
    <n v="12"/>
    <n v="16.400000000023283"/>
    <n v="9.0731707316944359"/>
    <m/>
    <m/>
    <m/>
    <m/>
    <m/>
  </r>
  <r>
    <d v="2025-03-29T00:00:00"/>
    <x v="2"/>
    <s v="KESH"/>
    <s v="A21741"/>
    <s v="Manual"/>
    <x v="10"/>
    <s v="UBJ 421C"/>
    <s v="KATO INVESTMENTS LTD-KATIKARA"/>
    <n v="141.6"/>
    <s v="A21741"/>
    <s v="OM"/>
    <n v="790"/>
    <n v="789"/>
    <n v="-1"/>
    <m/>
    <d v="2025-03-24T19:08:00"/>
    <d v="2025-03-24T19:30:00"/>
    <d v="2025-03-24T19:35:00"/>
    <n v="4.9768518472167971"/>
    <n v="26.87500000417155"/>
    <x v="0"/>
    <d v="2025-03-25T14:10:00"/>
    <d v="2025-03-25T17:00:00"/>
    <n v="166.45833333219343"/>
    <m/>
    <d v="2025-03-25T20:03:00"/>
    <d v="2025-03-25T21:02:00"/>
    <n v="57.770833336981013"/>
    <m/>
    <n v="1.0194444444496185"/>
    <n v="3"/>
    <n v="1.9805555555503815"/>
    <n v="24.466666666790843"/>
    <n v="12"/>
    <n v="12.466666666790843"/>
    <n v="11.358288769940339"/>
    <m/>
    <m/>
    <m/>
    <m/>
    <m/>
  </r>
  <r>
    <d v="2025-03-29T00:00:00"/>
    <x v="2"/>
    <s v="KESH"/>
    <s v="A21747"/>
    <s v="Manual"/>
    <x v="33"/>
    <s v="UBR 541W"/>
    <s v="Kato Investment Ltd -Mityana"/>
    <n v="141.6"/>
    <s v="A21747"/>
    <s v="OM"/>
    <n v="690"/>
    <n v="689"/>
    <n v="-1"/>
    <m/>
    <d v="2024-03-25T18:55:00"/>
    <d v="2024-03-25T03:43:00"/>
    <d v="2024-03-25T19:22:00"/>
    <n v="934.65277776873938"/>
    <n v="26.87500000417155"/>
    <x v="0"/>
    <d v="2024-03-26T20:35:00"/>
    <d v="2024-03-27T14:20:00"/>
    <n v="1042.8124999931606"/>
    <s v="Waited for empties from trade"/>
    <d v="2024-03-28T03:26:00"/>
    <d v="2024-03-28T04:16:00"/>
    <n v="48.958333328773733"/>
    <m/>
    <n v="2.336111111115315"/>
    <n v="3"/>
    <n v="0.663888888884685"/>
    <n v="56.06666666676756"/>
    <n v="24"/>
    <n v="32.06666666676756"/>
    <n v="4.4158004157865216"/>
    <m/>
    <m/>
    <m/>
    <m/>
    <m/>
  </r>
  <r>
    <d v="2025-03-29T00:00:00"/>
    <x v="2"/>
    <s v="KESH"/>
    <s v="Z83303"/>
    <s v="Manual"/>
    <x v="55"/>
    <s v="UBJ 417C"/>
    <s v="Kobusinge Steven-FPortal"/>
    <n v="156"/>
    <s v="Z83303"/>
    <s v="OM"/>
    <n v="304"/>
    <n v="303"/>
    <n v="-1"/>
    <m/>
    <d v="2025-03-25T08:12:00"/>
    <d v="2025-03-25T07:30:00"/>
    <d v="2025-03-25T08:38:00"/>
    <n v="67.685185186807459"/>
    <n v="25.879629630556639"/>
    <x v="0"/>
    <d v="2025-03-26T09:53:00"/>
    <d v="2025-03-26T14:39:00"/>
    <n v="280.04166666643869"/>
    <s v="Waited for empties from trade"/>
    <d v="2025-03-27T20:03:00"/>
    <d v="2025-03-27T20:46:00"/>
    <n v="42.104166670542327"/>
    <m/>
    <n v="2.4756944444452529"/>
    <n v="2"/>
    <n v="-0.47569444444525288"/>
    <n v="59.416666666686069"/>
    <n v="24"/>
    <n v="35.416666666686069"/>
    <n v="4.4047058823505285"/>
    <m/>
    <m/>
    <m/>
    <m/>
    <m/>
  </r>
  <r>
    <d v="2025-03-29T00:00:00"/>
    <x v="2"/>
    <s v="KESH"/>
    <s v="A21738"/>
    <s v="Manual"/>
    <x v="48"/>
    <s v="UBM 644D"/>
    <s v="Sawan Distributors Ltd-Nabingo"/>
    <n v="78"/>
    <s v="A21738"/>
    <s v="OM"/>
    <n v="560"/>
    <n v="557"/>
    <n v="-3"/>
    <m/>
    <d v="2024-03-25T21:32:00"/>
    <d v="2024-03-26T04:14:00"/>
    <d v="2024-03-25T21:58:00"/>
    <n v="-374.25925925902749"/>
    <n v="25.879629630556639"/>
    <x v="0"/>
    <d v="2024-03-26T13:25:00"/>
    <d v="2024-03-26T18:52:00"/>
    <n v="320.18749999726424"/>
    <s v="Waited for empties from trade"/>
    <d v="2024-03-28T03:14:00"/>
    <d v="2024-03-28T04:12:00"/>
    <n v="56.791666667122627"/>
    <m/>
    <n v="2.2194444444467081"/>
    <n v="2"/>
    <n v="-0.21944444444670808"/>
    <n v="53.266666666720994"/>
    <n v="24"/>
    <n v="29.266666666720994"/>
    <n v="2.6651480637763738"/>
    <m/>
    <m/>
    <m/>
    <m/>
    <m/>
  </r>
  <r>
    <d v="2025-03-29T00:00:00"/>
    <x v="2"/>
    <s v="KESH"/>
    <s v="Z83306"/>
    <s v="Manual"/>
    <x v="44"/>
    <s v="UBE 684K"/>
    <s v="Kobusinge Steven-FPortal"/>
    <n v="156"/>
    <s v="Z83306"/>
    <s v="OM"/>
    <n v="304"/>
    <n v="301"/>
    <n v="-3"/>
    <m/>
    <d v="2024-03-25T15:10:00"/>
    <d v="2024-03-26T06:15:00"/>
    <d v="2024-03-25T16:04:00"/>
    <n v="-847.06018518263591"/>
    <n v="53.749999997914223"/>
    <x v="13"/>
    <d v="2024-03-25T17:51:00"/>
    <d v="2024-03-26T03:46:00"/>
    <n v="582.60416666780657"/>
    <s v="Waited for empties from trade"/>
    <d v="2024-03-27T13:25:00"/>
    <d v="2024-03-27T14:25:00"/>
    <n v="58.7499999965803"/>
    <m/>
    <n v="1.8895833333372138"/>
    <n v="2"/>
    <n v="0.11041666666278616"/>
    <n v="45.350000000093132"/>
    <n v="12"/>
    <n v="33.350000000093132"/>
    <n v="4.6776611694022296"/>
    <m/>
    <m/>
    <m/>
    <m/>
    <m/>
  </r>
  <r>
    <d v="2025-03-29T00:00:00"/>
    <x v="2"/>
    <s v="KESH"/>
    <s v="A21742"/>
    <s v="Manual"/>
    <x v="10"/>
    <s v="UBR 880Y"/>
    <s v="Kato Investment Ltd -Kagadi"/>
    <n v="148.80000000000001"/>
    <s v="A21742"/>
    <s v="OM"/>
    <n v="670"/>
    <n v="671"/>
    <n v="1"/>
    <m/>
    <d v="2024-03-26T10:21:00"/>
    <d v="2024-03-26T04:14:00"/>
    <d v="2024-03-26T10:48:00"/>
    <n v="392.17592592152261"/>
    <n v="26.87500000417155"/>
    <x v="0"/>
    <d v="2024-03-26T16:29:00"/>
    <d v="2024-03-27T03:56:00"/>
    <n v="672.68750000752334"/>
    <s v="truck faulty"/>
    <d v="2024-03-27T16:20:00"/>
    <d v="2024-03-27T17:00:00"/>
    <n v="39.166666671226267"/>
    <s v="offloading delays"/>
    <n v="1.2305555555576575"/>
    <n v="2"/>
    <n v="0.7694444444423425"/>
    <n v="29.53333333338378"/>
    <n v="12"/>
    <n v="17.53333333338378"/>
    <n v="8.4866920151847083"/>
    <m/>
    <m/>
    <m/>
    <m/>
    <m/>
  </r>
  <r>
    <d v="2025-03-29T00:00:00"/>
    <x v="2"/>
    <s v="KESH"/>
    <s v="Z83308"/>
    <s v="Manual"/>
    <x v="10"/>
    <s v="UBP 304H"/>
    <s v="Kobusinge Acaali- Kyenjojo"/>
    <n v="156"/>
    <s v="Z83308"/>
    <s v="OM"/>
    <n v="580"/>
    <n v="579"/>
    <n v="-1"/>
    <m/>
    <d v="2025-03-27T18:54:00"/>
    <d v="2025-03-27T02:22:00"/>
    <d v="2025-03-27T19:21:00"/>
    <n v="1014.2824074076392"/>
    <n v="26.87500000417155"/>
    <x v="0"/>
    <d v="2025-03-30T14:34:00"/>
    <d v="2025-03-30T19:38:00"/>
    <n v="297.66666667259415"/>
    <s v="less casuals and offloaded the next day"/>
    <d v="2025-03-28T20:03:00"/>
    <d v="2025-03-28T20:54:00"/>
    <n v="49.93749999863212"/>
    <m/>
    <n v="1.0291666666671517"/>
    <n v="2"/>
    <n v="0.97083333333284827"/>
    <n v="24.700000000011642"/>
    <n v="12"/>
    <n v="12.700000000011642"/>
    <n v="12.283464566917875"/>
    <m/>
    <m/>
    <m/>
    <m/>
    <m/>
  </r>
  <r>
    <d v="2025-03-29T00:00:00"/>
    <x v="2"/>
    <s v="NBL"/>
    <s v="Z83299"/>
    <s v="Manual"/>
    <x v="10"/>
    <s v="UBE 422T"/>
    <s v="Kabaco U Ltd"/>
    <n v="153.6"/>
    <s v="Z83299"/>
    <s v="OM"/>
    <n v="320"/>
    <n v="319"/>
    <n v="-1"/>
    <m/>
    <d v="2025-03-28T17:27:00"/>
    <d v="2025-03-27T02:22:00"/>
    <d v="2025-03-28T17:53:00"/>
    <n v="2360.0231481444403"/>
    <n v="25.879629630556639"/>
    <x v="0"/>
    <d v="2025-03-29T15:59:00"/>
    <d v="2025-03-29T18:03:00"/>
    <n v="121.41666666233505"/>
    <m/>
    <d v="2025-03-30T20:03:00"/>
    <d v="2025-03-30T20:59:00"/>
    <n v="54.833333337664953"/>
    <m/>
    <n v="2.0902777777810115"/>
    <n v="2"/>
    <n v="-9.0277777781011537E-2"/>
    <n v="50.166666666744277"/>
    <n v="24"/>
    <n v="26.166666666744277"/>
    <n v="5.8700636942501054"/>
    <m/>
    <m/>
    <m/>
    <m/>
    <m/>
  </r>
  <r>
    <d v="2025-03-29T00:00:00"/>
    <x v="2"/>
    <s v="NBL"/>
    <s v="Z83300"/>
    <s v="Manual"/>
    <x v="10"/>
    <s v="UBE 419T"/>
    <s v="Kabaco U Ltd"/>
    <n v="153.6"/>
    <s v="Z83300"/>
    <s v="OM"/>
    <n v="320"/>
    <n v="317"/>
    <n v="-3"/>
    <m/>
    <d v="2024-03-27T17:23:00"/>
    <d v="2024-03-27T07:42:00"/>
    <d v="2024-03-27T17:51:00"/>
    <n v="606.18055556042236"/>
    <n v="27.870370367357584"/>
    <x v="0"/>
    <d v="2024-03-28T13:56:00"/>
    <d v="2024-03-28T17:57:00"/>
    <n v="235.97916666643869"/>
    <s v="Not enough casuals to offload"/>
    <d v="2024-03-29T16:59:00"/>
    <d v="2024-03-29T17:39:00"/>
    <n v="39.166666671226267"/>
    <m/>
    <n v="1.9638888888875954"/>
    <n v="2"/>
    <n v="3.6111111112404615E-2"/>
    <n v="47.133333333302289"/>
    <n v="12"/>
    <n v="35.133333333302289"/>
    <n v="4.3719165085427623"/>
    <m/>
    <m/>
    <m/>
    <m/>
    <m/>
  </r>
  <r>
    <d v="2025-03-29T00:00:00"/>
    <x v="2"/>
    <s v="KESH"/>
    <s v="Z83307"/>
    <s v="Manual"/>
    <x v="32"/>
    <s v="UBJ 703D"/>
    <s v="Kobusinge Steven-FPortal"/>
    <n v="10.08"/>
    <s v="Z83307"/>
    <s v="OM"/>
    <n v="304"/>
    <n v="303"/>
    <n v="-1"/>
    <m/>
    <d v="2024-03-27T18:56:00"/>
    <d v="2024-03-26T22:30:00"/>
    <d v="2024-03-27T19:22:00"/>
    <n v="1246.2037036986051"/>
    <n v="25.879629630556639"/>
    <x v="0"/>
    <d v="2024-03-28T14:37:00"/>
    <d v="2024-03-28T19:39:00"/>
    <n v="295.70833333287737"/>
    <s v="Waited for empties from trade"/>
    <d v="2024-03-30T18:51:00"/>
    <d v="2024-03-30T19:43:00"/>
    <n v="50.916666668490507"/>
    <m/>
    <n v="2.9784722222248092"/>
    <n v="2"/>
    <n v="-0.97847222222480923"/>
    <n v="71.483333333395422"/>
    <n v="24"/>
    <n v="47.483333333395422"/>
    <n v="0.2122850122847347"/>
    <m/>
    <m/>
    <m/>
    <m/>
    <m/>
  </r>
  <r>
    <d v="2025-03-29T00:00:00"/>
    <x v="2"/>
    <s v="NBL"/>
    <s v="Z83298"/>
    <s v="Manual"/>
    <x v="10"/>
    <s v="UBJ 988D"/>
    <s v="Kabaco U Ltd"/>
    <n v="153.6"/>
    <s v="Z83298"/>
    <s v="OM"/>
    <n v="320"/>
    <n v="319"/>
    <n v="-1"/>
    <m/>
    <d v="2024-03-27T15:47:00"/>
    <d v="2024-03-26T08:30:00"/>
    <d v="2024-03-27T16:13:00"/>
    <n v="1894.1898148152784"/>
    <n v="25.879629630556639"/>
    <x v="0"/>
    <d v="2024-03-28T12:21:00"/>
    <d v="2024-03-28T16:22:00"/>
    <n v="235.97916666643869"/>
    <s v="found another truck to be offloaded"/>
    <d v="2024-03-29T16:26:00"/>
    <d v="2024-03-29T17:24:00"/>
    <n v="56.791666667122627"/>
    <m/>
    <n v="2.0090277777781012"/>
    <n v="2"/>
    <n v="-9.0277777781011537E-3"/>
    <n v="48.216666666674428"/>
    <n v="24"/>
    <n v="24.216666666674428"/>
    <n v="6.3427391603558476"/>
    <m/>
    <m/>
    <m/>
    <m/>
    <m/>
  </r>
  <r>
    <d v="2025-03-30T00:00:00"/>
    <x v="2"/>
    <s v="KESH"/>
    <s v="Z83316"/>
    <s v="Manual"/>
    <x v="53"/>
    <s v="UBR 860Y"/>
    <s v="Kobusinge Steven-FPortal"/>
    <n v="78"/>
    <s v="Z83316"/>
    <s v="OM"/>
    <n v="304"/>
    <n v="303"/>
    <n v="-1"/>
    <m/>
    <d v="2025-03-29T09:18:00"/>
    <d v="2025-03-28T19:30:00"/>
    <d v="2025-03-29T09:45:00"/>
    <n v="851.04166666666663"/>
    <n v="26.87500000417155"/>
    <x v="0"/>
    <d v="2025-03-29T18:18:00"/>
    <d v="2025-03-29T21:06:00"/>
    <n v="164.50000000273576"/>
    <m/>
    <d v="2025-03-31T08:02:00"/>
    <d v="2025-03-31T08:42:00"/>
    <n v="39.166666671226267"/>
    <s v="offloading delays"/>
    <n v="1.9284722222218988"/>
    <n v="2"/>
    <n v="7.1527777778101154E-2"/>
    <n v="46.283333333325572"/>
    <n v="12"/>
    <n v="34.283333333325572"/>
    <n v="2.275157997083646"/>
    <m/>
    <m/>
    <m/>
    <m/>
    <m/>
  </r>
  <r>
    <d v="2025-03-30T00:00:00"/>
    <x v="2"/>
    <s v="NBL"/>
    <s v="Z83324"/>
    <s v="Manual"/>
    <x v="10"/>
    <s v="UBE 419T"/>
    <s v="Rugoma Traders-Rukungiri"/>
    <n v="50.4"/>
    <s v="Z83324"/>
    <s v="OM"/>
    <n v="256"/>
    <n v="255"/>
    <n v="-1"/>
    <m/>
    <d v="2025-03-29T08:31:00"/>
    <d v="2025-03-29T07:30:00"/>
    <d v="2025-03-29T08:58:00"/>
    <n v="87.592592596532384"/>
    <n v="26.87500000417155"/>
    <x v="0"/>
    <d v="2025-03-30T08:58:00"/>
    <d v="2025-03-30T15:19:00"/>
    <n v="373.06249999521242"/>
    <s v="Waited for empties from trade"/>
    <d v="2025-03-31T20:03:00"/>
    <d v="2025-03-31T20:55:00"/>
    <n v="50.916666668490507"/>
    <m/>
    <n v="2.4618055555547471"/>
    <n v="2"/>
    <n v="-0.46180555555474712"/>
    <n v="59.083333333313931"/>
    <n v="24"/>
    <n v="35.083333333313931"/>
    <n v="1.4365795724473502"/>
    <m/>
    <m/>
    <m/>
    <m/>
    <m/>
  </r>
  <r>
    <d v="2025-03-30T00:00:00"/>
    <x v="2"/>
    <s v="KESH"/>
    <s v="A21753"/>
    <s v="Manual"/>
    <x v="10"/>
    <s v="UBR 538W"/>
    <s v="KATO INVESTMENTS LTD-KATIKARA"/>
    <n v="156"/>
    <s v="A21753"/>
    <s v="OM"/>
    <n v="790"/>
    <n v="789"/>
    <n v="-1"/>
    <m/>
    <d v="2024-03-29T08:11:00"/>
    <d v="2024-03-29T07:30:00"/>
    <d v="2024-03-29T08:38:00"/>
    <n v="67.685185186807459"/>
    <n v="26.87500000417155"/>
    <x v="0"/>
    <d v="2024-03-30T08:38:00"/>
    <d v="2024-03-31T13:53:00"/>
    <n v="1718.4375"/>
    <s v="truck faulty"/>
    <d v="2024-03-31T12:41:00"/>
    <d v="2024-03-31T13:40:00"/>
    <n v="57.770833336981013"/>
    <m/>
    <n v="2.1687499999970896"/>
    <n v="3"/>
    <n v="0.83125000000291038"/>
    <n v="52.049999999930151"/>
    <n v="24"/>
    <n v="28.049999999930151"/>
    <n v="5.5614973262170579"/>
    <m/>
    <m/>
    <m/>
    <m/>
    <m/>
  </r>
  <r>
    <d v="2025-03-30T00:00:00"/>
    <x v="2"/>
    <s v="KESH"/>
    <s v="F16160"/>
    <s v="Manual"/>
    <x v="49"/>
    <s v="UBR 539W"/>
    <s v="Boniface Harera"/>
    <n v="156"/>
    <s v="F16160"/>
    <s v="OM"/>
    <n v="448"/>
    <n v="447"/>
    <n v="-1"/>
    <m/>
    <d v="2025-03-30T06:22:00"/>
    <d v="2025-03-30T06:15:00"/>
    <d v="2025-03-30T06:49:00"/>
    <n v="33.842592598618161"/>
    <n v="26.87500000417155"/>
    <x v="0"/>
    <d v="2025-03-30T09:28:00"/>
    <d v="2025-03-30T12:13:00"/>
    <n v="161.5625000034197"/>
    <m/>
    <d v="2025-03-31T20:43:00"/>
    <d v="2025-03-31T21:23:00"/>
    <n v="39.166666671226267"/>
    <m/>
    <n v="1.5791666666627862"/>
    <n v="2"/>
    <n v="0.42083333333721384"/>
    <n v="37.899999999906868"/>
    <n v="12"/>
    <n v="25.899999999906868"/>
    <n v="6.0231660231876818"/>
    <m/>
    <m/>
    <m/>
    <m/>
    <m/>
  </r>
  <r>
    <d v="2025-03-30T00:00:00"/>
    <x v="2"/>
    <s v="KESH"/>
    <s v="A21754"/>
    <s v="Manual"/>
    <x v="10"/>
    <s v="UBR 899Y"/>
    <s v="KATO INVESTMENTS LTD-KATIKARA"/>
    <n v="156"/>
    <s v="A21754"/>
    <s v="OM"/>
    <n v="790"/>
    <n v="787"/>
    <n v="-3"/>
    <m/>
    <d v="2024-03-30T08:40:23"/>
    <d v="2024-03-30T07:50:23"/>
    <d v="2024-03-30T09:07:23"/>
    <n v="76.643518518055018"/>
    <n v="26.87500000417155"/>
    <x v="0"/>
    <d v="2024-03-30T12:20:23"/>
    <d v="2024-03-30T17:12:23"/>
    <n v="285.91666666507081"/>
    <s v="Not enough casuals to offload"/>
    <d v="2024-03-31T19:52:23"/>
    <d v="2024-03-31T20:50:23"/>
    <n v="56.791666667122627"/>
    <m/>
    <n v="1.4479166666715173"/>
    <n v="3"/>
    <n v="1.5520833333284827"/>
    <n v="34.750000000116415"/>
    <n v="12"/>
    <n v="22.750000000116415"/>
    <n v="6.8571428571077684"/>
    <m/>
    <m/>
    <m/>
    <m/>
    <m/>
  </r>
  <r>
    <d v="2025-03-30T00:00:00"/>
    <x v="2"/>
    <s v="KESH"/>
    <s v="Z83338"/>
    <s v="Manual"/>
    <x v="10"/>
    <s v="UBR 864Y"/>
    <s v="Kobusinge Steven-Kamwenge"/>
    <n v="156"/>
    <s v="Z83338"/>
    <s v="OM"/>
    <n v="288"/>
    <n v="285"/>
    <n v="-3"/>
    <m/>
    <d v="2025-03-30T08:24:46"/>
    <d v="2025-03-30T07:55:46"/>
    <d v="2025-03-30T09:03:46"/>
    <n v="67.685185186807459"/>
    <n v="38.819444445834961"/>
    <x v="9"/>
    <d v="2025-03-30T15:16:46"/>
    <d v="2025-03-30T17:24:46"/>
    <n v="125.33333333150949"/>
    <m/>
    <d v="2025-03-31T20:23:00"/>
    <d v="2025-03-31T21:21:00"/>
    <n v="56.791666667122627"/>
    <m/>
    <n v="1.4716898148180917"/>
    <n v="2"/>
    <n v="0.52831018518190831"/>
    <n v="35.320555555634201"/>
    <n v="12"/>
    <n v="23.320555555634201"/>
    <n v="6.6893775162363447"/>
    <m/>
    <m/>
    <m/>
    <m/>
    <m/>
  </r>
  <r>
    <d v="2025-03-30T00:00:00"/>
    <x v="2"/>
    <s v="KESH"/>
    <s v="Z83344"/>
    <s v="Manual"/>
    <x v="55"/>
    <s v="UBJ 417C"/>
    <s v="Kabaco U Ltd"/>
    <n v="156"/>
    <s v="Z83344"/>
    <s v="OM"/>
    <n v="320"/>
    <n v="318"/>
    <n v="-2"/>
    <m/>
    <d v="2025-03-30T09:48:00"/>
    <d v="2025-03-29T20:30:00"/>
    <d v="2025-03-30T10:14:00"/>
    <n v="820.18518518889323"/>
    <n v="25.879629630556639"/>
    <x v="0"/>
    <d v="2025-03-31T09:52:00"/>
    <d v="2025-03-31T12:46:00"/>
    <n v="170.37500000136788"/>
    <m/>
    <d v="2025-03-31T20:03:00"/>
    <d v="2025-03-31T20:57:00"/>
    <n v="52.87499999794818"/>
    <m/>
    <n v="1.4090277777795563"/>
    <n v="2"/>
    <n v="0.59097222222044365"/>
    <n v="33.816666666709352"/>
    <n v="12"/>
    <n v="21.816666666709352"/>
    <n v="7.1504965622472776"/>
    <m/>
    <m/>
    <m/>
    <m/>
    <m/>
  </r>
  <r>
    <d v="2025-03-30T00:00:00"/>
    <x v="2"/>
    <s v="KESH"/>
    <s v="F16166"/>
    <s v="Manual"/>
    <x v="10"/>
    <s v="UBP 998T"/>
    <s v="Boniface Harera"/>
    <n v="156"/>
    <s v="F16166"/>
    <s v="OM"/>
    <n v="448"/>
    <n v="445"/>
    <n v="-3"/>
    <m/>
    <d v="2025-03-30T09:38:58"/>
    <d v="2025-03-30T08:57:58"/>
    <d v="2025-03-30T10:05:58"/>
    <n v="67.685185186807459"/>
    <n v="26.87500000417155"/>
    <x v="0"/>
    <d v="2025-03-31T08:35:58"/>
    <d v="2025-03-31T15:03:58"/>
    <n v="379.91666666370293"/>
    <s v="Waited for empties from trade"/>
    <d v="2025-03-31T20:33:00"/>
    <d v="2025-03-31T21:13:00"/>
    <n v="39.166666671226267"/>
    <m/>
    <n v="1.4354398148134351"/>
    <n v="2"/>
    <n v="0.56456018518656492"/>
    <n v="34.450555555522442"/>
    <n v="12"/>
    <n v="22.450555555522442"/>
    <n v="6.9486031031257376"/>
    <m/>
    <m/>
    <m/>
    <m/>
    <m/>
  </r>
  <r>
    <d v="2025-03-30T00:00:00"/>
    <x v="2"/>
    <s v="KESH"/>
    <s v="A21784"/>
    <s v="Manual"/>
    <x v="10"/>
    <s v="UBJ 423C"/>
    <s v="Kato Investments Ltd-Bulenga"/>
    <n v="156"/>
    <s v="A21784"/>
    <s v="OM"/>
    <n v="560"/>
    <n v="559"/>
    <n v="-1"/>
    <m/>
    <d v="2024-03-30T08:10:00"/>
    <d v="2024-03-30T07:30:00"/>
    <d v="2024-03-30T08:38:00"/>
    <n v="67.685185186807459"/>
    <n v="27.870370367357584"/>
    <x v="0"/>
    <d v="2024-12-01T14:38:00"/>
    <d v="2024-12-01T18:30:00"/>
    <n v="227.16666666849051"/>
    <s v="Waited for empties from trade"/>
    <d v="2024-03-31T18:01:12"/>
    <d v="2024-03-31T18:53:12"/>
    <n v="50.916666668490507"/>
    <m/>
    <n v="1.3911111111083301"/>
    <n v="3"/>
    <n v="1.6088888888916699"/>
    <n v="33.386666666599922"/>
    <n v="12"/>
    <n v="21.386666666599922"/>
    <n v="7.2942643391748838"/>
    <m/>
    <m/>
    <m/>
    <m/>
    <m/>
  </r>
  <r>
    <d v="2025-03-30T00:00:00"/>
    <x v="2"/>
    <s v="KESH"/>
    <s v="A21786"/>
    <s v="Manual"/>
    <x v="30"/>
    <s v="UBR 540W"/>
    <s v="Kato Investment Ltd -Mubende"/>
    <n v="156"/>
    <s v="A21786"/>
    <s v="OM"/>
    <n v="680"/>
    <n v="679"/>
    <n v="-1"/>
    <m/>
    <d v="2024-03-30T08:16:00"/>
    <d v="2024-03-30T07:30:00"/>
    <d v="2024-03-30T08:42:00"/>
    <n v="71.666666670838211"/>
    <n v="25.879629630556639"/>
    <x v="0"/>
    <d v="2024-03-30T03:55:00"/>
    <d v="2024-03-30T16:18:00"/>
    <n v="727.52083333492919"/>
    <s v="Reached late and offloaded the next day"/>
    <d v="2024-04-01T18:58:00"/>
    <d v="2024-04-01T19:38:00"/>
    <n v="39.166666671226267"/>
    <s v="offloading delays"/>
    <n v="2.4277777777751908"/>
    <n v="3"/>
    <n v="0.57222222222480923"/>
    <n v="58.266666666604578"/>
    <n v="24"/>
    <n v="34.266666666604578"/>
    <n v="4.5525291828876266"/>
    <m/>
    <m/>
    <m/>
    <m/>
    <m/>
  </r>
  <r>
    <d v="2025-03-30T00:00:00"/>
    <x v="2"/>
    <s v="KESH"/>
    <s v="A21776"/>
    <s v="Manual"/>
    <x v="10"/>
    <s v="UBR 880Y"/>
    <s v="Kato Investments Ltd- Kakumiro"/>
    <n v="156"/>
    <s v="A21776"/>
    <s v="OM"/>
    <n v="790"/>
    <n v="788"/>
    <n v="-2"/>
    <m/>
    <d v="2025-03-30T14:40:00"/>
    <d v="2025-03-30T21:55:00"/>
    <d v="2025-03-30T15:07:00"/>
    <n v="-406.11111111041583"/>
    <n v="26.87500000417155"/>
    <x v="0"/>
    <d v="2025-03-31T10:03:00"/>
    <d v="2025-03-31T16:21:00"/>
    <n v="370.12500000615546"/>
    <s v="found another truck to be offloaded"/>
    <d v="2025-04-01T20:03:00"/>
    <d v="2025-04-01T21:02:00"/>
    <n v="57.770833336981013"/>
    <m/>
    <n v="2.2055555555562023"/>
    <n v="3"/>
    <n v="0.79444444444379769"/>
    <n v="52.933333333348855"/>
    <n v="24"/>
    <n v="28.933333333348855"/>
    <n v="5.3917050691215316"/>
    <m/>
    <m/>
    <m/>
    <m/>
    <m/>
  </r>
  <r>
    <d v="2025-03-30T00:00:00"/>
    <x v="2"/>
    <s v="KESH"/>
    <s v="A21798"/>
    <s v="Manual"/>
    <x v="42"/>
    <s v="UBK 858R"/>
    <s v="Sawan Distributors Ltd-Nabingo"/>
    <n v="156"/>
    <s v="A21798"/>
    <s v="OM"/>
    <n v="560"/>
    <n v="558"/>
    <n v="-2"/>
    <m/>
    <d v="2025-03-30T22:24:00"/>
    <d v="2025-03-30T13:59:00"/>
    <d v="2025-03-30T22:51:00"/>
    <n v="529.53703703193844"/>
    <n v="26.87500000417155"/>
    <x v="0"/>
    <d v="2025-03-30T05:58:00"/>
    <d v="2025-03-30T08:46:00"/>
    <n v="164.50000000273576"/>
    <m/>
    <d v="2025-04-01T20:13:00"/>
    <d v="2025-04-01T20:53:00"/>
    <n v="39.166666671226267"/>
    <m/>
    <n v="1.8902777777839219"/>
    <n v="2"/>
    <n v="0.10972222221607808"/>
    <n v="45.366666666814126"/>
    <n v="12"/>
    <n v="33.366666666814126"/>
    <n v="4.6753246753040134"/>
    <m/>
    <m/>
    <m/>
    <m/>
    <m/>
  </r>
  <r>
    <d v="2025-03-30T00:00:00"/>
    <x v="2"/>
    <s v="KESH"/>
    <s v="A21777"/>
    <s v="Manual"/>
    <x v="33"/>
    <s v="UBR 541W"/>
    <s v="Kato Investments Ltd- Kyegegwa"/>
    <n v="156"/>
    <s v="A21777"/>
    <s v="OM"/>
    <n v="600"/>
    <n v="599"/>
    <n v="-1"/>
    <m/>
    <d v="2024-03-30T22:10:00"/>
    <d v="2024-03-30T15:48:00"/>
    <d v="2024-03-30T22:36:00"/>
    <n v="406.11111111041583"/>
    <n v="25.879629630556639"/>
    <x v="0"/>
    <d v="2024-12-02T00:20:00"/>
    <d v="2024-12-02T03:03:00"/>
    <n v="159.60416666370293"/>
    <m/>
    <d v="2024-04-02T16:39:00"/>
    <d v="2024-04-02T17:37:00"/>
    <n v="56.791666667122627"/>
    <m/>
    <n v="2.7520833333328483"/>
    <n v="2"/>
    <n v="-0.75208333333284827"/>
    <n v="66.049999999988358"/>
    <n v="24"/>
    <n v="42.049999999988358"/>
    <n v="3.7098692033303968"/>
    <m/>
    <m/>
    <m/>
    <m/>
    <m/>
  </r>
  <r>
    <d v="2025-04-02T00:00:00"/>
    <x v="3"/>
    <s v="KESH"/>
    <s v="OMHQ6LSRR"/>
    <s v="DJ"/>
    <x v="24"/>
    <s v="UBP 298H"/>
    <s v="Kato Investment Ltd -Mubende Tax No.: 1000098824"/>
    <n v="156"/>
    <s v="OMHQ6LSRR"/>
    <s v="OM"/>
    <n v="680"/>
    <n v="679"/>
    <n v="-1"/>
    <m/>
    <d v="2025-04-03T12:35:00"/>
    <d v="2025-04-01T22:30:00"/>
    <d v="2025-04-03T13:01:00"/>
    <n v="2300.3009259256942"/>
    <n v="25.879629630556639"/>
    <x v="0"/>
    <d v="2025-04-04T06:56:00"/>
    <d v="2025-04-04T13:57:00"/>
    <n v="412.22916666643869"/>
    <s v="Reached late and offloaded the next day"/>
    <d v="2025-04-05T08:25:00"/>
    <d v="2025-04-05T09:06:00"/>
    <n v="40.145833330825553"/>
    <m/>
    <n v="1.8083333333343035"/>
    <n v="3"/>
    <n v="1.1916666666656965"/>
    <n v="43.400000000023283"/>
    <n v="12"/>
    <n v="31.400000000023283"/>
    <n v="4.9681528662383547"/>
    <m/>
    <m/>
    <m/>
    <m/>
    <m/>
  </r>
  <r>
    <d v="2025-04-02T00:00:00"/>
    <x v="3"/>
    <s v="NBL"/>
    <s v="OMXFMKJRR"/>
    <m/>
    <x v="12"/>
    <s v="UBJ 415C"/>
    <s v="Kabaco U Ltd Tax No.: 1000025425"/>
    <n v="156"/>
    <s v="OMXFMKJRR"/>
    <s v="OM"/>
    <n v="304"/>
    <n v="302"/>
    <n v="-2"/>
    <m/>
    <d v="2025-04-03T13:53:00"/>
    <d v="2025-04-02T02:22:00"/>
    <d v="2025-04-03T14:19:00"/>
    <n v="2147.013888889584"/>
    <n v="25.879629630556639"/>
    <x v="0"/>
    <d v="2025-04-05T13:24:00"/>
    <d v="2025-04-05T15:29:00"/>
    <n v="122.39583333219343"/>
    <m/>
    <d v="2025-04-06T10:45:00"/>
    <d v="2025-04-06T11:34:00"/>
    <n v="47.979166669174447"/>
    <s v="found another truck waiting to offload"/>
    <n v="2.851388888884685"/>
    <n v="2"/>
    <n v="-0.851388888884685"/>
    <n v="68.43333333323244"/>
    <n v="24"/>
    <n v="44.43333333323244"/>
    <n v="3.5108777194378296"/>
    <m/>
    <m/>
    <m/>
    <m/>
    <m/>
  </r>
  <r>
    <d v="2025-04-02T00:00:00"/>
    <x v="3"/>
    <s v="NBL"/>
    <s v="OMTAMNERR"/>
    <m/>
    <x v="17"/>
    <s v="UBA 523T"/>
    <s v="Kabaco U Ltd-Mbarara Tax No.: 1000025425"/>
    <n v="153.6"/>
    <s v="OMTAMNERR"/>
    <s v="OM"/>
    <n v="20"/>
    <n v="21"/>
    <n v="1"/>
    <m/>
    <d v="2025-04-03T13:26:00"/>
    <d v="2025-04-02T07:42:00"/>
    <d v="2025-04-03T13:53:00"/>
    <n v="1802.615740745144"/>
    <n v="26.87500000417155"/>
    <x v="0"/>
    <d v="2025-04-02T19:16:00"/>
    <d v="2025-04-03T10:16:00"/>
    <n v="881.25"/>
    <s v="Waited for empties from trade"/>
    <d v="2025-04-03T11:13:00"/>
    <d v="2025-04-03T11:51:00"/>
    <n v="37.208333331509493"/>
    <m/>
    <n v="-0.11111111110949423"/>
    <n v="1"/>
    <n v="1.1111111111094942"/>
    <n v="-2.6666666666278616"/>
    <n v="-12"/>
    <n v="9.3333333333721384"/>
    <n v="16.457142857074434"/>
    <m/>
    <m/>
    <m/>
    <m/>
    <m/>
  </r>
  <r>
    <d v="2025-04-02T00:00:00"/>
    <x v="3"/>
    <s v="NBL"/>
    <s v="OMQQLOIRR"/>
    <m/>
    <x v="17"/>
    <s v="UBA 523T"/>
    <s v="Kabaco U Ltd-Mbarara Tax No.: 1000025425"/>
    <n v="153.6"/>
    <s v="OMQQLOIRR"/>
    <s v="OM"/>
    <n v="20"/>
    <n v="19"/>
    <n v="-1"/>
    <m/>
    <d v="2025-04-02T18:21:00"/>
    <d v="2025-04-02T11:52:00"/>
    <d v="2025-04-02T18:45:00"/>
    <n v="411.0879629680615"/>
    <n v="23.888888893755695"/>
    <x v="0"/>
    <d v="2025-04-03T14:37:00"/>
    <d v="2025-04-04T09:53:00"/>
    <n v="1131.9166666732781"/>
    <s v="truck faulty"/>
    <d v="2025-04-04T11:23:00"/>
    <d v="2025-04-04T12:04:00"/>
    <n v="40.145833330825553"/>
    <m/>
    <n v="1.6930555555591127"/>
    <n v="1"/>
    <n v="-0.69305555555911269"/>
    <n v="40.633333333418705"/>
    <n v="12"/>
    <n v="28.633333333418705"/>
    <n v="5.3643771827546693"/>
    <m/>
    <m/>
    <m/>
    <m/>
    <m/>
  </r>
  <r>
    <d v="2025-04-03T00:00:00"/>
    <x v="3"/>
    <s v="NBL"/>
    <s v="OMTMCRZRR"/>
    <m/>
    <x v="3"/>
    <s v="UBK 881R"/>
    <s v="KATO INVESTMENTS LIMITED-MASAK Tax No.: 1000098824"/>
    <n v="153.6"/>
    <s v="OMTMCRZRR"/>
    <s v="OM"/>
    <n v="596"/>
    <n v="595"/>
    <n v="-1"/>
    <m/>
    <d v="2025-04-05T12:51:00"/>
    <d v="2025-04-03T04:14:00"/>
    <d v="2025-04-05T13:15:00"/>
    <n v="3405.1620370402816"/>
    <n v="23.888888893755695"/>
    <x v="0"/>
    <d v="2025-04-05T18:54:00"/>
    <d v="2025-04-06T09:40:00"/>
    <n v="867.54166667327809"/>
    <s v="Reached late and offloaded the next day"/>
    <d v="2025-04-06T19:20:00"/>
    <d v="2025-04-06T20:11:00"/>
    <n v="49.93749999863212"/>
    <s v="Failed batteries at the gate"/>
    <n v="1.2534722222189885"/>
    <n v="2"/>
    <n v="0.74652777778101154"/>
    <n v="30.083333333255723"/>
    <n v="12"/>
    <n v="18.083333333255723"/>
    <n v="8.4940092166263153"/>
    <m/>
    <m/>
    <m/>
    <m/>
    <m/>
  </r>
  <r>
    <d v="2025-04-03T00:00:00"/>
    <x v="3"/>
    <s v="NBL"/>
    <s v="OM8WX4FRR"/>
    <m/>
    <x v="14"/>
    <s v="UBJ 988D"/>
    <s v="RUGOMA TRADERS CO. LTD NTUNGAM Tax No.: 1000249350"/>
    <n v="153.6"/>
    <s v="OM8WX4FRR"/>
    <s v="OM"/>
    <n v="150"/>
    <n v="149"/>
    <n v="-1"/>
    <m/>
    <d v="2025-04-04T08:50:00"/>
    <d v="2025-04-03T06:15:00"/>
    <d v="2025-04-04T09:32:00"/>
    <n v="1629.421296299309"/>
    <n v="41.805555556250816"/>
    <x v="9"/>
    <d v="2025-04-04T12:18:00"/>
    <d v="2025-04-04T17:31:00"/>
    <n v="306.47916667054233"/>
    <s v="found another truck to be offloaded"/>
    <d v="2025-04-04T20:14:00"/>
    <d v="2025-04-04T21:04:00"/>
    <n v="48.958333328773733"/>
    <s v="offloading delays"/>
    <n v="0.44583333333139308"/>
    <n v="1"/>
    <n v="0.55416666666860692"/>
    <n v="10.699999999953434"/>
    <n v="0"/>
    <n v="10.699999999953434"/>
    <n v="14.35514018697836"/>
    <m/>
    <m/>
    <m/>
    <m/>
    <m/>
  </r>
  <r>
    <d v="2025-04-03T00:00:00"/>
    <x v="3"/>
    <s v="NBL"/>
    <s v="OMYA2X2RR"/>
    <m/>
    <x v="20"/>
    <s v="UAY 265V"/>
    <s v="Rugoma Traders-Kanungu/Kihihi Tax No.: 1000249350"/>
    <n v="153.6"/>
    <s v="OMYA2X2RR"/>
    <s v="OM"/>
    <n v="272"/>
    <n v="271"/>
    <n v="-1"/>
    <m/>
    <d v="2025-04-03T14:24:00"/>
    <d v="2025-04-03T01:59:00"/>
    <d v="2025-04-03T14:51:00"/>
    <n v="768.42592592777999"/>
    <n v="26.87500000417155"/>
    <x v="0"/>
    <d v="2025-04-04T08:48:00"/>
    <d v="2025-04-04T14:03:00"/>
    <n v="308.4375"/>
    <s v="Waited for empties from trade"/>
    <d v="2025-04-05T08:13:00"/>
    <d v="2025-04-05T09:05:00"/>
    <n v="50.916666668490507"/>
    <s v="found another truck waiting to offload"/>
    <n v="1.7236111111124046"/>
    <n v="2"/>
    <n v="0.27638888888759539"/>
    <n v="41.366666666697711"/>
    <n v="12"/>
    <n v="29.366666666697711"/>
    <n v="5.2304199772929953"/>
    <m/>
    <m/>
    <m/>
    <m/>
    <m/>
  </r>
  <r>
    <d v="2025-04-03T00:00:00"/>
    <x v="3"/>
    <s v="NBL"/>
    <s v="OMC2LQYRR"/>
    <m/>
    <x v="4"/>
    <s v="UBE 422T"/>
    <s v="KATO INVESTMENTS LTD- KALISIZO Tax No.: 1000098824"/>
    <n v="153.6"/>
    <s v="OMC2LQYRR"/>
    <s v="OM"/>
    <n v="288"/>
    <n v="287"/>
    <n v="-1"/>
    <m/>
    <d v="2025-04-03T10:37:00"/>
    <d v="2025-04-03T03:43:00"/>
    <d v="2025-04-03T11:03:00"/>
    <n v="437.96296296180418"/>
    <n v="25.879629630556639"/>
    <x v="0"/>
    <d v="2025-04-03T16:12:00"/>
    <d v="2025-04-04T15:38:00"/>
    <n v="1376.7083333274059"/>
    <s v="Waited for empties from trade"/>
    <d v="2025-04-05T10:33:00"/>
    <d v="2025-04-05T11:11:00"/>
    <n v="37.208333331509493"/>
    <m/>
    <n v="1.9791666666642413"/>
    <n v="2"/>
    <n v="2.0833333335758653E-2"/>
    <n v="47.499999999941792"/>
    <n v="12"/>
    <n v="35.499999999941792"/>
    <n v="4.326760563387376"/>
    <m/>
    <m/>
    <m/>
    <m/>
    <m/>
  </r>
  <r>
    <d v="2025-04-03T00:00:00"/>
    <x v="3"/>
    <s v="NBL"/>
    <s v="OMD66ITRR"/>
    <m/>
    <x v="5"/>
    <s v="UBE 419T"/>
    <s v="Kabaco U Ltd-Mbarara Tax No.: 1000025425"/>
    <n v="153.6"/>
    <s v="OMD66ITRR"/>
    <s v="OM"/>
    <n v="20"/>
    <n v="21"/>
    <n v="1"/>
    <m/>
    <d v="2025-04-03T08:51:00"/>
    <d v="2025-04-03T07:42:00"/>
    <d v="2025-04-03T09:18:00"/>
    <n v="95.555555554165039"/>
    <n v="26.87500000417155"/>
    <x v="0"/>
    <d v="2025-04-03T09:50:00"/>
    <d v="2025-04-03T13:34:00"/>
    <n v="219.33333334040071"/>
    <s v="Waited for empties from trade"/>
    <d v="2025-04-03T14:05:00"/>
    <d v="2025-04-03T14:46:00"/>
    <n v="40.145833330825553"/>
    <m/>
    <n v="0.1993055555576575"/>
    <n v="1"/>
    <n v="0.8006944444423425"/>
    <n v="4.78333333338378"/>
    <n v="0"/>
    <n v="4.78333333338378"/>
    <n v="32.111498257501061"/>
    <m/>
    <m/>
    <m/>
    <m/>
    <m/>
  </r>
  <r>
    <d v="2025-04-03T00:00:00"/>
    <x v="3"/>
    <s v="NBL"/>
    <s v="OMFFD7DRR"/>
    <m/>
    <x v="5"/>
    <s v="UBE 419T"/>
    <s v="KATO INVESTMENTS LIMITED-MASAK Tax No.: 1000098824"/>
    <n v="153.6"/>
    <s v="OMFFD7DRR"/>
    <s v="OM"/>
    <n v="596"/>
    <n v="595"/>
    <n v="-1"/>
    <m/>
    <d v="2025-04-03T20:07:00"/>
    <d v="2025-04-04T04:14:00"/>
    <d v="2025-04-03T20:29:00"/>
    <n v="-462.84722221874591"/>
    <n v="21.89814814652588"/>
    <x v="0"/>
    <d v="2025-04-04T10:01:00"/>
    <d v="2025-04-04T14:38:00"/>
    <n v="271.22916666849051"/>
    <s v="truck faulty"/>
    <d v="2025-04-04T18:57:00"/>
    <d v="2025-04-04T19:47:00"/>
    <n v="48.958333328773733"/>
    <s v="Failed batteries at the gate"/>
    <n v="0.93611111110658385"/>
    <n v="2"/>
    <n v="1.0638888888934162"/>
    <n v="22.466666666558012"/>
    <n v="0"/>
    <n v="22.466666666558012"/>
    <n v="6.8367952522585833"/>
    <m/>
    <m/>
    <m/>
    <m/>
    <m/>
  </r>
  <r>
    <d v="2025-04-04T00:00:00"/>
    <x v="3"/>
    <s v="NBL"/>
    <s v="OMX7XSORR"/>
    <m/>
    <x v="17"/>
    <s v="UBA 523T"/>
    <s v="KATO INVESTMENTS LIMITED-MASAK Tax No.: 1000098824"/>
    <n v="153.6"/>
    <s v="OMX7XSORR"/>
    <s v="OM"/>
    <n v="596"/>
    <n v="593"/>
    <n v="-3"/>
    <m/>
    <d v="2025-04-06T13:54:00"/>
    <d v="2025-04-04T04:14:00"/>
    <d v="2025-04-06T14:18:00"/>
    <n v="3467.8703703694432"/>
    <n v="23.888888893755695"/>
    <x v="0"/>
    <d v="2025-04-07T08:20:00"/>
    <d v="2025-04-07T12:05:00"/>
    <n v="220.3125"/>
    <s v="Reached late and offloaded the next day"/>
    <d v="2025-04-07T16:13:00"/>
    <d v="2025-04-07T17:02:00"/>
    <n v="47.979166669174447"/>
    <s v="offloading delays"/>
    <n v="1.0798611111094942"/>
    <n v="2"/>
    <n v="0.92013888889050577"/>
    <n v="25.916666666627862"/>
    <n v="12"/>
    <n v="13.916666666627862"/>
    <n v="11.03712574853377"/>
    <m/>
    <m/>
    <m/>
    <m/>
    <m/>
  </r>
  <r>
    <d v="2025-04-04T00:00:00"/>
    <x v="3"/>
    <s v="KESH"/>
    <s v="OMFFDP4RR"/>
    <s v="DJ"/>
    <x v="0"/>
    <s v="UBJ 417C"/>
    <s v="Kato Investment Ltd -Mubende Tax No.: 1000098824"/>
    <n v="156"/>
    <s v="OMFFDP4RR"/>
    <s v="OM"/>
    <n v="680"/>
    <n v="677"/>
    <n v="-3"/>
    <m/>
    <d v="2025-04-03T21:49:00"/>
    <d v="2025-04-03T21:30:00"/>
    <d v="2025-04-03T22:11:00"/>
    <n v="40.810185182635905"/>
    <n v="21.89814814652588"/>
    <x v="0"/>
    <d v="2025-04-04T18:37:00"/>
    <d v="2025-04-05T12:28:00"/>
    <n v="1048.6875000020518"/>
    <s v="less casuals and offloaded the next day"/>
    <d v="2025-04-06T08:08:00"/>
    <d v="2025-04-06T08:53:00"/>
    <n v="44.0625"/>
    <m/>
    <n v="2.4145833333313931"/>
    <n v="3"/>
    <n v="0.58541666666860692"/>
    <n v="57.949999999953434"/>
    <n v="24"/>
    <n v="33.949999999953434"/>
    <n v="4.5949926362360518"/>
    <m/>
    <m/>
    <m/>
    <m/>
    <m/>
  </r>
  <r>
    <d v="2025-04-04T00:00:00"/>
    <x v="3"/>
    <s v="NBL"/>
    <s v="OMVI4UJRR"/>
    <m/>
    <x v="2"/>
    <s v="UBE 287X"/>
    <s v="KATO INVESTMENTS LTD- KALISIZO Tax No.: 1000098824"/>
    <n v="153.6"/>
    <s v="OMVI4UJRR"/>
    <s v="OM"/>
    <n v="288"/>
    <n v="286"/>
    <n v="-2"/>
    <m/>
    <d v="2025-04-03T20:58:00"/>
    <d v="2025-04-04T03:43:00"/>
    <d v="2025-04-03T21:22:00"/>
    <n v="-379.23611111667316"/>
    <n v="23.888888893755695"/>
    <x v="0"/>
    <d v="2025-04-04T12:54:00"/>
    <d v="2025-04-04T19:25:00"/>
    <n v="382.85416667327809"/>
    <s v="found another truck to be offloaded"/>
    <d v="2025-04-05T10:36:00"/>
    <d v="2025-04-05T11:17:00"/>
    <n v="40.145833330825553"/>
    <m/>
    <n v="1.5513888888890506"/>
    <n v="2"/>
    <n v="0.44861111111094942"/>
    <n v="37.233333333337214"/>
    <n v="12"/>
    <n v="25.233333333337214"/>
    <n v="6.0871862615578483"/>
    <m/>
    <m/>
    <m/>
    <m/>
    <m/>
  </r>
  <r>
    <d v="2025-04-05T00:00:00"/>
    <x v="3"/>
    <s v="NBL"/>
    <s v="OMP5SC4RR"/>
    <m/>
    <x v="50"/>
    <s v="UAR 731Q"/>
    <s v="Kabaco U Ltd-Mbarara Tax No.: 1000025425"/>
    <n v="153.6"/>
    <s v="OMP5SC4RR"/>
    <s v="OM"/>
    <n v="20"/>
    <n v="19"/>
    <n v="-1"/>
    <m/>
    <d v="2025-04-06T07:42:00"/>
    <d v="2025-04-05T11:52:00"/>
    <d v="2025-04-06T08:08:00"/>
    <n v="1210.3703703736148"/>
    <n v="25.879629630556639"/>
    <x v="0"/>
    <d v="2025-04-06T14:06:00"/>
    <d v="2025-04-07T11:35:00"/>
    <n v="1262.1458333335613"/>
    <s v="Waited for empties from trade"/>
    <d v="2025-04-07T17:40:00"/>
    <d v="2025-04-07T18:18:00"/>
    <n v="37.208333331509493"/>
    <m/>
    <n v="1.3972222222218988"/>
    <n v="1"/>
    <n v="-0.39722222222189885"/>
    <n v="33.533333333325572"/>
    <n v="12"/>
    <n v="21.533333333325572"/>
    <n v="7.1331269349870912"/>
    <m/>
    <m/>
    <m/>
    <m/>
    <m/>
  </r>
  <r>
    <d v="2025-04-05T00:00:00"/>
    <x v="3"/>
    <s v="NBL"/>
    <s v="OMQWIN8RR"/>
    <m/>
    <x v="16"/>
    <s v="UBJ 707D"/>
    <s v="Ntale &amp; Sons Tax No.: 1001371381"/>
    <n v="153.6"/>
    <s v="OMQWIN8RR"/>
    <s v="OM"/>
    <n v="810"/>
    <n v="809"/>
    <n v="-1"/>
    <m/>
    <d v="2025-04-05T05:48:00"/>
    <d v="2025-04-04T20:00:00"/>
    <d v="2025-04-05T06:30:00"/>
    <n v="627.08333333333337"/>
    <n v="41.805555556250816"/>
    <x v="13"/>
    <d v="2025-04-06T09:37:00"/>
    <d v="2025-04-06T14:37:00"/>
    <n v="293.7500000034197"/>
    <s v="Waited for empties from trade"/>
    <d v="2025-04-07T17:51:00"/>
    <d v="2025-04-07T18:42:00"/>
    <n v="49.93749999863212"/>
    <s v="sorting delays"/>
    <n v="2.4729166666656965"/>
    <n v="3"/>
    <n v="0.52708333333430346"/>
    <n v="59.349999999976717"/>
    <n v="24"/>
    <n v="35.349999999976717"/>
    <n v="4.3451202263112068"/>
    <m/>
    <m/>
    <m/>
    <m/>
    <m/>
  </r>
  <r>
    <d v="2025-04-05T00:00:00"/>
    <x v="3"/>
    <s v="NBL"/>
    <s v="OMEWFYHRR"/>
    <m/>
    <x v="5"/>
    <s v="UBE 419T"/>
    <s v="KATO INVESTMENTS LIMITED-MASAK Tax No.: 1000098824"/>
    <n v="153.6"/>
    <s v="OMEWFYHRR"/>
    <s v="OM"/>
    <n v="596"/>
    <n v="595"/>
    <n v="-1"/>
    <m/>
    <d v="2025-04-05T10:34:00"/>
    <d v="2025-04-05T04:14:00"/>
    <d v="2025-04-05T11:13:00"/>
    <n v="417.06018518889323"/>
    <n v="38.819444445834961"/>
    <x v="9"/>
    <d v="2025-04-05T13:13:00"/>
    <d v="2025-04-05T15:51:00"/>
    <n v="154.70833333492919"/>
    <m/>
    <d v="2025-04-06T11:00:00"/>
    <d v="2025-04-06T11:50:00"/>
    <n v="48.958333328773733"/>
    <s v="beer topup delays"/>
    <n v="0.99097222222189885"/>
    <n v="2"/>
    <n v="1.0090277777781012"/>
    <n v="23.783333333325572"/>
    <n v="0"/>
    <n v="23.783333333325572"/>
    <n v="6.4583041345501098"/>
    <m/>
    <m/>
    <m/>
    <m/>
    <m/>
  </r>
  <r>
    <d v="2025-04-05T00:00:00"/>
    <x v="3"/>
    <s v="NBL"/>
    <s v="OMXPJ8URR"/>
    <m/>
    <x v="9"/>
    <s v="UAV 203T"/>
    <s v="Rugoma Traders-Kanungu/Kihihi Tax No.: 1000249350"/>
    <n v="153.6"/>
    <s v="OMXPJ8URR"/>
    <s v="OM"/>
    <n v="272"/>
    <n v="271"/>
    <n v="-1"/>
    <m/>
    <d v="2025-04-05T08:00:00"/>
    <d v="2025-04-05T01:59:00"/>
    <d v="2025-04-05T08:39:00"/>
    <n v="398.14814815278322"/>
    <n v="38.819444445834961"/>
    <x v="13"/>
    <d v="2025-04-05T13:50:00"/>
    <d v="2025-04-06T13:02:00"/>
    <n v="1363.0000000006839"/>
    <s v="Reached late and offloaded the next day"/>
    <d v="2025-04-06T18:06:00"/>
    <d v="2025-04-06T18:55:00"/>
    <n v="47.979166669174447"/>
    <s v="Fork Lift Breakdown"/>
    <n v="1.3937499999956344"/>
    <n v="2"/>
    <n v="0.60625000000436557"/>
    <n v="33.449999999895226"/>
    <n v="12"/>
    <n v="21.449999999895226"/>
    <n v="7.1608391608741382"/>
    <m/>
    <m/>
    <m/>
    <m/>
    <m/>
  </r>
  <r>
    <d v="2025-04-05T00:00:00"/>
    <x v="3"/>
    <s v="NBL"/>
    <s v="OM65TV2RR"/>
    <m/>
    <x v="8"/>
    <s v="UBK 875R"/>
    <s v="Kabaco U Ltd-Mbarara Tax No.: 1000025425"/>
    <n v="153.6"/>
    <s v="OM65TV2RR"/>
    <s v="OM"/>
    <n v="20"/>
    <n v="18"/>
    <n v="-2"/>
    <m/>
    <d v="2025-04-05T11:28:00"/>
    <d v="2025-04-05T07:42:00"/>
    <d v="2025-04-05T11:54:00"/>
    <n v="250.83333333750488"/>
    <n v="25.879629630556639"/>
    <x v="0"/>
    <d v="2025-04-05T12:33:00"/>
    <d v="2025-04-05T17:02:00"/>
    <n v="263.39583333014161"/>
    <s v="Waited for empties from trade"/>
    <d v="2025-04-05T17:48:00"/>
    <d v="2025-04-05T18:29:00"/>
    <n v="40.145833330825553"/>
    <m/>
    <n v="0.24583333333430346"/>
    <n v="1"/>
    <n v="0.75416666666569654"/>
    <n v="5.9000000000232831"/>
    <n v="0"/>
    <n v="5.9000000000232831"/>
    <n v="26.033898304982007"/>
    <m/>
    <m/>
    <m/>
    <m/>
    <m/>
  </r>
  <r>
    <d v="2025-04-06T00:00:00"/>
    <x v="3"/>
    <s v="NBL"/>
    <s v="OMF7YJSRR"/>
    <m/>
    <x v="12"/>
    <s v="UBJ 415C"/>
    <s v="KATO INVESTMENTS LTD- KALISIZO Tax No.: 1000098824"/>
    <n v="153.6"/>
    <s v="OMF7YJSRR"/>
    <s v="OM"/>
    <n v="288"/>
    <n v="287"/>
    <n v="-1"/>
    <m/>
    <d v="2025-04-07T09:23:00"/>
    <d v="2025-04-06T10:00:00"/>
    <d v="2025-04-07T10:17:00"/>
    <n v="1450.2546296326425"/>
    <n v="53.749999997914223"/>
    <x v="11"/>
    <d v="2025-04-08T21:04:00"/>
    <d v="2025-04-08T23:21:00"/>
    <n v="134.14583332945767"/>
    <m/>
    <d v="2025-04-10T14:35:00"/>
    <d v="2025-04-10T15:27:00"/>
    <n v="50.916666668490507"/>
    <s v="empties confirmation delays"/>
    <n v="3.1791666666686069"/>
    <n v="2"/>
    <n v="-1.1791666666686069"/>
    <n v="76.300000000046566"/>
    <n v="36"/>
    <n v="40.300000000046566"/>
    <n v="3.8114143920551493"/>
    <m/>
    <m/>
    <m/>
    <m/>
    <m/>
  </r>
  <r>
    <d v="2025-04-06T00:00:00"/>
    <x v="3"/>
    <s v="NBL"/>
    <s v="OM2EAMURR"/>
    <m/>
    <x v="14"/>
    <s v="UBJ 988D"/>
    <s v="Kabaco U Ltd-Mbarara Tax No.: 1000025425"/>
    <n v="153.6"/>
    <s v="OM2EAMURR"/>
    <s v="OM"/>
    <n v="20"/>
    <n v="21"/>
    <n v="1"/>
    <m/>
    <d v="2025-04-06T07:23:00"/>
    <d v="2025-04-06T07:42:00"/>
    <d v="2025-04-06T08:05:00"/>
    <n v="22.893518520140788"/>
    <n v="41.805555556250816"/>
    <x v="2"/>
    <d v="2025-04-06T15:39:00"/>
    <d v="2025-04-07T14:23:00"/>
    <n v="1335.583333336981"/>
    <s v="Waited for empties from trade"/>
    <d v="2025-04-09T08:34:00"/>
    <d v="2025-04-09T09:15:00"/>
    <n v="40.145833330825553"/>
    <m/>
    <n v="3.0201388888890506"/>
    <n v="1"/>
    <n v="-2.0201388888890506"/>
    <n v="72.483333333337214"/>
    <n v="36"/>
    <n v="36.483333333337214"/>
    <n v="4.2101416171763448"/>
    <m/>
    <m/>
    <m/>
    <m/>
    <m/>
  </r>
  <r>
    <d v="2025-04-06T00:00:00"/>
    <x v="3"/>
    <s v="NBL"/>
    <s v="OMAQ2Y8RR"/>
    <m/>
    <x v="2"/>
    <s v="UBE 287X"/>
    <s v="Kabaco U Ltd Tax No.: 1000025425"/>
    <n v="156"/>
    <s v="OMAQ2Y8RR"/>
    <s v="OM"/>
    <n v="304"/>
    <n v="303"/>
    <n v="-1"/>
    <m/>
    <d v="2025-04-05T13:47:00"/>
    <d v="2025-04-06T02:22:00"/>
    <d v="2025-04-05T14:26:00"/>
    <n v="-712.68518518263591"/>
    <n v="38.819444445834961"/>
    <x v="1"/>
    <d v="2025-04-05T16:58:00"/>
    <d v="2025-04-06T09:38:00"/>
    <n v="979.16666666780657"/>
    <s v="Reached late and offloaded the next day"/>
    <d v="2025-04-06T12:39:00"/>
    <d v="2025-04-06T13:30:00"/>
    <n v="49.93749999863212"/>
    <s v="found another truck waiting to offload"/>
    <n v="0.9256944444423425"/>
    <n v="2"/>
    <n v="1.0743055555576575"/>
    <n v="22.21666666661622"/>
    <n v="0"/>
    <n v="22.21666666661622"/>
    <n v="7.0217554388756591"/>
    <m/>
    <m/>
    <m/>
    <m/>
    <m/>
  </r>
  <r>
    <d v="2025-04-07T00:00:00"/>
    <x v="3"/>
    <s v="NBL"/>
    <s v="OM4MKX4RR"/>
    <m/>
    <x v="1"/>
    <s v="UBJ 375N"/>
    <s v="Ntale &amp; Sons Tax No.: 1001371381"/>
    <n v="153.6"/>
    <s v="OM4MKX4RR"/>
    <s v="OM"/>
    <n v="810"/>
    <n v="809"/>
    <n v="-1"/>
    <m/>
    <d v="2025-04-07T10:43:00"/>
    <d v="2025-04-06T21:00:00"/>
    <d v="2025-04-07T11:11:00"/>
    <n v="847.06018518263591"/>
    <n v="27.870370367357584"/>
    <x v="0"/>
    <d v="2025-04-08T09:51:00"/>
    <d v="2025-04-08T14:59:00"/>
    <n v="301.58333333150949"/>
    <s v="Waited for empties from trade"/>
    <d v="2025-04-09T19:00:00"/>
    <d v="2025-04-09T19:38:00"/>
    <n v="37.208333331509493"/>
    <m/>
    <n v="2.3256944444437977"/>
    <n v="3"/>
    <n v="0.67430555555620231"/>
    <n v="55.816666666651145"/>
    <n v="24"/>
    <n v="31.816666666651145"/>
    <n v="4.827658459929018"/>
    <m/>
    <m/>
    <m/>
    <m/>
    <m/>
  </r>
  <r>
    <d v="2025-04-07T00:00:00"/>
    <x v="3"/>
    <s v="NBL"/>
    <s v="OM4RCL0RR"/>
    <m/>
    <x v="9"/>
    <s v="UAV 203T"/>
    <s v="Ntale &amp; Sons -Kakiri Tax No.: 1001371381"/>
    <n v="156"/>
    <s v="OM4RCL0RR"/>
    <s v="OM"/>
    <n v="620"/>
    <n v="617"/>
    <n v="-3"/>
    <m/>
    <d v="2025-04-06T22:35:00"/>
    <d v="2025-04-07T01:59:00"/>
    <d v="2025-04-06T22:59:00"/>
    <n v="-179.16666666666666"/>
    <n v="23.888888893755695"/>
    <x v="0"/>
    <d v="2025-04-07T15:45:00"/>
    <d v="2025-04-07T20:12:00"/>
    <n v="261.43750000068394"/>
    <s v="Waited for empties from trade"/>
    <d v="2025-04-08T12:56:00"/>
    <d v="2025-04-08T13:37:00"/>
    <n v="40.145833330825553"/>
    <m/>
    <n v="1.5812500000029104"/>
    <n v="3"/>
    <n v="1.4187499999970896"/>
    <n v="37.950000000069849"/>
    <n v="12"/>
    <n v="25.950000000069849"/>
    <n v="6.0115606936254373"/>
    <m/>
    <m/>
    <m/>
    <m/>
    <m/>
  </r>
  <r>
    <d v="2025-04-07T00:00:00"/>
    <x v="3"/>
    <s v="NBL"/>
    <s v="OMWJEXPRR"/>
    <m/>
    <x v="2"/>
    <s v="UBE 287X"/>
    <s v="Kabaco U Ltd-Mbarara Tax No.: 1000025425"/>
    <n v="153.6"/>
    <s v="OMWJEXPRR"/>
    <s v="OM"/>
    <n v="20"/>
    <n v="19"/>
    <n v="-1"/>
    <m/>
    <d v="2025-04-06T20:40:00"/>
    <d v="2025-04-07T07:42:00"/>
    <d v="2025-04-06T21:04:00"/>
    <n v="-635.04629629096598"/>
    <n v="23.888888893755695"/>
    <x v="0"/>
    <d v="2025-04-07T12:29:00"/>
    <d v="2025-04-07T17:48:00"/>
    <n v="312.35416666917445"/>
    <m/>
    <d v="2025-04-08T09:45:00"/>
    <d v="2025-04-08T10:23:00"/>
    <n v="37.208333331509493"/>
    <m/>
    <n v="1.5284722222204437"/>
    <n v="1"/>
    <n v="-0.52847222222044365"/>
    <n v="36.683333333290648"/>
    <n v="12"/>
    <n v="24.683333333290648"/>
    <n v="6.2228224172963786"/>
    <m/>
    <m/>
    <m/>
    <m/>
    <m/>
  </r>
  <r>
    <d v="2025-04-08T00:00:00"/>
    <x v="3"/>
    <s v="NBL"/>
    <s v="OM5437GRR"/>
    <m/>
    <x v="2"/>
    <s v="UBE 287X"/>
    <s v="KATO INVESTMENTS LIMITED-MASAK Tax No.: 1000098824"/>
    <n v="153.6"/>
    <s v="OM5437GRR"/>
    <s v="OM"/>
    <n v="596"/>
    <n v="595"/>
    <n v="-1"/>
    <m/>
    <d v="2025-04-08T12:59:00"/>
    <d v="2025-04-08T08:00:00"/>
    <d v="2025-04-08T13:25:00"/>
    <n v="323.49537037152913"/>
    <n v="25.879629630556639"/>
    <x v="0"/>
    <d v="2025-04-09T08:28:00"/>
    <d v="2025-04-09T11:39:00"/>
    <n v="187.02083333766495"/>
    <s v="Reached late and offloaded the next day"/>
    <d v="2025-04-09T17:01:00"/>
    <d v="2025-04-09T17:42:00"/>
    <n v="40.145833330825553"/>
    <m/>
    <n v="1.1499999999941792"/>
    <n v="2"/>
    <n v="0.85000000000582077"/>
    <n v="27.599999999860302"/>
    <n v="12"/>
    <n v="15.599999999860302"/>
    <n v="9.8461538462420179"/>
    <m/>
    <m/>
    <m/>
    <m/>
    <m/>
  </r>
  <r>
    <d v="2025-04-08T00:00:00"/>
    <x v="3"/>
    <s v="NBL"/>
    <s v="OMGF8R5RR"/>
    <m/>
    <x v="50"/>
    <s v="UAR 731Q"/>
    <s v="KATO INVESTMENTS LIMITED-MASAK Tax No.: 1000098824"/>
    <n v="153.6"/>
    <s v="OMGF8R5RR"/>
    <s v="OM"/>
    <n v="596"/>
    <n v="595"/>
    <n v="-1"/>
    <m/>
    <d v="2025-04-08T09:37:00"/>
    <d v="2025-04-08T08:00:00"/>
    <d v="2025-04-08T10:05:00"/>
    <n v="124.42129629513754"/>
    <n v="27.870370367357584"/>
    <x v="0"/>
    <d v="2025-04-08T13:08:00"/>
    <d v="2025-04-08T17:32:00"/>
    <n v="258.50000000136788"/>
    <s v="found another truck to be offloaded"/>
    <d v="2025-04-08T20:10:00"/>
    <d v="2025-04-08T21:00:00"/>
    <n v="48.958333328773733"/>
    <s v="fueling delays"/>
    <n v="0.42013888889050577"/>
    <n v="2"/>
    <n v="1.5798611111094942"/>
    <n v="10.083333333372138"/>
    <n v="0"/>
    <n v="10.083333333372138"/>
    <n v="15.233057851181046"/>
    <m/>
    <m/>
    <m/>
    <m/>
    <m/>
  </r>
  <r>
    <d v="2025-04-08T00:00:00"/>
    <x v="3"/>
    <s v="NBL"/>
    <s v="OMWC5MPRR"/>
    <m/>
    <x v="7"/>
    <s v="UAY 526V"/>
    <s v="RUGOMA TRADERS CO. LTD NTUNGAM Tax No.: 1000249350"/>
    <n v="153.6"/>
    <s v="OMWC5MPRR"/>
    <s v="OM"/>
    <n v="150"/>
    <n v="149"/>
    <n v="-1"/>
    <m/>
    <d v="2025-04-08T09:17:00"/>
    <d v="2025-04-08T08:08:00"/>
    <d v="2025-04-08T09:41:00"/>
    <n v="92.569444443749191"/>
    <n v="23.888888893755695"/>
    <x v="0"/>
    <d v="2025-04-09T13:10:00"/>
    <d v="2025-04-09T17:22:00"/>
    <n v="246.75000000410364"/>
    <s v="Waited for empties from trade"/>
    <d v="2025-04-08T16:12:00"/>
    <d v="2025-04-08T16:50:00"/>
    <n v="37.208333331509493"/>
    <m/>
    <n v="0.27152777778246673"/>
    <n v="1"/>
    <n v="0.72847222221753327"/>
    <n v="6.5166666667792015"/>
    <n v="0"/>
    <n v="6.5166666667792015"/>
    <n v="23.570332480411384"/>
    <m/>
    <m/>
    <m/>
    <m/>
    <m/>
  </r>
  <r>
    <d v="2025-04-08T00:00:00"/>
    <x v="3"/>
    <s v="KESH"/>
    <s v="OM6OBRWRR"/>
    <s v="DJ"/>
    <x v="0"/>
    <s v="UBJ 417C"/>
    <s v="Sawan Distributors Ltd-Nabingo Tax No.: 1000186379"/>
    <n v="156"/>
    <s v="OM6OBRWRR"/>
    <s v="OM"/>
    <n v="560"/>
    <n v="559"/>
    <n v="-1"/>
    <m/>
    <d v="2025-04-07T20:59:00"/>
    <d v="2025-04-08T08:00:00"/>
    <d v="2025-04-07T21:23:00"/>
    <n v="-634.05092592777999"/>
    <n v="23.888888893755695"/>
    <x v="0"/>
    <d v="2025-04-08T14:56:00"/>
    <d v="2025-04-08T17:10:00"/>
    <n v="131.20833334040071"/>
    <m/>
    <d v="2025-04-10T19:19:00"/>
    <d v="2025-04-10T20:04:00"/>
    <n v="44.0625"/>
    <m/>
    <n v="2.913888888884685"/>
    <n v="2"/>
    <n v="-0.913888888884685"/>
    <n v="69.93333333323244"/>
    <n v="24"/>
    <n v="45.93333333323244"/>
    <n v="3.3962264151017996"/>
    <m/>
    <m/>
    <m/>
    <m/>
    <m/>
  </r>
  <r>
    <d v="2025-04-09T00:00:00"/>
    <x v="3"/>
    <s v="NBL"/>
    <s v="OMQ68G1RR"/>
    <m/>
    <x v="12"/>
    <s v="UBJ 415C"/>
    <s v="Rugoma Traders-Kanungu/Kihihi Tax No.: 1000249350"/>
    <n v="153.6"/>
    <s v="OMQ68G1RR"/>
    <s v="OM"/>
    <n v="272"/>
    <n v="270"/>
    <n v="-2"/>
    <m/>
    <d v="2025-04-10T18:43:00"/>
    <d v="2025-04-09T01:59:00"/>
    <d v="2025-04-10T19:09:00"/>
    <n v="2458.56481481945"/>
    <n v="25.879629630556639"/>
    <x v="0"/>
    <d v="2025-04-11T14:32:00"/>
    <d v="2025-04-11T16:39:00"/>
    <n v="124.35416666165111"/>
    <m/>
    <d v="2025-04-12T09:45:00"/>
    <d v="2025-04-12T10:26:00"/>
    <n v="40.145833330825553"/>
    <m/>
    <n v="1.6083333333299379"/>
    <n v="2"/>
    <n v="0.39166666667006211"/>
    <n v="38.599999999918509"/>
    <n v="12"/>
    <n v="26.599999999918509"/>
    <n v="5.7744360902432543"/>
    <m/>
    <m/>
    <m/>
    <m/>
    <m/>
  </r>
  <r>
    <d v="2025-04-09T00:00:00"/>
    <x v="3"/>
    <s v="NBL"/>
    <s v="OMDXV7BRR"/>
    <m/>
    <x v="57"/>
    <s v="UAV 051U"/>
    <s v="Kabaco U Ltd Tax No.: 1000025425"/>
    <n v="156"/>
    <s v="OMDXV7BRR"/>
    <s v="OM"/>
    <n v="304"/>
    <n v="303"/>
    <n v="-1"/>
    <m/>
    <d v="2025-04-09T13:38:00"/>
    <d v="2025-04-09T02:22:00"/>
    <d v="2025-04-09T14:06:00"/>
    <n v="700.74074074097246"/>
    <n v="27.870370367357584"/>
    <x v="0"/>
    <d v="2025-04-09T18:04:00"/>
    <d v="2025-04-10T12:43:00"/>
    <n v="1095.6875000013679"/>
    <s v="truck faulty"/>
    <d v="2025-04-10T15:27:00"/>
    <d v="2025-04-10T16:08:00"/>
    <n v="40.145833330825553"/>
    <m/>
    <n v="1.0562500000014552"/>
    <n v="2"/>
    <n v="0.94374999999854481"/>
    <n v="25.350000000034925"/>
    <n v="12"/>
    <n v="13.350000000034925"/>
    <n v="11.685393258396397"/>
    <m/>
    <m/>
    <m/>
    <m/>
    <m/>
  </r>
  <r>
    <d v="2025-04-09T00:00:00"/>
    <x v="3"/>
    <s v="NBL"/>
    <s v="OM4C6O2RR"/>
    <m/>
    <x v="8"/>
    <s v="UBK 875R"/>
    <s v="Ntale &amp; Sons Tax No.: 1001371381"/>
    <n v="153.6"/>
    <s v="OM4C6O2RR"/>
    <s v="OM"/>
    <n v="810"/>
    <n v="807"/>
    <n v="-3"/>
    <m/>
    <d v="2025-04-09T09:08:00"/>
    <d v="2025-04-08T22:00:00"/>
    <d v="2025-04-09T09:34:00"/>
    <n v="690.78703703611006"/>
    <n v="25.879629630556639"/>
    <x v="0"/>
    <d v="2025-04-10T15:15:00"/>
    <d v="2025-04-10T20:20:00"/>
    <n v="298.64583333219343"/>
    <s v="Reached late and offloaded the next day"/>
    <d v="2025-04-12T18:26:00"/>
    <d v="2025-04-12T19:15:00"/>
    <n v="47.979166669174447"/>
    <s v="Fork Lift Breakdown"/>
    <n v="3.3694444444481633"/>
    <n v="3"/>
    <n v="-0.36944444444816327"/>
    <n v="80.866666666755918"/>
    <n v="36"/>
    <n v="44.866666666755918"/>
    <n v="3.4234769687896236"/>
    <m/>
    <m/>
    <m/>
    <m/>
    <m/>
  </r>
  <r>
    <d v="2025-04-09T00:00:00"/>
    <x v="3"/>
    <s v="NBL"/>
    <s v="OMRWYG5RR"/>
    <m/>
    <x v="16"/>
    <s v="UBJ 707D"/>
    <s v="KATO INVESTMENTS LIMITED-MASAK Tax No.: 1000098824"/>
    <n v="153.6"/>
    <s v="OMRWYG5RR"/>
    <s v="OM"/>
    <n v="596"/>
    <n v="593"/>
    <n v="-3"/>
    <m/>
    <d v="2025-04-09T13:55:00"/>
    <d v="2025-04-09T04:14:00"/>
    <d v="2025-04-09T14:45:00"/>
    <n v="628.0787037069482"/>
    <n v="49.768518513883464"/>
    <x v="1"/>
    <d v="2025-04-10T10:53:00"/>
    <d v="2025-04-10T15:50:00"/>
    <n v="290.81249999384454"/>
    <s v="less casuals and offloaded the next day"/>
    <d v="2025-04-11T13:01:00"/>
    <d v="2025-04-11T13:39:00"/>
    <n v="37.208333331509493"/>
    <m/>
    <n v="1.9277777777751908"/>
    <n v="2"/>
    <n v="7.2222222224809229E-2"/>
    <n v="46.266666666604578"/>
    <n v="12"/>
    <n v="34.266666666604578"/>
    <n v="4.4824902723816624"/>
    <m/>
    <m/>
    <m/>
    <m/>
    <m/>
  </r>
  <r>
    <d v="2025-04-09T00:00:00"/>
    <x v="3"/>
    <s v="NBL"/>
    <s v="OM4639BRR"/>
    <m/>
    <x v="14"/>
    <s v="UBJ 988D"/>
    <s v="RUGOMA TRADERS CO. LTD NTUNGAM Tax No.: 1000249350"/>
    <n v="153.6"/>
    <s v="OM4639BRR"/>
    <s v="OM"/>
    <n v="150"/>
    <n v="148"/>
    <n v="-2"/>
    <m/>
    <d v="2025-04-09T12:51:00"/>
    <d v="2025-04-09T06:15:00"/>
    <d v="2025-04-09T13:33:00"/>
    <n v="435.97222222500324"/>
    <n v="41.805555556250816"/>
    <x v="12"/>
    <d v="2025-04-10T12:37:00"/>
    <d v="2025-04-10T14:49:00"/>
    <n v="129.25000000068394"/>
    <m/>
    <d v="2025-04-10T16:23:00"/>
    <d v="2025-04-10T17:14:00"/>
    <n v="49.93749999863212"/>
    <s v="found another truck waiting to offload"/>
    <n v="1.1180555555547471"/>
    <n v="1"/>
    <n v="-0.11805555555474712"/>
    <n v="26.833333333313931"/>
    <n v="12"/>
    <n v="14.833333333313931"/>
    <n v="10.355056179788825"/>
    <m/>
    <m/>
    <m/>
    <m/>
    <m/>
  </r>
  <r>
    <d v="2025-04-09T00:00:00"/>
    <x v="3"/>
    <s v="NBL"/>
    <s v="OMZ4IR6RR"/>
    <m/>
    <x v="7"/>
    <s v="UAY 526V"/>
    <s v="Kabaco U Ltd-Mbarara Tax No.: 1000025425"/>
    <n v="153.6"/>
    <s v="OMZ4IR6RR"/>
    <s v="OM"/>
    <n v="20"/>
    <n v="19"/>
    <n v="-1"/>
    <m/>
    <d v="2025-04-09T09:08:00"/>
    <d v="2025-04-09T06:15:00"/>
    <d v="2025-04-09T09:36:00"/>
    <n v="200.0694444500065"/>
    <n v="27.870370367357584"/>
    <x v="0"/>
    <d v="2025-04-08T10:20:00"/>
    <d v="2025-04-08T15:21:00"/>
    <n v="294.72916666301899"/>
    <s v="Waited for empties from trade"/>
    <d v="2025-04-09T20:02:00"/>
    <d v="2025-04-09T20:40:00"/>
    <n v="37.208333331509493"/>
    <m/>
    <n v="0.43472222222044365"/>
    <n v="1"/>
    <n v="0.56527777777955635"/>
    <n v="10.433333333290648"/>
    <n v="0"/>
    <n v="10.433333333290648"/>
    <n v="14.722044728494737"/>
    <m/>
    <m/>
    <m/>
    <m/>
    <m/>
  </r>
  <r>
    <d v="2025-04-09T00:00:00"/>
    <x v="3"/>
    <s v="NBL"/>
    <s v="OM0JKWQRR"/>
    <m/>
    <x v="9"/>
    <s v="UAV 203T"/>
    <s v="Kabaco U Ltd-Mbarara Tax No.: 1000025425"/>
    <n v="153.6"/>
    <s v="OM0JKWQRR"/>
    <s v="OM"/>
    <n v="20"/>
    <n v="19"/>
    <n v="-1"/>
    <m/>
    <d v="2025-04-09T09:39:00"/>
    <d v="2025-04-09T07:42:00"/>
    <d v="2025-04-09T10:05:00"/>
    <n v="142.33796296806153"/>
    <n v="25.879629630556639"/>
    <x v="0"/>
    <d v="2025-04-09T10:55:00"/>
    <d v="2025-04-09T16:00:00"/>
    <n v="298.64583333219343"/>
    <s v="Waited for empties from trade"/>
    <d v="2025-04-09T17:01:00"/>
    <d v="2025-04-09T17:53:00"/>
    <n v="50.916666668490507"/>
    <s v="sorting delays"/>
    <n v="0.288888888884685"/>
    <n v="1"/>
    <n v="0.711111111115315"/>
    <n v="6.9333333332324401"/>
    <n v="0"/>
    <n v="6.9333333332324401"/>
    <n v="22.153846154168534"/>
    <m/>
    <m/>
    <m/>
    <m/>
    <m/>
  </r>
  <r>
    <d v="2025-04-09T00:00:00"/>
    <x v="3"/>
    <s v="NBL"/>
    <s v="OMCRG1XRR"/>
    <m/>
    <x v="5"/>
    <s v="UBE 419T"/>
    <s v="KATO INVESTMENTS LIMITED-MASAK Tax No.: 1000098824"/>
    <n v="153.6"/>
    <s v="OMCRG1XRR"/>
    <s v="OM"/>
    <n v="596"/>
    <n v="595"/>
    <n v="-1"/>
    <m/>
    <d v="2025-04-08T20:32:00"/>
    <d v="2025-04-09T04:14:00"/>
    <d v="2025-04-08T20:58:00"/>
    <n v="-433.98148147777346"/>
    <n v="25.879629630556639"/>
    <x v="0"/>
    <d v="2025-04-09T10:16:00"/>
    <d v="2025-04-09T18:11:00"/>
    <n v="465.10416667464597"/>
    <s v="space consquents"/>
    <d v="2025-04-10T12:32:00"/>
    <d v="2025-04-10T13:24:00"/>
    <n v="50.916666668490507"/>
    <s v="Failed batteries at the gate"/>
    <n v="1.648611111108039"/>
    <n v="2"/>
    <n v="0.35138888889196096"/>
    <n v="39.566666666592937"/>
    <n v="12"/>
    <n v="27.566666666592937"/>
    <n v="5.5719467956618187"/>
    <m/>
    <m/>
    <m/>
    <m/>
    <m/>
  </r>
  <r>
    <d v="2025-04-09T00:00:00"/>
    <x v="3"/>
    <s v="NBL"/>
    <s v="OMC9Q76RR"/>
    <m/>
    <x v="20"/>
    <s v="UAY 265V"/>
    <s v="KATO INVESTMENTS LIMITED-MASAK Tax No.: 1000098824"/>
    <n v="153.6"/>
    <s v="OMC9Q76RR"/>
    <s v="OM"/>
    <n v="596"/>
    <n v="595"/>
    <n v="-1"/>
    <m/>
    <d v="2025-04-08T19:43:00"/>
    <d v="2025-04-09T04:14:00"/>
    <d v="2025-04-08T20:37:00"/>
    <n v="-454.8842592611133"/>
    <n v="53.749999997914223"/>
    <x v="10"/>
    <d v="2025-04-09T08:51:00"/>
    <d v="2025-04-09T15:03:00"/>
    <n v="364.24999999726424"/>
    <s v="Reached late and offloaded the next day"/>
    <d v="2025-04-10T10:00:00"/>
    <d v="2025-04-10T10:38:00"/>
    <n v="37.208333331509493"/>
    <m/>
    <n v="1.5576388888875954"/>
    <n v="2"/>
    <n v="0.44236111111240461"/>
    <n v="37.383333333302289"/>
    <n v="12"/>
    <n v="25.383333333302289"/>
    <n v="6.0512147078209262"/>
    <m/>
    <m/>
    <m/>
    <m/>
    <m/>
  </r>
  <r>
    <d v="2025-04-10T00:00:00"/>
    <x v="3"/>
    <s v="NBL"/>
    <s v="OMY9837RR"/>
    <m/>
    <x v="57"/>
    <s v="UAV 051U"/>
    <s v="Ntale &amp; Sons Tax No.: 1001371381"/>
    <n v="153.6"/>
    <s v="OMY9837RR"/>
    <s v="OM"/>
    <n v="810"/>
    <n v="809"/>
    <n v="-1"/>
    <m/>
    <d v="2025-04-11T06:33:00"/>
    <d v="2025-04-10T16:40:00"/>
    <d v="2025-04-11T07:01:00"/>
    <n v="857.01388888749841"/>
    <n v="27.870370367357584"/>
    <x v="0"/>
    <d v="2025-04-11T19:04:00"/>
    <d v="2025-04-12T14:06:00"/>
    <n v="1118.2083333362971"/>
    <s v="Waited for empties from trade"/>
    <d v="2025-04-13T14:20:00"/>
    <d v="2025-04-13T14:58:00"/>
    <n v="37.208333331509493"/>
    <m/>
    <n v="2.304861111108039"/>
    <n v="3"/>
    <n v="0.69513888889196096"/>
    <n v="55.316666666592937"/>
    <n v="24"/>
    <n v="31.316666666592937"/>
    <n v="4.9047365620126113"/>
    <m/>
    <m/>
    <m/>
    <m/>
    <m/>
  </r>
  <r>
    <d v="2025-04-10T00:00:00"/>
    <x v="3"/>
    <s v="NBL"/>
    <s v="OM4BBA2RR"/>
    <m/>
    <x v="1"/>
    <s v="UBJ 375N"/>
    <s v="Kabaco U Ltd-Mbarara Tax No.: 1000025425"/>
    <n v="153.6"/>
    <s v="OM4BBA2RR"/>
    <s v="OM"/>
    <n v="20"/>
    <n v="19"/>
    <n v="-1"/>
    <m/>
    <d v="2025-04-10T14:13:00"/>
    <d v="2025-04-10T08:00:00"/>
    <d v="2025-04-10T14:39:00"/>
    <n v="397.15277777916828"/>
    <n v="25.879629630556639"/>
    <x v="0"/>
    <d v="2025-04-10T19:11:00"/>
    <d v="2025-04-11T14:41:00"/>
    <n v="1145.625"/>
    <s v="Waited for empties from trade"/>
    <d v="2025-04-11T19:33:00"/>
    <d v="2025-04-11T20:13:00"/>
    <n v="39.166666671226267"/>
    <m/>
    <n v="1.2041666666627862"/>
    <n v="1"/>
    <n v="-0.20416666666278616"/>
    <n v="28.899999999906868"/>
    <n v="12"/>
    <n v="16.899999999906868"/>
    <n v="9.0887573964997905"/>
    <m/>
    <m/>
    <m/>
    <m/>
    <m/>
  </r>
  <r>
    <d v="2025-04-10T00:00:00"/>
    <x v="3"/>
    <s v="NBL"/>
    <s v="OMUDJKKRR"/>
    <m/>
    <x v="17"/>
    <s v="UBA 523T"/>
    <s v="Kabaco U Ltd Tax No.: 1000025425"/>
    <n v="156"/>
    <s v="OMUDJKKRR"/>
    <s v="OM"/>
    <n v="304"/>
    <n v="302"/>
    <n v="-2"/>
    <m/>
    <d v="2025-04-10T12:07:00"/>
    <d v="2025-04-10T08:00:00"/>
    <d v="2025-04-10T12:33:00"/>
    <n v="271.73611111041583"/>
    <n v="25.879629630556639"/>
    <x v="0"/>
    <d v="2025-04-11T08:01:00"/>
    <d v="2025-04-11T12:26:00"/>
    <n v="259.47916667122627"/>
    <s v="truck faulty"/>
    <d v="2025-04-11T17:17:00"/>
    <d v="2025-04-11T18:06:00"/>
    <n v="47.979166669174447"/>
    <s v="dj failures at the gate"/>
    <n v="1.1972222222175333"/>
    <n v="2"/>
    <n v="0.80277777778246673"/>
    <n v="28.733333333220799"/>
    <n v="12"/>
    <n v="16.733333333220799"/>
    <n v="9.3227091634093107"/>
    <m/>
    <m/>
    <m/>
    <m/>
    <m/>
  </r>
  <r>
    <d v="2025-04-10T00:00:00"/>
    <x v="3"/>
    <s v="NBL"/>
    <s v="OM3S7MFRR"/>
    <m/>
    <x v="2"/>
    <s v="UBE 287X"/>
    <s v="KATO INVESTMENTS LIMITED-MASAK Tax No.: 1000098824"/>
    <n v="153.6"/>
    <s v="OM3S7MFRR"/>
    <s v="OM"/>
    <n v="596"/>
    <n v="595"/>
    <n v="-1"/>
    <m/>
    <d v="2025-04-09T21:43:00"/>
    <d v="2025-04-10T09:00:00"/>
    <d v="2025-04-09T22:11:00"/>
    <n v="-645.99537036944332"/>
    <n v="27.870370367357584"/>
    <x v="0"/>
    <d v="2025-04-10T14:22:00"/>
    <d v="2025-04-10T16:28:00"/>
    <n v="123.37500000205182"/>
    <m/>
    <d v="2025-04-11T11:53:00"/>
    <d v="2025-04-11T12:43:00"/>
    <n v="48.958333328773733"/>
    <s v="found another truck waiting to offload"/>
    <n v="1.5708333333313931"/>
    <n v="2"/>
    <n v="0.42916666666860692"/>
    <n v="37.699999999953434"/>
    <n v="12"/>
    <n v="25.699999999953434"/>
    <n v="5.9766536965088832"/>
    <m/>
    <m/>
    <m/>
    <m/>
    <m/>
  </r>
  <r>
    <d v="2025-04-10T00:00:00"/>
    <x v="3"/>
    <s v="NBL"/>
    <s v="OMSM5ZMRR"/>
    <m/>
    <x v="50"/>
    <s v="UAR 731Q"/>
    <s v="Kabaco U Ltd Tax No.: 1000025425"/>
    <n v="156"/>
    <s v="OMSM5ZMRR"/>
    <s v="OM"/>
    <n v="304"/>
    <n v="303"/>
    <n v="-1"/>
    <m/>
    <d v="2025-04-09T19:00:00"/>
    <d v="2025-04-10T08:00:00"/>
    <d v="2025-04-09T19:26:00"/>
    <n v="-750.50925926528487"/>
    <n v="25.879629630556639"/>
    <x v="0"/>
    <d v="2025-04-10T09:38:00"/>
    <d v="2025-04-10T17:41:00"/>
    <n v="472.93750000273576"/>
    <s v="found another truck to be offloaded"/>
    <d v="2025-04-10T19:49:00"/>
    <d v="2025-04-10T20:39:00"/>
    <n v="48.958333328773733"/>
    <s v="fueling delays"/>
    <n v="1.015972222223354"/>
    <n v="2"/>
    <n v="0.98402777777664596"/>
    <n v="24.383333333360497"/>
    <n v="12"/>
    <n v="12.383333333360497"/>
    <n v="12.597577388936028"/>
    <m/>
    <m/>
    <m/>
    <m/>
    <m/>
  </r>
  <r>
    <d v="2025-04-10T00:00:00"/>
    <x v="3"/>
    <s v="NBL"/>
    <s v="OMBPTEPRR"/>
    <m/>
    <x v="3"/>
    <s v="UBK 881R"/>
    <s v="KATO INVESTMENTS LIMITED-MASAK Tax No.: 1000098824"/>
    <n v="153.6"/>
    <s v="OMBPTEPRR"/>
    <s v="OM"/>
    <n v="596"/>
    <n v="595"/>
    <n v="-1"/>
    <m/>
    <d v="2025-04-09T19:33:00"/>
    <d v="2025-04-10T09:00:00"/>
    <d v="2025-04-09T19:59:00"/>
    <n v="-777.38425925902754"/>
    <n v="25.879629630556639"/>
    <x v="0"/>
    <d v="2025-04-10T09:41:00"/>
    <d v="2025-04-10T12:39:00"/>
    <n v="174.29166667054233"/>
    <m/>
    <d v="2025-04-10T19:07:00"/>
    <d v="2025-04-10T19:47:00"/>
    <n v="39.166666671226267"/>
    <m/>
    <n v="0.96388888888759539"/>
    <n v="2"/>
    <n v="1.0361111111124046"/>
    <n v="23.133333333302289"/>
    <n v="0"/>
    <n v="23.133333333302289"/>
    <n v="6.639769452458478"/>
    <m/>
    <m/>
    <m/>
    <m/>
    <m/>
  </r>
  <r>
    <d v="2025-04-11T00:00:00"/>
    <x v="3"/>
    <s v="NBL"/>
    <s v="OMEUP5CRR"/>
    <m/>
    <x v="16"/>
    <s v="UBJ 707D"/>
    <s v="Ntale &amp; Sons -Kakiri Tax No.: 1001371381"/>
    <n v="156"/>
    <s v="OMEUP5CRR"/>
    <s v="OM"/>
    <n v="620"/>
    <n v="617"/>
    <n v="-3"/>
    <m/>
    <d v="2025-04-11T18:11:00"/>
    <d v="2025-04-11T01:59:00"/>
    <d v="2025-04-11T18:39:00"/>
    <n v="995.37037037152913"/>
    <n v="27.870370367357584"/>
    <x v="0"/>
    <d v="2025-04-13T08:33:00"/>
    <d v="2025-04-13T12:36:00"/>
    <n v="237.93750000615546"/>
    <s v="Waited for empties from trade"/>
    <d v="2025-04-15T09:24:00"/>
    <d v="2025-04-15T10:16:00"/>
    <n v="50.916666668490507"/>
    <s v="Failed batteries at the gate"/>
    <n v="3.6145833333357587"/>
    <n v="3"/>
    <n v="-0.61458333333575865"/>
    <n v="86.750000000058208"/>
    <n v="36"/>
    <n v="50.750000000058208"/>
    <n v="3.0738916256122382"/>
    <m/>
    <m/>
    <m/>
    <m/>
    <m/>
  </r>
  <r>
    <d v="2025-04-11T00:00:00"/>
    <x v="3"/>
    <s v="NBL"/>
    <s v="OMFOGCTRR"/>
    <m/>
    <x v="3"/>
    <s v="UBK 881R"/>
    <s v="Kato Investment Ltd -Mityana Tax No.: 1000098824"/>
    <n v="156"/>
    <s v="OMFOGCTRR"/>
    <s v="OM"/>
    <n v="690"/>
    <n v="689"/>
    <n v="-1"/>
    <m/>
    <d v="2025-04-11T08:02:00"/>
    <d v="2025-04-10T20:01:00"/>
    <d v="2025-04-11T08:56:00"/>
    <n v="771.41203703819576"/>
    <n v="53.749999997914223"/>
    <x v="1"/>
    <d v="2025-04-11T18:40:00"/>
    <d v="2025-04-12T15:18:00"/>
    <n v="1212.2083333246701"/>
    <s v="Waited for empties from trade"/>
    <d v="2025-04-14T21:30:00"/>
    <d v="2025-04-14T22:10:00"/>
    <n v="39.166666671226267"/>
    <m/>
    <n v="3.523611111115315"/>
    <n v="3"/>
    <n v="-0.523611111115315"/>
    <n v="84.56666666676756"/>
    <n v="36"/>
    <n v="48.56666666676756"/>
    <n v="3.2120796156419202"/>
    <m/>
    <m/>
    <m/>
    <m/>
    <m/>
  </r>
  <r>
    <d v="2025-04-11T00:00:00"/>
    <x v="3"/>
    <s v="NBL"/>
    <s v="OM9E0QKRR"/>
    <m/>
    <x v="2"/>
    <s v="UBE 287X"/>
    <s v="Kabaco U Ltd Tax No.: 1000025425"/>
    <n v="156"/>
    <s v="OM9E0QKRR"/>
    <s v="OM"/>
    <n v="304"/>
    <n v="303"/>
    <n v="-1"/>
    <m/>
    <d v="2025-04-11T13:56:00"/>
    <d v="2025-04-11T02:22:00"/>
    <d v="2025-04-11T14:49:00"/>
    <n v="743.54166666040931"/>
    <n v="52.75462963472819"/>
    <x v="12"/>
    <d v="2025-04-12T09:50:00"/>
    <d v="2025-04-12T13:08:00"/>
    <n v="193.87500000615546"/>
    <s v="truck faulty"/>
    <d v="2025-04-12T19:22:00"/>
    <d v="2025-04-12T20:07:00"/>
    <n v="44.0625"/>
    <m/>
    <n v="1.1895833333328483"/>
    <n v="2"/>
    <n v="0.81041666666715173"/>
    <n v="28.549999999988358"/>
    <n v="12"/>
    <n v="16.549999999988358"/>
    <n v="9.4259818731184133"/>
    <m/>
    <m/>
    <m/>
    <m/>
    <m/>
  </r>
  <r>
    <d v="2025-04-11T00:00:00"/>
    <x v="3"/>
    <s v="NBL"/>
    <s v="OMDYYTVRR"/>
    <m/>
    <x v="5"/>
    <s v="UBE 419T"/>
    <s v="KATO INVESTMENTS LTD- KALISIZO Tax No.: 1000098824"/>
    <n v="153.6"/>
    <s v="OMDYYTVRR"/>
    <s v="OM"/>
    <n v="288"/>
    <n v="287"/>
    <n v="-1"/>
    <m/>
    <d v="2025-04-11T06:39:00"/>
    <d v="2025-04-11T03:43:00"/>
    <d v="2025-04-11T07:00:00"/>
    <n v="196.08796295554689"/>
    <n v="20.902777772910969"/>
    <x v="0"/>
    <d v="2025-04-11T13:10:00"/>
    <d v="2025-04-11T18:09:00"/>
    <n v="292.77083333356131"/>
    <s v="Reached late and offloaded the next day"/>
    <d v="2025-04-12T14:02:00"/>
    <d v="2025-04-12T14:40:00"/>
    <n v="37.208333331509493"/>
    <m/>
    <n v="1.2930555555576575"/>
    <n v="2"/>
    <n v="0.7069444444423425"/>
    <n v="31.03333333338378"/>
    <n v="12"/>
    <n v="19.03333333338378"/>
    <n v="8.0700525393831644"/>
    <m/>
    <m/>
    <m/>
    <m/>
    <m/>
  </r>
  <r>
    <d v="2025-04-11T00:00:00"/>
    <x v="3"/>
    <s v="NBL"/>
    <s v="OMXXPJNRR"/>
    <m/>
    <x v="14"/>
    <s v="UBJ 988D"/>
    <s v="Kabaco U Ltd-Mbarara Tax No.: 1000025425"/>
    <n v="153.6"/>
    <s v="OMXXPJNRR"/>
    <s v="OM"/>
    <n v="20"/>
    <n v="19"/>
    <n v="-1"/>
    <m/>
    <d v="2025-04-11T07:50:00"/>
    <d v="2025-04-11T07:42:00"/>
    <d v="2025-04-11T08:16:00"/>
    <n v="33.842592598618161"/>
    <n v="25.879629630556639"/>
    <x v="0"/>
    <d v="2025-04-11T09:16:00"/>
    <d v="2025-04-11T11:16:00"/>
    <n v="117.5000000034197"/>
    <m/>
    <d v="2025-04-11T13:05:00"/>
    <d v="2025-04-11T13:56:00"/>
    <n v="49.93749999863212"/>
    <s v="dj failures at the gate"/>
    <n v="0.20069444444379769"/>
    <n v="1"/>
    <n v="0.79930555555620231"/>
    <n v="4.8166666666511446"/>
    <n v="0"/>
    <n v="4.8166666666511446"/>
    <n v="31.889273356504148"/>
    <m/>
    <m/>
    <m/>
    <m/>
    <m/>
  </r>
  <r>
    <d v="2025-04-11T00:00:00"/>
    <x v="3"/>
    <s v="NBL"/>
    <s v="OMZU2Z9RR"/>
    <m/>
    <x v="4"/>
    <s v="UBE 422T"/>
    <s v="KATO INVESTMENTS LTD-KATIKARA Tax No.: 1000098824"/>
    <n v="156"/>
    <s v="OMZU2Z9RR"/>
    <s v="OM"/>
    <n v="790"/>
    <n v="789"/>
    <n v="-1"/>
    <m/>
    <d v="2025-04-10T18:03:00"/>
    <d v="2025-04-10T20:00:00"/>
    <d v="2025-04-10T18:45:00"/>
    <n v="-74.652777781254073"/>
    <n v="41.805555556250816"/>
    <x v="11"/>
    <d v="2025-04-11T15:12:00"/>
    <d v="2025-04-12T13:53:00"/>
    <n v="1332.645833337665"/>
    <s v="Waited for empties from trade"/>
    <d v="2025-04-13T13:35:00"/>
    <d v="2025-04-13T14:15:00"/>
    <n v="39.166666671226267"/>
    <m/>
    <n v="2.7847222222189885"/>
    <n v="3"/>
    <n v="0.21527777778101154"/>
    <n v="66.833333333255723"/>
    <n v="24"/>
    <n v="42.833333333255723"/>
    <n v="3.6420233463101011"/>
    <m/>
    <m/>
    <m/>
    <m/>
    <m/>
  </r>
  <r>
    <d v="2025-04-11T00:00:00"/>
    <x v="3"/>
    <s v="NBL"/>
    <s v="OMIBKZ2RR"/>
    <m/>
    <x v="7"/>
    <s v="UAY 526V"/>
    <s v="KATO INVESTMENTS LIMITED-MASAK Tax No.: 1000098824"/>
    <n v="153.6"/>
    <s v="OMIBKZ2RR"/>
    <s v="OM"/>
    <n v="596"/>
    <n v="593"/>
    <n v="-3"/>
    <m/>
    <d v="2025-04-10T18:47:00"/>
    <d v="2025-04-11T04:14:00"/>
    <d v="2025-04-10T19:37:00"/>
    <n v="-514.60648147985921"/>
    <n v="49.768518513883464"/>
    <x v="10"/>
    <d v="2025-04-11T08:43:00"/>
    <d v="2025-04-11T12:55:00"/>
    <n v="246.75000000410364"/>
    <s v="Waited for empties from trade"/>
    <d v="2025-04-12T13:30:00"/>
    <d v="2025-04-12T14:20:00"/>
    <n v="48.958333328773733"/>
    <s v="beer topup delays"/>
    <n v="1.7451388888875954"/>
    <n v="2"/>
    <n v="0.25486111111240461"/>
    <n v="41.883333333302289"/>
    <n v="12"/>
    <n v="29.883333333302289"/>
    <n v="5.1399888455156573"/>
    <m/>
    <m/>
    <m/>
    <m/>
    <m/>
  </r>
  <r>
    <d v="2025-04-12T00:00:00"/>
    <x v="3"/>
    <s v="NBL"/>
    <s v="OMB4NO9RR"/>
    <m/>
    <x v="17"/>
    <s v="UBA 523T"/>
    <s v="Kabaco U Ltd-Mbarara Tax No.: 1000025425"/>
    <n v="153.6"/>
    <s v="OMB4NO9RR"/>
    <s v="OM"/>
    <n v="20"/>
    <n v="19"/>
    <n v="-1"/>
    <m/>
    <d v="2025-04-12T11:35:00"/>
    <d v="2025-04-12T07:42:00"/>
    <d v="2025-04-12T12:03:00"/>
    <n v="259.79166666875244"/>
    <n v="27.870370367357584"/>
    <x v="0"/>
    <d v="2025-04-12T12:33:00"/>
    <d v="2025-04-12T16:59:00"/>
    <n v="260.45833333082555"/>
    <s v="Waited for empties from trade"/>
    <d v="2025-04-12T17:45:00"/>
    <d v="2025-04-12T18:25:00"/>
    <n v="39.166666671226267"/>
    <m/>
    <n v="0.23750000000291038"/>
    <n v="1"/>
    <n v="0.76249999999708962"/>
    <n v="5.7000000000698492"/>
    <n v="0"/>
    <n v="5.7000000000698492"/>
    <n v="26.947368420722412"/>
    <m/>
    <m/>
    <m/>
    <m/>
    <m/>
  </r>
  <r>
    <d v="2025-04-12T00:00:00"/>
    <x v="3"/>
    <s v="NBL"/>
    <s v="OMVC0I5RR"/>
    <m/>
    <x v="14"/>
    <s v="UBJ 988D"/>
    <s v="KATO INVESTMENTS LIMITED-MASAK Tax No.: 1000098824"/>
    <n v="153.6"/>
    <s v="OMVC0I5RR"/>
    <s v="OM"/>
    <n v="596"/>
    <n v="595"/>
    <n v="-1"/>
    <m/>
    <d v="2025-04-12T06:36:00"/>
    <d v="2025-04-12T04:14:00"/>
    <d v="2025-04-12T07:30:00"/>
    <n v="195.09259259236083"/>
    <n v="53.749999997914223"/>
    <x v="1"/>
    <d v="2025-04-12T12:54:00"/>
    <d v="2025-04-13T09:42:00"/>
    <n v="1222.0000000027358"/>
    <s v="truck faulty"/>
    <d v="2025-04-13T15:53:00"/>
    <d v="2025-04-13T16:38:00"/>
    <n v="44.0625"/>
    <m/>
    <n v="1.3493055555591127"/>
    <n v="2"/>
    <n v="0.65069444444088731"/>
    <n v="32.383333333418705"/>
    <n v="12"/>
    <n v="20.383333333418705"/>
    <n v="7.5355682747026984"/>
    <m/>
    <m/>
    <m/>
    <m/>
    <m/>
  </r>
  <r>
    <d v="2025-04-12T00:00:00"/>
    <x v="3"/>
    <s v="NBL"/>
    <s v="OM2JM1BRR"/>
    <m/>
    <x v="9"/>
    <s v="UAV 203T"/>
    <s v="Ntale &amp; Sons -Kakiri Tax No.: 1001371381"/>
    <n v="156"/>
    <s v="OM2JM1BRR"/>
    <s v="OM"/>
    <n v="620"/>
    <n v="619"/>
    <n v="-1"/>
    <m/>
    <d v="2025-04-11T19:23:00"/>
    <d v="2025-04-12T01:59:00"/>
    <d v="2025-04-11T20:02:00"/>
    <n v="-355.34722222291748"/>
    <n v="38.819444445834961"/>
    <x v="5"/>
    <d v="2025-04-12T18:30:00"/>
    <d v="2025-04-13T08:58:00"/>
    <n v="849.91666666712263"/>
    <s v="Reached late and offloaded the next day"/>
    <d v="2025-04-14T12:33:00"/>
    <d v="2025-04-14T13:11:00"/>
    <n v="37.208333331509493"/>
    <m/>
    <n v="2.6881944444467081"/>
    <n v="3"/>
    <n v="0.31180555555329192"/>
    <n v="64.516666666720994"/>
    <n v="24"/>
    <n v="40.516666666720994"/>
    <n v="3.8502673796739817"/>
    <m/>
    <m/>
    <m/>
    <m/>
    <m/>
  </r>
  <r>
    <d v="2025-04-12T00:00:00"/>
    <x v="3"/>
    <s v="NBL"/>
    <s v="OM36BOPRR"/>
    <m/>
    <x v="20"/>
    <s v="UAY 265V"/>
    <s v="Sawan Distributors Ltd-Nabingo Tax No.: 1000186379"/>
    <n v="156"/>
    <s v="OM36BOPRR"/>
    <s v="OM"/>
    <n v="560"/>
    <n v="559"/>
    <n v="-1"/>
    <m/>
    <d v="2025-04-11T19:22:00"/>
    <d v="2025-04-12T02:30:00"/>
    <d v="2025-04-11T19:50:00"/>
    <n v="-398.14814814235433"/>
    <n v="27.870370367357584"/>
    <x v="0"/>
    <d v="2025-04-12T13:43:00"/>
    <d v="2025-04-12T17:28:00"/>
    <n v="220.3125"/>
    <s v="Waited for empties from trade"/>
    <d v="2025-04-13T18:23:00"/>
    <d v="2025-04-13T19:14:00"/>
    <n v="49.93749999863212"/>
    <s v="found another truck waiting to offload"/>
    <n v="1.9395833333328483"/>
    <n v="2"/>
    <n v="6.0416666667151731E-2"/>
    <n v="46.549999999988358"/>
    <n v="12"/>
    <n v="34.549999999988358"/>
    <n v="4.515195369031912"/>
    <m/>
    <m/>
    <m/>
    <m/>
    <m/>
  </r>
  <r>
    <d v="2025-04-13T00:00:00"/>
    <x v="3"/>
    <s v="NBL"/>
    <s v="OM6IVKZRR"/>
    <m/>
    <x v="12"/>
    <s v="UBJ 415C"/>
    <s v="Kabaco U Ltd-Mbarara Tax No.: 1000025425"/>
    <n v="153.6"/>
    <s v="OM6IVKZRR"/>
    <s v="OM"/>
    <n v="20"/>
    <n v="21"/>
    <n v="1"/>
    <m/>
    <d v="2025-04-13T07:04:00"/>
    <d v="2025-04-13T07:42:00"/>
    <d v="2025-04-13T07:30:00"/>
    <n v="-11.944444441663412"/>
    <n v="25.879629630556639"/>
    <x v="0"/>
    <d v="2025-04-13T15:37:00"/>
    <d v="2025-04-13T18:36:00"/>
    <n v="175.27083334040071"/>
    <m/>
    <d v="2025-04-14T08:34:00"/>
    <d v="2025-04-14T09:25:00"/>
    <n v="49.93749999863212"/>
    <s v="fueling delays"/>
    <n v="1.0444444444437977"/>
    <n v="1"/>
    <n v="-4.4444444443797693E-2"/>
    <n v="25.066666666651145"/>
    <n v="12"/>
    <n v="13.066666666651145"/>
    <n v="11.755102040830289"/>
    <m/>
    <m/>
    <m/>
    <m/>
    <m/>
  </r>
  <r>
    <d v="2025-04-13T00:00:00"/>
    <x v="3"/>
    <s v="NBL"/>
    <s v="OMYMRNDRR"/>
    <m/>
    <x v="1"/>
    <s v="UBJ 375N"/>
    <s v="Kobusinge Steven-FPortal Tax No.: 1000977837"/>
    <n v="156"/>
    <s v="OMYMRNDRR"/>
    <s v="OM"/>
    <n v="304"/>
    <n v="303"/>
    <n v="-1"/>
    <m/>
    <d v="2025-04-12T18:21:00"/>
    <d v="2025-04-12T20:25:00"/>
    <d v="2025-04-12T18:49:00"/>
    <n v="-95.555555554165039"/>
    <n v="27.870370367357584"/>
    <x v="0"/>
    <d v="2025-04-13T11:51:00"/>
    <d v="2025-04-14T15:41:00"/>
    <n v="1635.2083333287737"/>
    <s v="truck faulty"/>
    <d v="2025-04-15T10:41:00"/>
    <d v="2025-04-15T11:23:00"/>
    <n v="41.12500000068394"/>
    <m/>
    <n v="2.6611111111124046"/>
    <n v="2"/>
    <n v="-0.66111111111240461"/>
    <n v="63.866666666697711"/>
    <n v="24"/>
    <n v="39.866666666697711"/>
    <n v="3.9130434782578223"/>
    <m/>
    <m/>
    <m/>
    <m/>
    <m/>
  </r>
  <r>
    <d v="2025-04-13T00:00:00"/>
    <x v="3"/>
    <s v="NBL"/>
    <s v="OM006PBRR"/>
    <m/>
    <x v="5"/>
    <s v="UBE 419T"/>
    <s v="Kabaco U Ltd Tax No.: 1000025425"/>
    <n v="156"/>
    <s v="OM006PBRR"/>
    <s v="OM"/>
    <n v="304"/>
    <n v="301"/>
    <n v="-3"/>
    <m/>
    <d v="2025-04-12T17:46:00"/>
    <d v="2025-04-13T02:22:00"/>
    <d v="2025-04-12T18:14:00"/>
    <n v="-485.7407407388867"/>
    <n v="27.870370367357584"/>
    <x v="0"/>
    <d v="2025-04-13T10:32:00"/>
    <d v="2025-04-13T16:15:00"/>
    <n v="335.85416667396203"/>
    <s v="Reached late and offloaded the next day"/>
    <d v="2025-04-14T12:20:00"/>
    <d v="2025-04-14T13:01:00"/>
    <n v="40.145833330825553"/>
    <m/>
    <n v="1.7541666666656965"/>
    <n v="2"/>
    <n v="0.24583333333430346"/>
    <n v="42.099999999976717"/>
    <n v="12"/>
    <n v="30.099999999976717"/>
    <n v="5.1827242524957029"/>
    <m/>
    <m/>
    <m/>
    <m/>
    <m/>
  </r>
  <r>
    <d v="2025-04-14T00:00:00"/>
    <x v="3"/>
    <s v="NBL"/>
    <s v="OMPHJ0CRR"/>
    <m/>
    <x v="57"/>
    <s v="UAV 051U"/>
    <s v="Kato Investment Ltd -Mityana Tax No.: 1000098824"/>
    <n v="156"/>
    <s v="OMPHJ0CRR"/>
    <s v="OM"/>
    <n v="690"/>
    <n v="689"/>
    <n v="-1"/>
    <m/>
    <d v="2025-04-14T15:11:00"/>
    <d v="2025-04-14T19:35:00"/>
    <d v="2025-04-14T15:39:00"/>
    <n v="-234.90740740138185"/>
    <n v="27.870370367357584"/>
    <x v="0"/>
    <d v="2025-04-15T08:31:00"/>
    <d v="2025-04-15T15:21:00"/>
    <n v="401.45833332877373"/>
    <s v="Waited for empties from trade"/>
    <d v="2025-04-16T15:44:00"/>
    <d v="2025-04-16T16:26:00"/>
    <n v="41.12500000068394"/>
    <m/>
    <n v="2.0034722222189885"/>
    <n v="3"/>
    <n v="0.99652777778101154"/>
    <n v="48.083333333255723"/>
    <n v="24"/>
    <n v="24.083333333255723"/>
    <n v="6.4775086505399058"/>
    <m/>
    <m/>
    <m/>
    <m/>
    <m/>
  </r>
  <r>
    <d v="2025-04-14T00:00:00"/>
    <x v="3"/>
    <s v="NBL"/>
    <s v="OMULNXXRR"/>
    <m/>
    <x v="4"/>
    <s v="UBE 422T"/>
    <s v="Ntale &amp; Sons Tax No.: 1001371381"/>
    <n v="153.6"/>
    <s v="OMULNXXRR"/>
    <s v="OM"/>
    <n v="810"/>
    <n v="809"/>
    <n v="-1"/>
    <m/>
    <d v="2025-04-14T08:50:00"/>
    <d v="2025-04-14T16:40:00"/>
    <d v="2025-04-14T09:16:00"/>
    <n v="-441.94444444583496"/>
    <n v="25.879629630556639"/>
    <x v="0"/>
    <d v="2025-04-14T19:44:00"/>
    <d v="2025-04-15T17:37:00"/>
    <n v="1285.6458333280898"/>
    <s v="Waited for empties from trade"/>
    <d v="2025-04-16T19:02:00"/>
    <d v="2025-04-16T19:52:00"/>
    <n v="48.958333328773733"/>
    <s v="fueling delays"/>
    <n v="2.4069444444467081"/>
    <n v="3"/>
    <n v="0.59305555555329192"/>
    <n v="57.766666666720994"/>
    <n v="24"/>
    <n v="33.766666666720994"/>
    <n v="4.5488647581368076"/>
    <m/>
    <m/>
    <m/>
    <m/>
    <m/>
  </r>
  <r>
    <d v="2025-04-14T00:00:00"/>
    <x v="3"/>
    <s v="NBL"/>
    <s v="OM5V83IRR"/>
    <m/>
    <x v="8"/>
    <s v="UBK 875R"/>
    <s v="Kabaco U Ltd Tax No.: 1000025425"/>
    <n v="156"/>
    <s v="OM5V83IRR"/>
    <s v="OM"/>
    <n v="304"/>
    <n v="303"/>
    <n v="-1"/>
    <m/>
    <d v="2025-04-13T18:56:00"/>
    <d v="2025-04-14T08:00:00"/>
    <d v="2025-04-13T19:22:00"/>
    <n v="-754.49074074931559"/>
    <n v="25.879629630556639"/>
    <x v="0"/>
    <d v="2025-04-14T11:15:00"/>
    <d v="2025-04-14T15:21:00"/>
    <n v="240.87499999521242"/>
    <s v="Waited for empties from trade"/>
    <d v="2025-04-15T10:14:00"/>
    <d v="2025-04-15T10:55:00"/>
    <n v="40.145833330825553"/>
    <m/>
    <n v="1.6194444444481633"/>
    <n v="2"/>
    <n v="0.38055555555183673"/>
    <n v="38.866666666755918"/>
    <n v="12"/>
    <n v="26.866666666755918"/>
    <n v="5.8064516128839365"/>
    <m/>
    <m/>
    <m/>
    <m/>
    <m/>
  </r>
  <r>
    <d v="2025-04-14T00:00:00"/>
    <x v="3"/>
    <s v="NBL"/>
    <s v="OMAI56GRR"/>
    <m/>
    <x v="7"/>
    <s v="UAY 526V"/>
    <s v="Rugoma Traders-Rukungiri Tax No.: 1000249350"/>
    <n v="156"/>
    <s v="OMAI56GRR"/>
    <s v="OM"/>
    <n v="256"/>
    <n v="255"/>
    <n v="-1"/>
    <m/>
    <d v="2025-04-13T18:02:00"/>
    <d v="2025-04-14T08:00:00"/>
    <d v="2025-04-13T18:56:00"/>
    <n v="-780.37037036944332"/>
    <n v="53.749999997914223"/>
    <x v="11"/>
    <d v="2025-04-14T09:34:00"/>
    <d v="2025-04-14T14:42:00"/>
    <n v="301.58333334176859"/>
    <s v="truck faulty"/>
    <d v="2025-04-14T18:55:00"/>
    <d v="2025-04-14T19:37:00"/>
    <n v="41.12500000068394"/>
    <m/>
    <n v="0.99930555555329192"/>
    <n v="2"/>
    <n v="1.0006944444467081"/>
    <n v="23.983333333279006"/>
    <n v="0"/>
    <n v="23.983333333279006"/>
    <n v="6.5045170257270346"/>
    <m/>
    <m/>
    <m/>
    <m/>
    <m/>
  </r>
  <r>
    <d v="2025-04-14T00:00:00"/>
    <x v="3"/>
    <s v="NBL"/>
    <s v="OMT3S9HRR"/>
    <m/>
    <x v="17"/>
    <s v="UBA 523T"/>
    <s v="Ntale &amp; Sons Tax No.: 1001371381"/>
    <n v="153.6"/>
    <s v="OMT3S9HRR"/>
    <s v="OM"/>
    <n v="810"/>
    <n v="809"/>
    <n v="-1"/>
    <m/>
    <d v="2025-04-13T18:54:00"/>
    <d v="2025-04-14T16:40:00"/>
    <d v="2025-04-13T19:18:00"/>
    <n v="-1276.0648148131925"/>
    <n v="23.888888893755695"/>
    <x v="0"/>
    <d v="2025-04-14T17:53:00"/>
    <d v="2025-04-15T13:00:00"/>
    <n v="1123.1041666650708"/>
    <s v="Reached late and offloaded the next day"/>
    <d v="2025-04-16T14:21:00"/>
    <d v="2025-04-16T15:06:00"/>
    <n v="44.0625"/>
    <m/>
    <n v="2.7937499999970896"/>
    <n v="3"/>
    <n v="0.20625000000291038"/>
    <n v="67.049999999930151"/>
    <n v="24"/>
    <n v="43.049999999930151"/>
    <n v="3.5679442508768688"/>
    <m/>
    <m/>
    <m/>
    <m/>
    <m/>
  </r>
  <r>
    <d v="2025-04-14T00:00:00"/>
    <x v="3"/>
    <s v="NBL"/>
    <s v="OMMUSBERR"/>
    <m/>
    <x v="2"/>
    <s v="UBE 287X"/>
    <s v="Kobusinge Steven-FPortal Tax No.: 1000977837"/>
    <n v="156"/>
    <s v="OMMUSBERR"/>
    <s v="OM"/>
    <n v="304"/>
    <n v="307"/>
    <n v="3"/>
    <m/>
    <d v="2025-04-13T18:16:00"/>
    <d v="2025-04-14T20:25:00"/>
    <d v="2025-04-13T18:58:00"/>
    <n v="-1519.9305555562507"/>
    <n v="41.805555556250816"/>
    <x v="2"/>
    <d v="2025-04-14T15:53:00"/>
    <d v="2025-04-15T11:28:00"/>
    <n v="1150.5208333287737"/>
    <s v="less casuals and offloaded the next day"/>
    <d v="2025-04-16T11:07:00"/>
    <d v="2025-04-16T11:48:00"/>
    <n v="40.145833330825553"/>
    <m/>
    <n v="2.6729166666627862"/>
    <n v="2"/>
    <n v="-0.67291666666278616"/>
    <n v="64.149999999906868"/>
    <n v="24"/>
    <n v="40.149999999906868"/>
    <n v="3.8854296388633092"/>
    <m/>
    <m/>
    <m/>
    <m/>
    <m/>
  </r>
  <r>
    <d v="2025-04-15T00:00:00"/>
    <x v="3"/>
    <s v="NBL"/>
    <s v="OMHQOVMRR"/>
    <m/>
    <x v="8"/>
    <s v="UBK 875R"/>
    <s v="KATO INVESTMENTS LTD- KALISIZO Tax No.: 1000098824"/>
    <n v="153.6"/>
    <s v="OMHQOVMRR"/>
    <s v="OM"/>
    <n v="288"/>
    <n v="287"/>
    <n v="-1"/>
    <m/>
    <d v="2025-04-16T19:35:00"/>
    <d v="2025-04-15T03:43:00"/>
    <d v="2025-04-16T20:01:00"/>
    <n v="2406.8055555479077"/>
    <n v="25.879629630556639"/>
    <x v="0"/>
    <d v="2025-04-17T11:48:00"/>
    <d v="2025-04-17T17:27:00"/>
    <n v="331.93749999452848"/>
    <s v="found another truck to be offloaded"/>
    <d v="2025-04-18T13:10:00"/>
    <d v="2025-04-18T14:02:00"/>
    <n v="50.916666668490507"/>
    <s v="found another truck waiting to offload"/>
    <n v="1.7145833333343035"/>
    <n v="2"/>
    <n v="0.28541666666569654"/>
    <n v="41.150000000023283"/>
    <n v="12"/>
    <n v="29.150000000023283"/>
    <n v="5.2692967409906455"/>
    <m/>
    <m/>
    <m/>
    <m/>
    <m/>
  </r>
  <r>
    <d v="2025-04-15T00:00:00"/>
    <x v="3"/>
    <s v="NBL"/>
    <s v="OMY9LNNRR"/>
    <m/>
    <x v="16"/>
    <s v="UBJ 707D"/>
    <s v="Rugoma Traders-Kanungu/Kihihi Tax No.: 1000249350"/>
    <n v="153.6"/>
    <s v="OMY9LNNRR"/>
    <s v="OM"/>
    <n v="272"/>
    <n v="271"/>
    <n v="-1"/>
    <m/>
    <d v="2025-04-17T09:27:00"/>
    <d v="2025-04-16T01:59:00"/>
    <d v="2025-04-17T09:53:00"/>
    <n v="1905.1388888937556"/>
    <n v="25.879629630556639"/>
    <x v="0"/>
    <d v="2025-04-17T19:32:00"/>
    <d v="2025-04-18T13:19:00"/>
    <n v="1044.7708333328774"/>
    <s v="Waited for empties from trade"/>
    <d v="2025-04-18T19:23:00"/>
    <d v="2025-04-18T20:01:00"/>
    <n v="37.208333331509493"/>
    <m/>
    <n v="1.3958333333284827"/>
    <n v="2"/>
    <n v="0.60416666667151731"/>
    <n v="33.499999999883585"/>
    <n v="12"/>
    <n v="21.499999999883585"/>
    <n v="7.1441860465503106"/>
    <m/>
    <m/>
    <m/>
    <m/>
    <m/>
  </r>
  <r>
    <d v="2025-04-15T00:00:00"/>
    <x v="3"/>
    <s v="NBL"/>
    <s v="OMW92Y7RR"/>
    <m/>
    <x v="1"/>
    <s v="UBJ 375N"/>
    <s v="Ntale &amp; Sons Tax No.: 1001371381"/>
    <n v="153.6"/>
    <s v="OMW92Y7RR"/>
    <s v="OM"/>
    <n v="810"/>
    <n v="807"/>
    <n v="-3"/>
    <m/>
    <d v="2025-04-15T19:10:00"/>
    <d v="2025-04-14T21:00:00"/>
    <d v="2025-04-15T19:34:00"/>
    <n v="1347.7314814840308"/>
    <n v="23.888888893755695"/>
    <x v="0"/>
    <d v="2025-04-16T18:45:00"/>
    <d v="2025-04-17T16:02:00"/>
    <n v="1250.3958333362971"/>
    <s v="Waited for empties from trade"/>
    <d v="2025-04-18T17:52:00"/>
    <d v="2025-04-18T18:41:00"/>
    <n v="47.979166669174447"/>
    <s v="sorting delays"/>
    <n v="2.929166666661331"/>
    <n v="3"/>
    <n v="7.0833333338669036E-2"/>
    <n v="70.299999999871943"/>
    <n v="24"/>
    <n v="46.299999999871943"/>
    <n v="3.3174946004411408"/>
    <m/>
    <m/>
    <m/>
    <m/>
    <m/>
  </r>
  <r>
    <d v="2025-04-15T00:00:00"/>
    <x v="3"/>
    <s v="NBL"/>
    <s v="OMK7BMWRR"/>
    <m/>
    <x v="2"/>
    <s v="UBE 287X"/>
    <s v="Rugoma Traders-Kanungu/Kihihi Tax No.: 1000249350"/>
    <n v="153.6"/>
    <s v="OMK7BMWRR"/>
    <s v="OM"/>
    <n v="272"/>
    <n v="271"/>
    <n v="-1"/>
    <m/>
    <d v="2025-04-16T15:29:00"/>
    <d v="2025-04-16T01:59:00"/>
    <d v="2025-04-16T16:19:00"/>
    <n v="856.01851851388346"/>
    <n v="49.768518513883464"/>
    <x v="1"/>
    <d v="2025-04-17T10:12:00"/>
    <d v="2025-04-17T14:55:00"/>
    <n v="277.10416666712263"/>
    <s v="space consquents"/>
    <d v="2025-04-18T09:13:00"/>
    <d v="2025-04-18T09:54:00"/>
    <n v="40.145833330825553"/>
    <m/>
    <n v="1.7041666666700621"/>
    <n v="2"/>
    <n v="0.29583333332993789"/>
    <n v="40.900000000081491"/>
    <n v="12"/>
    <n v="28.900000000081491"/>
    <n v="5.3148788927185775"/>
    <m/>
    <m/>
    <m/>
    <m/>
    <m/>
  </r>
  <r>
    <d v="2025-04-15T00:00:00"/>
    <x v="3"/>
    <s v="NBL"/>
    <s v="OMQ88K5RR"/>
    <m/>
    <x v="12"/>
    <s v="UBJ 415C"/>
    <s v="KATO INVESTMENTS LTD- KALISIZO Tax No.: 1000098824"/>
    <n v="153.6"/>
    <s v="OMQ88K5RR"/>
    <s v="OM"/>
    <n v="288"/>
    <n v="286"/>
    <n v="-2"/>
    <m/>
    <d v="2025-04-15T11:37:00"/>
    <d v="2025-04-15T03:43:00"/>
    <d v="2025-04-15T12:01:00"/>
    <n v="495.69444444374921"/>
    <n v="23.888888893755695"/>
    <x v="0"/>
    <d v="2025-04-16T12:59:00"/>
    <d v="2025-04-16T15:08:00"/>
    <n v="126.31250000136788"/>
    <m/>
    <d v="2025-04-16T18:12:00"/>
    <d v="2025-04-16T18:54:00"/>
    <n v="41.12500000068394"/>
    <m/>
    <n v="1.257638888884685"/>
    <n v="2"/>
    <n v="0.742361111115315"/>
    <n v="30.18333333323244"/>
    <n v="12"/>
    <n v="18.18333333323244"/>
    <n v="8.4472960587086483"/>
    <m/>
    <m/>
    <m/>
    <m/>
    <m/>
  </r>
  <r>
    <d v="2025-04-15T00:00:00"/>
    <x v="3"/>
    <s v="NBL"/>
    <s v="OMS6KKIRR"/>
    <m/>
    <x v="7"/>
    <s v="UAY 526V"/>
    <s v="KATO INVESTMENTS LIMITED-MASAK Tax No.: 1000098824"/>
    <n v="153.6"/>
    <s v="OMS6KKIRR"/>
    <s v="OM"/>
    <n v="596"/>
    <n v="595"/>
    <n v="-1"/>
    <m/>
    <d v="2025-04-15T11:38:00"/>
    <d v="2025-04-15T04:14:00"/>
    <d v="2025-04-15T12:02:00"/>
    <n v="465.8333333291618"/>
    <n v="23.888888893755695"/>
    <x v="0"/>
    <d v="2025-04-15T19:19:00"/>
    <d v="2025-04-16T13:22:00"/>
    <n v="1060.4374999993161"/>
    <s v="Reached late and offloaded the next day"/>
    <d v="2025-04-16T19:26:00"/>
    <d v="2025-04-16T20:18:00"/>
    <n v="50.916666668490507"/>
    <s v="found another truck waiting to offload"/>
    <n v="1.3083333333343035"/>
    <n v="2"/>
    <n v="0.69166666666569654"/>
    <n v="31.400000000023283"/>
    <n v="12"/>
    <n v="19.400000000023283"/>
    <n v="7.917525773186374"/>
    <m/>
    <m/>
    <m/>
    <m/>
    <m/>
  </r>
  <r>
    <d v="2025-04-15T00:00:00"/>
    <x v="3"/>
    <s v="NBL"/>
    <s v="OMQWSBARR"/>
    <m/>
    <x v="3"/>
    <s v="UBK 881R"/>
    <s v="KATO INVESTMENTS LIMITED-MASAK Tax No.: 1000098824"/>
    <n v="153.6"/>
    <s v="OMQWSBARR"/>
    <s v="OM"/>
    <n v="596"/>
    <n v="595"/>
    <n v="-1"/>
    <m/>
    <d v="2025-04-15T10:30:00"/>
    <d v="2025-04-15T07:42:00"/>
    <d v="2025-04-15T10:56:00"/>
    <n v="193.10185185555989"/>
    <n v="25.879629630556639"/>
    <x v="0"/>
    <d v="2025-04-15T21:36:00"/>
    <d v="2025-04-16T11:34:00"/>
    <n v="820.54166666370293"/>
    <s v="Waited for empties from trade"/>
    <d v="2025-04-16T16:01:00"/>
    <d v="2025-04-16T16:46:00"/>
    <n v="44.0625"/>
    <m/>
    <n v="1.2118055555547471"/>
    <n v="2"/>
    <n v="0.78819444444525288"/>
    <n v="29.083333333313931"/>
    <n v="12"/>
    <n v="17.083333333313931"/>
    <n v="8.9912195122053333"/>
    <m/>
    <m/>
    <m/>
    <m/>
    <m/>
  </r>
  <r>
    <d v="2025-04-15T00:00:00"/>
    <x v="3"/>
    <s v="NBL"/>
    <s v="OMADN1KRR"/>
    <m/>
    <x v="50"/>
    <s v="UAR 731Q"/>
    <s v="KATO INVESTMENTS LIMITED-MASAK Tax No.: 1000098824"/>
    <n v="153.6"/>
    <s v="OMADN1KRR"/>
    <s v="OM"/>
    <n v="596"/>
    <n v="595"/>
    <n v="-1"/>
    <m/>
    <d v="2025-04-14T14:19:00"/>
    <d v="2025-04-14T15:00:00"/>
    <d v="2025-04-14T15:13:00"/>
    <n v="12.93981481527832"/>
    <n v="53.749999997914223"/>
    <x v="1"/>
    <d v="2025-04-15T10:03:00"/>
    <d v="2025-04-15T16:08:00"/>
    <n v="357.39583333903283"/>
    <s v="Waited for empties from trade"/>
    <d v="2025-04-16T12:39:00"/>
    <d v="2025-04-16T13:21:00"/>
    <n v="41.12500000068394"/>
    <m/>
    <n v="1.8930555555562023"/>
    <n v="2"/>
    <n v="0.10694444444379769"/>
    <n v="45.433333333348855"/>
    <n v="12"/>
    <n v="33.433333333348855"/>
    <n v="4.5942173479539985"/>
    <m/>
    <m/>
    <m/>
    <m/>
    <m/>
  </r>
  <r>
    <d v="2025-04-15T00:00:00"/>
    <x v="3"/>
    <s v="NBL"/>
    <s v="OMB5DYDRR"/>
    <m/>
    <x v="9"/>
    <s v="UAV 203T"/>
    <s v="Kato Investment Ltd -Kagadi Tax No.: 1000098824"/>
    <n v="156"/>
    <s v="OMB5DYDRR"/>
    <s v="OM"/>
    <n v="670"/>
    <n v="669"/>
    <n v="-1"/>
    <m/>
    <d v="2025-04-14T16:24:00"/>
    <d v="2025-04-14T17:46:00"/>
    <d v="2025-04-14T17:14:00"/>
    <n v="-31.851851851388346"/>
    <n v="49.768518513883464"/>
    <x v="12"/>
    <d v="2025-04-15T12:03:00"/>
    <d v="2025-04-15T17:23:00"/>
    <n v="313.33333333903283"/>
    <s v="truck faulty"/>
    <d v="2025-04-16T18:39:00"/>
    <d v="2025-04-16T19:21:00"/>
    <n v="41.12500000068394"/>
    <m/>
    <n v="2.0590277777810115"/>
    <n v="2"/>
    <n v="-5.9027777781011537E-2"/>
    <n v="49.416666666744277"/>
    <n v="24"/>
    <n v="25.416666666744277"/>
    <n v="6.1377049180140455"/>
    <m/>
    <m/>
    <m/>
    <m/>
    <m/>
  </r>
  <r>
    <d v="2025-04-15T00:00:00"/>
    <x v="3"/>
    <s v="KESH"/>
    <s v="OM1QSM2RR"/>
    <s v="DJ"/>
    <x v="0"/>
    <s v="UBJ 417C"/>
    <s v="Kobusinge Acaali- Kyenjojo Tax No.: 1000977837"/>
    <n v="156"/>
    <s v="OM1QSM2RR"/>
    <s v="OM"/>
    <n v="580"/>
    <n v="579"/>
    <n v="-1"/>
    <m/>
    <d v="2025-04-14T22:10:00"/>
    <d v="2025-04-15T03:17:00"/>
    <d v="2025-04-14T22:34:00"/>
    <n v="-281.68981481527834"/>
    <n v="23.888888893755695"/>
    <x v="0"/>
    <d v="2025-04-15T10:17:00"/>
    <d v="2025-04-15T15:58:00"/>
    <n v="333.89583333424525"/>
    <s v="Reached late and offloaded the next day"/>
    <d v="2025-04-15T22:20:00"/>
    <d v="2025-04-15T23:01:00"/>
    <n v="40.145833330825553"/>
    <m/>
    <n v="0.99027777777519077"/>
    <n v="2"/>
    <n v="1.0097222222248092"/>
    <n v="23.766666666604578"/>
    <n v="0"/>
    <n v="23.766666666604578"/>
    <n v="6.5638148667773155"/>
    <m/>
    <m/>
    <m/>
    <m/>
    <m/>
  </r>
  <r>
    <d v="2025-04-15T00:00:00"/>
    <x v="3"/>
    <s v="NBL"/>
    <s v="OMRDJTARR"/>
    <m/>
    <x v="20"/>
    <s v="UAY 265V"/>
    <s v="Kato Investments Ltd- Kyegegwa Tax No.: 1000098824"/>
    <n v="156"/>
    <s v="OMRDJTARR"/>
    <s v="OM"/>
    <n v="600"/>
    <n v="599"/>
    <n v="-1"/>
    <m/>
    <d v="2025-04-14T12:32:00"/>
    <d v="2025-04-14T20:24:00"/>
    <d v="2025-04-14T12:56:00"/>
    <n v="-445.92592591943685"/>
    <n v="23.888888893755695"/>
    <x v="0"/>
    <d v="2025-04-15T07:32:00"/>
    <d v="2025-04-15T11:44:00"/>
    <n v="246.75000000410364"/>
    <s v="found another truck to be offloaded"/>
    <d v="2025-04-16T08:28:00"/>
    <d v="2025-04-16T09:13:00"/>
    <n v="44.0625"/>
    <m/>
    <n v="1.8138888888861402"/>
    <n v="2"/>
    <n v="0.18611111111385981"/>
    <n v="43.533333333267365"/>
    <n v="12"/>
    <n v="31.533333333267365"/>
    <n v="4.9471458773887855"/>
    <m/>
    <m/>
    <m/>
    <m/>
    <m/>
  </r>
  <r>
    <d v="2025-04-15T00:00:00"/>
    <x v="3"/>
    <s v="NBL"/>
    <s v="OMPC74IRR"/>
    <m/>
    <x v="3"/>
    <s v="UBK 881R"/>
    <s v="Kabaco U Ltd-Mbarara Tax No.: 1000025425"/>
    <n v="153.6"/>
    <s v="OMPC74IRR"/>
    <s v="OM"/>
    <n v="20"/>
    <n v="18"/>
    <n v="-2"/>
    <m/>
    <d v="2025-04-15T18:33:00"/>
    <d v="2025-04-16T04:14:00"/>
    <d v="2025-04-15T19:26:00"/>
    <n v="-525.55555555833655"/>
    <n v="52.75462963472819"/>
    <x v="11"/>
    <d v="2025-04-15T12:27:00"/>
    <d v="2025-04-15T16:26:00"/>
    <n v="234.02083332672191"/>
    <s v="Waited for empties from trade"/>
    <d v="2025-04-15T17:00:00"/>
    <d v="2025-04-15T17:50:00"/>
    <n v="48.958333328773733"/>
    <s v="fueling delays"/>
    <n v="-0.101388888884685"/>
    <n v="1"/>
    <n v="1.101388888884685"/>
    <n v="-2.4333333332324401"/>
    <n v="-12"/>
    <n v="9.5666666667675599"/>
    <n v="16.055749128750531"/>
    <m/>
    <m/>
    <m/>
    <m/>
    <m/>
  </r>
  <r>
    <d v="2025-04-15T00:00:00"/>
    <x v="3"/>
    <s v="NBL"/>
    <s v="OMDHRHTRR"/>
    <m/>
    <x v="5"/>
    <s v="UBE 419T"/>
    <s v="Sawan Distributors Ltd-Kayabwe Tax No.: 1000186379"/>
    <n v="156"/>
    <s v="OMDHRHTRR"/>
    <s v="OM"/>
    <n v="382"/>
    <n v="381"/>
    <n v="-1"/>
    <m/>
    <d v="2025-04-14T16:34:00"/>
    <d v="2025-04-15T04:19:00"/>
    <d v="2025-04-14T17:00:00"/>
    <n v="-675.85648147360189"/>
    <n v="25.879629630556639"/>
    <x v="0"/>
    <d v="2025-04-15T10:34:00"/>
    <d v="2025-04-15T12:36:00"/>
    <n v="119.45833333287737"/>
    <m/>
    <d v="2025-04-16T11:03:00"/>
    <d v="2025-04-16T11:48:00"/>
    <n v="44.0625"/>
    <m/>
    <n v="1.7520833333328483"/>
    <n v="2"/>
    <n v="0.24791666666715173"/>
    <n v="42.049999999988358"/>
    <n v="12"/>
    <n v="30.049999999988358"/>
    <n v="5.191347753745772"/>
    <m/>
    <m/>
    <m/>
    <m/>
    <m/>
  </r>
  <r>
    <d v="2025-04-15T00:00:00"/>
    <x v="3"/>
    <s v="NBL"/>
    <s v="OMSEDWTRR"/>
    <m/>
    <x v="8"/>
    <s v="UBK 875R"/>
    <s v="RUGOMA TRADERS CO. LTD NTUNGAM Tax No.: 1000249350"/>
    <n v="153.6"/>
    <s v="OMSEDWTRR"/>
    <s v="OM"/>
    <n v="150"/>
    <n v="149"/>
    <n v="-1"/>
    <m/>
    <d v="2025-04-15T17:40:00"/>
    <d v="2025-04-16T06:15:00"/>
    <d v="2025-04-15T18:04:00"/>
    <n v="-727.61574073471513"/>
    <n v="23.888888893755695"/>
    <x v="0"/>
    <d v="2025-04-16T09:43:00"/>
    <d v="2025-04-16T14:22:00"/>
    <n v="273.18749999794818"/>
    <s v="Waited for empties from trade"/>
    <d v="2025-04-16T16:49:00"/>
    <d v="2025-04-16T17:30:00"/>
    <n v="40.145833330825553"/>
    <m/>
    <n v="0.94791666666424135"/>
    <n v="1"/>
    <n v="5.2083333335758653E-2"/>
    <n v="22.749999999941792"/>
    <n v="0"/>
    <n v="22.749999999941792"/>
    <n v="6.7516483516656258"/>
    <m/>
    <m/>
    <m/>
    <m/>
    <m/>
  </r>
  <r>
    <d v="2025-04-16T00:00:00"/>
    <x v="3"/>
    <s v="NBL"/>
    <s v="OMVHCQMRR"/>
    <m/>
    <x v="50"/>
    <s v="UAR 731Q"/>
    <s v="Kabaco U Ltd Tax No.: 1000025425"/>
    <n v="156"/>
    <s v="OMVHCQMRR"/>
    <s v="OM"/>
    <n v="304"/>
    <n v="301"/>
    <n v="-3"/>
    <m/>
    <d v="2025-04-16T17:05:00"/>
    <d v="2025-04-16T02:22:00"/>
    <d v="2025-04-16T17:32:00"/>
    <n v="905.78703703819576"/>
    <n v="26.87500000417155"/>
    <x v="0"/>
    <d v="2025-04-17T12:06:00"/>
    <d v="2025-04-17T16:52:00"/>
    <n v="280.04166666643869"/>
    <s v="truck faulty"/>
    <d v="2025-04-18T11:48:00"/>
    <d v="2025-04-18T12:30:00"/>
    <n v="41.12500000068394"/>
    <m/>
    <n v="1.7611111111109494"/>
    <n v="2"/>
    <n v="0.23888888888905058"/>
    <n v="42.266666666662786"/>
    <n v="12"/>
    <n v="30.266666666662786"/>
    <n v="5.1541850220270922"/>
    <m/>
    <m/>
    <m/>
    <m/>
    <m/>
  </r>
  <r>
    <d v="2025-04-16T00:00:00"/>
    <x v="3"/>
    <s v="NBL"/>
    <s v="OMM41O1RR"/>
    <m/>
    <x v="5"/>
    <s v="UBE 419T"/>
    <s v="KATO INVESTMENTS LIMITED-MASAK Tax No.: 1000098824"/>
    <n v="153.6"/>
    <s v="OMM41O1RR"/>
    <s v="OM"/>
    <n v="596"/>
    <n v="595"/>
    <n v="-1"/>
    <m/>
    <d v="2025-04-17T16:48:00"/>
    <d v="2025-04-17T04:14:00"/>
    <d v="2025-04-17T17:14:00"/>
    <n v="776.3888888854126"/>
    <n v="25.879629630556639"/>
    <x v="0"/>
    <d v="2025-04-17T21:45:00"/>
    <d v="2025-04-18T13:46:00"/>
    <n v="940.97916666643869"/>
    <s v="Reached late and offloaded the next day"/>
    <d v="2025-04-18T18:29:00"/>
    <d v="2025-04-18T19:11:00"/>
    <n v="41.12500000068394"/>
    <m/>
    <n v="1.0520833333357587"/>
    <n v="2"/>
    <n v="0.94791666666424135"/>
    <n v="25.250000000058208"/>
    <n v="12"/>
    <n v="13.250000000058208"/>
    <n v="11.592452830137752"/>
    <m/>
    <m/>
    <m/>
    <m/>
    <m/>
  </r>
  <r>
    <d v="2025-04-16T00:00:00"/>
    <x v="3"/>
    <s v="NBL"/>
    <s v="OMM3RS8RR"/>
    <m/>
    <x v="20"/>
    <s v="UAY 265V"/>
    <s v="KATO INVESTMENTS LIMITED-MASAK Tax No.: 1000098824"/>
    <n v="153.6"/>
    <s v="OMM3RS8RR"/>
    <s v="OM"/>
    <n v="596"/>
    <n v="595"/>
    <n v="-1"/>
    <m/>
    <d v="2025-04-16T16:01:00"/>
    <d v="2025-04-16T04:14:00"/>
    <d v="2025-04-16T16:55:00"/>
    <n v="757.47685184930253"/>
    <n v="53.749999997914223"/>
    <x v="13"/>
    <d v="2025-04-17T11:34:00"/>
    <d v="2025-04-17T13:54:00"/>
    <n v="137.08333333903283"/>
    <m/>
    <d v="2025-04-18T09:21:00"/>
    <d v="2025-04-18T10:03:00"/>
    <n v="41.12500000068394"/>
    <m/>
    <n v="1.6847222222204437"/>
    <n v="2"/>
    <n v="0.31527777777955635"/>
    <n v="40.433333333290648"/>
    <n v="12"/>
    <n v="28.433333333290648"/>
    <n v="5.40211019930471"/>
    <m/>
    <m/>
    <m/>
    <m/>
    <m/>
  </r>
  <r>
    <d v="2025-04-16T00:00:00"/>
    <x v="3"/>
    <s v="NBL"/>
    <s v="OMNJM9ARR"/>
    <m/>
    <x v="17"/>
    <s v="UBA 523T"/>
    <s v="RUGOMA TRADERS CO. LTD NTUNGAM Tax No.: 1000249350"/>
    <n v="153.6"/>
    <s v="OMNJM9ARR"/>
    <s v="OM"/>
    <n v="150"/>
    <n v="149"/>
    <n v="-1"/>
    <m/>
    <d v="2025-04-16T18:29:00"/>
    <d v="2025-04-16T06:15:00"/>
    <d v="2025-04-16T18:53:00"/>
    <n v="754.49074074931559"/>
    <n v="23.888888893755695"/>
    <x v="0"/>
    <d v="2025-04-17T09:35:00"/>
    <d v="2025-04-17T15:11:00"/>
    <n v="329.00000000547152"/>
    <s v="found another truck to be offloaded"/>
    <d v="2025-04-17T17:30:00"/>
    <d v="2025-04-17T18:22:00"/>
    <n v="50.916666668490507"/>
    <s v="empties confirmation delays"/>
    <n v="0.94236111110512866"/>
    <n v="1"/>
    <n v="5.7638888894871343E-2"/>
    <n v="22.616666666523088"/>
    <n v="0"/>
    <n v="22.616666666523088"/>
    <n v="6.7914517318043526"/>
    <m/>
    <m/>
    <m/>
    <m/>
    <m/>
  </r>
  <r>
    <d v="2025-04-16T00:00:00"/>
    <x v="3"/>
    <s v="NBL"/>
    <s v="OMR5MLBRR"/>
    <m/>
    <x v="5"/>
    <s v="UBE 419T"/>
    <s v="Kabaco U Ltd-Mbarara Tax No.: 1000025425"/>
    <n v="153.6"/>
    <s v="OMR5MLBRR"/>
    <s v="OM"/>
    <n v="20"/>
    <n v="21"/>
    <n v="1"/>
    <m/>
    <d v="2025-04-16T17:02:00"/>
    <d v="2025-04-16T07:42:00"/>
    <d v="2025-04-16T17:52:00"/>
    <n v="607.17592592360836"/>
    <n v="49.768518513883464"/>
    <x v="9"/>
    <d v="2025-04-16T18:39:00"/>
    <d v="2025-04-17T12:23:00"/>
    <n v="1041.8333333335613"/>
    <s v="Waited for empties from trade"/>
    <d v="2025-04-17T13:04:00"/>
    <d v="2025-04-17T13:53:00"/>
    <n v="47.979166669174447"/>
    <s v="found another truck waiting to offload"/>
    <n v="0.80000000000291038"/>
    <n v="1"/>
    <n v="0.19999999999708962"/>
    <n v="19.200000000069849"/>
    <n v="0"/>
    <n v="19.200000000069849"/>
    <n v="7.9999999999708962"/>
    <m/>
    <m/>
    <m/>
    <m/>
    <m/>
  </r>
  <r>
    <d v="2025-04-16T00:00:00"/>
    <x v="3"/>
    <s v="KESH"/>
    <s v="OMG8VA0RR"/>
    <s v="DJ"/>
    <x v="58"/>
    <s v="UBJ 705D"/>
    <s v="Kato Investment Ltd -Mubende Tax No.: 1000098824"/>
    <n v="156"/>
    <s v="OMG8VA0RR"/>
    <s v="OM"/>
    <n v="680"/>
    <n v="677"/>
    <n v="-3"/>
    <m/>
    <d v="2025-04-16T06:21:00"/>
    <d v="2025-04-15T22:00:00"/>
    <d v="2025-04-16T06:47:00"/>
    <n v="524.56018518472172"/>
    <n v="25.879629630556639"/>
    <x v="0"/>
    <d v="2025-04-16T19:42:00"/>
    <d v="2025-04-17T12:38:00"/>
    <n v="994.83333333424525"/>
    <s v="Waited for empties from trade"/>
    <d v="2025-04-18T06:08:00"/>
    <d v="2025-04-18T06:53:00"/>
    <n v="44.0625"/>
    <m/>
    <n v="1.9729166666729725"/>
    <n v="3"/>
    <n v="1.0270833333270275"/>
    <n v="47.35000000015134"/>
    <n v="12"/>
    <n v="35.35000000015134"/>
    <n v="4.4130127298255202"/>
    <m/>
    <m/>
    <m/>
    <m/>
    <m/>
  </r>
  <r>
    <d v="2025-04-16T00:00:00"/>
    <x v="3"/>
    <s v="KESH"/>
    <s v="OM01H1MRR"/>
    <s v="DJ"/>
    <x v="24"/>
    <s v="UBP 298H"/>
    <s v="Boniface Harera Tax No.: 1000317747"/>
    <n v="156"/>
    <s v="OM01H1MRR"/>
    <s v="OM"/>
    <n v="448"/>
    <n v="447"/>
    <n v="-1"/>
    <m/>
    <d v="2025-04-15T12:17:00"/>
    <d v="2025-04-16T01:30:00"/>
    <d v="2025-04-15T12:41:00"/>
    <n v="-765.43981481736409"/>
    <n v="23.888888893755695"/>
    <x v="0"/>
    <d v="2025-04-16T08:32:00"/>
    <d v="2025-04-16T17:26:00"/>
    <n v="522.87500000136788"/>
    <s v="space consquents"/>
    <d v="2025-04-17T08:20:00"/>
    <d v="2025-04-17T09:02:00"/>
    <n v="41.12500000068394"/>
    <m/>
    <n v="1.8187499999985448"/>
    <n v="2"/>
    <n v="0.18125000000145519"/>
    <n v="43.649999999965075"/>
    <n v="12"/>
    <n v="31.649999999965075"/>
    <n v="4.9289099526120737"/>
    <m/>
    <m/>
    <m/>
    <m/>
    <m/>
  </r>
  <r>
    <d v="2025-04-17T00:00:00"/>
    <x v="3"/>
    <s v="NBL"/>
    <s v="OMGG1SURR"/>
    <m/>
    <x v="9"/>
    <s v="UAV 203T"/>
    <s v="Kato Investment Ltd -Kagadi Tax No.: 1000098824"/>
    <n v="156"/>
    <s v="OMGG1SURR"/>
    <s v="OM"/>
    <n v="670"/>
    <n v="671"/>
    <n v="1"/>
    <m/>
    <d v="2025-04-17T14:10:00"/>
    <d v="2025-04-16T21:00:00"/>
    <d v="2025-04-17T14:36:00"/>
    <n v="1051.1111111062444"/>
    <n v="25.879629630556639"/>
    <x v="0"/>
    <d v="2025-04-18T12:03:00"/>
    <d v="2025-04-18T17:47:00"/>
    <n v="336.83333333356131"/>
    <s v="Reached late and offloaded the next day"/>
    <d v="2025-04-21T09:08:00"/>
    <d v="2025-04-21T09:50:00"/>
    <n v="41.12500000068394"/>
    <m/>
    <n v="3.7722222222291748"/>
    <n v="2"/>
    <n v="-1.7722222222291748"/>
    <n v="90.533333333500195"/>
    <n v="36"/>
    <n v="54.533333333500195"/>
    <n v="2.8606356968127629"/>
    <m/>
    <m/>
    <m/>
    <m/>
    <m/>
  </r>
  <r>
    <d v="2025-04-17T00:00:00"/>
    <x v="3"/>
    <s v="NBL"/>
    <s v="OMV8ARVRR"/>
    <m/>
    <x v="4"/>
    <s v="UBE 422T"/>
    <s v="Rugoma Traders-Kanungu/Kihihi Tax No.: 1000249350"/>
    <n v="153.6"/>
    <s v="OMV8ARVRR"/>
    <s v="OM"/>
    <n v="272"/>
    <n v="271"/>
    <n v="-1"/>
    <m/>
    <d v="2025-04-17T17:13:00"/>
    <d v="2025-04-17T01:59:00"/>
    <d v="2025-04-17T17:52:00"/>
    <n v="948.58796295763261"/>
    <n v="38.819444445834961"/>
    <x v="11"/>
    <d v="2025-04-18T10:57:00"/>
    <d v="2025-04-18T17:48:00"/>
    <n v="402.43749999863212"/>
    <s v="Waited for empties from trade"/>
    <d v="2025-04-19T10:52:00"/>
    <d v="2025-04-19T11:34:00"/>
    <n v="41.12500000068394"/>
    <m/>
    <n v="1.7083333333357587"/>
    <n v="2"/>
    <n v="0.29166666666424135"/>
    <n v="41.000000000058208"/>
    <n v="12"/>
    <n v="29.000000000058208"/>
    <n v="5.2965517241272995"/>
    <m/>
    <m/>
    <m/>
    <m/>
    <m/>
  </r>
  <r>
    <d v="2025-04-17T00:00:00"/>
    <x v="3"/>
    <s v="NBL"/>
    <s v="OMWNC5GRR"/>
    <m/>
    <x v="7"/>
    <s v="UAY 526V"/>
    <s v="KATO INVESTMENTS LTD- KALISIZO Tax No.: 1000098824"/>
    <n v="153.6"/>
    <s v="OMWNC5GRR"/>
    <s v="OM"/>
    <n v="288"/>
    <n v="286"/>
    <n v="-2"/>
    <m/>
    <d v="2025-04-17T09:33:00"/>
    <d v="2025-04-17T03:43:00"/>
    <d v="2025-04-17T09:57:00"/>
    <n v="372.26851851179771"/>
    <n v="23.888888893755695"/>
    <x v="0"/>
    <d v="2025-04-17T14:46:00"/>
    <d v="2025-04-17T21:33:00"/>
    <n v="398.52083333971677"/>
    <s v="Waited for empties from trade"/>
    <d v="2025-04-18T13:24:00"/>
    <d v="2025-04-18T14:02:00"/>
    <n v="37.208333331509493"/>
    <m/>
    <n v="1.1437500000029104"/>
    <n v="2"/>
    <n v="0.85624999999708962"/>
    <n v="27.450000000069849"/>
    <n v="12"/>
    <n v="15.450000000069849"/>
    <n v="9.9417475727705877"/>
    <m/>
    <m/>
    <m/>
    <m/>
    <m/>
  </r>
  <r>
    <d v="2025-04-17T00:00:00"/>
    <x v="3"/>
    <s v="NBL"/>
    <s v="OMZAGCBRR"/>
    <m/>
    <x v="14"/>
    <s v="UBJ 988D"/>
    <s v="RUGOMA TRADERS CO. LTD NTUNGAM Tax No.: 1000249350"/>
    <n v="153.6"/>
    <s v="OMZAGCBRR"/>
    <s v="OM"/>
    <n v="150"/>
    <n v="148"/>
    <n v="-2"/>
    <m/>
    <d v="2025-04-17T11:28:00"/>
    <d v="2025-04-17T06:15:00"/>
    <d v="2025-04-17T11:52:00"/>
    <n v="335.43981481319253"/>
    <n v="23.888888893755695"/>
    <x v="0"/>
    <d v="2025-04-17T14:01:00"/>
    <d v="2025-04-17T20:09:00"/>
    <n v="360.33333333834889"/>
    <s v="truck faulty"/>
    <d v="2025-04-18T10:32:00"/>
    <d v="2025-04-18T11:14:00"/>
    <n v="41.12500000068394"/>
    <m/>
    <n v="0.94444444444525288"/>
    <n v="1"/>
    <n v="5.5555555554747116E-2"/>
    <n v="22.666666666686069"/>
    <n v="0"/>
    <n v="22.666666666686069"/>
    <n v="6.7764705882294933"/>
    <m/>
    <m/>
    <m/>
    <m/>
    <m/>
  </r>
  <r>
    <d v="2025-04-17T00:00:00"/>
    <x v="3"/>
    <s v="KESH"/>
    <s v="OM2RNADRR"/>
    <s v="DJ"/>
    <x v="0"/>
    <s v="UBJ 417C"/>
    <s v="Boniface Harera Tax No.: 1000317747"/>
    <n v="156"/>
    <s v="OM2RNADRR"/>
    <s v="OM"/>
    <n v="448"/>
    <n v="447"/>
    <n v="-1"/>
    <m/>
    <d v="2025-04-16T22:13:00"/>
    <d v="2025-04-17T01:30:00"/>
    <d v="2025-04-16T22:37:00"/>
    <n v="-172.19907407222004"/>
    <n v="23.888888893755695"/>
    <x v="0"/>
    <d v="2025-04-17T17:04:00"/>
    <d v="2025-04-18T12:53:00"/>
    <n v="1164.2291666760138"/>
    <s v="Reached late and offloaded the next day"/>
    <d v="2025-04-18T20:33:00"/>
    <d v="2025-04-18T21:25:00"/>
    <n v="50.916666668490507"/>
    <s v="dj failures at the gate"/>
    <n v="1.913888888884685"/>
    <n v="2"/>
    <n v="8.6111111115314998E-2"/>
    <n v="45.93333333323244"/>
    <n v="12"/>
    <n v="33.93333333323244"/>
    <n v="4.5972495088545333"/>
    <m/>
    <m/>
    <m/>
    <m/>
    <m/>
  </r>
  <r>
    <d v="2025-04-17T00:00:00"/>
    <x v="3"/>
    <s v="NBL"/>
    <s v="OMBDVRIRR"/>
    <m/>
    <x v="12"/>
    <s v="UBJ 415C"/>
    <s v="KATO INVESTMENTS LIMITED-MASAK Tax No.: 1000098824"/>
    <n v="153.6"/>
    <s v="OMBDVRIRR"/>
    <s v="OM"/>
    <n v="596"/>
    <n v="593"/>
    <n v="-3"/>
    <m/>
    <d v="2025-04-16T21:17:00"/>
    <d v="2025-04-17T04:14:00"/>
    <d v="2025-04-16T21:43:00"/>
    <n v="-389.18981481110677"/>
    <n v="25.879629630556639"/>
    <x v="0"/>
    <d v="2025-04-17T14:14:00"/>
    <d v="2025-04-17T16:41:00"/>
    <n v="143.93750000752334"/>
    <m/>
    <d v="2025-04-18T07:28:00"/>
    <d v="2025-04-18T08:06:00"/>
    <n v="37.208333331509493"/>
    <m/>
    <n v="1.40625"/>
    <n v="2"/>
    <n v="0.59375"/>
    <n v="33.75"/>
    <n v="12"/>
    <n v="21.75"/>
    <n v="7.0620689655172413"/>
    <m/>
    <m/>
    <m/>
    <m/>
    <m/>
  </r>
  <r>
    <d v="2025-04-18T00:00:00"/>
    <x v="3"/>
    <s v="NBL"/>
    <s v="OM5C607RR"/>
    <m/>
    <x v="57"/>
    <s v="UAV 051U"/>
    <s v="KATO INVESTMENTS LTD- KALISIZO Tax No.: 1000098824"/>
    <n v="153.6"/>
    <s v="OM5C607RR"/>
    <s v="OM"/>
    <n v="288"/>
    <n v="287"/>
    <n v="-1"/>
    <m/>
    <d v="2025-04-19T10:15:00"/>
    <d v="2025-04-18T03:43:00"/>
    <d v="2025-04-19T10:43:00"/>
    <n v="1851.3888888854126"/>
    <n v="27.870370367357584"/>
    <x v="0"/>
    <d v="2025-04-19T19:53:00"/>
    <d v="2025-04-20T12:10:00"/>
    <n v="956.64583333287737"/>
    <s v="Waited for empties from trade"/>
    <d v="2025-04-20T17:14:00"/>
    <d v="2025-04-20T18:04:00"/>
    <n v="48.958333328773733"/>
    <s v="beer topup delays"/>
    <n v="1.2715277777751908"/>
    <n v="2"/>
    <n v="0.72847222222480923"/>
    <n v="30.516666666604578"/>
    <n v="12"/>
    <n v="18.516666666604578"/>
    <n v="8.2952295229801098"/>
    <m/>
    <m/>
    <m/>
    <m/>
    <m/>
  </r>
  <r>
    <d v="2025-04-18T00:00:00"/>
    <x v="3"/>
    <s v="NBL"/>
    <s v="OMTN5Q3RR"/>
    <m/>
    <x v="7"/>
    <s v="UAY 526V"/>
    <s v="Sawan Distributors Ltd-Nabingo Tax No.: 1000186379"/>
    <n v="156"/>
    <s v="OMTN5Q3RR"/>
    <s v="OM"/>
    <n v="560"/>
    <n v="559"/>
    <n v="-1"/>
    <m/>
    <d v="2025-04-19T09:01:00"/>
    <d v="2025-04-18T02:30:00"/>
    <d v="2025-04-19T09:26:00"/>
    <n v="1847.4074074118107"/>
    <n v="24.884259256941732"/>
    <x v="0"/>
    <d v="2025-04-18T17:30:00"/>
    <d v="2025-04-18T20:29:00"/>
    <n v="175.27083334040071"/>
    <m/>
    <d v="2025-04-21T18:17:00"/>
    <d v="2025-04-21T18:59:00"/>
    <n v="41.12500000068394"/>
    <m/>
    <n v="2.3687500000014552"/>
    <n v="2"/>
    <n v="-0.36875000000145519"/>
    <n v="56.850000000034925"/>
    <n v="24"/>
    <n v="32.850000000034925"/>
    <n v="4.7488584474835358"/>
    <m/>
    <m/>
    <m/>
    <m/>
    <m/>
  </r>
  <r>
    <d v="2025-04-18T00:00:00"/>
    <x v="3"/>
    <s v="NBL"/>
    <s v="OMEFD9TRR"/>
    <m/>
    <x v="8"/>
    <s v="UBK 875R"/>
    <s v="Ntale &amp; Sons -Kakiri Tax No.: 1001371381"/>
    <n v="156"/>
    <s v="OMEFD9TRR"/>
    <s v="OM"/>
    <n v="620"/>
    <n v="617"/>
    <n v="-3"/>
    <m/>
    <d v="2025-04-19T06:11:00"/>
    <d v="2025-04-18T01:59:00"/>
    <d v="2025-04-19T06:53:00"/>
    <n v="1725.9722222270891"/>
    <n v="41.805555556250816"/>
    <x v="9"/>
    <d v="2025-04-19T15:30:00"/>
    <d v="2025-04-19T20:56:00"/>
    <n v="319.20833332740585"/>
    <s v="Reached late and offloaded the next day"/>
    <d v="2025-04-21T20:04:00"/>
    <d v="2025-04-21T20:46:00"/>
    <n v="41.12500000068394"/>
    <m/>
    <n v="2.5493055555489263"/>
    <n v="3"/>
    <n v="0.45069444445107365"/>
    <n v="61.183333333174232"/>
    <n v="24"/>
    <n v="37.183333333174232"/>
    <n v="4.1954280591842448"/>
    <m/>
    <m/>
    <m/>
    <m/>
    <m/>
  </r>
  <r>
    <d v="2025-04-18T00:00:00"/>
    <x v="3"/>
    <s v="KESH"/>
    <s v="OMKDJQPRR"/>
    <s v="DJ"/>
    <x v="58"/>
    <s v="UBJ 705D"/>
    <s v="Kato Investment Ltd -Mityana Tax No.: 1000098824"/>
    <n v="156"/>
    <s v="OMKDJQPRR"/>
    <s v="OM"/>
    <n v="690"/>
    <n v="688"/>
    <n v="-2"/>
    <m/>
    <d v="2025-04-18T09:18:00"/>
    <d v="2025-04-17T21:00:00"/>
    <d v="2025-04-18T10:12:00"/>
    <n v="788.33333333750488"/>
    <n v="53.749999997914223"/>
    <x v="12"/>
    <d v="2025-04-19T09:49:00"/>
    <d v="2025-04-19T17:38:00"/>
    <n v="459.22916666575475"/>
    <s v="found another truck to be offloaded"/>
    <d v="2025-04-20T17:46:00"/>
    <d v="2025-04-20T18:38:00"/>
    <n v="50.916666668490507"/>
    <s v="found another truck waiting to offload"/>
    <n v="2.3152777777722804"/>
    <n v="3"/>
    <n v="0.68472222222771961"/>
    <n v="55.566666666534729"/>
    <n v="24"/>
    <n v="31.566666666534729"/>
    <n v="4.9419218585211837"/>
    <m/>
    <m/>
    <m/>
    <m/>
    <m/>
  </r>
  <r>
    <d v="2025-04-18T00:00:00"/>
    <x v="3"/>
    <s v="NBL"/>
    <s v="OMWD15ERR"/>
    <m/>
    <x v="2"/>
    <s v="UBE 287X"/>
    <s v="KATO INVESTMENTS LTD- KALISIZO Tax No.: 1000098824"/>
    <n v="153.6"/>
    <s v="OMWD15ERR"/>
    <s v="OM"/>
    <n v="288"/>
    <n v="286"/>
    <n v="-2"/>
    <m/>
    <d v="2025-04-18T15:46:00"/>
    <d v="2025-04-18T03:43:00"/>
    <d v="2025-04-18T16:14:00"/>
    <n v="747.52314814444014"/>
    <n v="27.870370367357584"/>
    <x v="0"/>
    <d v="2025-04-19T09:58:00"/>
    <d v="2025-04-19T13:27:00"/>
    <n v="204.64583333356131"/>
    <s v="Waited for empties from trade"/>
    <d v="2025-04-20T10:17:00"/>
    <d v="2025-04-20T10:55:00"/>
    <n v="37.208333331509493"/>
    <m/>
    <n v="1.7520833333328483"/>
    <n v="2"/>
    <n v="0.24791666666715173"/>
    <n v="42.049999999988358"/>
    <n v="12"/>
    <n v="30.049999999988358"/>
    <n v="5.1114808652266053"/>
    <m/>
    <m/>
    <m/>
    <m/>
    <m/>
  </r>
  <r>
    <d v="2025-04-18T00:00:00"/>
    <x v="3"/>
    <s v="NBL"/>
    <s v="OMVSA1TRR"/>
    <m/>
    <x v="12"/>
    <s v="UBJ 415C"/>
    <s v="Kabaco U Ltd Tax No.: 1000025425"/>
    <n v="156"/>
    <s v="OMVSA1TRR"/>
    <s v="OM"/>
    <n v="304"/>
    <n v="302"/>
    <n v="-2"/>
    <m/>
    <d v="2025-04-18T12:59:00"/>
    <d v="2025-04-18T02:22:00"/>
    <d v="2025-04-18T13:27:00"/>
    <n v="661.92129629513749"/>
    <n v="27.870370367357584"/>
    <x v="0"/>
    <d v="2025-04-19T08:11:00"/>
    <d v="2025-04-19T10:58:00"/>
    <n v="163.52083333287737"/>
    <m/>
    <d v="2025-04-19T11:31:00"/>
    <d v="2025-04-19T12:20:00"/>
    <n v="47.979166669174447"/>
    <s v="sorting delays"/>
    <n v="0.91944444444379769"/>
    <n v="2"/>
    <n v="1.0805555555562023"/>
    <n v="22.066666666651145"/>
    <n v="0"/>
    <n v="22.066666666651145"/>
    <n v="7.06948640483881"/>
    <m/>
    <m/>
    <m/>
    <m/>
    <m/>
  </r>
  <r>
    <d v="2025-04-18T00:00:00"/>
    <x v="3"/>
    <s v="NBL"/>
    <s v="OMDLVFYRR"/>
    <m/>
    <x v="20"/>
    <s v="UAY 265V"/>
    <s v="KATO INVESTMENTS LIMITED-MASAK Tax No.: 1000098824"/>
    <n v="153.6"/>
    <s v="OMDLVFYRR"/>
    <s v="OM"/>
    <n v="596"/>
    <n v="595"/>
    <n v="-1"/>
    <m/>
    <d v="2025-04-18T14:30:00"/>
    <d v="2025-04-18T04:14:00"/>
    <d v="2025-04-18T14:58:00"/>
    <n v="641.0185185222266"/>
    <n v="27.870370367357584"/>
    <x v="0"/>
    <d v="2025-04-18T20:45:00"/>
    <d v="2025-04-18T22:59:00"/>
    <n v="131.20833333014161"/>
    <m/>
    <d v="2025-04-19T07:53:00"/>
    <d v="2025-04-19T08:35:00"/>
    <n v="41.12500000068394"/>
    <m/>
    <n v="0.70486111110949423"/>
    <n v="2"/>
    <n v="1.2951388888905058"/>
    <n v="16.916666666627862"/>
    <n v="0"/>
    <n v="16.916666666627862"/>
    <n v="9.079802955685853"/>
    <m/>
    <m/>
    <m/>
    <m/>
    <m/>
  </r>
  <r>
    <d v="2025-04-18T00:00:00"/>
    <x v="3"/>
    <s v="NBL"/>
    <s v="OMCAO90RR"/>
    <m/>
    <x v="14"/>
    <s v="UBJ 988D"/>
    <s v="Kabaco U Ltd-Mbarara Tax No.: 1000025425"/>
    <n v="153.6"/>
    <s v="OMCAO90RR"/>
    <s v="OM"/>
    <n v="20"/>
    <n v="19"/>
    <n v="-1"/>
    <m/>
    <d v="2025-04-18T14:56:00"/>
    <d v="2025-04-18T07:42:00"/>
    <d v="2025-04-18T15:22:00"/>
    <n v="457.87037037152913"/>
    <n v="25.879629630556639"/>
    <x v="0"/>
    <d v="2025-04-19T19:34:00"/>
    <d v="2025-04-20T13:39:00"/>
    <n v="1062.3958333287737"/>
    <s v="truck faulty"/>
    <d v="2025-04-21T09:55:00"/>
    <d v="2025-04-21T10:44:00"/>
    <n v="47.979166669174447"/>
    <s v="offloading delays"/>
    <n v="2.7729166666686069"/>
    <n v="1"/>
    <n v="-1.7729166666686069"/>
    <n v="66.550000000046566"/>
    <n v="24"/>
    <n v="42.550000000046566"/>
    <n v="3.6098707403015724"/>
    <m/>
    <m/>
    <m/>
    <m/>
    <m/>
  </r>
  <r>
    <d v="2025-04-18T00:00:00"/>
    <x v="3"/>
    <s v="NBL"/>
    <s v="OMBB5YORR"/>
    <m/>
    <x v="17"/>
    <s v="UBA 523T"/>
    <s v="RUGOMA TRADERS CO. LTD NTUNGAM Tax No.: 1000249350"/>
    <n v="153.6"/>
    <s v="OMBB5YORR"/>
    <s v="OM"/>
    <n v="150"/>
    <n v="149"/>
    <n v="-1"/>
    <m/>
    <d v="2025-04-18T09:28:00"/>
    <d v="2025-04-18T04:14:00"/>
    <d v="2025-04-18T09:54:00"/>
    <n v="338.42592592360842"/>
    <n v="25.879629630556639"/>
    <x v="0"/>
    <d v="2025-04-20T10:53:00"/>
    <d v="2025-04-20T14:59:00"/>
    <n v="240.87499999521242"/>
    <s v="Reached late and offloaded the next day"/>
    <d v="2025-04-19T12:21:00"/>
    <d v="2025-04-19T13:03:00"/>
    <n v="41.12500000068394"/>
    <m/>
    <n v="1.1020833333313931"/>
    <n v="1"/>
    <n v="-0.10208333333139308"/>
    <n v="26.449999999953434"/>
    <n v="12"/>
    <n v="14.449999999953434"/>
    <n v="10.629757785501383"/>
    <m/>
    <m/>
    <m/>
    <m/>
    <m/>
  </r>
  <r>
    <d v="2025-04-18T00:00:00"/>
    <x v="3"/>
    <s v="KESH"/>
    <s v="OM2B6ZERR"/>
    <s v="DJ"/>
    <x v="24"/>
    <s v="UBP 298H"/>
    <s v="Kabaco U Ltd Tax No.: 1000025425"/>
    <n v="156"/>
    <s v="OM2B6ZERR"/>
    <s v="OM"/>
    <n v="304"/>
    <n v="303"/>
    <n v="-1"/>
    <m/>
    <d v="2025-04-17T21:27:00"/>
    <d v="2025-04-18T02:22:00"/>
    <d v="2025-04-17T21:55:00"/>
    <n v="-265.76388888958417"/>
    <n v="27.870370367357584"/>
    <x v="0"/>
    <d v="2025-04-18T07:58:00"/>
    <d v="2025-04-18T16:54:00"/>
    <n v="524.83333334108465"/>
    <s v="less casuals and offloaded the next day"/>
    <d v="2025-04-19T10:21:00"/>
    <d v="2025-04-19T10:59:00"/>
    <n v="37.208333331509493"/>
    <m/>
    <n v="1.5180555555562023"/>
    <n v="2"/>
    <n v="0.48194444444379769"/>
    <n v="36.433333333348855"/>
    <n v="12"/>
    <n v="24.433333333348855"/>
    <n v="6.3847203274174991"/>
    <m/>
    <m/>
    <m/>
    <m/>
    <m/>
  </r>
  <r>
    <d v="2025-04-18T00:00:00"/>
    <x v="3"/>
    <s v="NBL"/>
    <s v="OMXH4DRRR"/>
    <m/>
    <x v="7"/>
    <s v="UAY 526V"/>
    <s v="Kabaco U Ltd-Mbarara Tax No.: 1000025425"/>
    <n v="153.6"/>
    <s v="OMXH4DRRR"/>
    <s v="OM"/>
    <n v="20"/>
    <n v="21"/>
    <n v="1"/>
    <m/>
    <d v="2025-04-18T16:22:00"/>
    <d v="2025-04-19T07:42:00"/>
    <d v="2025-04-18T17:01:00"/>
    <n v="-876.92129629722331"/>
    <n v="38.819444445834961"/>
    <x v="5"/>
    <d v="2025-04-19T16:35:00"/>
    <d v="2025-04-19T19:57:00"/>
    <n v="197.79166667532991"/>
    <s v="found another truck to be offloaded"/>
    <d v="2025-04-18T20:58:00"/>
    <d v="2025-04-18T21:47:00"/>
    <n v="47.979166669174447"/>
    <s v="found another truck waiting to offload"/>
    <n v="0.16458333333866904"/>
    <n v="1"/>
    <n v="0.83541666666133096"/>
    <n v="3.9500000001280569"/>
    <n v="0"/>
    <n v="3.9500000001280569"/>
    <n v="38.886075948106424"/>
    <m/>
    <m/>
    <m/>
    <m/>
    <m/>
  </r>
  <r>
    <d v="2025-04-18T00:00:00"/>
    <x v="3"/>
    <s v="NBL"/>
    <s v="OMRSQ20RR"/>
    <m/>
    <x v="8"/>
    <s v="UBK 875R"/>
    <s v="Kabaco U Ltd-Mbarara Tax No.: 1000025425"/>
    <n v="153.6"/>
    <s v="OMRSQ20RR"/>
    <s v="OM"/>
    <n v="20"/>
    <n v="18"/>
    <n v="-2"/>
    <m/>
    <d v="2025-04-18T15:57:00"/>
    <d v="2025-04-19T07:42:00"/>
    <d v="2025-04-18T16:23:00"/>
    <n v="-914.74537036944332"/>
    <n v="25.879629630556639"/>
    <x v="0"/>
    <d v="2025-04-18T16:54:00"/>
    <d v="2025-04-18T18:47:00"/>
    <n v="110.64583332467009"/>
    <m/>
    <d v="2025-04-18T19:14:00"/>
    <d v="2025-04-18T19:59:00"/>
    <n v="44.0625"/>
    <m/>
    <n v="0.11875000000145519"/>
    <n v="1"/>
    <n v="0.88124999999854481"/>
    <n v="2.8500000000349246"/>
    <n v="0"/>
    <n v="2.8500000000349246"/>
    <n v="53.894736841444825"/>
    <m/>
    <m/>
    <m/>
    <m/>
    <m/>
  </r>
  <r>
    <d v="2025-04-19T00:00:00"/>
    <x v="3"/>
    <s v="NBL"/>
    <s v="OM5UP8WRR"/>
    <m/>
    <x v="17"/>
    <s v="UBA 523T"/>
    <s v="KATO INVESTMENTS LIMITED-MASAK Tax No.: 1000098824"/>
    <n v="153.6"/>
    <s v="OM5UP8WRR"/>
    <s v="OM"/>
    <n v="596"/>
    <n v="595"/>
    <n v="-1"/>
    <m/>
    <d v="2025-04-19T18:04:00"/>
    <d v="2025-04-19T10:00:00"/>
    <d v="2025-04-19T18:42:00"/>
    <n v="519.58333333750488"/>
    <n v="37.82407407222005"/>
    <x v="9"/>
    <d v="2025-04-18T14:49:00"/>
    <d v="2025-04-18T18:47:00"/>
    <n v="233.04166666712263"/>
    <s v="Waited for empties from trade"/>
    <d v="2025-04-20T17:12:00"/>
    <d v="2025-04-20T17:54:00"/>
    <n v="41.12500000068394"/>
    <m/>
    <n v="0.9375"/>
    <n v="2"/>
    <n v="1.0625"/>
    <n v="22.5"/>
    <n v="0"/>
    <n v="22.5"/>
    <n v="6.8266666666666662"/>
    <m/>
    <m/>
    <m/>
    <m/>
    <m/>
  </r>
  <r>
    <d v="2025-04-19T00:00:00"/>
    <x v="3"/>
    <s v="NBL"/>
    <s v="OM7TJ2URR"/>
    <m/>
    <x v="16"/>
    <s v="UBJ 707D"/>
    <s v="KATO INVESTMENTS LIMITED-MASAK Tax No.: 1000098824"/>
    <n v="153.6"/>
    <s v="OM7TJ2URR"/>
    <s v="OM"/>
    <n v="596"/>
    <n v="593"/>
    <n v="-3"/>
    <m/>
    <d v="2025-04-19T06:18:00"/>
    <d v="2025-04-19T10:00:00"/>
    <d v="2025-04-19T06:57:00"/>
    <n v="-182.15277777708252"/>
    <n v="38.819444445834961"/>
    <x v="9"/>
    <d v="2025-04-19T16:05:00"/>
    <d v="2025-04-20T11:51:00"/>
    <n v="1161.2916666664387"/>
    <s v="space consquents"/>
    <d v="2025-04-21T16:35:00"/>
    <d v="2025-04-21T17:16:00"/>
    <n v="40.145833330825553"/>
    <m/>
    <n v="2.4013888888875954"/>
    <n v="2"/>
    <n v="-0.40138888888759539"/>
    <n v="57.633333333302289"/>
    <n v="24"/>
    <n v="33.633333333302289"/>
    <n v="4.5668979187356324"/>
    <m/>
    <m/>
    <m/>
    <m/>
    <m/>
  </r>
  <r>
    <d v="2025-04-19T00:00:00"/>
    <x v="3"/>
    <s v="KESH"/>
    <s v="OM6PID7RR"/>
    <s v="DJ"/>
    <x v="25"/>
    <s v="UBJ 420C"/>
    <s v="Kato Investment Ltd -Kagadi Tax No.: 1000098824"/>
    <n v="156"/>
    <s v="OM6PID7RR"/>
    <s v="OM"/>
    <n v="670"/>
    <n v="669"/>
    <n v="-1"/>
    <m/>
    <d v="2025-04-18T16:49:00"/>
    <d v="2025-04-18T22:00:00"/>
    <d v="2025-04-18T17:27:00"/>
    <n v="-271.73611111041583"/>
    <n v="37.82407407222005"/>
    <x v="12"/>
    <d v="2025-04-19T14:53:00"/>
    <d v="2025-04-19T20:05:00"/>
    <n v="305.50000000068394"/>
    <s v="Reached late and offloaded the next day"/>
    <d v="2025-04-20T17:31:00"/>
    <d v="2025-04-20T18:16:00"/>
    <n v="44.0625"/>
    <m/>
    <n v="2.0027777777795563"/>
    <n v="2"/>
    <n v="-2.7777777795563452E-3"/>
    <n v="48.066666666709352"/>
    <n v="24"/>
    <n v="24.066666666709352"/>
    <n v="6.4819944598222987"/>
    <m/>
    <m/>
    <m/>
    <m/>
    <m/>
  </r>
  <r>
    <d v="2025-04-19T00:00:00"/>
    <x v="3"/>
    <s v="NBL"/>
    <s v="OMB7MRURR"/>
    <m/>
    <x v="4"/>
    <s v="UBE 422T"/>
    <s v="Boniface Harera Tax No.: 1000317747"/>
    <n v="156"/>
    <s v="OMB7MRURR"/>
    <s v="OM"/>
    <n v="448"/>
    <n v="446"/>
    <n v="-2"/>
    <m/>
    <d v="2025-04-19T17:55:00"/>
    <d v="2025-04-20T01:30:00"/>
    <d v="2025-04-19T18:23:00"/>
    <n v="-425.0231481465259"/>
    <n v="27.870370367357584"/>
    <x v="0"/>
    <d v="2025-04-24T15:23:00"/>
    <d v="2025-04-25T16:40:00"/>
    <n v="1485.3958333328774"/>
    <s v="Waited for empties from trade"/>
    <d v="2025-04-26T10:24:00"/>
    <d v="2025-04-26T11:14:00"/>
    <n v="48.958333328773733"/>
    <s v="fueling delays"/>
    <n v="6.6673611111109494"/>
    <n v="2"/>
    <n v="-4.6673611111109494"/>
    <n v="160.01666666666279"/>
    <n v="72"/>
    <n v="88.016666666662786"/>
    <n v="1.7723915925014984"/>
    <m/>
    <m/>
    <m/>
    <m/>
    <m/>
  </r>
  <r>
    <d v="2025-04-19T00:00:00"/>
    <x v="3"/>
    <s v="NBL"/>
    <s v="OMVZBUHRR"/>
    <m/>
    <x v="1"/>
    <s v="UBJ 375N"/>
    <s v="Rugoma Traders-Kanungu/Kihihi Tax No.: 1000249350"/>
    <n v="153.6"/>
    <s v="OMVZBUHRR"/>
    <s v="OM"/>
    <n v="272"/>
    <n v="270"/>
    <n v="-2"/>
    <m/>
    <d v="2025-04-19T08:20:00"/>
    <d v="2025-04-20T01:59:00"/>
    <d v="2025-04-19T08:48:00"/>
    <n v="-1026.2268518493026"/>
    <n v="27.870370367357584"/>
    <x v="0"/>
    <d v="2025-04-19T17:14:00"/>
    <d v="2025-04-20T13:22:00"/>
    <n v="1182.8333333315095"/>
    <s v="Reached late and offloaded the next day"/>
    <d v="2025-04-20T18:44:00"/>
    <d v="2025-04-20T19:22:00"/>
    <n v="37.208333331509493"/>
    <m/>
    <n v="1.413888888884685"/>
    <n v="2"/>
    <n v="0.586111111115315"/>
    <n v="33.93333333323244"/>
    <n v="12"/>
    <n v="21.93333333323244"/>
    <n v="7.003039513710025"/>
    <m/>
    <m/>
    <m/>
    <m/>
    <m/>
  </r>
  <r>
    <d v="2025-04-20T00:00:00"/>
    <x v="3"/>
    <s v="NBL"/>
    <s v="OMF3MAWRR"/>
    <m/>
    <x v="16"/>
    <s v="UBJ 707D"/>
    <s v="Kato Investments Ltd-Bulenga Tax No.: 1000098824"/>
    <n v="156"/>
    <s v="OMF3MAWRR"/>
    <s v="OM"/>
    <n v="514"/>
    <n v="513"/>
    <n v="-1"/>
    <m/>
    <d v="2025-04-22T06:55:00"/>
    <d v="2025-04-20T20:13:00"/>
    <d v="2025-04-22T07:23:00"/>
    <n v="2100.2314814756878"/>
    <n v="27.870370367357584"/>
    <x v="0"/>
    <d v="2025-04-22T17:40:00"/>
    <d v="2025-04-23T15:08:00"/>
    <n v="1261.166666673962"/>
    <s v="Waited for empties from trade"/>
    <d v="2025-04-24T10:36:00"/>
    <d v="2025-04-24T11:17:00"/>
    <n v="40.145833330825553"/>
    <m/>
    <n v="2.1340277777781012"/>
    <n v="3"/>
    <n v="0.86597222222189885"/>
    <n v="51.216666666674428"/>
    <n v="24"/>
    <n v="27.216666666674428"/>
    <n v="5.7317819963241465"/>
    <m/>
    <m/>
    <m/>
    <m/>
    <m/>
  </r>
  <r>
    <d v="2025-04-20T00:00:00"/>
    <x v="3"/>
    <s v="NBL"/>
    <s v="OMZ0XTFRR"/>
    <m/>
    <x v="2"/>
    <s v="UBE 287X"/>
    <s v="KATO INVESTMENTS LIMITED-MASAK Tax No.: 1000098824"/>
    <n v="153.6"/>
    <s v="OMZ0XTFRR"/>
    <s v="OM"/>
    <n v="596"/>
    <n v="593"/>
    <n v="-3"/>
    <m/>
    <d v="2025-04-20T15:33:00"/>
    <d v="2025-04-20T10:00:00"/>
    <d v="2025-04-20T16:15:00"/>
    <n v="373.26388889584149"/>
    <n v="41.805555556250816"/>
    <x v="10"/>
    <d v="2025-04-21T12:42:00"/>
    <d v="2025-04-21T15:57:00"/>
    <n v="190.9374999965803"/>
    <s v="Waited for empties from trade"/>
    <d v="2025-04-22T10:17:00"/>
    <d v="2025-04-22T10:59:00"/>
    <n v="41.12500000068394"/>
    <m/>
    <n v="1.7513888888861402"/>
    <n v="2"/>
    <n v="0.24861111111385981"/>
    <n v="42.033333333267365"/>
    <n v="12"/>
    <n v="30.033333333267365"/>
    <n v="5.1143174250944741"/>
    <m/>
    <m/>
    <m/>
    <m/>
    <m/>
  </r>
  <r>
    <d v="2025-04-20T00:00:00"/>
    <x v="3"/>
    <s v="NBL"/>
    <s v="OM54FOHRR"/>
    <m/>
    <x v="20"/>
    <s v="UAY 265V"/>
    <s v="Kabaco U Ltd-Mbarara Tax No.: 1000025425"/>
    <n v="153.6"/>
    <s v="OM54FOHRR"/>
    <s v="OM"/>
    <n v="20"/>
    <n v="19"/>
    <n v="-1"/>
    <m/>
    <d v="2025-04-20T10:26:00"/>
    <d v="2025-04-20T08:00:00"/>
    <d v="2025-04-20T11:08:00"/>
    <n v="187.12962962429933"/>
    <n v="41.805555556250816"/>
    <x v="2"/>
    <d v="2025-04-20T11:35:00"/>
    <d v="2025-04-20T13:31:00"/>
    <n v="113.58333333424525"/>
    <m/>
    <d v="2025-04-20T14:05:00"/>
    <d v="2025-04-20T14:47:00"/>
    <n v="41.12500000068394"/>
    <m/>
    <n v="0.12291666666715173"/>
    <n v="1"/>
    <n v="0.87708333333284827"/>
    <n v="2.9500000000116415"/>
    <n v="0"/>
    <n v="2.9500000000116415"/>
    <n v="52.067796609964013"/>
    <m/>
    <m/>
    <m/>
    <m/>
    <m/>
  </r>
  <r>
    <d v="2025-04-20T00:00:00"/>
    <x v="3"/>
    <s v="NBL"/>
    <s v="OMDI5BMRR"/>
    <m/>
    <x v="20"/>
    <s v="UAY 265V"/>
    <s v="Ntale &amp; Sons Tax No.: 1001371381"/>
    <n v="153.6"/>
    <s v="OMDI5BMRR"/>
    <s v="OM"/>
    <n v="810"/>
    <n v="809"/>
    <n v="-1"/>
    <m/>
    <d v="2025-04-20T17:29:00"/>
    <d v="2025-04-20T16:40:00"/>
    <d v="2025-04-20T17:56:00"/>
    <n v="75.6481481444401"/>
    <n v="26.87500000417155"/>
    <x v="0"/>
    <d v="2025-04-22T09:28:00"/>
    <d v="2025-04-22T18:24:00"/>
    <n v="524.83333334108465"/>
    <s v="Reached late and offloaded the next day"/>
    <d v="2025-04-25T07:17:00"/>
    <d v="2025-04-25T08:07:00"/>
    <n v="48.958333328773733"/>
    <s v="Fork Lift Breakdown"/>
    <n v="4.5562500000014552"/>
    <n v="3"/>
    <n v="-1.5562500000014552"/>
    <n v="109.35000000003492"/>
    <n v="48"/>
    <n v="61.350000000034925"/>
    <n v="2.5036674816611661"/>
    <m/>
    <m/>
    <m/>
    <m/>
    <m/>
  </r>
  <r>
    <d v="2025-04-20T00:00:00"/>
    <x v="3"/>
    <s v="KESH"/>
    <s v="OMUF23RRR"/>
    <s v="DJ"/>
    <x v="0"/>
    <s v="UBJ 417C"/>
    <s v="Kato Investment Ltd -Mityana Tax No.: 1000098824"/>
    <n v="156"/>
    <s v="OMUF23RRR"/>
    <s v="OM"/>
    <n v="690"/>
    <n v="689"/>
    <n v="-1"/>
    <m/>
    <d v="2025-04-19T16:03:00"/>
    <d v="2025-04-19T19:35:00"/>
    <d v="2025-04-19T16:31:00"/>
    <n v="-183.14814814026855"/>
    <n v="27.870370367357584"/>
    <x v="0"/>
    <d v="2025-04-20T11:56:00"/>
    <d v="2025-04-20T17:43:00"/>
    <n v="339.77083333287737"/>
    <s v="found another truck to be offloaded"/>
    <d v="2025-04-21T17:20:00"/>
    <d v="2025-04-21T18:01:00"/>
    <n v="40.145833330825553"/>
    <m/>
    <n v="2.0340277777722804"/>
    <n v="3"/>
    <n v="0.96597222222771961"/>
    <n v="48.816666666534729"/>
    <n v="24"/>
    <n v="24.816666666534729"/>
    <n v="6.2860980524175707"/>
    <m/>
    <m/>
    <m/>
    <m/>
    <m/>
  </r>
  <r>
    <d v="2025-04-20T00:00:00"/>
    <x v="3"/>
    <s v="NBL"/>
    <s v="OMLIPECRR"/>
    <m/>
    <x v="5"/>
    <s v="UBE 419T"/>
    <s v="Ntale &amp; Sons Tax No.: 1001371381"/>
    <n v="153.6"/>
    <s v="OMLIPECRR"/>
    <s v="OM"/>
    <n v="810"/>
    <n v="809"/>
    <n v="-1"/>
    <m/>
    <d v="2025-04-19T12:05:00"/>
    <d v="2025-04-19T16:40:00"/>
    <d v="2025-04-19T12:31:00"/>
    <n v="-247.84722222708902"/>
    <n v="25.879629630556639"/>
    <x v="0"/>
    <d v="2025-04-20T08:56:00"/>
    <d v="2025-04-20T15:27:00"/>
    <n v="382.85416667327809"/>
    <s v="Waited for empties from trade"/>
    <d v="2025-04-21T18:11:00"/>
    <d v="2025-04-21T18:52:00"/>
    <n v="40.145833330825553"/>
    <m/>
    <n v="2.2361111111167702"/>
    <n v="3"/>
    <n v="0.76388888888322981"/>
    <n v="53.666666666802485"/>
    <n v="24"/>
    <n v="29.666666666802485"/>
    <n v="5.1775280898639364"/>
    <m/>
    <m/>
    <m/>
    <m/>
    <m/>
  </r>
  <r>
    <d v="2025-04-20T00:00:00"/>
    <x v="3"/>
    <s v="NBL"/>
    <s v="OM5O3XSRR"/>
    <m/>
    <x v="12"/>
    <s v="UBJ 415C"/>
    <s v="KATO INVESTMENTS LIMITED-MASAK Tax No.: 1000098824"/>
    <n v="153.6"/>
    <s v="OM5O3XSRR"/>
    <s v="OM"/>
    <n v="596"/>
    <n v="595"/>
    <n v="-1"/>
    <m/>
    <d v="2025-04-19T18:32:00"/>
    <d v="2025-04-20T10:00:00"/>
    <d v="2025-04-19T19:22:00"/>
    <n v="-873.93518518680742"/>
    <n v="49.768518513883464"/>
    <x v="9"/>
    <d v="2025-04-20T13:39:00"/>
    <d v="2025-04-20T17:07:00"/>
    <n v="203.66666666370293"/>
    <m/>
    <d v="2025-04-22T13:25:00"/>
    <d v="2025-04-22T14:03:00"/>
    <n v="37.208333331509493"/>
    <m/>
    <n v="2.7520833333401242"/>
    <n v="2"/>
    <n v="-0.75208333334012423"/>
    <n v="66.050000000162981"/>
    <n v="24"/>
    <n v="42.050000000162981"/>
    <n v="3.6527942924947601"/>
    <m/>
    <m/>
    <m/>
    <m/>
    <m/>
  </r>
  <r>
    <d v="2025-04-21T00:00:00"/>
    <x v="3"/>
    <s v="NBL"/>
    <s v="OMJZ4D6RR"/>
    <m/>
    <x v="57"/>
    <s v="UAV 051U"/>
    <s v="Ntale &amp; Sons Tax No.: 1001371381"/>
    <n v="153.6"/>
    <s v="OMJZ4D6RR"/>
    <s v="OM"/>
    <n v="810"/>
    <n v="807"/>
    <n v="-3"/>
    <m/>
    <d v="2025-04-21T20:31:00"/>
    <d v="2025-04-20T20:00:00"/>
    <d v="2025-04-21T21:10:00"/>
    <n v="1503.0092592569417"/>
    <n v="38.819444445834961"/>
    <x v="9"/>
    <d v="2025-04-22T19:04:00"/>
    <d v="2025-04-23T15:11:00"/>
    <n v="1181.8541666719102"/>
    <s v="truck faulty"/>
    <d v="2025-04-24T15:11:00"/>
    <d v="2025-04-24T15:53:00"/>
    <n v="41.12500000068394"/>
    <m/>
    <n v="2.7506944444467081"/>
    <n v="3"/>
    <n v="0.24930555555329192"/>
    <n v="66.016666666720994"/>
    <n v="24"/>
    <n v="42.016666666720994"/>
    <n v="3.6556921856358917"/>
    <m/>
    <m/>
    <m/>
    <m/>
    <m/>
  </r>
  <r>
    <d v="2025-04-21T00:00:00"/>
    <x v="3"/>
    <s v="NBL"/>
    <s v="OMQFKRLRR"/>
    <m/>
    <x v="17"/>
    <s v="UBA 523T"/>
    <s v="KATO INVESTMENTS LTD- KALISIZO Tax No.: 1000098824"/>
    <n v="153.6"/>
    <s v="OMQFKRLRR"/>
    <s v="OM"/>
    <n v="288"/>
    <n v="287"/>
    <n v="-1"/>
    <m/>
    <d v="2025-04-21T15:02:00"/>
    <d v="2025-04-22T03:43:00"/>
    <d v="2025-04-21T15:40:00"/>
    <n v="-719.65277777708252"/>
    <n v="37.82407407222005"/>
    <x v="12"/>
    <d v="2025-04-22T10:47:00"/>
    <d v="2025-04-22T16:28:00"/>
    <n v="333.89583333424525"/>
    <s v="Reached late and offloaded the next day"/>
    <d v="2025-04-23T11:16:00"/>
    <d v="2025-04-23T11:54:00"/>
    <n v="37.208333331509493"/>
    <m/>
    <n v="1.8166666666656965"/>
    <n v="2"/>
    <n v="0.18333333333430346"/>
    <n v="43.599999999976717"/>
    <n v="12"/>
    <n v="31.599999999976717"/>
    <n v="4.8607594936744674"/>
    <m/>
    <m/>
    <m/>
    <m/>
    <m/>
  </r>
  <r>
    <d v="2025-04-21T00:00:00"/>
    <x v="3"/>
    <s v="NBL"/>
    <s v="OMS8SICRR"/>
    <m/>
    <x v="17"/>
    <s v="UBA 523T"/>
    <s v="Kabaco U Ltd-Mbarara Tax No.: 1000025425"/>
    <n v="153.6"/>
    <s v="OMS8SICRR"/>
    <s v="OM"/>
    <n v="20"/>
    <n v="21"/>
    <n v="1"/>
    <m/>
    <d v="2025-04-20T18:35:00"/>
    <d v="2025-04-21T07:42:00"/>
    <d v="2025-04-20T19:03:00"/>
    <n v="-755.48611111250159"/>
    <n v="27.870370367357584"/>
    <x v="0"/>
    <d v="2025-04-20T19:45:00"/>
    <d v="2025-04-21T12:02:00"/>
    <n v="956.64583333287737"/>
    <s v="less casuals and offloaded the next day"/>
    <d v="2025-04-21T12:53:00"/>
    <d v="2025-04-21T13:35:00"/>
    <n v="41.12500000068394"/>
    <m/>
    <n v="0.74305555556202307"/>
    <n v="1"/>
    <n v="0.25694444443797693"/>
    <n v="17.833333333488554"/>
    <n v="0"/>
    <n v="17.833333333488554"/>
    <n v="8.6130841120745654"/>
    <m/>
    <m/>
    <m/>
    <m/>
    <m/>
  </r>
  <r>
    <d v="2025-04-22T00:00:00"/>
    <x v="3"/>
    <s v="NBL"/>
    <s v="OMR4630RR"/>
    <m/>
    <x v="12"/>
    <s v="UBJ 415C"/>
    <s v="KATO INVESTMENTS LIMITED-MASAK Tax No.: 1000098824"/>
    <n v="153.6"/>
    <s v="OMR4630RR"/>
    <s v="OM"/>
    <n v="596"/>
    <n v="595"/>
    <n v="-1"/>
    <m/>
    <d v="2025-04-22T19:49:00"/>
    <d v="2025-04-22T04:14:00"/>
    <d v="2025-04-22T20:17:00"/>
    <n v="958.54166666249512"/>
    <n v="27.870370367357584"/>
    <x v="0"/>
    <d v="2025-04-23T11:19:00"/>
    <d v="2025-04-23T13:58:00"/>
    <n v="155.68749999452848"/>
    <m/>
    <d v="2025-04-24T10:04:00"/>
    <d v="2025-04-24T10:45:00"/>
    <n v="40.145833330825553"/>
    <m/>
    <n v="1.5743055555576575"/>
    <n v="2"/>
    <n v="0.4256944444423425"/>
    <n v="37.78333333338378"/>
    <n v="12"/>
    <n v="25.78333333338378"/>
    <n v="5.9573367808545363"/>
    <m/>
    <m/>
    <m/>
    <m/>
    <m/>
  </r>
  <r>
    <d v="2025-04-22T00:00:00"/>
    <x v="3"/>
    <s v="NBL"/>
    <s v="OMHQ4ESRR"/>
    <m/>
    <x v="5"/>
    <s v="UBE 419T"/>
    <s v="Kabaco U Ltd-Mbarara Tax No.: 1000025425"/>
    <n v="153.6"/>
    <s v="OMHQ4ESRR"/>
    <s v="OM"/>
    <n v="20"/>
    <n v="19"/>
    <n v="-1"/>
    <m/>
    <d v="2025-04-22T12:10:00"/>
    <d v="2025-04-22T08:00:00"/>
    <d v="2025-04-22T12:36:00"/>
    <n v="274.72222222083172"/>
    <n v="25.879629630556639"/>
    <x v="0"/>
    <d v="2025-04-22T16:06:00"/>
    <d v="2025-04-22T18:14:00"/>
    <n v="125.33333334176859"/>
    <m/>
    <d v="2025-04-22T16:50:00"/>
    <d v="2025-04-22T17:28:00"/>
    <n v="37.208333331509493"/>
    <m/>
    <n v="0.17638888888905058"/>
    <n v="1"/>
    <n v="0.82361111111094942"/>
    <n v="4.2333333333372138"/>
    <n v="0"/>
    <n v="4.2333333333372138"/>
    <n v="36.283464566895873"/>
    <m/>
    <m/>
    <m/>
    <m/>
    <m/>
  </r>
  <r>
    <d v="2025-04-22T00:00:00"/>
    <x v="3"/>
    <s v="NBL"/>
    <s v="OMK8I03RR"/>
    <m/>
    <x v="7"/>
    <s v="UAY 526V"/>
    <s v="KATO INVESTMENTS LIMITED-MASAK Tax No.: 1000098824"/>
    <n v="153.6"/>
    <s v="OMK8I03RR"/>
    <s v="OM"/>
    <n v="596"/>
    <n v="595"/>
    <n v="-1"/>
    <m/>
    <d v="2025-04-22T06:40:00"/>
    <d v="2025-04-22T04:14:00"/>
    <d v="2025-04-22T07:34:00"/>
    <n v="199.07407407639161"/>
    <n v="53.749999997914223"/>
    <x v="10"/>
    <d v="2025-04-22T12:13:00"/>
    <d v="2025-04-22T16:49:00"/>
    <n v="270.24999999863212"/>
    <s v="Waited for empties from trade"/>
    <d v="2025-04-23T10:47:00"/>
    <d v="2025-04-23T11:25:00"/>
    <n v="37.208333331509493"/>
    <m/>
    <n v="1.1340277777781012"/>
    <n v="2"/>
    <n v="0.86597222222189885"/>
    <n v="27.216666666674428"/>
    <n v="12"/>
    <n v="15.216666666674428"/>
    <n v="10.094194961659692"/>
    <m/>
    <m/>
    <m/>
    <m/>
    <m/>
  </r>
  <r>
    <d v="2025-04-22T00:00:00"/>
    <x v="3"/>
    <s v="NBL"/>
    <s v="OMZS6CPRR"/>
    <m/>
    <x v="3"/>
    <s v="UBK 881R"/>
    <s v="Kabaco U Ltd-Mbarara Tax No.: 1000025425"/>
    <n v="153.6"/>
    <s v="OMZS6CPRR"/>
    <s v="OM"/>
    <n v="20"/>
    <n v="19"/>
    <n v="-1"/>
    <m/>
    <d v="2025-04-21T13:59:00"/>
    <d v="2025-04-21T15:00:00"/>
    <d v="2025-04-21T14:41:00"/>
    <n v="-18.912037036110025"/>
    <n v="41.805555556250816"/>
    <x v="2"/>
    <d v="2025-04-22T11:45:00"/>
    <d v="2025-04-22T13:29:00"/>
    <n v="101.83333332672191"/>
    <m/>
    <d v="2025-04-22T17:47:00"/>
    <d v="2025-04-22T18:29:00"/>
    <n v="41.12500000068394"/>
    <m/>
    <n v="1.1291666666656965"/>
    <n v="1"/>
    <n v="-0.12916666666569654"/>
    <n v="27.099999999976717"/>
    <n v="12"/>
    <n v="15.099999999976717"/>
    <n v="10.17218543047926"/>
    <m/>
    <m/>
    <m/>
    <m/>
    <m/>
  </r>
  <r>
    <d v="2025-04-22T00:00:00"/>
    <x v="3"/>
    <s v="KESH"/>
    <s v="OMYIAO8RR"/>
    <s v="DJ"/>
    <x v="24"/>
    <s v="UBP 298H"/>
    <s v="Kobusinge Steven-FPortal Tax No.: 1000977837"/>
    <n v="156"/>
    <s v="OMYIAO8RR"/>
    <s v="OM"/>
    <n v="304"/>
    <n v="303"/>
    <n v="-1"/>
    <m/>
    <d v="2025-04-22T19:05:00"/>
    <d v="2025-04-22T20:25:00"/>
    <d v="2025-04-22T19:58:00"/>
    <n v="-26.87500000417155"/>
    <n v="52.75462963472819"/>
    <x v="1"/>
    <d v="2025-04-23T16:11:00"/>
    <d v="2025-04-24T16:23:00"/>
    <n v="1421.7499999972642"/>
    <s v="Reached late and offloaded the next day"/>
    <d v="2025-04-25T07:47:00"/>
    <d v="2025-04-25T08:28:00"/>
    <n v="40.145833330825553"/>
    <m/>
    <n v="2.492361111115315"/>
    <n v="2"/>
    <n v="-0.492361111115315"/>
    <n v="59.81666666676756"/>
    <n v="24"/>
    <n v="35.81666666676756"/>
    <n v="4.3555141926354741"/>
    <m/>
    <m/>
    <m/>
    <m/>
    <m/>
  </r>
  <r>
    <d v="2025-04-22T00:00:00"/>
    <x v="3"/>
    <s v="KESH"/>
    <s v="OMB4KHTRR"/>
    <s v="DJ"/>
    <x v="0"/>
    <s v="UBJ 417C"/>
    <s v="Kobusinge Acaali- Kyenjojo Tax No.: 1000977837"/>
    <n v="156"/>
    <s v="OMB4KHTRR"/>
    <s v="OM"/>
    <n v="580"/>
    <n v="577"/>
    <n v="-3"/>
    <m/>
    <d v="2025-04-21T20:09:00"/>
    <d v="2025-04-22T03:17:00"/>
    <d v="2025-04-21T20:48:00"/>
    <n v="-387.19907407430583"/>
    <n v="38.819444445834961"/>
    <x v="5"/>
    <d v="2025-04-22T12:23:00"/>
    <d v="2025-04-22T17:44:00"/>
    <n v="314.31249999863212"/>
    <s v="Waited for empties from trade"/>
    <d v="2025-04-23T08:34:00"/>
    <d v="2025-04-23T09:19:00"/>
    <n v="44.0625"/>
    <m/>
    <n v="1.4902777777751908"/>
    <n v="2"/>
    <n v="0.50972222222480923"/>
    <n v="35.766666666604578"/>
    <n v="12"/>
    <n v="23.766666666604578"/>
    <n v="6.5638148667773155"/>
    <m/>
    <m/>
    <m/>
    <m/>
    <m/>
  </r>
  <r>
    <d v="2025-04-22T00:00:00"/>
    <x v="3"/>
    <s v="KESH"/>
    <s v="OMFTSA9RR"/>
    <s v="DJ"/>
    <x v="58"/>
    <s v="UBJ 705D"/>
    <s v="Kobusinge Steven-Kamwenge Tax No.: 1000977837"/>
    <n v="156"/>
    <s v="OMFTSA9RR"/>
    <s v="OM"/>
    <n v="228"/>
    <n v="227"/>
    <n v="-1"/>
    <m/>
    <d v="2025-04-21T20:22:00"/>
    <d v="2025-04-22T03:17:00"/>
    <d v="2025-04-21T20:48:00"/>
    <n v="-387.19907407430583"/>
    <n v="25.879629630556639"/>
    <x v="0"/>
    <d v="2025-04-22T13:20:00"/>
    <d v="2025-04-22T17:55:00"/>
    <n v="269.27083333903283"/>
    <m/>
    <d v="2025-04-22T18:51:00"/>
    <d v="2025-04-22T19:29:00"/>
    <n v="37.208333331509493"/>
    <m/>
    <n v="0.91874999999708962"/>
    <n v="2"/>
    <n v="1.0812500000029104"/>
    <n v="22.049999999930151"/>
    <n v="0"/>
    <n v="22.049999999930151"/>
    <n v="7.0748299319952004"/>
    <m/>
    <m/>
    <m/>
    <m/>
    <m/>
  </r>
  <r>
    <d v="2025-04-22T00:00:00"/>
    <x v="3"/>
    <s v="NBL"/>
    <s v="OMP86T1RR"/>
    <m/>
    <x v="9"/>
    <s v="UAV 203T"/>
    <s v="KATO INVESTMENTS LTD- KALISIZO Tax No.: 1000098824"/>
    <n v="153.6"/>
    <s v="OMP86T1RR"/>
    <s v="OM"/>
    <n v="288"/>
    <n v="287"/>
    <n v="-1"/>
    <m/>
    <d v="2025-04-21T15:26:00"/>
    <d v="2025-04-22T03:43:00"/>
    <d v="2025-04-21T16:20:00"/>
    <n v="-679.83796296806156"/>
    <n v="53.749999997914223"/>
    <x v="9"/>
    <d v="2025-04-22T08:15:00"/>
    <d v="2025-04-22T12:23:00"/>
    <n v="242.83333333492919"/>
    <s v="Waited for empties from trade"/>
    <d v="2025-04-23T09:42:00"/>
    <d v="2025-04-23T10:32:00"/>
    <n v="48.958333328773733"/>
    <s v="found another truck waiting to offload"/>
    <n v="1.7236111111124046"/>
    <n v="2"/>
    <n v="0.27638888888759539"/>
    <n v="41.366666666697711"/>
    <n v="12"/>
    <n v="29.366666666697711"/>
    <n v="5.2304199772929953"/>
    <m/>
    <m/>
    <m/>
    <m/>
    <m/>
  </r>
  <r>
    <d v="2025-04-23T00:00:00"/>
    <x v="3"/>
    <s v="NBL"/>
    <s v="OMNI74URR"/>
    <m/>
    <x v="50"/>
    <s v="UAR 731Q"/>
    <s v="KATO INVESTMENTS LIMITED-MASAK Tax No.: 1000098824"/>
    <n v="153.6"/>
    <s v="OMNI74URR"/>
    <s v="OM"/>
    <n v="596"/>
    <n v="595"/>
    <n v="-1"/>
    <m/>
    <d v="2025-04-24T10:23:00"/>
    <d v="2025-04-23T04:14:00"/>
    <d v="2025-04-24T11:02:00"/>
    <n v="1839.4444444437493"/>
    <n v="38.819444445834961"/>
    <x v="9"/>
    <d v="2025-04-25T08:11:00"/>
    <d v="2025-04-25T11:51:00"/>
    <n v="215.41666667122627"/>
    <s v="Waited for empties from trade"/>
    <d v="2025-04-25T16:04:00"/>
    <d v="2025-04-25T16:44:00"/>
    <n v="39.166666671226267"/>
    <m/>
    <n v="1.2097222222218988"/>
    <n v="2"/>
    <n v="0.79027777777810115"/>
    <n v="29.033333333325572"/>
    <n v="12"/>
    <n v="17.033333333325572"/>
    <n v="9.0176125244659477"/>
    <m/>
    <m/>
    <m/>
    <m/>
    <m/>
  </r>
  <r>
    <d v="2025-04-23T00:00:00"/>
    <x v="3"/>
    <s v="NBL"/>
    <s v="OM0DYRERR"/>
    <m/>
    <x v="2"/>
    <s v="UBE 287X"/>
    <s v="KATO INVESTMENTS LTD- KALISIZO Tax No.: 1000098824"/>
    <n v="153.6"/>
    <s v="OM0DYRERR"/>
    <s v="OM"/>
    <n v="288"/>
    <n v="286"/>
    <n v="-2"/>
    <m/>
    <d v="2025-04-23T19:19:00"/>
    <d v="2025-04-23T03:43:00"/>
    <d v="2025-04-23T20:01:00"/>
    <n v="973.47222221457434"/>
    <n v="41.805555556250816"/>
    <x v="9"/>
    <d v="2025-04-24T10:59:00"/>
    <d v="2025-04-24T13:13:00"/>
    <n v="131.20833333014161"/>
    <m/>
    <d v="2025-04-25T08:07:00"/>
    <d v="2025-04-25T08:59:00"/>
    <n v="50.916666668490507"/>
    <s v="sorting delays"/>
    <n v="1.5041666666656965"/>
    <n v="2"/>
    <n v="0.49583333333430346"/>
    <n v="36.099999999976717"/>
    <n v="12"/>
    <n v="24.099999999976717"/>
    <n v="6.3734439834086469"/>
    <m/>
    <m/>
    <m/>
    <m/>
    <m/>
  </r>
  <r>
    <d v="2025-04-23T00:00:00"/>
    <x v="3"/>
    <s v="NBL"/>
    <s v="OMXCT9ARR"/>
    <m/>
    <x v="2"/>
    <s v="UBE 287X"/>
    <s v="RUGOMA TRADERS CO. LTD NTUNGAM Tax No.: 1000249350"/>
    <n v="153.6"/>
    <s v="OMXCT9ARR"/>
    <s v="OM"/>
    <n v="150"/>
    <n v="148"/>
    <n v="-2"/>
    <m/>
    <d v="2025-04-22T14:26:00"/>
    <d v="2025-04-22T12:00:00"/>
    <d v="2025-04-22T14:53:00"/>
    <n v="172.19907407222004"/>
    <n v="26.87500000417155"/>
    <x v="0"/>
    <d v="2025-04-22T17:59:00"/>
    <d v="2025-04-23T13:23:00"/>
    <n v="1139.7500000013679"/>
    <s v="Reached late and offloaded the next day"/>
    <d v="2025-04-23T17:00:00"/>
    <d v="2025-04-23T17:45:00"/>
    <n v="44.0625"/>
    <m/>
    <n v="1.0881944444481633"/>
    <n v="1"/>
    <n v="-8.8194444448163267E-2"/>
    <n v="26.116666666755918"/>
    <n v="12"/>
    <n v="14.116666666755918"/>
    <n v="10.880755607959543"/>
    <m/>
    <m/>
    <m/>
    <m/>
    <m/>
  </r>
  <r>
    <d v="2025-04-23T00:00:00"/>
    <x v="3"/>
    <s v="NBL"/>
    <s v="OML19JTRR"/>
    <m/>
    <x v="5"/>
    <s v="UBE 419T"/>
    <s v="Kato Investment Ltd -Mityana Tax No.: 1000098824"/>
    <n v="156"/>
    <s v="OML19JTRR"/>
    <s v="OM"/>
    <n v="690"/>
    <n v="688"/>
    <n v="-2"/>
    <m/>
    <d v="2025-04-22T20:27:00"/>
    <d v="2025-04-22T20:00:00"/>
    <d v="2025-04-22T20:53:00"/>
    <n v="52.754629624299319"/>
    <n v="25.879629630556639"/>
    <x v="0"/>
    <d v="2025-04-23T15:26:00"/>
    <d v="2025-04-24T13:06:00"/>
    <n v="1272.9166666609672"/>
    <s v="found another truck to be offloaded"/>
    <d v="2025-04-25T10:58:00"/>
    <d v="2025-04-25T11:50:00"/>
    <n v="50.916666668490507"/>
    <s v="offloading delays"/>
    <n v="2.5868055555547471"/>
    <n v="3"/>
    <n v="0.41319444444525288"/>
    <n v="62.083333333313931"/>
    <n v="24"/>
    <n v="38.083333333313931"/>
    <n v="4.096280087529439"/>
    <m/>
    <m/>
    <m/>
    <m/>
    <m/>
  </r>
  <r>
    <d v="2025-04-23T00:00:00"/>
    <x v="3"/>
    <s v="NBL"/>
    <s v="OMTSVUORR"/>
    <m/>
    <x v="1"/>
    <s v="UBJ 375N"/>
    <s v="KATO INVESTMENTS LIMITED-MASAK Tax No.: 1000098824"/>
    <n v="153.6"/>
    <s v="OMTSVUORR"/>
    <s v="OM"/>
    <n v="596"/>
    <n v="595"/>
    <n v="-1"/>
    <m/>
    <d v="2025-04-22T19:15:00"/>
    <d v="2025-04-23T04:14:00"/>
    <d v="2025-04-22T19:41:00"/>
    <n v="-510.62499999582843"/>
    <n v="25.879629630556639"/>
    <x v="0"/>
    <d v="2025-04-23T13:22:00"/>
    <d v="2025-04-23T19:10:00"/>
    <n v="340.75000000273576"/>
    <s v="Waited for empties from trade"/>
    <d v="2025-04-24T13:58:00"/>
    <d v="2025-04-24T14:40:00"/>
    <n v="41.12500000068394"/>
    <m/>
    <n v="1.7618055555503815"/>
    <n v="2"/>
    <n v="0.23819444444961846"/>
    <n v="42.283333333209157"/>
    <n v="12"/>
    <n v="30.283333333209157"/>
    <n v="5.0720968629817227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PivotTable1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8" indent="0" outline="1" outlineData="1" multipleFieldFilters="0">
  <location ref="A3:B10" firstHeaderRow="1" firstDataRow="1" firstDataCol="1"/>
  <pivotFields count="41">
    <pivotField axis="axisRow" showAll="0">
      <items count="7">
        <item x="4"/>
        <item x="0"/>
        <item x="1"/>
        <item x="2"/>
        <item x="3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numFmtId="166" showAll="0"/>
    <pivotField numFmtId="166" showAll="0"/>
    <pivotField numFmtId="166" showAll="0"/>
    <pivotField numFmtId="1" showAll="0"/>
    <pivotField dataField="1" numFmtId="1" showAll="0"/>
    <pivotField showAll="0"/>
    <pivotField showAll="0"/>
    <pivotField showAll="0"/>
    <pivotField showAll="0"/>
    <pivotField showAll="0"/>
    <pivotField numFmtId="166" showAll="0"/>
    <pivotField numFmtId="166" showAll="0"/>
    <pivotField numFmtId="1" showAll="0"/>
    <pivotField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AVE Departure" fld="23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2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8" indent="0" outline="1" outlineData="1" multipleFieldFilters="0">
  <location ref="E3:F10" firstHeaderRow="1" firstDataRow="1" firstDataCol="1"/>
  <pivotFields count="41">
    <pivotField axis="axisRow" showAll="0">
      <items count="7">
        <item x="4"/>
        <item x="0"/>
        <item x="1"/>
        <item x="2"/>
        <item x="3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numFmtId="166" showAll="0"/>
    <pivotField numFmtId="166" showAll="0"/>
    <pivotField numFmtId="166" showAll="0"/>
    <pivotField numFmtId="1" showAll="0"/>
    <pivotField dataField="1" numFmtId="1" showAll="0"/>
    <pivotField showAll="0"/>
    <pivotField showAll="0"/>
    <pivotField showAll="0"/>
    <pivotField showAll="0"/>
    <pivotField showAll="0"/>
    <pivotField numFmtId="166" showAll="0"/>
    <pivotField numFmtId="166" showAll="0"/>
    <pivotField numFmtId="1" showAll="0"/>
    <pivotField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AVE Departure" fld="23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ivotTable13" cacheId="7" applyNumberFormats="0" applyBorderFormats="0" applyFontFormats="0" applyPatternFormats="0" applyAlignmentFormats="0" applyWidthHeightFormats="1" dataCaption="Values" updatedVersion="6" minRefreshableVersion="3" useAutoFormatting="1" itemPrintTitles="1" createdVersion="8" indent="0" multipleFieldFilters="0">
  <location ref="N3:O12" firstHeaderRow="1" firstDataRow="1" firstDataCol="1" rowPageCount="1" colPageCount="1"/>
  <pivotFields count="41">
    <pivotField numFmtId="166" showAll="0"/>
    <pivotField axis="axisPage" multipleItemSelectionAllowed="1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numFmtId="166" showAll="0"/>
    <pivotField numFmtId="166" showAll="0"/>
    <pivotField numFmtId="1" showAll="0"/>
    <pivotField showAll="0"/>
    <pivotField axis="axisRow" dataField="1" showAll="0" sortType="descending">
      <items count="27">
        <item m="1" x="17"/>
        <item m="1" x="24"/>
        <item m="1" x="18"/>
        <item m="1" x="16"/>
        <item m="1" x="15"/>
        <item m="1" x="14"/>
        <item m="1" x="23"/>
        <item m="1" x="20"/>
        <item x="2"/>
        <item m="1" x="25"/>
        <item m="1" x="22"/>
        <item m="1" x="19"/>
        <item x="7"/>
        <item h="1" x="0"/>
        <item x="1"/>
        <item x="5"/>
        <item x="3"/>
        <item x="4"/>
        <item x="6"/>
        <item x="8"/>
        <item m="1" x="21"/>
        <item h="1" x="9"/>
        <item h="1" x="10"/>
        <item h="1" x="11"/>
        <item h="1" x="12"/>
        <item h="1"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6" showAll="0" defaultSubtotal="0"/>
    <pivotField numFmtId="1" showAll="0"/>
    <pivotField showAll="0"/>
    <pivotField showAll="0"/>
    <pivotField numFmtId="166" showAll="0"/>
    <pivotField numFmtId="1" showAll="0"/>
    <pivotField showAll="0"/>
    <pivotField showAll="0"/>
    <pivotField showAll="0"/>
    <pivotField numFmtId="2" showAll="0"/>
    <pivotField numFmtId="2" showAll="0"/>
    <pivotField numFmtId="2" showAll="0"/>
    <pivotField numFmtId="2" showAll="0" defaultSubtotal="0"/>
    <pivotField numFmtId="2" showAll="0"/>
    <pivotField showAll="0" defaultSubtotal="0"/>
    <pivotField showAll="0" defaultSubtotal="0"/>
    <pivotField showAll="0" defaultSubtotal="0"/>
    <pivotField showAll="0" defaultSubtotal="0"/>
    <pivotField showAll="0"/>
  </pivotFields>
  <rowFields count="1">
    <field x="20"/>
  </rowFields>
  <rowItems count="9">
    <i>
      <x v="14"/>
    </i>
    <i>
      <x v="8"/>
    </i>
    <i>
      <x v="15"/>
    </i>
    <i>
      <x v="19"/>
    </i>
    <i>
      <x v="12"/>
    </i>
    <i>
      <x v="16"/>
    </i>
    <i>
      <x v="18"/>
    </i>
    <i>
      <x v="17"/>
    </i>
    <i t="grand">
      <x/>
    </i>
  </rowItems>
  <colItems count="1">
    <i/>
  </colItems>
  <pageFields count="1">
    <pageField fld="1" hier="-1"/>
  </pageFields>
  <dataFields count="1">
    <dataField name="Count of Comment  AVE Departure" fld="2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PivotTable10" cacheId="7" applyNumberFormats="0" applyBorderFormats="0" applyFontFormats="0" applyPatternFormats="0" applyAlignmentFormats="0" applyWidthHeightFormats="1" dataCaption="Values" updatedVersion="6" minRefreshableVersion="3" useAutoFormatting="1" itemPrintTitles="1" createdVersion="8" indent="0" multipleFieldFilters="0">
  <location ref="W4:X9" firstHeaderRow="1" firstDataRow="1" firstDataCol="1"/>
  <pivotFields count="41"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numFmtId="166" showAll="0"/>
    <pivotField numFmtId="166" showAll="0"/>
    <pivotField numFmtId="1" showAll="0"/>
    <pivotField showAll="0"/>
    <pivotField showAll="0"/>
    <pivotField showAll="0"/>
    <pivotField numFmtId="166" showAll="0" defaultSubtotal="0"/>
    <pivotField numFmtId="1" showAll="0"/>
    <pivotField showAll="0"/>
    <pivotField showAll="0"/>
    <pivotField numFmtId="166" showAll="0"/>
    <pivotField dataField="1" numFmtId="1" showAll="0"/>
    <pivotField showAll="0"/>
    <pivotField showAll="0"/>
    <pivotField showAll="0"/>
    <pivotField numFmtId="2" showAll="0"/>
    <pivotField numFmtId="2" showAll="0"/>
    <pivotField numFmtId="2" showAll="0"/>
    <pivotField numFmtId="2" showAll="0" defaultSubtotal="0"/>
    <pivotField numFmtId="2" showAll="0"/>
    <pivotField showAll="0" defaultSubtotal="0"/>
    <pivotField showAll="0" defaultSubtotal="0"/>
    <pivotField showAll="0" defaultSubtotal="0"/>
    <pivotField showAll="0" defaultSubtota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AVE Arrival Time" fld="27" subtotal="average" baseField="1" baseItem="0" numFmtId="167"/>
  </dataFields>
  <formats count="1">
    <format dxfId="7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name="PivotTable11" cacheId="7" applyNumberFormats="0" applyBorderFormats="0" applyFontFormats="0" applyPatternFormats="0" applyAlignmentFormats="0" applyWidthHeightFormats="1" dataCaption="Values" updatedVersion="6" minRefreshableVersion="3" useAutoFormatting="1" itemPrintTitles="1" createdVersion="8" indent="0" multipleFieldFilters="0">
  <location ref="D4:E61" firstHeaderRow="1" firstDataRow="1" firstDataCol="1" rowPageCount="1" colPageCount="1"/>
  <pivotFields count="41">
    <pivotField showAll="0"/>
    <pivotField axis="axisPage" multipleItemSelectionAllowed="1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axis="axisRow" showAll="0" sortType="ascending">
      <items count="61">
        <item m="1" x="59"/>
        <item x="12"/>
        <item x="6"/>
        <item x="13"/>
        <item x="53"/>
        <item x="7"/>
        <item x="8"/>
        <item x="29"/>
        <item x="38"/>
        <item x="35"/>
        <item x="19"/>
        <item x="11"/>
        <item x="42"/>
        <item x="49"/>
        <item x="50"/>
        <item x="23"/>
        <item x="22"/>
        <item x="40"/>
        <item x="2"/>
        <item x="4"/>
        <item x="3"/>
        <item x="44"/>
        <item x="17"/>
        <item x="48"/>
        <item x="26"/>
        <item x="28"/>
        <item x="41"/>
        <item x="5"/>
        <item x="16"/>
        <item x="43"/>
        <item x="52"/>
        <item x="45"/>
        <item x="20"/>
        <item x="51"/>
        <item x="47"/>
        <item x="56"/>
        <item x="46"/>
        <item x="9"/>
        <item x="0"/>
        <item x="36"/>
        <item x="55"/>
        <item x="27"/>
        <item x="18"/>
        <item x="21"/>
        <item x="54"/>
        <item x="37"/>
        <item x="34"/>
        <item x="31"/>
        <item x="30"/>
        <item x="24"/>
        <item x="33"/>
        <item x="1"/>
        <item x="15"/>
        <item x="39"/>
        <item x="32"/>
        <item x="14"/>
        <item x="25"/>
        <item h="1" x="10"/>
        <item h="1" x="57"/>
        <item h="1" x="5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numFmtId="166" showAll="0"/>
    <pivotField numFmtId="166" showAll="0"/>
    <pivotField numFmtId="1" showAll="0"/>
    <pivotField dataField="1" showAll="0"/>
    <pivotField showAll="0"/>
    <pivotField showAll="0"/>
    <pivotField numFmtId="166" showAll="0" defaultSubtotal="0"/>
    <pivotField numFmtId="1" showAll="0"/>
    <pivotField showAll="0"/>
    <pivotField showAll="0"/>
    <pivotField numFmtId="166" showAll="0"/>
    <pivotField numFmtId="1" showAll="0"/>
    <pivotField showAll="0"/>
    <pivotField showAll="0"/>
    <pivotField showAll="0"/>
    <pivotField numFmtId="2" showAll="0"/>
    <pivotField numFmtId="2" showAll="0"/>
    <pivotField numFmtId="2" showAll="0"/>
    <pivotField numFmtId="2" showAll="0" defaultSubtotal="0"/>
    <pivotField numFmtId="2" showAll="0"/>
    <pivotField showAll="0" defaultSubtotal="0"/>
    <pivotField showAll="0" defaultSubtotal="0"/>
    <pivotField showAll="0" defaultSubtotal="0"/>
    <pivotField showAll="0" defaultSubtotal="0"/>
    <pivotField showAll="0"/>
  </pivotFields>
  <rowFields count="1">
    <field x="5"/>
  </rowFields>
  <rowItems count="57">
    <i>
      <x v="35"/>
    </i>
    <i>
      <x v="40"/>
    </i>
    <i>
      <x v="4"/>
    </i>
    <i>
      <x v="30"/>
    </i>
    <i>
      <x v="23"/>
    </i>
    <i>
      <x v="33"/>
    </i>
    <i>
      <x v="17"/>
    </i>
    <i>
      <x v="13"/>
    </i>
    <i>
      <x v="51"/>
    </i>
    <i>
      <x v="22"/>
    </i>
    <i>
      <x v="6"/>
    </i>
    <i>
      <x v="1"/>
    </i>
    <i>
      <x v="31"/>
    </i>
    <i>
      <x v="44"/>
    </i>
    <i>
      <x v="46"/>
    </i>
    <i>
      <x v="39"/>
    </i>
    <i>
      <x v="9"/>
    </i>
    <i>
      <x v="36"/>
    </i>
    <i>
      <x v="26"/>
    </i>
    <i>
      <x v="38"/>
    </i>
    <i>
      <x v="27"/>
    </i>
    <i>
      <x v="14"/>
    </i>
    <i>
      <x v="41"/>
    </i>
    <i>
      <x v="34"/>
    </i>
    <i>
      <x v="8"/>
    </i>
    <i>
      <x v="48"/>
    </i>
    <i>
      <x v="54"/>
    </i>
    <i>
      <x v="37"/>
    </i>
    <i>
      <x v="56"/>
    </i>
    <i>
      <x v="32"/>
    </i>
    <i>
      <x v="12"/>
    </i>
    <i>
      <x v="50"/>
    </i>
    <i>
      <x v="29"/>
    </i>
    <i>
      <x v="49"/>
    </i>
    <i>
      <x v="55"/>
    </i>
    <i>
      <x v="21"/>
    </i>
    <i>
      <x v="28"/>
    </i>
    <i>
      <x v="45"/>
    </i>
    <i>
      <x v="18"/>
    </i>
    <i>
      <x v="42"/>
    </i>
    <i>
      <x v="15"/>
    </i>
    <i>
      <x v="53"/>
    </i>
    <i>
      <x v="24"/>
    </i>
    <i>
      <x v="20"/>
    </i>
    <i>
      <x v="47"/>
    </i>
    <i>
      <x v="5"/>
    </i>
    <i>
      <x v="16"/>
    </i>
    <i>
      <x v="2"/>
    </i>
    <i>
      <x v="3"/>
    </i>
    <i>
      <x v="7"/>
    </i>
    <i>
      <x v="19"/>
    </i>
    <i>
      <x v="25"/>
    </i>
    <i>
      <x v="52"/>
    </i>
    <i>
      <x v="10"/>
    </i>
    <i>
      <x v="11"/>
    </i>
    <i>
      <x v="43"/>
    </i>
    <i t="grand">
      <x/>
    </i>
  </rowItems>
  <colItems count="1">
    <i/>
  </colItems>
  <pageFields count="1">
    <pageField fld="1" hier="-1"/>
  </pageFields>
  <dataFields count="1">
    <dataField name="Average of AVE Departure" fld="19" subtotal="average" baseField="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name="PivotTable9" cacheId="7" applyNumberFormats="0" applyBorderFormats="0" applyFontFormats="0" applyPatternFormats="0" applyAlignmentFormats="0" applyWidthHeightFormats="1" dataCaption="Values" updatedVersion="6" minRefreshableVersion="3" useAutoFormatting="1" itemPrintTitles="1" createdVersion="8" indent="0" multipleFieldFilters="0" chartFormat="4">
  <location ref="A4:B9" firstHeaderRow="1" firstDataRow="1" firstDataCol="1"/>
  <pivotFields count="41"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numFmtId="166" showAll="0"/>
    <pivotField numFmtId="166" showAll="0"/>
    <pivotField numFmtId="1" showAll="0"/>
    <pivotField dataField="1" showAll="0"/>
    <pivotField showAll="0"/>
    <pivotField showAll="0"/>
    <pivotField numFmtId="166" showAll="0" defaultSubtotal="0"/>
    <pivotField numFmtId="1" showAll="0"/>
    <pivotField showAll="0"/>
    <pivotField showAll="0"/>
    <pivotField numFmtId="166" showAll="0"/>
    <pivotField numFmtId="1" showAll="0"/>
    <pivotField showAll="0"/>
    <pivotField showAll="0"/>
    <pivotField showAll="0"/>
    <pivotField numFmtId="2" showAll="0"/>
    <pivotField numFmtId="2" showAll="0"/>
    <pivotField numFmtId="2" showAll="0"/>
    <pivotField numFmtId="2" showAll="0" defaultSubtotal="0"/>
    <pivotField numFmtId="2" showAll="0"/>
    <pivotField showAll="0" defaultSubtotal="0"/>
    <pivotField showAll="0" defaultSubtotal="0"/>
    <pivotField showAll="0" defaultSubtotal="0"/>
    <pivotField showAll="0" defaultSubtota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AVE Departure" fld="19" subtotal="average" baseField="1" baseItem="0" numFmtId="2"/>
  </dataFields>
  <formats count="6">
    <format dxfId="82">
      <pivotArea outline="0" collapsedLevelsAreSubtotals="1" fieldPosition="0"/>
    </format>
    <format dxfId="81">
      <pivotArea outline="0" collapsedLevelsAreSubtotals="1" fieldPosition="0"/>
    </format>
    <format dxfId="80">
      <pivotArea outline="0" collapsedLevelsAreSubtotals="1" fieldPosition="0"/>
    </format>
    <format dxfId="79">
      <pivotArea outline="0" collapsedLevelsAreSubtotals="1" fieldPosition="0"/>
    </format>
    <format dxfId="78">
      <pivotArea outline="0" collapsedLevelsAreSubtotals="1" fieldPosition="0"/>
    </format>
    <format dxfId="7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name="PivotTable22" cacheId="7" applyNumberFormats="0" applyBorderFormats="0" applyFontFormats="0" applyPatternFormats="0" applyAlignmentFormats="0" applyWidthHeightFormats="1" dataCaption="Values" updatedVersion="6" minRefreshableVersion="3" useAutoFormatting="1" itemPrintTitles="1" createdVersion="8" indent="0" multipleFieldFilters="0">
  <location ref="Q1:R6" firstHeaderRow="1" firstDataRow="1" firstDataCol="1"/>
  <pivotFields count="41">
    <pivotField numFmtId="166"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numFmtId="166" showAll="0"/>
    <pivotField numFmtId="166" showAll="0"/>
    <pivotField numFmtId="1" showAll="0"/>
    <pivotField showAll="0"/>
    <pivotField showAll="0"/>
    <pivotField showAll="0"/>
    <pivotField numFmtId="166" showAll="0" defaultSubtotal="0"/>
    <pivotField numFmtId="1" showAll="0"/>
    <pivotField showAll="0"/>
    <pivotField showAll="0"/>
    <pivotField numFmtId="166" showAll="0"/>
    <pivotField numFmtId="1" showAll="0"/>
    <pivotField showAll="0"/>
    <pivotField showAll="0"/>
    <pivotField showAll="0"/>
    <pivotField numFmtId="2" showAll="0"/>
    <pivotField dataField="1" numFmtId="2" showAll="0"/>
    <pivotField numFmtId="2" showAll="0"/>
    <pivotField numFmtId="2" showAll="0" defaultSubtotal="0"/>
    <pivotField numFmtId="2" showAll="0"/>
    <pivotField showAll="0" defaultSubtotal="0"/>
    <pivotField showAll="0" defaultSubtotal="0"/>
    <pivotField showAll="0" defaultSubtotal="0"/>
    <pivotField showAll="0" defaultSubtota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Total Hour Route" fld="32" subtotal="average" baseField="1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name="PivotTable14" cacheId="7" applyNumberFormats="0" applyBorderFormats="0" applyFontFormats="0" applyPatternFormats="0" applyAlignmentFormats="0" applyWidthHeightFormats="1" dataCaption="Values" updatedVersion="6" minRefreshableVersion="3" useAutoFormatting="1" itemPrintTitles="1" createdVersion="8" indent="0" multipleFieldFilters="0" chartFormat="1">
  <location ref="G2:L57" firstHeaderRow="1" firstDataRow="2" firstDataCol="1"/>
  <pivotFields count="41">
    <pivotField numFmtId="166" showAll="0"/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axis="axisRow" showAll="0" sortType="ascending">
      <items count="61">
        <item m="1" x="59"/>
        <item x="12"/>
        <item h="1" x="6"/>
        <item x="13"/>
        <item x="53"/>
        <item x="7"/>
        <item x="8"/>
        <item x="29"/>
        <item x="38"/>
        <item x="35"/>
        <item x="19"/>
        <item x="11"/>
        <item x="42"/>
        <item x="49"/>
        <item h="1" x="50"/>
        <item x="23"/>
        <item x="22"/>
        <item x="40"/>
        <item x="2"/>
        <item x="4"/>
        <item x="3"/>
        <item x="44"/>
        <item x="17"/>
        <item x="48"/>
        <item x="26"/>
        <item x="28"/>
        <item x="41"/>
        <item x="5"/>
        <item x="16"/>
        <item x="43"/>
        <item x="52"/>
        <item x="45"/>
        <item x="20"/>
        <item x="51"/>
        <item x="47"/>
        <item x="56"/>
        <item x="46"/>
        <item x="9"/>
        <item x="0"/>
        <item x="36"/>
        <item h="1" x="55"/>
        <item x="27"/>
        <item x="18"/>
        <item x="21"/>
        <item x="54"/>
        <item x="37"/>
        <item x="34"/>
        <item x="31"/>
        <item x="30"/>
        <item x="24"/>
        <item x="33"/>
        <item x="1"/>
        <item x="15"/>
        <item h="1" x="39"/>
        <item x="32"/>
        <item x="14"/>
        <item x="25"/>
        <item x="10"/>
        <item h="1" x="57"/>
        <item h="1" x="5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numFmtId="166" showAll="0"/>
    <pivotField numFmtId="166" showAll="0"/>
    <pivotField numFmtId="1" showAll="0"/>
    <pivotField dataField="1" showAll="0"/>
    <pivotField showAll="0"/>
    <pivotField showAll="0"/>
    <pivotField numFmtId="166" showAll="0" defaultSubtotal="0"/>
    <pivotField numFmtId="1" showAll="0"/>
    <pivotField showAll="0"/>
    <pivotField showAll="0"/>
    <pivotField numFmtId="166" showAll="0"/>
    <pivotField numFmtId="1" showAll="0"/>
    <pivotField showAll="0"/>
    <pivotField showAll="0"/>
    <pivotField showAll="0"/>
    <pivotField numFmtId="2" showAll="0"/>
    <pivotField numFmtId="2" showAll="0"/>
    <pivotField numFmtId="2" showAll="0"/>
    <pivotField numFmtId="2" showAll="0" defaultSubtotal="0"/>
    <pivotField numFmtId="2" showAll="0"/>
    <pivotField showAll="0" defaultSubtotal="0"/>
    <pivotField showAll="0" defaultSubtotal="0"/>
    <pivotField showAll="0" defaultSubtotal="0"/>
    <pivotField showAll="0" defaultSubtotal="0"/>
    <pivotField showAll="0"/>
  </pivotFields>
  <rowFields count="1">
    <field x="5"/>
  </rowFields>
  <rowItems count="54">
    <i>
      <x v="35"/>
    </i>
    <i>
      <x v="4"/>
    </i>
    <i>
      <x v="30"/>
    </i>
    <i>
      <x v="23"/>
    </i>
    <i>
      <x v="33"/>
    </i>
    <i>
      <x v="17"/>
    </i>
    <i>
      <x v="13"/>
    </i>
    <i>
      <x v="51"/>
    </i>
    <i>
      <x v="22"/>
    </i>
    <i>
      <x v="6"/>
    </i>
    <i>
      <x v="1"/>
    </i>
    <i>
      <x v="31"/>
    </i>
    <i>
      <x v="44"/>
    </i>
    <i>
      <x v="46"/>
    </i>
    <i>
      <x v="39"/>
    </i>
    <i>
      <x v="9"/>
    </i>
    <i>
      <x v="36"/>
    </i>
    <i>
      <x v="26"/>
    </i>
    <i>
      <x v="57"/>
    </i>
    <i>
      <x v="38"/>
    </i>
    <i>
      <x v="27"/>
    </i>
    <i>
      <x v="41"/>
    </i>
    <i>
      <x v="34"/>
    </i>
    <i>
      <x v="8"/>
    </i>
    <i>
      <x v="48"/>
    </i>
    <i>
      <x v="54"/>
    </i>
    <i>
      <x v="37"/>
    </i>
    <i>
      <x v="56"/>
    </i>
    <i>
      <x v="32"/>
    </i>
    <i>
      <x v="12"/>
    </i>
    <i>
      <x v="50"/>
    </i>
    <i>
      <x v="29"/>
    </i>
    <i>
      <x v="49"/>
    </i>
    <i>
      <x v="55"/>
    </i>
    <i>
      <x v="21"/>
    </i>
    <i>
      <x v="28"/>
    </i>
    <i>
      <x v="45"/>
    </i>
    <i>
      <x v="18"/>
    </i>
    <i>
      <x v="15"/>
    </i>
    <i>
      <x v="42"/>
    </i>
    <i>
      <x v="24"/>
    </i>
    <i>
      <x v="20"/>
    </i>
    <i>
      <x v="47"/>
    </i>
    <i>
      <x v="5"/>
    </i>
    <i>
      <x v="16"/>
    </i>
    <i>
      <x v="3"/>
    </i>
    <i>
      <x v="7"/>
    </i>
    <i>
      <x v="19"/>
    </i>
    <i>
      <x v="25"/>
    </i>
    <i>
      <x v="52"/>
    </i>
    <i>
      <x v="10"/>
    </i>
    <i>
      <x v="11"/>
    </i>
    <i>
      <x v="43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AVE Departure" fld="19" subtotal="average" baseField="5" baseItem="6"/>
  </dataFields>
  <formats count="69">
    <format dxfId="151">
      <pivotArea field="5" grandCol="1" collapsedLevelsAreSubtotals="1" axis="axisRow" fieldPosition="0">
        <references count="1">
          <reference field="5" count="1">
            <x v="46"/>
          </reference>
        </references>
      </pivotArea>
    </format>
    <format dxfId="150">
      <pivotArea field="5" grandCol="1" collapsedLevelsAreSubtotals="1" axis="axisRow" fieldPosition="0">
        <references count="1">
          <reference field="5" count="1">
            <x v="46"/>
          </reference>
        </references>
      </pivotArea>
    </format>
    <format dxfId="149">
      <pivotArea field="5" grandCol="1" collapsedLevelsAreSubtotals="1" axis="axisRow" fieldPosition="0">
        <references count="1">
          <reference field="5" count="1">
            <x v="46"/>
          </reference>
        </references>
      </pivotArea>
    </format>
    <format dxfId="148">
      <pivotArea field="5" grandCol="1" collapsedLevelsAreSubtotals="1" axis="axisRow" fieldPosition="0">
        <references count="1">
          <reference field="5" count="2">
            <x v="30"/>
            <x v="35"/>
          </reference>
        </references>
      </pivotArea>
    </format>
    <format dxfId="147">
      <pivotArea field="5" grandCol="1" collapsedLevelsAreSubtotals="1" axis="axisRow" fieldPosition="0">
        <references count="1">
          <reference field="5" count="2">
            <x v="30"/>
            <x v="35"/>
          </reference>
        </references>
      </pivotArea>
    </format>
    <format dxfId="146">
      <pivotArea field="5" grandCol="1" collapsedLevelsAreSubtotals="1" axis="axisRow" fieldPosition="0">
        <references count="1">
          <reference field="5" count="2">
            <x v="30"/>
            <x v="35"/>
          </reference>
        </references>
      </pivotArea>
    </format>
    <format dxfId="145">
      <pivotArea field="5" grandCol="1" collapsedLevelsAreSubtotals="1" axis="axisRow" fieldPosition="0">
        <references count="1">
          <reference field="5" count="2">
            <x v="30"/>
            <x v="35"/>
          </reference>
        </references>
      </pivotArea>
    </format>
    <format dxfId="144">
      <pivotArea field="5" grandCol="1" collapsedLevelsAreSubtotals="1" axis="axisRow" fieldPosition="0">
        <references count="1">
          <reference field="5" count="2">
            <x v="30"/>
            <x v="35"/>
          </reference>
        </references>
      </pivotArea>
    </format>
    <format dxfId="143">
      <pivotArea field="5" grandCol="1" collapsedLevelsAreSubtotals="1" axis="axisRow" fieldPosition="0">
        <references count="1">
          <reference field="5" count="2">
            <x v="30"/>
            <x v="35"/>
          </reference>
        </references>
      </pivotArea>
    </format>
    <format dxfId="142">
      <pivotArea field="5" grandCol="1" collapsedLevelsAreSubtotals="1" axis="axisRow" fieldPosition="0">
        <references count="1">
          <reference field="5" count="2">
            <x v="30"/>
            <x v="35"/>
          </reference>
        </references>
      </pivotArea>
    </format>
    <format dxfId="141">
      <pivotArea field="5" grandCol="1" collapsedLevelsAreSubtotals="1" axis="axisRow" fieldPosition="0">
        <references count="1">
          <reference field="5" count="51">
            <x v="1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1"/>
            <x v="32"/>
            <x v="33"/>
            <x v="34"/>
            <x v="36"/>
            <x v="37"/>
            <x v="38"/>
            <x v="39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4"/>
            <x v="55"/>
            <x v="56"/>
            <x v="57"/>
          </reference>
        </references>
      </pivotArea>
    </format>
    <format dxfId="140">
      <pivotArea grandRow="1" grandCol="1" outline="0" collapsedLevelsAreSubtotals="1" fieldPosition="0"/>
    </format>
    <format dxfId="139">
      <pivotArea field="5" grandCol="1" collapsedLevelsAreSubtotals="1" axis="axisRow" fieldPosition="0">
        <references count="1">
          <reference field="5" count="51">
            <x v="1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1"/>
            <x v="32"/>
            <x v="33"/>
            <x v="34"/>
            <x v="36"/>
            <x v="37"/>
            <x v="38"/>
            <x v="39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4"/>
            <x v="55"/>
            <x v="56"/>
            <x v="57"/>
          </reference>
        </references>
      </pivotArea>
    </format>
    <format dxfId="138">
      <pivotArea grandRow="1" grandCol="1" outline="0" collapsedLevelsAreSubtotals="1" fieldPosition="0"/>
    </format>
    <format dxfId="137">
      <pivotArea field="5" grandCol="1" collapsedLevelsAreSubtotals="1" axis="axisRow" fieldPosition="0">
        <references count="1">
          <reference field="5" count="51">
            <x v="1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1"/>
            <x v="32"/>
            <x v="33"/>
            <x v="34"/>
            <x v="36"/>
            <x v="37"/>
            <x v="38"/>
            <x v="39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4"/>
            <x v="55"/>
            <x v="56"/>
            <x v="57"/>
          </reference>
        </references>
      </pivotArea>
    </format>
    <format dxfId="136">
      <pivotArea grandRow="1" grandCol="1" outline="0" collapsedLevelsAreSubtotals="1" fieldPosition="0"/>
    </format>
    <format dxfId="135">
      <pivotArea field="5" grandCol="1" collapsedLevelsAreSubtotals="1" axis="axisRow" fieldPosition="0">
        <references count="1">
          <reference field="5" count="51">
            <x v="1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1"/>
            <x v="32"/>
            <x v="33"/>
            <x v="34"/>
            <x v="36"/>
            <x v="37"/>
            <x v="38"/>
            <x v="39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4"/>
            <x v="55"/>
            <x v="56"/>
            <x v="57"/>
          </reference>
        </references>
      </pivotArea>
    </format>
    <format dxfId="134">
      <pivotArea grandRow="1" grandCol="1" outline="0" collapsedLevelsAreSubtotals="1" fieldPosition="0"/>
    </format>
    <format dxfId="133">
      <pivotArea field="5" grandCol="1" collapsedLevelsAreSubtotals="1" axis="axisRow" fieldPosition="0">
        <references count="1">
          <reference field="5" count="51">
            <x v="1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1"/>
            <x v="32"/>
            <x v="33"/>
            <x v="34"/>
            <x v="36"/>
            <x v="37"/>
            <x v="38"/>
            <x v="39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4"/>
            <x v="55"/>
            <x v="56"/>
            <x v="57"/>
          </reference>
        </references>
      </pivotArea>
    </format>
    <format dxfId="132">
      <pivotArea grandRow="1" grandCol="1" outline="0" collapsedLevelsAreSubtotals="1" fieldPosition="0"/>
    </format>
    <format dxfId="131">
      <pivotArea field="5" grandCol="1" collapsedLevelsAreSubtotals="1" axis="axisRow" fieldPosition="0">
        <references count="1">
          <reference field="5" count="51">
            <x v="1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1"/>
            <x v="32"/>
            <x v="33"/>
            <x v="34"/>
            <x v="36"/>
            <x v="37"/>
            <x v="38"/>
            <x v="39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4"/>
            <x v="55"/>
            <x v="56"/>
            <x v="57"/>
          </reference>
        </references>
      </pivotArea>
    </format>
    <format dxfId="130">
      <pivotArea grandRow="1" grandCol="1" outline="0" collapsedLevelsAreSubtotals="1" fieldPosition="0"/>
    </format>
    <format dxfId="129">
      <pivotArea field="5" grandCol="1" collapsedLevelsAreSubtotals="1" axis="axisRow" fieldPosition="0">
        <references count="1">
          <reference field="5" count="2">
            <x v="30"/>
            <x v="35"/>
          </reference>
        </references>
      </pivotArea>
    </format>
    <format dxfId="128">
      <pivotArea collapsedLevelsAreSubtotals="1" fieldPosition="0">
        <references count="2">
          <reference field="1" count="1" selected="0">
            <x v="3"/>
          </reference>
          <reference field="5" count="18">
            <x v="8"/>
            <x v="12"/>
            <x v="15"/>
            <x v="18"/>
            <x v="21"/>
            <x v="27"/>
            <x v="28"/>
            <x v="29"/>
            <x v="32"/>
            <x v="37"/>
            <x v="38"/>
            <x v="45"/>
            <x v="48"/>
            <x v="49"/>
            <x v="50"/>
            <x v="54"/>
            <x v="55"/>
            <x v="56"/>
          </reference>
        </references>
      </pivotArea>
    </format>
    <format dxfId="127">
      <pivotArea collapsedLevelsAreSubtotals="1" fieldPosition="0">
        <references count="2">
          <reference field="1" count="1" selected="0">
            <x v="3"/>
          </reference>
          <reference field="5" count="18">
            <x v="8"/>
            <x v="12"/>
            <x v="15"/>
            <x v="18"/>
            <x v="21"/>
            <x v="27"/>
            <x v="28"/>
            <x v="29"/>
            <x v="32"/>
            <x v="37"/>
            <x v="38"/>
            <x v="45"/>
            <x v="48"/>
            <x v="49"/>
            <x v="50"/>
            <x v="54"/>
            <x v="55"/>
            <x v="56"/>
          </reference>
        </references>
      </pivotArea>
    </format>
    <format dxfId="126">
      <pivotArea collapsedLevelsAreSubtotals="1" fieldPosition="0">
        <references count="2">
          <reference field="1" count="1" selected="0">
            <x v="3"/>
          </reference>
          <reference field="5" count="18">
            <x v="8"/>
            <x v="12"/>
            <x v="15"/>
            <x v="18"/>
            <x v="21"/>
            <x v="27"/>
            <x v="28"/>
            <x v="29"/>
            <x v="32"/>
            <x v="37"/>
            <x v="38"/>
            <x v="45"/>
            <x v="48"/>
            <x v="49"/>
            <x v="50"/>
            <x v="54"/>
            <x v="55"/>
            <x v="56"/>
          </reference>
        </references>
      </pivotArea>
    </format>
    <format dxfId="125">
      <pivotArea collapsedLevelsAreSubtotals="1" fieldPosition="0">
        <references count="2">
          <reference field="1" count="1" selected="0">
            <x v="3"/>
          </reference>
          <reference field="5" count="18">
            <x v="8"/>
            <x v="12"/>
            <x v="15"/>
            <x v="18"/>
            <x v="21"/>
            <x v="27"/>
            <x v="28"/>
            <x v="29"/>
            <x v="32"/>
            <x v="37"/>
            <x v="38"/>
            <x v="45"/>
            <x v="48"/>
            <x v="49"/>
            <x v="50"/>
            <x v="54"/>
            <x v="55"/>
            <x v="56"/>
          </reference>
        </references>
      </pivotArea>
    </format>
    <format dxfId="124">
      <pivotArea collapsedLevelsAreSubtotals="1" fieldPosition="0">
        <references count="2">
          <reference field="1" count="1" selected="0">
            <x v="3"/>
          </reference>
          <reference field="5" count="18">
            <x v="8"/>
            <x v="12"/>
            <x v="15"/>
            <x v="18"/>
            <x v="21"/>
            <x v="27"/>
            <x v="28"/>
            <x v="29"/>
            <x v="32"/>
            <x v="37"/>
            <x v="38"/>
            <x v="45"/>
            <x v="48"/>
            <x v="49"/>
            <x v="50"/>
            <x v="54"/>
            <x v="55"/>
            <x v="56"/>
          </reference>
        </references>
      </pivotArea>
    </format>
    <format dxfId="123">
      <pivotArea collapsedLevelsAreSubtotals="1" fieldPosition="0">
        <references count="2">
          <reference field="1" count="1" selected="0">
            <x v="3"/>
          </reference>
          <reference field="5" count="18">
            <x v="8"/>
            <x v="12"/>
            <x v="15"/>
            <x v="18"/>
            <x v="21"/>
            <x v="27"/>
            <x v="28"/>
            <x v="29"/>
            <x v="32"/>
            <x v="37"/>
            <x v="38"/>
            <x v="45"/>
            <x v="48"/>
            <x v="49"/>
            <x v="50"/>
            <x v="54"/>
            <x v="55"/>
            <x v="56"/>
          </reference>
        </references>
      </pivotArea>
    </format>
    <format dxfId="122">
      <pivotArea collapsedLevelsAreSubtotals="1" fieldPosition="0">
        <references count="2">
          <reference field="1" count="1" selected="0">
            <x v="3"/>
          </reference>
          <reference field="5" count="2">
            <x v="22"/>
            <x v="51"/>
          </reference>
        </references>
      </pivotArea>
    </format>
    <format dxfId="121">
      <pivotArea collapsedLevelsAreSubtotals="1" fieldPosition="0">
        <references count="2">
          <reference field="1" count="1" selected="0">
            <x v="3"/>
          </reference>
          <reference field="5" count="2">
            <x v="22"/>
            <x v="51"/>
          </reference>
        </references>
      </pivotArea>
    </format>
    <format dxfId="120">
      <pivotArea collapsedLevelsAreSubtotals="1" fieldPosition="0">
        <references count="2">
          <reference field="1" count="1" selected="0">
            <x v="3"/>
          </reference>
          <reference field="5" count="2">
            <x v="22"/>
            <x v="51"/>
          </reference>
        </references>
      </pivotArea>
    </format>
    <format dxfId="119">
      <pivotArea collapsedLevelsAreSubtotals="1" fieldPosition="0">
        <references count="2">
          <reference field="1" count="1" selected="0">
            <x v="3"/>
          </reference>
          <reference field="5" count="2">
            <x v="22"/>
            <x v="51"/>
          </reference>
        </references>
      </pivotArea>
    </format>
    <format dxfId="118">
      <pivotArea collapsedLevelsAreSubtotals="1" fieldPosition="0">
        <references count="2">
          <reference field="1" count="1" selected="0">
            <x v="3"/>
          </reference>
          <reference field="5" count="2">
            <x v="22"/>
            <x v="51"/>
          </reference>
        </references>
      </pivotArea>
    </format>
    <format dxfId="117">
      <pivotArea collapsedLevelsAreSubtotals="1" fieldPosition="0">
        <references count="2">
          <reference field="1" count="1" selected="0">
            <x v="3"/>
          </reference>
          <reference field="5" count="2">
            <x v="22"/>
            <x v="51"/>
          </reference>
        </references>
      </pivotArea>
    </format>
    <format dxfId="116">
      <pivotArea collapsedLevelsAreSubtotals="1" fieldPosition="0">
        <references count="2">
          <reference field="1" count="1" selected="0">
            <x v="3"/>
          </reference>
          <reference field="5" count="2">
            <x v="22"/>
            <x v="51"/>
          </reference>
        </references>
      </pivotArea>
    </format>
    <format dxfId="115">
      <pivotArea collapsedLevelsAreSubtotals="1" fieldPosition="0">
        <references count="2">
          <reference field="1" count="1" selected="0">
            <x v="3"/>
          </reference>
          <reference field="5" count="2">
            <x v="22"/>
            <x v="51"/>
          </reference>
        </references>
      </pivotArea>
    </format>
    <format dxfId="114">
      <pivotArea collapsedLevelsAreSubtotals="1" fieldPosition="0">
        <references count="2">
          <reference field="1" count="1" selected="0">
            <x v="3"/>
          </reference>
          <reference field="5" count="2">
            <x v="1"/>
            <x v="6"/>
          </reference>
        </references>
      </pivotArea>
    </format>
    <format dxfId="113">
      <pivotArea collapsedLevelsAreSubtotals="1" fieldPosition="0">
        <references count="2">
          <reference field="1" count="1" selected="0">
            <x v="3"/>
          </reference>
          <reference field="5" count="2">
            <x v="1"/>
            <x v="6"/>
          </reference>
        </references>
      </pivotArea>
    </format>
    <format dxfId="112">
      <pivotArea collapsedLevelsAreSubtotals="1" fieldPosition="0">
        <references count="2">
          <reference field="1" count="1" selected="0">
            <x v="3"/>
          </reference>
          <reference field="5" count="2">
            <x v="1"/>
            <x v="6"/>
          </reference>
        </references>
      </pivotArea>
    </format>
    <format dxfId="111">
      <pivotArea collapsedLevelsAreSubtotals="1" fieldPosition="0">
        <references count="2">
          <reference field="1" count="1" selected="0">
            <x v="3"/>
          </reference>
          <reference field="5" count="2">
            <x v="1"/>
            <x v="6"/>
          </reference>
        </references>
      </pivotArea>
    </format>
    <format dxfId="110">
      <pivotArea collapsedLevelsAreSubtotals="1" fieldPosition="0">
        <references count="2">
          <reference field="1" count="1" selected="0">
            <x v="3"/>
          </reference>
          <reference field="5" count="2">
            <x v="1"/>
            <x v="6"/>
          </reference>
        </references>
      </pivotArea>
    </format>
    <format dxfId="109">
      <pivotArea collapsedLevelsAreSubtotals="1" fieldPosition="0">
        <references count="2">
          <reference field="1" count="1" selected="0">
            <x v="3"/>
          </reference>
          <reference field="5" count="2">
            <x v="1"/>
            <x v="6"/>
          </reference>
        </references>
      </pivotArea>
    </format>
    <format dxfId="108">
      <pivotArea collapsedLevelsAreSubtotals="1" fieldPosition="0">
        <references count="2">
          <reference field="1" count="1" selected="0">
            <x v="3"/>
          </reference>
          <reference field="5" count="2">
            <x v="1"/>
            <x v="6"/>
          </reference>
        </references>
      </pivotArea>
    </format>
    <format dxfId="107">
      <pivotArea collapsedLevelsAreSubtotals="1" fieldPosition="0">
        <references count="2">
          <reference field="1" count="1" selected="0">
            <x v="3"/>
          </reference>
          <reference field="5" count="2">
            <x v="1"/>
            <x v="6"/>
          </reference>
        </references>
      </pivotArea>
    </format>
    <format dxfId="106">
      <pivotArea collapsedLevelsAreSubtotals="1" fieldPosition="0">
        <references count="2">
          <reference field="1" count="1" selected="0">
            <x v="3"/>
          </reference>
          <reference field="5" count="3">
            <x v="5"/>
            <x v="20"/>
            <x v="47"/>
          </reference>
        </references>
      </pivotArea>
    </format>
    <format dxfId="105">
      <pivotArea collapsedLevelsAreSubtotals="1" fieldPosition="0">
        <references count="2">
          <reference field="1" count="1" selected="0">
            <x v="3"/>
          </reference>
          <reference field="5" count="3">
            <x v="5"/>
            <x v="20"/>
            <x v="47"/>
          </reference>
        </references>
      </pivotArea>
    </format>
    <format dxfId="104">
      <pivotArea collapsedLevelsAreSubtotals="1" fieldPosition="0">
        <references count="2">
          <reference field="1" count="1" selected="0">
            <x v="3"/>
          </reference>
          <reference field="5" count="3">
            <x v="5"/>
            <x v="20"/>
            <x v="47"/>
          </reference>
        </references>
      </pivotArea>
    </format>
    <format dxfId="103">
      <pivotArea collapsedLevelsAreSubtotals="1" fieldPosition="0">
        <references count="2">
          <reference field="1" count="1" selected="0">
            <x v="3"/>
          </reference>
          <reference field="5" count="3">
            <x v="5"/>
            <x v="20"/>
            <x v="47"/>
          </reference>
        </references>
      </pivotArea>
    </format>
    <format dxfId="102">
      <pivotArea collapsedLevelsAreSubtotals="1" fieldPosition="0">
        <references count="2">
          <reference field="1" count="1" selected="0">
            <x v="3"/>
          </reference>
          <reference field="5" count="3">
            <x v="5"/>
            <x v="20"/>
            <x v="47"/>
          </reference>
        </references>
      </pivotArea>
    </format>
    <format dxfId="101">
      <pivotArea collapsedLevelsAreSubtotals="1" fieldPosition="0">
        <references count="2">
          <reference field="1" count="1" selected="0">
            <x v="3"/>
          </reference>
          <reference field="5" count="3">
            <x v="5"/>
            <x v="20"/>
            <x v="47"/>
          </reference>
        </references>
      </pivotArea>
    </format>
    <format dxfId="100">
      <pivotArea collapsedLevelsAreSubtotals="1" fieldPosition="0">
        <references count="2">
          <reference field="1" count="1" selected="0">
            <x v="3"/>
          </reference>
          <reference field="5" count="1">
            <x v="19"/>
          </reference>
        </references>
      </pivotArea>
    </format>
    <format dxfId="99">
      <pivotArea collapsedLevelsAreSubtotals="1" fieldPosition="0">
        <references count="2">
          <reference field="1" count="1" selected="0">
            <x v="3"/>
          </reference>
          <reference field="5" count="1">
            <x v="19"/>
          </reference>
        </references>
      </pivotArea>
    </format>
    <format dxfId="98">
      <pivotArea collapsedLevelsAreSubtotals="1" fieldPosition="0">
        <references count="2">
          <reference field="1" count="1" selected="0">
            <x v="3"/>
          </reference>
          <reference field="5" count="1">
            <x v="19"/>
          </reference>
        </references>
      </pivotArea>
    </format>
    <format dxfId="97">
      <pivotArea collapsedLevelsAreSubtotals="1" fieldPosition="0">
        <references count="2">
          <reference field="1" count="1" selected="0">
            <x v="3"/>
          </reference>
          <reference field="5" count="1">
            <x v="19"/>
          </reference>
        </references>
      </pivotArea>
    </format>
    <format dxfId="96">
      <pivotArea collapsedLevelsAreSubtotals="1" fieldPosition="0">
        <references count="2">
          <reference field="1" count="1" selected="0">
            <x v="3"/>
          </reference>
          <reference field="5" count="1">
            <x v="19"/>
          </reference>
        </references>
      </pivotArea>
    </format>
    <format dxfId="95">
      <pivotArea collapsedLevelsAreSubtotals="1" fieldPosition="0">
        <references count="2">
          <reference field="1" count="1" selected="0">
            <x v="3"/>
          </reference>
          <reference field="5" count="1">
            <x v="19"/>
          </reference>
        </references>
      </pivotArea>
    </format>
    <format dxfId="94">
      <pivotArea field="1" grandRow="1" outline="0" collapsedLevelsAreSubtotals="1" axis="axisCol" fieldPosition="0">
        <references count="1">
          <reference field="1" count="1" selected="0">
            <x v="3"/>
          </reference>
        </references>
      </pivotArea>
    </format>
    <format dxfId="93">
      <pivotArea field="1" grandRow="1" outline="0" collapsedLevelsAreSubtotals="1" axis="axisCol" fieldPosition="0">
        <references count="1">
          <reference field="1" count="1" selected="0">
            <x v="3"/>
          </reference>
        </references>
      </pivotArea>
    </format>
    <format dxfId="92">
      <pivotArea field="1" grandRow="1" outline="0" collapsedLevelsAreSubtotals="1" axis="axisCol" fieldPosition="0">
        <references count="1">
          <reference field="1" count="1" selected="0">
            <x v="3"/>
          </reference>
        </references>
      </pivotArea>
    </format>
    <format dxfId="91">
      <pivotArea field="1" grandRow="1" outline="0" collapsedLevelsAreSubtotals="1" axis="axisCol" fieldPosition="0">
        <references count="1">
          <reference field="1" count="1" selected="0">
            <x v="3"/>
          </reference>
        </references>
      </pivotArea>
    </format>
    <format dxfId="90">
      <pivotArea field="1" grandRow="1" outline="0" collapsedLevelsAreSubtotals="1" axis="axisCol" fieldPosition="0">
        <references count="1">
          <reference field="1" count="1" selected="0">
            <x v="3"/>
          </reference>
        </references>
      </pivotArea>
    </format>
    <format dxfId="89">
      <pivotArea field="1" grandRow="1" outline="0" collapsedLevelsAreSubtotals="1" axis="axisCol" fieldPosition="0">
        <references count="1">
          <reference field="1" count="1" selected="0">
            <x v="3"/>
          </reference>
        </references>
      </pivotArea>
    </format>
    <format dxfId="88">
      <pivotArea field="1" grandRow="1" outline="0" collapsedLevelsAreSubtotals="1" axis="axisCol" fieldPosition="0">
        <references count="1">
          <reference field="1" count="3" selected="0">
            <x v="0"/>
            <x v="1"/>
            <x v="2"/>
          </reference>
        </references>
      </pivotArea>
    </format>
    <format dxfId="87">
      <pivotArea field="1" grandRow="1" outline="0" collapsedLevelsAreSubtotals="1" axis="axisCol" fieldPosition="0">
        <references count="1">
          <reference field="1" count="3" selected="0">
            <x v="0"/>
            <x v="1"/>
            <x v="2"/>
          </reference>
        </references>
      </pivotArea>
    </format>
    <format dxfId="86">
      <pivotArea field="1" grandRow="1" outline="0" collapsedLevelsAreSubtotals="1" axis="axisCol" fieldPosition="0">
        <references count="1">
          <reference field="1" count="3" selected="0">
            <x v="0"/>
            <x v="1"/>
            <x v="2"/>
          </reference>
        </references>
      </pivotArea>
    </format>
    <format dxfId="85">
      <pivotArea field="1" grandRow="1" outline="0" collapsedLevelsAreSubtotals="1" axis="axisCol" fieldPosition="0">
        <references count="1">
          <reference field="1" count="3" selected="0">
            <x v="0"/>
            <x v="1"/>
            <x v="2"/>
          </reference>
        </references>
      </pivotArea>
    </format>
    <format dxfId="84">
      <pivotArea field="1" grandRow="1" outline="0" collapsedLevelsAreSubtotals="1" axis="axisCol" fieldPosition="0">
        <references count="1">
          <reference field="1" count="3" selected="0">
            <x v="0"/>
            <x v="1"/>
            <x v="2"/>
          </reference>
        </references>
      </pivotArea>
    </format>
    <format dxfId="83">
      <pivotArea field="1" grandRow="1" outline="0" collapsedLevelsAreSubtotals="1" axis="axisCol" fieldPosition="0">
        <references count="1">
          <reference field="1" count="3" selected="0">
            <x v="0"/>
            <x v="1"/>
            <x v="2"/>
          </reference>
        </references>
      </pivotArea>
    </format>
  </format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name="PivotTable2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H5" firstHeaderRow="1" firstDataRow="2" firstDataCol="1"/>
  <pivotFields count="41">
    <pivotField showAll="0"/>
    <pivotField axis="axisCol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 defaultSubtotal="0"/>
    <pivotField showAll="0" defaultSubtotal="0"/>
    <pivotField showAll="0" defaultSubtotal="0"/>
    <pivotField showAll="0" defaultSubtotal="0"/>
    <pivotField showAll="0"/>
  </pivotFields>
  <rowItems count="1">
    <i/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Average of AVE Departure" fld="19" subtotal="average" baseField="1" baseItem="0"/>
  </dataFields>
  <formats count="6">
    <format dxfId="75">
      <pivotArea outline="0" collapsedLevelsAreSubtotals="1" fieldPosition="0"/>
    </format>
    <format dxfId="74">
      <pivotArea outline="0" collapsedLevelsAreSubtotals="1" fieldPosition="0"/>
    </format>
    <format dxfId="73">
      <pivotArea outline="0" collapsedLevelsAreSubtotals="1" fieldPosition="0"/>
    </format>
    <format dxfId="72">
      <pivotArea outline="0" collapsedLevelsAreSubtotals="1" fieldPosition="0"/>
    </format>
    <format dxfId="71">
      <pivotArea outline="0" collapsedLevelsAreSubtotals="1" fieldPosition="0"/>
    </format>
    <format dxfId="7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name="PivotTable4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H5" firstHeaderRow="1" firstDataRow="2" firstDataCol="1"/>
  <pivotFields count="41">
    <pivotField showAll="0"/>
    <pivotField axis="axisCol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 defaultSubtotal="0"/>
    <pivotField showAll="0" defaultSubtotal="0"/>
    <pivotField showAll="0" defaultSubtotal="0"/>
    <pivotField showAll="0" defaultSubtotal="0"/>
    <pivotField showAll="0"/>
  </pivotFields>
  <rowItems count="1">
    <i/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Average of AVE Arrival Time" fld="27" subtotal="average" baseField="1" baseItem="0" numFmtId="2"/>
  </dataFields>
  <formats count="6">
    <format dxfId="69">
      <pivotArea outline="0" collapsedLevelsAreSubtotals="1" fieldPosition="0"/>
    </format>
    <format dxfId="68">
      <pivotArea outline="0" collapsedLevelsAreSubtotals="1" fieldPosition="0"/>
    </format>
    <format dxfId="67">
      <pivotArea outline="0" collapsedLevelsAreSubtotals="1" fieldPosition="0"/>
    </format>
    <format dxfId="66">
      <pivotArea outline="0" collapsedLevelsAreSubtotals="1" fieldPosition="0"/>
    </format>
    <format dxfId="65">
      <pivotArea outline="0" collapsedLevelsAreSubtotals="1" fieldPosition="0"/>
    </format>
    <format dxfId="6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name="PivotTable4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W3:X10" firstHeaderRow="1" firstDataRow="1" firstDataCol="1"/>
  <pivotFields count="41"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 defaultSubtotal="0"/>
    <pivotField showAll="0" defaultSubtotal="0"/>
    <pivotField showAll="0" defaultSubtotal="0"/>
    <pivotField showAll="0" defaultSubtota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AVE Arrival Time" fld="27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name="PivotTable3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E3:T11" firstHeaderRow="1" firstDataRow="2" firstDataCol="1"/>
  <pivotFields count="41"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15">
        <item x="4"/>
        <item x="1"/>
        <item x="6"/>
        <item x="13"/>
        <item x="2"/>
        <item x="3"/>
        <item x="11"/>
        <item x="9"/>
        <item x="5"/>
        <item x="7"/>
        <item x="10"/>
        <item x="8"/>
        <item x="1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 defaultSubtotal="0"/>
    <pivotField showAll="0" defaultSubtotal="0"/>
    <pivotField showAll="0" defaultSubtotal="0"/>
    <pivotField showAll="0" defaultSubtota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20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colItems>
  <dataFields count="1">
    <dataField name="Count of Comment  AVE Departure" fld="2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name="PivotTable1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0" firstHeaderRow="1" firstDataRow="1" firstDataCol="1"/>
  <pivotFields count="41"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 defaultSubtotal="0"/>
    <pivotField showAll="0" defaultSubtotal="0"/>
    <pivotField showAll="0" defaultSubtotal="0"/>
    <pivotField showAll="0" defaultSubtota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AVE Departure" fld="19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name="PivotTable5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Z3:AQ10" firstHeaderRow="1" firstDataRow="2" firstDataCol="1"/>
  <pivotFields count="41">
    <pivotField showAll="0"/>
    <pivotField axis="axisRow" showAll="0">
      <items count="7">
        <item x="0"/>
        <item x="1"/>
        <item x="2"/>
        <item x="3"/>
        <item x="4"/>
        <item h="1"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18">
        <item x="13"/>
        <item x="16"/>
        <item x="10"/>
        <item x="4"/>
        <item x="15"/>
        <item x="7"/>
        <item x="14"/>
        <item x="6"/>
        <item x="11"/>
        <item x="1"/>
        <item x="8"/>
        <item x="2"/>
        <item x="12"/>
        <item x="9"/>
        <item x="5"/>
        <item x="3"/>
        <item h="1" x="0"/>
        <item t="default"/>
      </items>
    </pivotField>
    <pivotField showAll="0"/>
    <pivotField showAll="0"/>
    <pivotField showAll="0"/>
    <pivotField showAll="0"/>
    <pivotField showAll="0"/>
    <pivotField showAll="0" defaultSubtotal="0"/>
    <pivotField showAll="0"/>
    <pivotField showAll="0" defaultSubtotal="0"/>
    <pivotField showAll="0" defaultSubtotal="0"/>
    <pivotField showAll="0" defaultSubtotal="0"/>
    <pivotField showAll="0" defaultSubtota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8"/>
  </colFields>
  <col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colItems>
  <dataFields count="1">
    <dataField name="Count of Comment  AVE Arrival Time" fld="2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2" name="Table2" displayName="Table2" ref="A1:E28" totalsRowShown="0" headerRowDxfId="152">
  <autoFilter ref="A1:E28"/>
  <tableColumns count="5">
    <tableColumn id="1" name="CUSTOMER NAME"/>
    <tableColumn id="2" name="KM 1 WAY"/>
    <tableColumn id="3" name="KM 2 WAY">
      <calculatedColumnFormula>B2*2</calculatedColumnFormula>
    </tableColumn>
    <tableColumn id="4" name="DAYS IN TRADE"/>
    <tableColumn id="5" name="POC TIM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A1:BN35" totalsRowShown="0" headerRowDxfId="59" dataDxfId="58" tableBorderDxfId="57">
  <autoFilter ref="A1:BN35"/>
  <tableColumns count="66">
    <tableColumn id="1" name="Customer Name" dataDxfId="56"/>
    <tableColumn id="2" name="Customer #" dataDxfId="55"/>
    <tableColumn id="3" name="Customer Name2"/>
    <tableColumn id="4" name="Customer Type" dataDxfId="54"/>
    <tableColumn id="5" name="Customer Contact Name"/>
    <tableColumn id="6" name="Contact Role" dataDxfId="53"/>
    <tableColumn id="7" name="Contact Number 1"/>
    <tableColumn id="8" name="Contact no 2"/>
    <tableColumn id="9" name="Contact no 3"/>
    <tableColumn id="10" name="E-mail Adress"/>
    <tableColumn id="11" name="Street" dataDxfId="52"/>
    <tableColumn id="12" name="Geography" dataDxfId="51"/>
    <tableColumn id="13" name="Latitude"/>
    <tableColumn id="14" name="Latitude3"/>
    <tableColumn id="15" name="Call Type" dataDxfId="50"/>
    <tableColumn id="16" name="Call Frequency 1" dataDxfId="49"/>
    <tableColumn id="17" name="# DD" dataDxfId="48"/>
    <tableColumn id="18" name="Mon" dataDxfId="47"/>
    <tableColumn id="19" name="Tue" dataDxfId="46"/>
    <tableColumn id="20" name="Wed" dataDxfId="45"/>
    <tableColumn id="21" name="Thu" dataDxfId="44"/>
    <tableColumn id="22" name="Fri" dataDxfId="43"/>
    <tableColumn id="23" name="Sat" dataDxfId="42"/>
    <tableColumn id="24" name="Sun" dataDxfId="41"/>
    <tableColumn id="25" name="Max Truck Capacity" dataDxfId="40"/>
    <tableColumn id="26" name="Time Window" dataDxfId="39"/>
    <tableColumn id="27" name="CIC Agent" dataDxfId="38"/>
    <tableColumn id="28" name="Sales Rep / Distributor Specialist" dataDxfId="37"/>
    <tableColumn id="29" name="Delivery Points" dataDxfId="36"/>
    <tableColumn id="30" name="Max Stock Capacity at outlet cases" dataDxfId="35"/>
    <tableColumn id="31" name="12 month sales volume HL" dataDxfId="34"/>
    <tableColumn id="32" name="12 months # of deliveries" dataDxfId="33"/>
    <tableColumn id="33" name="12 Month # of FBR's" dataDxfId="32"/>
    <tableColumn id="34" name="Credit Limit"/>
    <tableColumn id="35" name="Mon4" dataDxfId="31"/>
    <tableColumn id="36" name="Tue5" dataDxfId="30"/>
    <tableColumn id="37" name="Wed6" dataDxfId="29"/>
    <tableColumn id="38" name="Thu7" dataDxfId="28"/>
    <tableColumn id="39" name="Fri8" dataDxfId="27"/>
    <tableColumn id="40" name="Sat9" dataDxfId="26"/>
    <tableColumn id="41" name="Sun10" dataDxfId="25"/>
    <tableColumn id="42" name="DEL DAYS COMBINED" dataDxfId="24"/>
    <tableColumn id="43" name="Budgeted KMs" dataDxfId="23"/>
    <tableColumn id="44" name="Budget Cases" dataDxfId="22"/>
    <tableColumn id="45" name="Lane allocation" dataDxfId="21"/>
    <tableColumn id="46" name="Rate" dataDxfId="20"/>
    <tableColumn id="47" name="Budget cost" dataDxfId="19"/>
    <tableColumn id="48" name="Budget Net Revenue" dataDxfId="18"/>
    <tableColumn id="49" name="Capacity Occupation" dataDxfId="17"/>
    <tableColumn id="50" name="Budget: Cases /km" dataDxfId="16"/>
    <tableColumn id="51" name="Cost/case UGX" dataDxfId="15"/>
    <tableColumn id="52" name="Net Revenue% Contribution" dataDxfId="14"/>
    <tableColumn id="53" name="Cost/case Rank" dataDxfId="13"/>
    <tableColumn id="54" name="Volume Contribution" dataDxfId="12"/>
    <tableColumn id="55" name="Location type" dataDxfId="11"/>
    <tableColumn id="56" name="Main catergory" dataDxfId="10"/>
    <tableColumn id="57" name="Distribution Segmentation" dataDxfId="9"/>
    <tableColumn id="58" name="Clustering" dataDxfId="8"/>
    <tableColumn id="59" name="Volume %" dataDxfId="7"/>
    <tableColumn id="60" name="NetReve Growth" dataDxfId="6"/>
    <tableColumn id="61" name="Cost to deliver" dataDxfId="5"/>
    <tableColumn id="62" name="CO HL" dataDxfId="4"/>
    <tableColumn id="63" name="OTIF" dataDxfId="3"/>
    <tableColumn id="64" name="NPS" dataDxfId="2"/>
    <tableColumn id="65" name="RMD" dataDxfId="1"/>
    <tableColumn id="66" name="Point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7" Type="http://schemas.openxmlformats.org/officeDocument/2006/relationships/drawing" Target="../drawings/drawing2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6" Type="http://schemas.openxmlformats.org/officeDocument/2006/relationships/pivotTable" Target="../pivotTables/pivotTable8.xml"/><Relationship Id="rId5" Type="http://schemas.openxmlformats.org/officeDocument/2006/relationships/pivotTable" Target="../pivotTables/pivotTable7.xml"/><Relationship Id="rId4" Type="http://schemas.openxmlformats.org/officeDocument/2006/relationships/pivotTable" Target="../pivotTables/pivotTable6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3.xml"/><Relationship Id="rId2" Type="http://schemas.openxmlformats.org/officeDocument/2006/relationships/pivotTable" Target="../pivotTables/pivotTable12.xml"/><Relationship Id="rId1" Type="http://schemas.openxmlformats.org/officeDocument/2006/relationships/pivotTable" Target="../pivotTables/pivotTable11.xml"/><Relationship Id="rId4" Type="http://schemas.openxmlformats.org/officeDocument/2006/relationships/pivotTable" Target="../pivotTables/pivotTable1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mailto:Katoinvestmentslimited@yahoo.com" TargetMode="External"/><Relationship Id="rId13" Type="http://schemas.openxmlformats.org/officeDocument/2006/relationships/hyperlink" Target="mailto:Katoinvestmentslimited@yahoo.com" TargetMode="External"/><Relationship Id="rId18" Type="http://schemas.openxmlformats.org/officeDocument/2006/relationships/hyperlink" Target="mailto:Katoinvestmentslimited@yahoo.com" TargetMode="External"/><Relationship Id="rId26" Type="http://schemas.openxmlformats.org/officeDocument/2006/relationships/hyperlink" Target="mailto:godwinetinkah@gmail.com" TargetMode="External"/><Relationship Id="rId3" Type="http://schemas.openxmlformats.org/officeDocument/2006/relationships/hyperlink" Target="mailto:batesenterprises@gmail.com" TargetMode="External"/><Relationship Id="rId21" Type="http://schemas.openxmlformats.org/officeDocument/2006/relationships/hyperlink" Target="mailto:Kobusingyeandsonsdistributors@gmail.com" TargetMode="External"/><Relationship Id="rId7" Type="http://schemas.openxmlformats.org/officeDocument/2006/relationships/hyperlink" Target="mailto:kalvomark@yahoo.com" TargetMode="External"/><Relationship Id="rId12" Type="http://schemas.openxmlformats.org/officeDocument/2006/relationships/hyperlink" Target="mailto:Katoinvestmentslimited@yahoo.com" TargetMode="External"/><Relationship Id="rId17" Type="http://schemas.openxmlformats.org/officeDocument/2006/relationships/hyperlink" Target="mailto:Katoinvestmentslimited@yahoo.com" TargetMode="External"/><Relationship Id="rId25" Type="http://schemas.openxmlformats.org/officeDocument/2006/relationships/hyperlink" Target="mailto:rugoma10@yahoo.com" TargetMode="External"/><Relationship Id="rId2" Type="http://schemas.openxmlformats.org/officeDocument/2006/relationships/hyperlink" Target="mailto:batesenterprises@gmail.com" TargetMode="External"/><Relationship Id="rId16" Type="http://schemas.openxmlformats.org/officeDocument/2006/relationships/hyperlink" Target="mailto:Katoinvestmentslimited@yahoo.com" TargetMode="External"/><Relationship Id="rId20" Type="http://schemas.openxmlformats.org/officeDocument/2006/relationships/hyperlink" Target="mailto:Kobusingyeandsonsdistributors@gmail.com" TargetMode="External"/><Relationship Id="rId1" Type="http://schemas.openxmlformats.org/officeDocument/2006/relationships/hyperlink" Target="mailto:kalvomark@yahoo.com" TargetMode="External"/><Relationship Id="rId6" Type="http://schemas.openxmlformats.org/officeDocument/2006/relationships/hyperlink" Target="mailto:kabacougltd@yahoo.com" TargetMode="External"/><Relationship Id="rId11" Type="http://schemas.openxmlformats.org/officeDocument/2006/relationships/hyperlink" Target="mailto:Katoinvestmentslimited@yahoo.com" TargetMode="External"/><Relationship Id="rId24" Type="http://schemas.openxmlformats.org/officeDocument/2006/relationships/hyperlink" Target="mailto:rugoma10@yahoo.com" TargetMode="External"/><Relationship Id="rId5" Type="http://schemas.openxmlformats.org/officeDocument/2006/relationships/hyperlink" Target="mailto:hareraboniface@yahoo.com" TargetMode="External"/><Relationship Id="rId15" Type="http://schemas.openxmlformats.org/officeDocument/2006/relationships/hyperlink" Target="mailto:Katoinvestmentslimited@yahoo.com" TargetMode="External"/><Relationship Id="rId23" Type="http://schemas.openxmlformats.org/officeDocument/2006/relationships/hyperlink" Target="mailto:rugoma10@yahoo.com" TargetMode="External"/><Relationship Id="rId28" Type="http://schemas.openxmlformats.org/officeDocument/2006/relationships/table" Target="../tables/table2.xml"/><Relationship Id="rId10" Type="http://schemas.openxmlformats.org/officeDocument/2006/relationships/hyperlink" Target="mailto:Katoinvestmentslimited@yahoo.com" TargetMode="External"/><Relationship Id="rId19" Type="http://schemas.openxmlformats.org/officeDocument/2006/relationships/hyperlink" Target="mailto:Katoinvestmentslimited@yahoo.com" TargetMode="External"/><Relationship Id="rId4" Type="http://schemas.openxmlformats.org/officeDocument/2006/relationships/hyperlink" Target="mailto:deplaceinvestmentltd@yahoo.com" TargetMode="External"/><Relationship Id="rId9" Type="http://schemas.openxmlformats.org/officeDocument/2006/relationships/hyperlink" Target="mailto:Katoinvestmentslimited@yahoo.com" TargetMode="External"/><Relationship Id="rId14" Type="http://schemas.openxmlformats.org/officeDocument/2006/relationships/hyperlink" Target="mailto:Katoinvestmentslimited@yahoo.com" TargetMode="External"/><Relationship Id="rId22" Type="http://schemas.openxmlformats.org/officeDocument/2006/relationships/hyperlink" Target="mailto:Kobusingyeandsonsdistributors@gmail.com" TargetMode="External"/><Relationship Id="rId27" Type="http://schemas.openxmlformats.org/officeDocument/2006/relationships/hyperlink" Target="mailto:sanjaymkeshwala@keshwalagrou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J35"/>
  <sheetViews>
    <sheetView workbookViewId="0">
      <selection activeCell="F13" sqref="F13"/>
    </sheetView>
  </sheetViews>
  <sheetFormatPr defaultRowHeight="15" x14ac:dyDescent="0.25"/>
  <cols>
    <col min="1" max="1" width="13.140625" bestFit="1" customWidth="1"/>
    <col min="2" max="2" width="24.42578125" bestFit="1" customWidth="1"/>
    <col min="5" max="5" width="27.140625" customWidth="1"/>
    <col min="6" max="6" width="24.42578125" bestFit="1" customWidth="1"/>
    <col min="7" max="7" width="10.140625" bestFit="1" customWidth="1"/>
    <col min="8" max="8" width="10.140625" customWidth="1"/>
    <col min="9" max="9" width="28.85546875" customWidth="1"/>
    <col min="10" max="10" width="9.5703125" bestFit="1" customWidth="1"/>
    <col min="11" max="11" width="10.85546875" bestFit="1" customWidth="1"/>
  </cols>
  <sheetData>
    <row r="3" spans="1:10" x14ac:dyDescent="0.25">
      <c r="A3" s="91" t="s">
        <v>1060</v>
      </c>
      <c r="B3" t="s">
        <v>1065</v>
      </c>
      <c r="E3" s="91" t="s">
        <v>1060</v>
      </c>
      <c r="F3" t="s">
        <v>1065</v>
      </c>
      <c r="H3" s="90" t="s">
        <v>1060</v>
      </c>
      <c r="I3" s="90" t="s">
        <v>1065</v>
      </c>
      <c r="J3" t="s">
        <v>1064</v>
      </c>
    </row>
    <row r="4" spans="1:10" x14ac:dyDescent="0.25">
      <c r="A4" s="89" t="s">
        <v>1056</v>
      </c>
      <c r="B4">
        <v>44.994911858974334</v>
      </c>
      <c r="E4" s="89" t="s">
        <v>1056</v>
      </c>
      <c r="F4">
        <v>44.994911858974334</v>
      </c>
      <c r="H4" s="89" t="s">
        <v>1059</v>
      </c>
      <c r="I4" s="88">
        <v>46.609850746268648</v>
      </c>
      <c r="J4">
        <v>45</v>
      </c>
    </row>
    <row r="5" spans="1:10" x14ac:dyDescent="0.25">
      <c r="A5" s="89" t="s">
        <v>1063</v>
      </c>
      <c r="B5">
        <v>44.480208333333337</v>
      </c>
      <c r="E5" s="89" t="s">
        <v>1063</v>
      </c>
      <c r="F5">
        <v>44.480208333333337</v>
      </c>
      <c r="H5" s="89" t="s">
        <v>1058</v>
      </c>
      <c r="I5" s="88">
        <v>48.50232558139534</v>
      </c>
      <c r="J5">
        <v>45</v>
      </c>
    </row>
    <row r="6" spans="1:10" x14ac:dyDescent="0.25">
      <c r="A6" s="89" t="s">
        <v>1059</v>
      </c>
      <c r="B6">
        <v>46.609850746268648</v>
      </c>
      <c r="E6" s="89" t="s">
        <v>1059</v>
      </c>
      <c r="F6">
        <v>46.609850746268648</v>
      </c>
      <c r="H6" s="89" t="s">
        <v>1057</v>
      </c>
      <c r="I6" s="88">
        <v>47.503878406708658</v>
      </c>
      <c r="J6">
        <v>45</v>
      </c>
    </row>
    <row r="7" spans="1:10" x14ac:dyDescent="0.25">
      <c r="A7" s="89" t="s">
        <v>1058</v>
      </c>
      <c r="B7">
        <v>48.50232558139534</v>
      </c>
      <c r="E7" s="89" t="s">
        <v>1058</v>
      </c>
      <c r="F7">
        <v>48.50232558139534</v>
      </c>
      <c r="H7" s="89" t="s">
        <v>1056</v>
      </c>
      <c r="I7" s="88">
        <v>44.994911858974334</v>
      </c>
      <c r="J7">
        <v>45</v>
      </c>
    </row>
    <row r="8" spans="1:10" x14ac:dyDescent="0.25">
      <c r="A8" s="89" t="s">
        <v>1057</v>
      </c>
      <c r="B8">
        <v>47.503878406708658</v>
      </c>
      <c r="E8" s="89" t="s">
        <v>1057</v>
      </c>
      <c r="F8">
        <v>47.503878406708658</v>
      </c>
      <c r="H8" s="89" t="s">
        <v>1062</v>
      </c>
      <c r="I8" s="88">
        <f>AVERAGE(I4:I7)</f>
        <v>46.902741648336743</v>
      </c>
      <c r="J8">
        <v>45</v>
      </c>
    </row>
    <row r="9" spans="1:10" x14ac:dyDescent="0.25">
      <c r="A9" s="89" t="s">
        <v>1061</v>
      </c>
      <c r="E9" s="89" t="s">
        <v>1061</v>
      </c>
    </row>
    <row r="10" spans="1:10" x14ac:dyDescent="0.25">
      <c r="A10" s="89" t="s">
        <v>1055</v>
      </c>
      <c r="B10">
        <v>46.929042214257123</v>
      </c>
      <c r="E10" s="89" t="s">
        <v>1055</v>
      </c>
      <c r="F10">
        <v>46.929042214257123</v>
      </c>
    </row>
    <row r="22" spans="5:9" x14ac:dyDescent="0.25">
      <c r="E22" t="s">
        <v>1060</v>
      </c>
      <c r="F22" t="s">
        <v>1059</v>
      </c>
      <c r="G22" t="s">
        <v>1058</v>
      </c>
      <c r="H22" t="s">
        <v>1057</v>
      </c>
      <c r="I22" t="s">
        <v>1056</v>
      </c>
    </row>
    <row r="23" spans="5:9" x14ac:dyDescent="0.25">
      <c r="E23" s="89" t="s">
        <v>538</v>
      </c>
      <c r="F23" s="88">
        <v>58.733333333333334</v>
      </c>
      <c r="G23" s="88">
        <v>59.225000000000009</v>
      </c>
      <c r="H23" s="88">
        <v>59.388888888888893</v>
      </c>
      <c r="I23" s="88">
        <v>46.016666666666666</v>
      </c>
    </row>
    <row r="24" spans="5:9" x14ac:dyDescent="0.25">
      <c r="E24" s="89" t="s">
        <v>541</v>
      </c>
      <c r="F24" s="88">
        <v>54.336111111111109</v>
      </c>
      <c r="G24" s="88">
        <v>57.763333333333335</v>
      </c>
      <c r="H24" s="88">
        <v>55.526190476190472</v>
      </c>
      <c r="I24" s="88">
        <v>50.769047619047619</v>
      </c>
    </row>
    <row r="25" spans="5:9" x14ac:dyDescent="0.25">
      <c r="E25" s="89" t="s">
        <v>1053</v>
      </c>
      <c r="F25" s="88">
        <v>47.10588235294118</v>
      </c>
      <c r="G25" s="88">
        <v>47.673188405797113</v>
      </c>
      <c r="H25" s="88">
        <v>47.701515151515167</v>
      </c>
      <c r="I25" s="88">
        <v>51.809722222222213</v>
      </c>
    </row>
    <row r="26" spans="5:9" x14ac:dyDescent="0.25">
      <c r="E26" s="89" t="s">
        <v>562</v>
      </c>
      <c r="F26" s="88">
        <v>57.527450980392175</v>
      </c>
      <c r="G26" s="88">
        <v>51.88333333333334</v>
      </c>
      <c r="H26" s="88">
        <v>52.757407407407406</v>
      </c>
      <c r="I26" s="88">
        <v>54.12619047619048</v>
      </c>
    </row>
    <row r="27" spans="5:9" x14ac:dyDescent="0.25">
      <c r="E27" s="89" t="s">
        <v>571</v>
      </c>
      <c r="F27" s="88">
        <v>56.645238095238092</v>
      </c>
      <c r="G27" s="88">
        <v>56.050000000000004</v>
      </c>
      <c r="H27" s="88">
        <v>55.528571428571432</v>
      </c>
      <c r="I27" s="88">
        <v>51.522916666666667</v>
      </c>
    </row>
    <row r="28" spans="5:9" x14ac:dyDescent="0.25">
      <c r="E28" s="89" t="s">
        <v>559</v>
      </c>
      <c r="F28" s="88">
        <v>60.044444444444444</v>
      </c>
      <c r="G28" s="88">
        <v>54.714814814814815</v>
      </c>
      <c r="H28" s="88">
        <v>58.24666666666667</v>
      </c>
      <c r="I28" s="88">
        <v>50.174999999999997</v>
      </c>
    </row>
    <row r="29" spans="5:9" x14ac:dyDescent="0.25">
      <c r="E29" s="89" t="s">
        <v>550</v>
      </c>
      <c r="F29" s="88">
        <v>63.516666666666673</v>
      </c>
      <c r="G29" s="88">
        <v>70.853086419753083</v>
      </c>
      <c r="H29" s="88">
        <v>59.5058823529412</v>
      </c>
      <c r="I29" s="88">
        <v>58.347619047619055</v>
      </c>
    </row>
    <row r="30" spans="5:9" x14ac:dyDescent="0.25">
      <c r="E30" s="89" t="s">
        <v>544</v>
      </c>
      <c r="F30" s="88"/>
      <c r="G30" s="88">
        <v>60.044444444444444</v>
      </c>
      <c r="H30" s="88">
        <v>59.224999999999994</v>
      </c>
      <c r="I30" s="88"/>
    </row>
    <row r="31" spans="5:9" x14ac:dyDescent="0.25">
      <c r="E31" s="89" t="s">
        <v>553</v>
      </c>
      <c r="F31" s="88">
        <v>58.25</v>
      </c>
      <c r="G31" s="88">
        <v>59.803030303030305</v>
      </c>
      <c r="H31" s="88">
        <v>57.9</v>
      </c>
      <c r="I31" s="88">
        <v>54.426666666666662</v>
      </c>
    </row>
    <row r="32" spans="5:9" x14ac:dyDescent="0.25">
      <c r="E32" s="89" t="s">
        <v>1054</v>
      </c>
      <c r="F32" s="88"/>
      <c r="G32" s="88">
        <v>59.154761904761912</v>
      </c>
      <c r="H32" s="88">
        <v>59.448484848484853</v>
      </c>
      <c r="I32" s="88"/>
    </row>
    <row r="33" spans="5:9" x14ac:dyDescent="0.25">
      <c r="E33" s="89" t="s">
        <v>547</v>
      </c>
      <c r="F33" s="88">
        <v>54.046666666666667</v>
      </c>
      <c r="G33" s="88">
        <v>55.805555555555557</v>
      </c>
      <c r="H33" s="88">
        <v>55.80952380952381</v>
      </c>
      <c r="I33" s="88">
        <v>51.885714285714286</v>
      </c>
    </row>
    <row r="34" spans="5:9" x14ac:dyDescent="0.25">
      <c r="E34" s="89" t="s">
        <v>556</v>
      </c>
      <c r="F34" s="88">
        <v>59.225000000000001</v>
      </c>
      <c r="G34" s="88">
        <v>59.323333333333345</v>
      </c>
      <c r="H34" s="88">
        <v>59.022549019607858</v>
      </c>
      <c r="I34" s="88">
        <v>55.800000000000004</v>
      </c>
    </row>
    <row r="35" spans="5:9" x14ac:dyDescent="0.25">
      <c r="E35" t="s">
        <v>1055</v>
      </c>
      <c r="F35" s="88">
        <f>AVERAGE(F23:F34)</f>
        <v>56.943079365079356</v>
      </c>
      <c r="G35" s="88">
        <f>AVERAGE(G23:G34)</f>
        <v>57.691156820679772</v>
      </c>
      <c r="H35" s="88">
        <f>AVERAGE(H23:H34)</f>
        <v>56.671723337483151</v>
      </c>
      <c r="I35" s="88">
        <f>AVERAGE(I23:I34)</f>
        <v>52.487954365079361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>
      <selection activeCell="A37" sqref="A37"/>
    </sheetView>
  </sheetViews>
  <sheetFormatPr defaultRowHeight="15" x14ac:dyDescent="0.25"/>
  <cols>
    <col min="1" max="1" width="53.85546875" bestFit="1" customWidth="1"/>
    <col min="2" max="2" width="12.42578125" customWidth="1"/>
    <col min="3" max="3" width="14.42578125" customWidth="1"/>
    <col min="4" max="4" width="16.42578125" customWidth="1"/>
    <col min="5" max="5" width="12.140625" customWidth="1"/>
  </cols>
  <sheetData>
    <row r="1" spans="1:5" x14ac:dyDescent="0.25">
      <c r="A1" s="118" t="s">
        <v>2174</v>
      </c>
      <c r="B1" s="118" t="s">
        <v>2175</v>
      </c>
      <c r="C1" s="118" t="s">
        <v>2176</v>
      </c>
      <c r="D1" s="118" t="s">
        <v>2192</v>
      </c>
      <c r="E1" s="118" t="s">
        <v>2193</v>
      </c>
    </row>
    <row r="2" spans="1:5" x14ac:dyDescent="0.25">
      <c r="A2" t="s">
        <v>1989</v>
      </c>
      <c r="B2">
        <v>10</v>
      </c>
      <c r="C2">
        <f>B2*2</f>
        <v>20</v>
      </c>
      <c r="D2">
        <v>1</v>
      </c>
      <c r="E2">
        <v>3</v>
      </c>
    </row>
    <row r="3" spans="1:5" x14ac:dyDescent="0.25">
      <c r="A3" t="s">
        <v>1959</v>
      </c>
      <c r="B3">
        <v>152</v>
      </c>
      <c r="C3">
        <f t="shared" ref="C3:C28" si="0">B3*2</f>
        <v>304</v>
      </c>
      <c r="D3">
        <v>2</v>
      </c>
      <c r="E3">
        <v>3</v>
      </c>
    </row>
    <row r="4" spans="1:5" x14ac:dyDescent="0.25">
      <c r="A4" t="s">
        <v>1957</v>
      </c>
      <c r="B4">
        <v>144</v>
      </c>
      <c r="C4">
        <f t="shared" si="0"/>
        <v>288</v>
      </c>
      <c r="D4">
        <v>2</v>
      </c>
      <c r="E4">
        <v>3</v>
      </c>
    </row>
    <row r="5" spans="1:5" x14ac:dyDescent="0.25">
      <c r="A5" t="s">
        <v>1956</v>
      </c>
      <c r="B5">
        <v>298</v>
      </c>
      <c r="C5">
        <f t="shared" si="0"/>
        <v>596</v>
      </c>
      <c r="D5">
        <v>2</v>
      </c>
      <c r="E5">
        <v>3</v>
      </c>
    </row>
    <row r="6" spans="1:5" x14ac:dyDescent="0.25">
      <c r="A6" t="s">
        <v>2022</v>
      </c>
      <c r="B6">
        <v>75</v>
      </c>
      <c r="C6">
        <f t="shared" si="0"/>
        <v>150</v>
      </c>
      <c r="D6">
        <v>1</v>
      </c>
      <c r="E6">
        <v>3</v>
      </c>
    </row>
    <row r="7" spans="1:5" x14ac:dyDescent="0.25">
      <c r="A7" t="s">
        <v>1991</v>
      </c>
      <c r="B7">
        <v>136</v>
      </c>
      <c r="C7">
        <f t="shared" si="0"/>
        <v>272</v>
      </c>
      <c r="D7">
        <v>2</v>
      </c>
      <c r="E7">
        <v>3</v>
      </c>
    </row>
    <row r="8" spans="1:5" x14ac:dyDescent="0.25">
      <c r="A8" t="s">
        <v>2177</v>
      </c>
      <c r="B8">
        <v>224</v>
      </c>
      <c r="C8">
        <f t="shared" si="0"/>
        <v>448</v>
      </c>
      <c r="D8">
        <v>2</v>
      </c>
      <c r="E8">
        <v>3</v>
      </c>
    </row>
    <row r="9" spans="1:5" x14ac:dyDescent="0.25">
      <c r="A9" t="s">
        <v>2178</v>
      </c>
      <c r="B9">
        <v>255</v>
      </c>
      <c r="C9">
        <f t="shared" si="0"/>
        <v>510</v>
      </c>
      <c r="D9">
        <v>3</v>
      </c>
      <c r="E9">
        <v>3</v>
      </c>
    </row>
    <row r="10" spans="1:5" x14ac:dyDescent="0.25">
      <c r="A10" t="s">
        <v>2179</v>
      </c>
      <c r="B10">
        <v>280</v>
      </c>
      <c r="C10">
        <f t="shared" si="0"/>
        <v>560</v>
      </c>
      <c r="D10">
        <v>2</v>
      </c>
      <c r="E10">
        <v>3</v>
      </c>
    </row>
    <row r="11" spans="1:5" x14ac:dyDescent="0.25">
      <c r="A11" t="s">
        <v>2180</v>
      </c>
      <c r="B11">
        <v>128</v>
      </c>
      <c r="C11">
        <f t="shared" si="0"/>
        <v>256</v>
      </c>
      <c r="D11">
        <v>2</v>
      </c>
      <c r="E11">
        <v>3</v>
      </c>
    </row>
    <row r="12" spans="1:5" x14ac:dyDescent="0.25">
      <c r="A12" t="s">
        <v>2181</v>
      </c>
      <c r="B12">
        <v>290</v>
      </c>
      <c r="C12">
        <f t="shared" si="0"/>
        <v>580</v>
      </c>
      <c r="D12">
        <v>2</v>
      </c>
      <c r="E12">
        <v>3</v>
      </c>
    </row>
    <row r="13" spans="1:5" x14ac:dyDescent="0.25">
      <c r="A13" t="s">
        <v>2182</v>
      </c>
      <c r="B13">
        <v>395</v>
      </c>
      <c r="C13">
        <f t="shared" si="0"/>
        <v>790</v>
      </c>
      <c r="D13">
        <v>3</v>
      </c>
      <c r="E13">
        <v>3</v>
      </c>
    </row>
    <row r="14" spans="1:5" x14ac:dyDescent="0.25">
      <c r="A14" t="s">
        <v>2183</v>
      </c>
      <c r="B14">
        <v>345</v>
      </c>
      <c r="C14">
        <f t="shared" si="0"/>
        <v>690</v>
      </c>
      <c r="D14">
        <v>3</v>
      </c>
      <c r="E14">
        <v>3</v>
      </c>
    </row>
    <row r="15" spans="1:5" x14ac:dyDescent="0.25">
      <c r="A15" t="s">
        <v>2184</v>
      </c>
      <c r="B15">
        <v>300</v>
      </c>
      <c r="C15">
        <f t="shared" si="0"/>
        <v>600</v>
      </c>
      <c r="D15">
        <v>2</v>
      </c>
      <c r="E15">
        <v>3</v>
      </c>
    </row>
    <row r="16" spans="1:5" x14ac:dyDescent="0.25">
      <c r="A16" t="s">
        <v>2076</v>
      </c>
      <c r="B16">
        <v>395</v>
      </c>
      <c r="C16">
        <f t="shared" si="0"/>
        <v>790</v>
      </c>
      <c r="D16">
        <v>3</v>
      </c>
      <c r="E16">
        <v>3</v>
      </c>
    </row>
    <row r="17" spans="1:5" x14ac:dyDescent="0.25">
      <c r="A17" t="s">
        <v>2185</v>
      </c>
      <c r="B17">
        <v>191</v>
      </c>
      <c r="C17">
        <f t="shared" si="0"/>
        <v>382</v>
      </c>
      <c r="D17">
        <v>2</v>
      </c>
      <c r="E17">
        <v>3</v>
      </c>
    </row>
    <row r="18" spans="1:5" x14ac:dyDescent="0.25">
      <c r="A18" t="s">
        <v>2186</v>
      </c>
      <c r="B18">
        <v>114</v>
      </c>
      <c r="C18">
        <f t="shared" si="0"/>
        <v>228</v>
      </c>
      <c r="D18">
        <v>2</v>
      </c>
      <c r="E18">
        <v>3</v>
      </c>
    </row>
    <row r="19" spans="1:5" x14ac:dyDescent="0.25">
      <c r="A19" t="s">
        <v>1990</v>
      </c>
      <c r="B19">
        <v>405</v>
      </c>
      <c r="C19">
        <f t="shared" si="0"/>
        <v>810</v>
      </c>
      <c r="D19">
        <v>3</v>
      </c>
      <c r="E19">
        <v>3</v>
      </c>
    </row>
    <row r="20" spans="1:5" x14ac:dyDescent="0.25">
      <c r="A20" t="s">
        <v>2187</v>
      </c>
      <c r="B20">
        <v>335</v>
      </c>
      <c r="C20">
        <f t="shared" si="0"/>
        <v>670</v>
      </c>
      <c r="D20">
        <v>2</v>
      </c>
      <c r="E20">
        <v>3</v>
      </c>
    </row>
    <row r="21" spans="1:5" x14ac:dyDescent="0.25">
      <c r="A21" t="s">
        <v>1958</v>
      </c>
      <c r="B21">
        <v>152</v>
      </c>
      <c r="C21">
        <f t="shared" si="0"/>
        <v>304</v>
      </c>
      <c r="D21">
        <v>2</v>
      </c>
      <c r="E21">
        <v>3</v>
      </c>
    </row>
    <row r="22" spans="1:5" x14ac:dyDescent="0.25">
      <c r="A22" t="s">
        <v>2188</v>
      </c>
      <c r="B22">
        <v>257</v>
      </c>
      <c r="C22">
        <f t="shared" si="0"/>
        <v>514</v>
      </c>
      <c r="D22">
        <v>2</v>
      </c>
      <c r="E22">
        <v>3</v>
      </c>
    </row>
    <row r="23" spans="1:5" x14ac:dyDescent="0.25">
      <c r="A23" t="s">
        <v>2189</v>
      </c>
      <c r="B23">
        <v>262</v>
      </c>
      <c r="C23">
        <f t="shared" si="0"/>
        <v>524</v>
      </c>
      <c r="D23">
        <v>3</v>
      </c>
      <c r="E23">
        <v>3</v>
      </c>
    </row>
    <row r="24" spans="1:5" x14ac:dyDescent="0.25">
      <c r="A24" t="s">
        <v>2054</v>
      </c>
      <c r="B24">
        <v>257</v>
      </c>
      <c r="C24">
        <f t="shared" si="0"/>
        <v>514</v>
      </c>
      <c r="D24">
        <v>3</v>
      </c>
      <c r="E24">
        <v>3</v>
      </c>
    </row>
    <row r="25" spans="1:5" x14ac:dyDescent="0.25">
      <c r="A25" t="s">
        <v>2190</v>
      </c>
      <c r="B25">
        <v>340</v>
      </c>
      <c r="C25">
        <f t="shared" si="0"/>
        <v>680</v>
      </c>
      <c r="D25">
        <v>3</v>
      </c>
      <c r="E25">
        <v>3</v>
      </c>
    </row>
    <row r="26" spans="1:5" x14ac:dyDescent="0.25">
      <c r="A26" t="s">
        <v>2191</v>
      </c>
      <c r="B26">
        <v>395</v>
      </c>
      <c r="C26">
        <f t="shared" si="0"/>
        <v>790</v>
      </c>
      <c r="D26">
        <v>3</v>
      </c>
      <c r="E26">
        <v>3</v>
      </c>
    </row>
    <row r="27" spans="1:5" x14ac:dyDescent="0.25">
      <c r="A27" t="s">
        <v>2194</v>
      </c>
      <c r="B27">
        <v>310</v>
      </c>
      <c r="C27">
        <f t="shared" si="0"/>
        <v>620</v>
      </c>
      <c r="D27">
        <v>3</v>
      </c>
      <c r="E27">
        <v>3</v>
      </c>
    </row>
    <row r="28" spans="1:5" x14ac:dyDescent="0.25">
      <c r="A28" t="s">
        <v>1946</v>
      </c>
      <c r="B28">
        <v>280</v>
      </c>
      <c r="C28">
        <f t="shared" si="0"/>
        <v>560</v>
      </c>
      <c r="D28">
        <v>3</v>
      </c>
      <c r="E28">
        <v>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1"/>
  <sheetViews>
    <sheetView workbookViewId="0">
      <selection activeCell="B6" sqref="B6"/>
    </sheetView>
  </sheetViews>
  <sheetFormatPr defaultRowHeight="15" x14ac:dyDescent="0.25"/>
  <cols>
    <col min="1" max="1" width="13.140625" bestFit="1" customWidth="1"/>
    <col min="2" max="2" width="24.42578125" bestFit="1" customWidth="1"/>
    <col min="3" max="3" width="22.85546875" customWidth="1"/>
    <col min="4" max="4" width="21.5703125" bestFit="1" customWidth="1"/>
    <col min="5" max="5" width="24.42578125" bestFit="1" customWidth="1"/>
    <col min="6" max="6" width="22.85546875" customWidth="1"/>
    <col min="7" max="7" width="24.42578125" bestFit="1" customWidth="1"/>
    <col min="8" max="8" width="16.28515625" bestFit="1" customWidth="1"/>
    <col min="9" max="10" width="12" bestFit="1" customWidth="1"/>
    <col min="11" max="11" width="5.5703125" customWidth="1"/>
    <col min="12" max="12" width="11.28515625" customWidth="1"/>
    <col min="13" max="13" width="10.7109375" customWidth="1"/>
    <col min="14" max="14" width="31.5703125" bestFit="1" customWidth="1"/>
    <col min="15" max="15" width="32.28515625" bestFit="1" customWidth="1"/>
    <col min="16" max="16" width="17" customWidth="1"/>
    <col min="17" max="17" width="13.140625" bestFit="1" customWidth="1"/>
    <col min="18" max="18" width="26.42578125" bestFit="1" customWidth="1"/>
    <col min="19" max="21" width="17" customWidth="1"/>
    <col min="22" max="22" width="16.28515625" customWidth="1"/>
    <col min="23" max="23" width="13.140625" bestFit="1" customWidth="1"/>
    <col min="24" max="24" width="26.28515625" bestFit="1" customWidth="1"/>
    <col min="25" max="56" width="16.28515625" customWidth="1"/>
    <col min="57" max="162" width="16.28515625" bestFit="1" customWidth="1"/>
    <col min="163" max="163" width="11.28515625" bestFit="1" customWidth="1"/>
  </cols>
  <sheetData>
    <row r="1" spans="1:24" x14ac:dyDescent="0.25">
      <c r="N1" s="91" t="s">
        <v>0</v>
      </c>
      <c r="O1" t="s">
        <v>1679</v>
      </c>
      <c r="Q1" s="91" t="s">
        <v>1060</v>
      </c>
      <c r="R1" t="s">
        <v>1688</v>
      </c>
    </row>
    <row r="2" spans="1:24" x14ac:dyDescent="0.25">
      <c r="D2" s="91" t="s">
        <v>0</v>
      </c>
      <c r="E2" t="s">
        <v>1679</v>
      </c>
      <c r="G2" s="91" t="s">
        <v>1065</v>
      </c>
      <c r="H2" s="91" t="s">
        <v>1687</v>
      </c>
      <c r="Q2" s="89" t="s">
        <v>1056</v>
      </c>
      <c r="R2" s="93">
        <v>40.935923711342447</v>
      </c>
    </row>
    <row r="3" spans="1:24" x14ac:dyDescent="0.25">
      <c r="G3" s="91" t="s">
        <v>1060</v>
      </c>
      <c r="H3" t="s">
        <v>1056</v>
      </c>
      <c r="I3" t="s">
        <v>1483</v>
      </c>
      <c r="J3" t="s">
        <v>1484</v>
      </c>
      <c r="K3" t="s">
        <v>1947</v>
      </c>
      <c r="L3" t="s">
        <v>1055</v>
      </c>
      <c r="N3" s="91" t="s">
        <v>1060</v>
      </c>
      <c r="O3" t="s">
        <v>1680</v>
      </c>
      <c r="Q3" s="89" t="s">
        <v>1483</v>
      </c>
      <c r="R3" s="93">
        <v>42.306507490636136</v>
      </c>
    </row>
    <row r="4" spans="1:24" x14ac:dyDescent="0.25">
      <c r="A4" s="91" t="s">
        <v>1060</v>
      </c>
      <c r="B4" t="s">
        <v>1065</v>
      </c>
      <c r="C4" t="s">
        <v>1683</v>
      </c>
      <c r="D4" s="91" t="s">
        <v>1060</v>
      </c>
      <c r="E4" t="s">
        <v>1065</v>
      </c>
      <c r="G4" s="89" t="s">
        <v>1020</v>
      </c>
      <c r="H4" s="117"/>
      <c r="I4" s="117"/>
      <c r="J4" s="117">
        <v>23.888888893755695</v>
      </c>
      <c r="K4" s="117"/>
      <c r="L4" s="93">
        <v>23.888888893755695</v>
      </c>
      <c r="N4" s="89" t="s">
        <v>562</v>
      </c>
      <c r="O4" s="117">
        <v>20</v>
      </c>
      <c r="Q4" s="89" t="s">
        <v>1484</v>
      </c>
      <c r="R4" s="93">
        <v>41.5091284098486</v>
      </c>
      <c r="W4" s="91" t="s">
        <v>1060</v>
      </c>
      <c r="X4" t="s">
        <v>1485</v>
      </c>
    </row>
    <row r="5" spans="1:24" x14ac:dyDescent="0.25">
      <c r="A5" s="89" t="s">
        <v>1056</v>
      </c>
      <c r="B5" s="93">
        <v>43.98613497669492</v>
      </c>
      <c r="C5">
        <v>45</v>
      </c>
      <c r="D5" s="89" t="s">
        <v>1020</v>
      </c>
      <c r="E5" s="117">
        <v>23.888888893755695</v>
      </c>
      <c r="G5" s="89" t="s">
        <v>1669</v>
      </c>
      <c r="H5" s="117"/>
      <c r="I5" s="117"/>
      <c r="J5" s="117">
        <v>26.078703705279622</v>
      </c>
      <c r="K5" s="117"/>
      <c r="L5" s="93">
        <v>26.078703705279622</v>
      </c>
      <c r="N5" s="89" t="s">
        <v>1671</v>
      </c>
      <c r="O5" s="117">
        <v>12</v>
      </c>
      <c r="Q5" s="89" t="s">
        <v>1947</v>
      </c>
      <c r="R5" s="93">
        <v>39.488205128198025</v>
      </c>
      <c r="W5" s="89" t="s">
        <v>1056</v>
      </c>
      <c r="X5" s="88">
        <v>55.873067011366921</v>
      </c>
    </row>
    <row r="6" spans="1:24" x14ac:dyDescent="0.25">
      <c r="A6" s="89" t="s">
        <v>1483</v>
      </c>
      <c r="B6" s="93">
        <v>42.703066479389079</v>
      </c>
      <c r="C6">
        <v>45</v>
      </c>
      <c r="D6" s="89" t="s">
        <v>1667</v>
      </c>
      <c r="E6" s="117">
        <v>25.87962963204648</v>
      </c>
      <c r="G6" s="89" t="s">
        <v>1022</v>
      </c>
      <c r="H6" s="117"/>
      <c r="I6" s="117"/>
      <c r="J6" s="117">
        <v>26.87500000417155</v>
      </c>
      <c r="K6" s="117"/>
      <c r="L6" s="93">
        <v>26.87500000417155</v>
      </c>
      <c r="N6" s="89" t="s">
        <v>550</v>
      </c>
      <c r="O6" s="117">
        <v>10</v>
      </c>
      <c r="Q6" s="89" t="s">
        <v>1055</v>
      </c>
      <c r="R6" s="93">
        <v>41.420316984439914</v>
      </c>
      <c r="W6" s="89" t="s">
        <v>1483</v>
      </c>
      <c r="X6" s="88">
        <v>55.160639044809336</v>
      </c>
    </row>
    <row r="7" spans="1:24" x14ac:dyDescent="0.25">
      <c r="A7" s="89" t="s">
        <v>1484</v>
      </c>
      <c r="B7" s="93">
        <v>30.284292527105332</v>
      </c>
      <c r="C7">
        <v>45</v>
      </c>
      <c r="D7" s="89" t="s">
        <v>1669</v>
      </c>
      <c r="E7" s="117">
        <v>26.078703705279622</v>
      </c>
      <c r="G7" s="89" t="s">
        <v>1023</v>
      </c>
      <c r="H7" s="117"/>
      <c r="I7" s="117">
        <v>42.966820986920446</v>
      </c>
      <c r="J7" s="117">
        <v>26.211419753936184</v>
      </c>
      <c r="K7" s="117"/>
      <c r="L7" s="93">
        <v>32.913580247129886</v>
      </c>
      <c r="N7" s="89" t="s">
        <v>1682</v>
      </c>
      <c r="O7" s="117">
        <v>3</v>
      </c>
      <c r="W7" s="89" t="s">
        <v>1484</v>
      </c>
      <c r="X7" s="88">
        <v>50.415356786801198</v>
      </c>
    </row>
    <row r="8" spans="1:24" x14ac:dyDescent="0.25">
      <c r="A8" s="89" t="s">
        <v>1947</v>
      </c>
      <c r="B8" s="93">
        <v>32.349537037473823</v>
      </c>
      <c r="D8" s="89" t="s">
        <v>1022</v>
      </c>
      <c r="E8" s="117">
        <v>26.87500000417155</v>
      </c>
      <c r="G8" s="89" t="s">
        <v>1032</v>
      </c>
      <c r="H8" s="117"/>
      <c r="I8" s="117">
        <v>43.29861111145874</v>
      </c>
      <c r="J8" s="117">
        <v>27.870370372572022</v>
      </c>
      <c r="K8" s="117"/>
      <c r="L8" s="93">
        <v>33.013117285534257</v>
      </c>
      <c r="N8" s="89" t="s">
        <v>1672</v>
      </c>
      <c r="O8" s="117">
        <v>3</v>
      </c>
      <c r="W8" s="89" t="s">
        <v>1947</v>
      </c>
      <c r="X8" s="88">
        <v>43.158653845575131</v>
      </c>
    </row>
    <row r="9" spans="1:24" x14ac:dyDescent="0.25">
      <c r="A9" s="89" t="s">
        <v>1055</v>
      </c>
      <c r="B9" s="93">
        <v>37.530567427087043</v>
      </c>
      <c r="D9" s="89" t="s">
        <v>1023</v>
      </c>
      <c r="E9" s="117">
        <v>32.913580247129886</v>
      </c>
      <c r="G9" s="89" t="s">
        <v>1031</v>
      </c>
      <c r="H9" s="117"/>
      <c r="I9" s="117">
        <v>42.137345679050974</v>
      </c>
      <c r="J9" s="117">
        <v>26.626157409464213</v>
      </c>
      <c r="K9" s="117"/>
      <c r="L9" s="93">
        <v>33.273809525001397</v>
      </c>
      <c r="N9" s="89" t="s">
        <v>1681</v>
      </c>
      <c r="O9" s="117">
        <v>2</v>
      </c>
      <c r="W9" s="89" t="s">
        <v>1055</v>
      </c>
      <c r="X9" s="88">
        <v>52.195184089619005</v>
      </c>
    </row>
    <row r="10" spans="1:24" x14ac:dyDescent="0.25">
      <c r="D10" s="89" t="s">
        <v>1032</v>
      </c>
      <c r="E10" s="117">
        <v>33.013117285534257</v>
      </c>
      <c r="G10" s="89" t="s">
        <v>1013</v>
      </c>
      <c r="H10" s="117"/>
      <c r="I10" s="117">
        <v>42.089947090079519</v>
      </c>
      <c r="J10" s="117">
        <v>28.423353909413521</v>
      </c>
      <c r="K10" s="117"/>
      <c r="L10" s="93">
        <v>34.402488425954886</v>
      </c>
      <c r="N10" s="89" t="s">
        <v>571</v>
      </c>
      <c r="O10" s="117">
        <v>1</v>
      </c>
    </row>
    <row r="11" spans="1:24" x14ac:dyDescent="0.25">
      <c r="A11" s="89" t="s">
        <v>471</v>
      </c>
      <c r="B11" t="s">
        <v>1684</v>
      </c>
      <c r="C11" t="s">
        <v>1064</v>
      </c>
      <c r="D11" s="89" t="s">
        <v>1031</v>
      </c>
      <c r="E11" s="117">
        <v>33.273809525001397</v>
      </c>
      <c r="G11" s="89" t="s">
        <v>953</v>
      </c>
      <c r="H11" s="117">
        <v>41.407407408890627</v>
      </c>
      <c r="I11" s="117">
        <v>42.65873015773694</v>
      </c>
      <c r="J11" s="117">
        <v>27.273148147360189</v>
      </c>
      <c r="K11" s="93">
        <v>26.543209876156954</v>
      </c>
      <c r="L11" s="93">
        <v>34.837962962711067</v>
      </c>
      <c r="N11" s="89" t="s">
        <v>538</v>
      </c>
      <c r="O11" s="117">
        <v>1</v>
      </c>
    </row>
    <row r="12" spans="1:24" x14ac:dyDescent="0.25">
      <c r="A12" t="s">
        <v>1056</v>
      </c>
      <c r="B12">
        <v>43.98613497669492</v>
      </c>
      <c r="C12">
        <v>45</v>
      </c>
      <c r="D12" s="89" t="s">
        <v>1013</v>
      </c>
      <c r="E12" s="117">
        <v>34.402488425954893</v>
      </c>
      <c r="G12" s="89" t="s">
        <v>958</v>
      </c>
      <c r="H12" s="117">
        <v>41.307870374657796</v>
      </c>
      <c r="I12" s="117">
        <v>41.916152264430252</v>
      </c>
      <c r="J12" s="117">
        <v>33.842592593403722</v>
      </c>
      <c r="K12" s="93">
        <v>27.779882156314805</v>
      </c>
      <c r="L12" s="93">
        <v>35.122354498985054</v>
      </c>
      <c r="N12" s="89" t="s">
        <v>1055</v>
      </c>
      <c r="O12" s="117">
        <v>52</v>
      </c>
    </row>
    <row r="13" spans="1:24" x14ac:dyDescent="0.25">
      <c r="A13" t="s">
        <v>1483</v>
      </c>
      <c r="B13">
        <v>42.879726080271936</v>
      </c>
      <c r="C13">
        <v>45</v>
      </c>
      <c r="D13" s="89" t="s">
        <v>953</v>
      </c>
      <c r="E13" s="117">
        <v>34.83796296271106</v>
      </c>
      <c r="G13" s="89" t="s">
        <v>956</v>
      </c>
      <c r="H13" s="117">
        <v>43.049768520662226</v>
      </c>
      <c r="I13" s="117">
        <v>41.60648147944206</v>
      </c>
      <c r="J13" s="117">
        <v>26.87500000417155</v>
      </c>
      <c r="K13" s="93">
        <v>27.870370371827104</v>
      </c>
      <c r="L13" s="93">
        <v>35.423474946283555</v>
      </c>
    </row>
    <row r="14" spans="1:24" x14ac:dyDescent="0.25">
      <c r="A14" t="s">
        <v>1484</v>
      </c>
      <c r="B14">
        <v>42.669736944165649</v>
      </c>
      <c r="C14">
        <v>45</v>
      </c>
      <c r="D14" s="89" t="s">
        <v>958</v>
      </c>
      <c r="E14" s="117">
        <v>35.12235449898504</v>
      </c>
      <c r="G14" s="89" t="s">
        <v>954</v>
      </c>
      <c r="H14" s="117">
        <v>39.814814814235433</v>
      </c>
      <c r="I14" s="117">
        <v>42.13734567731283</v>
      </c>
      <c r="J14" s="117">
        <v>27.8703703699648</v>
      </c>
      <c r="K14" s="93">
        <v>31.851851851388346</v>
      </c>
      <c r="L14" s="93">
        <v>35.594444443665765</v>
      </c>
    </row>
    <row r="15" spans="1:24" x14ac:dyDescent="0.25">
      <c r="A15" t="s">
        <v>1685</v>
      </c>
      <c r="B15">
        <f>AVERAGE(B12:B14)</f>
        <v>43.178532667044159</v>
      </c>
      <c r="C15">
        <f>AVERAGE(C12:C14)</f>
        <v>45</v>
      </c>
      <c r="D15" s="89" t="s">
        <v>956</v>
      </c>
      <c r="E15" s="117">
        <v>35.423474946283548</v>
      </c>
      <c r="G15" s="89" t="s">
        <v>1030</v>
      </c>
      <c r="H15" s="117"/>
      <c r="I15" s="117">
        <v>42.55208333255117</v>
      </c>
      <c r="J15" s="117">
        <v>27.206790123495413</v>
      </c>
      <c r="K15" s="117"/>
      <c r="L15" s="93">
        <v>35.975529100098704</v>
      </c>
    </row>
    <row r="16" spans="1:24" x14ac:dyDescent="0.25">
      <c r="D16" s="89" t="s">
        <v>954</v>
      </c>
      <c r="E16" s="117">
        <v>35.594444443665765</v>
      </c>
      <c r="G16" s="89" t="s">
        <v>1668</v>
      </c>
      <c r="H16" s="117"/>
      <c r="I16" s="117"/>
      <c r="J16" s="117">
        <v>36.165123456481119</v>
      </c>
      <c r="K16" s="117"/>
      <c r="L16" s="93">
        <v>36.165123456481119</v>
      </c>
    </row>
    <row r="17" spans="4:14" x14ac:dyDescent="0.25">
      <c r="D17" s="89" t="s">
        <v>1030</v>
      </c>
      <c r="E17" s="117">
        <v>35.975529100098704</v>
      </c>
      <c r="G17" s="89" t="s">
        <v>1029</v>
      </c>
      <c r="H17" s="117"/>
      <c r="I17" s="117">
        <v>41.681134258245343</v>
      </c>
      <c r="J17" s="117">
        <v>29.861111113097564</v>
      </c>
      <c r="K17" s="117"/>
      <c r="L17" s="93">
        <v>36.165123457176378</v>
      </c>
    </row>
    <row r="18" spans="4:14" x14ac:dyDescent="0.25">
      <c r="D18" s="89" t="s">
        <v>1668</v>
      </c>
      <c r="E18" s="117">
        <v>36.165123456481119</v>
      </c>
      <c r="G18" s="89" t="s">
        <v>1033</v>
      </c>
      <c r="H18" s="117"/>
      <c r="I18" s="117">
        <v>42.502314814652593</v>
      </c>
      <c r="J18" s="117">
        <v>27.159391535020578</v>
      </c>
      <c r="K18" s="117"/>
      <c r="L18" s="93">
        <v>36.184640523039413</v>
      </c>
    </row>
    <row r="19" spans="4:14" x14ac:dyDescent="0.25">
      <c r="D19" s="89" t="s">
        <v>1029</v>
      </c>
      <c r="E19" s="117">
        <v>36.165123457176385</v>
      </c>
      <c r="G19" s="89" t="s">
        <v>1018</v>
      </c>
      <c r="H19" s="117"/>
      <c r="I19" s="117">
        <v>42.026748973768441</v>
      </c>
      <c r="J19" s="117">
        <v>29.985532407378443</v>
      </c>
      <c r="K19" s="117"/>
      <c r="L19" s="93">
        <v>36.360294118996684</v>
      </c>
    </row>
    <row r="20" spans="4:14" x14ac:dyDescent="0.25">
      <c r="D20" s="89" t="s">
        <v>1033</v>
      </c>
      <c r="E20" s="117">
        <v>36.18464052303942</v>
      </c>
      <c r="G20" s="89" t="s">
        <v>1024</v>
      </c>
      <c r="H20" s="117"/>
      <c r="I20" s="117">
        <v>42.303240741320131</v>
      </c>
      <c r="J20" s="117">
        <v>27.621527779168293</v>
      </c>
      <c r="K20" s="117"/>
      <c r="L20" s="93">
        <v>36.430555556459396</v>
      </c>
    </row>
    <row r="21" spans="4:14" x14ac:dyDescent="0.25">
      <c r="D21" s="89" t="s">
        <v>1018</v>
      </c>
      <c r="E21" s="117">
        <v>36.360294118996691</v>
      </c>
      <c r="G21" s="89" t="s">
        <v>1026</v>
      </c>
      <c r="H21" s="117"/>
      <c r="I21" s="117">
        <v>42.943121693055481</v>
      </c>
      <c r="J21" s="117">
        <v>30.145502648416109</v>
      </c>
      <c r="K21" s="117"/>
      <c r="L21" s="93">
        <v>36.544312170735793</v>
      </c>
      <c r="N21" t="s">
        <v>1060</v>
      </c>
    </row>
    <row r="22" spans="4:14" x14ac:dyDescent="0.25">
      <c r="D22" s="89" t="s">
        <v>1024</v>
      </c>
      <c r="E22" s="117">
        <v>36.430555556459396</v>
      </c>
      <c r="G22" s="89" t="s">
        <v>1061</v>
      </c>
      <c r="H22" s="117">
        <v>44.328304599067678</v>
      </c>
      <c r="I22" s="117">
        <v>43.154544346856618</v>
      </c>
      <c r="J22" s="117">
        <v>28.831417625450086</v>
      </c>
      <c r="K22" s="117"/>
      <c r="L22" s="93">
        <v>36.780925926636932</v>
      </c>
      <c r="N22" s="89" t="s">
        <v>538</v>
      </c>
    </row>
    <row r="23" spans="4:14" x14ac:dyDescent="0.25">
      <c r="D23" s="89" t="s">
        <v>1026</v>
      </c>
      <c r="E23" s="117">
        <v>36.544312170735793</v>
      </c>
      <c r="G23" s="89" t="s">
        <v>961</v>
      </c>
      <c r="H23" s="117">
        <v>40.699588480250291</v>
      </c>
      <c r="I23" s="117">
        <v>42.203703703611005</v>
      </c>
      <c r="J23" s="117"/>
      <c r="K23" s="93">
        <v>26.709104940164252</v>
      </c>
      <c r="L23" s="93">
        <v>36.878472224064666</v>
      </c>
      <c r="N23" s="89" t="s">
        <v>541</v>
      </c>
    </row>
    <row r="24" spans="4:14" x14ac:dyDescent="0.25">
      <c r="D24" s="89" t="s">
        <v>961</v>
      </c>
      <c r="E24" s="117">
        <v>36.878472224064652</v>
      </c>
      <c r="G24" s="89" t="s">
        <v>965</v>
      </c>
      <c r="H24" s="117">
        <v>44.69212963243384</v>
      </c>
      <c r="I24" s="117">
        <v>42.004629630973795</v>
      </c>
      <c r="J24" s="117">
        <v>39.317129632642413</v>
      </c>
      <c r="K24" s="93">
        <v>28.451003086168686</v>
      </c>
      <c r="L24" s="93">
        <v>37.137611750983325</v>
      </c>
      <c r="N24" s="89" t="s">
        <v>1053</v>
      </c>
    </row>
    <row r="25" spans="4:14" x14ac:dyDescent="0.25">
      <c r="D25" s="89" t="s">
        <v>965</v>
      </c>
      <c r="E25" s="117">
        <v>37.137611750983325</v>
      </c>
      <c r="G25" s="89" t="s">
        <v>1036</v>
      </c>
      <c r="H25" s="117">
        <v>56.736111108330078</v>
      </c>
      <c r="I25" s="117">
        <v>41.031378601312298</v>
      </c>
      <c r="J25" s="117">
        <v>30.607638889584152</v>
      </c>
      <c r="K25" s="117"/>
      <c r="L25" s="93">
        <v>37.271090535378562</v>
      </c>
      <c r="N25" s="89" t="s">
        <v>562</v>
      </c>
    </row>
    <row r="26" spans="4:14" x14ac:dyDescent="0.25">
      <c r="D26" s="89" t="s">
        <v>966</v>
      </c>
      <c r="E26" s="117">
        <v>37.160493826619735</v>
      </c>
      <c r="G26" s="89" t="s">
        <v>1037</v>
      </c>
      <c r="H26" s="117"/>
      <c r="I26" s="117">
        <v>42.303240740451059</v>
      </c>
      <c r="J26" s="117">
        <v>27.372685185764567</v>
      </c>
      <c r="K26" s="117"/>
      <c r="L26" s="93">
        <v>37.326388888888893</v>
      </c>
      <c r="N26" s="89" t="s">
        <v>571</v>
      </c>
    </row>
    <row r="27" spans="4:14" x14ac:dyDescent="0.25">
      <c r="D27" s="89" t="s">
        <v>1036</v>
      </c>
      <c r="E27" s="117">
        <v>37.271090535378548</v>
      </c>
      <c r="G27" s="89" t="s">
        <v>1035</v>
      </c>
      <c r="H27" s="117"/>
      <c r="I27" s="117">
        <v>41.929976851649066</v>
      </c>
      <c r="J27" s="117">
        <v>31.685956790857336</v>
      </c>
      <c r="K27" s="93"/>
      <c r="L27" s="93">
        <v>37.539682539881184</v>
      </c>
      <c r="N27" s="89" t="s">
        <v>559</v>
      </c>
    </row>
    <row r="28" spans="4:14" x14ac:dyDescent="0.25">
      <c r="D28" s="89" t="s">
        <v>1037</v>
      </c>
      <c r="E28" s="117">
        <v>37.326388888888893</v>
      </c>
      <c r="G28" s="89" t="s">
        <v>1280</v>
      </c>
      <c r="H28" s="117">
        <v>43.796296293051761</v>
      </c>
      <c r="I28" s="117">
        <v>44.667245371268422</v>
      </c>
      <c r="J28" s="117">
        <v>26.277777777916832</v>
      </c>
      <c r="K28" s="93"/>
      <c r="L28" s="93">
        <v>38.037367725198806</v>
      </c>
      <c r="N28" s="89" t="s">
        <v>550</v>
      </c>
    </row>
    <row r="29" spans="4:14" x14ac:dyDescent="0.25">
      <c r="D29" s="89" t="s">
        <v>1035</v>
      </c>
      <c r="E29" s="117">
        <v>37.539682539881184</v>
      </c>
      <c r="G29" s="89" t="s">
        <v>1027</v>
      </c>
      <c r="H29" s="117"/>
      <c r="I29" s="117">
        <v>43.464506173148521</v>
      </c>
      <c r="J29" s="117">
        <v>32.626028808644385</v>
      </c>
      <c r="K29" s="93"/>
      <c r="L29" s="93">
        <v>38.045267490896464</v>
      </c>
      <c r="N29" s="89" t="s">
        <v>544</v>
      </c>
    </row>
    <row r="30" spans="4:14" x14ac:dyDescent="0.25">
      <c r="D30" s="89" t="s">
        <v>1280</v>
      </c>
      <c r="E30" s="117">
        <v>38.037367725198806</v>
      </c>
      <c r="G30" s="89" t="s">
        <v>951</v>
      </c>
      <c r="H30" s="117">
        <v>48.972222223334633</v>
      </c>
      <c r="I30" s="117">
        <v>43.796296293051761</v>
      </c>
      <c r="J30" s="117">
        <v>26.128472223960369</v>
      </c>
      <c r="K30" s="93">
        <v>36.686507936905222</v>
      </c>
      <c r="L30" s="93">
        <v>38.233932462582537</v>
      </c>
      <c r="N30" s="89" t="s">
        <v>553</v>
      </c>
    </row>
    <row r="31" spans="4:14" x14ac:dyDescent="0.25">
      <c r="D31" s="89" t="s">
        <v>1027</v>
      </c>
      <c r="E31" s="117">
        <v>38.045267490896457</v>
      </c>
      <c r="G31" s="89" t="s">
        <v>960</v>
      </c>
      <c r="H31" s="117">
        <v>40.063657410246378</v>
      </c>
      <c r="I31" s="117">
        <v>42.800925926389432</v>
      </c>
      <c r="J31" s="117">
        <v>33.344907407899882</v>
      </c>
      <c r="K31" s="93">
        <v>37.82407407222005</v>
      </c>
      <c r="L31" s="93">
        <v>38.638468014268604</v>
      </c>
      <c r="N31" s="89" t="s">
        <v>1054</v>
      </c>
    </row>
    <row r="32" spans="4:14" x14ac:dyDescent="0.25">
      <c r="D32" s="89" t="s">
        <v>951</v>
      </c>
      <c r="E32" s="117">
        <v>38.233932462582516</v>
      </c>
      <c r="G32" s="89" t="s">
        <v>955</v>
      </c>
      <c r="H32" s="117">
        <v>39.48302469491157</v>
      </c>
      <c r="I32" s="117">
        <v>41.805555556250809</v>
      </c>
      <c r="J32" s="117">
        <v>39.814814814235433</v>
      </c>
      <c r="K32" s="93">
        <v>35.335648148611654</v>
      </c>
      <c r="L32" s="93">
        <v>38.670138889792732</v>
      </c>
      <c r="N32" s="89" t="s">
        <v>547</v>
      </c>
    </row>
    <row r="33" spans="4:14" x14ac:dyDescent="0.25">
      <c r="D33" s="89" t="s">
        <v>960</v>
      </c>
      <c r="E33" s="117">
        <v>38.638468014268604</v>
      </c>
      <c r="G33" s="89" t="s">
        <v>1014</v>
      </c>
      <c r="H33" s="117"/>
      <c r="I33" s="117">
        <v>41.805555554512672</v>
      </c>
      <c r="J33" s="117">
        <v>36.331018522226564</v>
      </c>
      <c r="K33" s="93"/>
      <c r="L33" s="93">
        <v>38.677248678920606</v>
      </c>
      <c r="N33" s="89" t="s">
        <v>556</v>
      </c>
    </row>
    <row r="34" spans="4:14" x14ac:dyDescent="0.25">
      <c r="D34" s="89" t="s">
        <v>955</v>
      </c>
      <c r="E34" s="117">
        <v>38.670138889792717</v>
      </c>
      <c r="G34" s="89" t="s">
        <v>1019</v>
      </c>
      <c r="H34" s="117"/>
      <c r="I34" s="117">
        <v>42.469135801851124</v>
      </c>
      <c r="J34" s="117">
        <v>34.126984129467189</v>
      </c>
      <c r="K34" s="93"/>
      <c r="L34" s="93">
        <v>38.819444445183152</v>
      </c>
    </row>
    <row r="35" spans="4:14" x14ac:dyDescent="0.25">
      <c r="D35" s="89" t="s">
        <v>1014</v>
      </c>
      <c r="E35" s="117">
        <v>38.677248678920613</v>
      </c>
      <c r="G35" s="89" t="s">
        <v>1034</v>
      </c>
      <c r="H35" s="117"/>
      <c r="I35" s="117">
        <v>42.438973064836873</v>
      </c>
      <c r="J35" s="117">
        <v>33.131613757342123</v>
      </c>
      <c r="K35" s="93"/>
      <c r="L35" s="93">
        <v>38.819444445255584</v>
      </c>
    </row>
    <row r="36" spans="4:14" x14ac:dyDescent="0.25">
      <c r="D36" s="89" t="s">
        <v>1019</v>
      </c>
      <c r="E36" s="117">
        <v>38.819444445183144</v>
      </c>
      <c r="G36" s="89" t="s">
        <v>963</v>
      </c>
      <c r="H36" s="117">
        <v>46.284722224481804</v>
      </c>
      <c r="I36" s="117">
        <v>42.386188271585631</v>
      </c>
      <c r="J36" s="117">
        <v>34.476010102463825</v>
      </c>
      <c r="K36" s="93">
        <v>32.598379631599528</v>
      </c>
      <c r="L36" s="93">
        <v>38.819444445498526</v>
      </c>
    </row>
    <row r="37" spans="4:14" x14ac:dyDescent="0.25">
      <c r="D37" s="89" t="s">
        <v>1034</v>
      </c>
      <c r="E37" s="117">
        <v>38.819444445255584</v>
      </c>
      <c r="G37" s="89" t="s">
        <v>957</v>
      </c>
      <c r="H37" s="117">
        <v>40.312500003650108</v>
      </c>
      <c r="I37" s="117">
        <v>42.800925924651288</v>
      </c>
      <c r="J37" s="117">
        <v>40.312500001042885</v>
      </c>
      <c r="K37" s="93">
        <v>36.402116403076526</v>
      </c>
      <c r="L37" s="93">
        <v>38.819444445834954</v>
      </c>
    </row>
    <row r="38" spans="4:14" x14ac:dyDescent="0.25">
      <c r="D38" s="89" t="s">
        <v>963</v>
      </c>
      <c r="E38" s="117">
        <v>38.81944444549854</v>
      </c>
      <c r="G38" s="89" t="s">
        <v>1025</v>
      </c>
      <c r="H38" s="117"/>
      <c r="I38" s="117">
        <v>42.676504629253024</v>
      </c>
      <c r="J38" s="117">
        <v>34.695767195634765</v>
      </c>
      <c r="K38" s="93"/>
      <c r="L38" s="93">
        <v>38.952160493564506</v>
      </c>
    </row>
    <row r="39" spans="4:14" x14ac:dyDescent="0.25">
      <c r="D39" s="89" t="s">
        <v>957</v>
      </c>
      <c r="E39" s="117">
        <v>38.819444445834954</v>
      </c>
      <c r="G39" s="89" t="s">
        <v>959</v>
      </c>
      <c r="H39" s="117">
        <v>43.796296300873415</v>
      </c>
      <c r="I39" s="117">
        <v>42.80092592986572</v>
      </c>
      <c r="J39" s="117"/>
      <c r="K39" s="93">
        <v>35.33564814687351</v>
      </c>
      <c r="L39" s="93">
        <v>39.090909092236402</v>
      </c>
    </row>
    <row r="40" spans="4:14" x14ac:dyDescent="0.25">
      <c r="D40" s="89" t="s">
        <v>1025</v>
      </c>
      <c r="E40" s="117">
        <v>38.952160493564513</v>
      </c>
      <c r="G40" s="89" t="s">
        <v>1015</v>
      </c>
      <c r="H40" s="117"/>
      <c r="I40" s="117">
        <v>43.920717592360845</v>
      </c>
      <c r="J40" s="117">
        <v>31.851851851388346</v>
      </c>
      <c r="K40" s="93"/>
      <c r="L40" s="93">
        <v>39.278846153525265</v>
      </c>
    </row>
    <row r="41" spans="4:14" x14ac:dyDescent="0.25">
      <c r="D41" s="89" t="s">
        <v>959</v>
      </c>
      <c r="E41" s="117">
        <v>39.090909092236402</v>
      </c>
      <c r="G41" s="89" t="s">
        <v>952</v>
      </c>
      <c r="H41" s="117">
        <v>44.238683126928265</v>
      </c>
      <c r="I41" s="117">
        <v>42.800925926141126</v>
      </c>
      <c r="J41" s="117">
        <v>34.506172839004044</v>
      </c>
      <c r="K41" s="93">
        <v>35.252700618346154</v>
      </c>
      <c r="L41" s="93">
        <v>39.693428184451399</v>
      </c>
    </row>
    <row r="42" spans="4:14" x14ac:dyDescent="0.25">
      <c r="D42" s="89" t="s">
        <v>1015</v>
      </c>
      <c r="E42" s="117">
        <v>39.278846153525265</v>
      </c>
      <c r="G42" s="89" t="s">
        <v>1276</v>
      </c>
      <c r="H42" s="117">
        <v>39.814814819449872</v>
      </c>
      <c r="I42" s="117"/>
      <c r="J42" s="117"/>
      <c r="K42" s="93"/>
      <c r="L42" s="93">
        <v>39.814814819449872</v>
      </c>
    </row>
    <row r="43" spans="4:14" x14ac:dyDescent="0.25">
      <c r="D43" s="89" t="s">
        <v>952</v>
      </c>
      <c r="E43" s="117">
        <v>39.693428184451413</v>
      </c>
      <c r="G43" s="89" t="s">
        <v>1272</v>
      </c>
      <c r="H43" s="117">
        <v>39.814814819449872</v>
      </c>
      <c r="I43" s="117"/>
      <c r="J43" s="117"/>
      <c r="K43" s="117"/>
      <c r="L43" s="93">
        <v>39.814814819449872</v>
      </c>
    </row>
    <row r="44" spans="4:14" x14ac:dyDescent="0.25">
      <c r="D44" s="89" t="s">
        <v>1272</v>
      </c>
      <c r="E44" s="117">
        <v>39.814814819449872</v>
      </c>
      <c r="G44" s="89" t="s">
        <v>1277</v>
      </c>
      <c r="H44" s="117">
        <v>40.212962964724284</v>
      </c>
      <c r="I44" s="117"/>
      <c r="J44" s="117"/>
      <c r="K44" s="117"/>
      <c r="L44" s="93">
        <v>40.212962964724284</v>
      </c>
    </row>
    <row r="45" spans="4:14" x14ac:dyDescent="0.25">
      <c r="D45" s="89" t="s">
        <v>1276</v>
      </c>
      <c r="E45" s="117">
        <v>39.814814819449872</v>
      </c>
      <c r="G45" s="89" t="s">
        <v>962</v>
      </c>
      <c r="H45" s="117">
        <v>45.18981481611263</v>
      </c>
      <c r="I45" s="117">
        <v>43.022119341589537</v>
      </c>
      <c r="J45" s="117">
        <v>33.842592596010945</v>
      </c>
      <c r="K45" s="93">
        <v>37.326388890627037</v>
      </c>
      <c r="L45" s="93">
        <v>40.519868828444793</v>
      </c>
    </row>
    <row r="46" spans="4:14" x14ac:dyDescent="0.25">
      <c r="D46" s="89" t="s">
        <v>1028</v>
      </c>
      <c r="E46" s="117">
        <v>40.063657406987353</v>
      </c>
      <c r="G46" s="89" t="s">
        <v>1281</v>
      </c>
      <c r="H46" s="117">
        <v>40.810185182635905</v>
      </c>
      <c r="I46" s="117"/>
      <c r="J46" s="117"/>
      <c r="K46" s="93"/>
      <c r="L46" s="93">
        <v>40.810185182635905</v>
      </c>
    </row>
    <row r="47" spans="4:14" x14ac:dyDescent="0.25">
      <c r="D47" s="89" t="s">
        <v>1277</v>
      </c>
      <c r="E47" s="117">
        <v>40.212962964724284</v>
      </c>
      <c r="G47" s="89" t="s">
        <v>950</v>
      </c>
      <c r="H47" s="117">
        <v>48.524305554686478</v>
      </c>
      <c r="I47" s="117">
        <v>44.179131054541088</v>
      </c>
      <c r="J47" s="117">
        <v>28.368055554165039</v>
      </c>
      <c r="K47" s="93">
        <v>35.61213991790148</v>
      </c>
      <c r="L47" s="93">
        <v>40.916832010615117</v>
      </c>
    </row>
    <row r="48" spans="4:14" x14ac:dyDescent="0.25">
      <c r="D48" s="89" t="s">
        <v>962</v>
      </c>
      <c r="E48" s="117">
        <v>40.519868828444793</v>
      </c>
      <c r="G48" s="89" t="s">
        <v>1275</v>
      </c>
      <c r="H48" s="117">
        <v>41.363168725850606</v>
      </c>
      <c r="I48" s="117"/>
      <c r="J48" s="117"/>
      <c r="K48" s="117"/>
      <c r="L48" s="93">
        <v>41.363168725850606</v>
      </c>
    </row>
    <row r="49" spans="4:12" x14ac:dyDescent="0.25">
      <c r="D49" s="89" t="s">
        <v>1281</v>
      </c>
      <c r="E49" s="117">
        <v>40.810185182635905</v>
      </c>
      <c r="G49" s="89" t="s">
        <v>1270</v>
      </c>
      <c r="H49" s="117">
        <v>42.203703705696782</v>
      </c>
      <c r="I49" s="117"/>
      <c r="J49" s="117"/>
      <c r="K49" s="117"/>
      <c r="L49" s="93">
        <v>42.203703705696782</v>
      </c>
    </row>
    <row r="50" spans="4:12" x14ac:dyDescent="0.25">
      <c r="D50" s="89" t="s">
        <v>950</v>
      </c>
      <c r="E50" s="117">
        <v>40.916832010615117</v>
      </c>
      <c r="G50" s="89" t="s">
        <v>1279</v>
      </c>
      <c r="H50" s="117">
        <v>42.303240737843836</v>
      </c>
      <c r="I50" s="117"/>
      <c r="J50" s="117"/>
      <c r="K50" s="117"/>
      <c r="L50" s="93">
        <v>42.303240737843836</v>
      </c>
    </row>
    <row r="51" spans="4:12" x14ac:dyDescent="0.25">
      <c r="D51" s="89" t="s">
        <v>1275</v>
      </c>
      <c r="E51" s="117">
        <v>41.363168725850606</v>
      </c>
      <c r="G51" s="89" t="s">
        <v>964</v>
      </c>
      <c r="H51" s="117">
        <v>52.25694444444445</v>
      </c>
      <c r="I51" s="117">
        <v>42.925347222656761</v>
      </c>
      <c r="J51" s="117">
        <v>44.791666670142966</v>
      </c>
      <c r="K51" s="93">
        <v>32.050925926111333</v>
      </c>
      <c r="L51" s="93">
        <v>43.253367004041195</v>
      </c>
    </row>
    <row r="52" spans="4:12" x14ac:dyDescent="0.25">
      <c r="D52" s="89" t="s">
        <v>1268</v>
      </c>
      <c r="E52" s="117">
        <v>41.606481483613607</v>
      </c>
      <c r="G52" s="89" t="s">
        <v>1278</v>
      </c>
      <c r="H52" s="117">
        <v>43.796296293051761</v>
      </c>
      <c r="I52" s="117"/>
      <c r="J52" s="117"/>
      <c r="K52" s="117"/>
      <c r="L52" s="93">
        <v>43.796296293051761</v>
      </c>
    </row>
    <row r="53" spans="4:12" x14ac:dyDescent="0.25">
      <c r="D53" s="89" t="s">
        <v>1270</v>
      </c>
      <c r="E53" s="117">
        <v>42.203703705696782</v>
      </c>
      <c r="G53" s="89" t="s">
        <v>1271</v>
      </c>
      <c r="H53" s="117">
        <v>46.782407408682047</v>
      </c>
      <c r="I53" s="117"/>
      <c r="J53" s="117"/>
      <c r="K53" s="117"/>
      <c r="L53" s="93">
        <v>46.782407408682047</v>
      </c>
    </row>
    <row r="54" spans="4:12" x14ac:dyDescent="0.25">
      <c r="D54" s="89" t="s">
        <v>1279</v>
      </c>
      <c r="E54" s="117">
        <v>42.303240737843836</v>
      </c>
      <c r="G54" s="89" t="s">
        <v>1273</v>
      </c>
      <c r="H54" s="117">
        <v>47.77777777708252</v>
      </c>
      <c r="I54" s="117"/>
      <c r="J54" s="117"/>
      <c r="K54" s="117"/>
      <c r="L54" s="93">
        <v>47.77777777708252</v>
      </c>
    </row>
    <row r="55" spans="4:12" x14ac:dyDescent="0.25">
      <c r="D55" s="89" t="s">
        <v>964</v>
      </c>
      <c r="E55" s="117">
        <v>43.253367004041188</v>
      </c>
      <c r="G55" s="89" t="s">
        <v>1269</v>
      </c>
      <c r="H55" s="117">
        <v>47.919973547721462</v>
      </c>
      <c r="I55" s="117"/>
      <c r="J55" s="117"/>
      <c r="K55" s="117"/>
      <c r="L55" s="93">
        <v>47.919973547721462</v>
      </c>
    </row>
    <row r="56" spans="4:12" x14ac:dyDescent="0.25">
      <c r="D56" s="89" t="s">
        <v>1278</v>
      </c>
      <c r="E56" s="117">
        <v>43.796296293051761</v>
      </c>
      <c r="G56" s="89" t="s">
        <v>1274</v>
      </c>
      <c r="H56" s="117">
        <v>49.768518519097896</v>
      </c>
      <c r="I56" s="117"/>
      <c r="J56" s="117"/>
      <c r="K56" s="117"/>
      <c r="L56" s="93">
        <v>49.768518519097896</v>
      </c>
    </row>
    <row r="57" spans="4:12" x14ac:dyDescent="0.25">
      <c r="D57" s="89" t="s">
        <v>1271</v>
      </c>
      <c r="E57" s="117">
        <v>46.782407408682047</v>
      </c>
      <c r="G57" s="89" t="s">
        <v>1055</v>
      </c>
      <c r="H57" s="93">
        <v>44.049088772808162</v>
      </c>
      <c r="I57" s="93">
        <v>42.713612735569036</v>
      </c>
      <c r="J57" s="93">
        <v>30.219943690821083</v>
      </c>
      <c r="K57" s="93">
        <v>32.332375479490629</v>
      </c>
      <c r="L57" s="93">
        <v>37.602537191116127</v>
      </c>
    </row>
    <row r="58" spans="4:12" x14ac:dyDescent="0.25">
      <c r="D58" s="89" t="s">
        <v>1273</v>
      </c>
      <c r="E58" s="117">
        <v>47.77777777708252</v>
      </c>
    </row>
    <row r="59" spans="4:12" x14ac:dyDescent="0.25">
      <c r="D59" s="89" t="s">
        <v>1269</v>
      </c>
      <c r="E59" s="117">
        <v>47.919973547721462</v>
      </c>
    </row>
    <row r="60" spans="4:12" x14ac:dyDescent="0.25">
      <c r="D60" s="89" t="s">
        <v>1274</v>
      </c>
      <c r="E60" s="117">
        <v>49.768518519097896</v>
      </c>
    </row>
    <row r="61" spans="4:12" x14ac:dyDescent="0.25">
      <c r="D61" s="89" t="s">
        <v>1055</v>
      </c>
      <c r="E61" s="117">
        <v>37.837240349513927</v>
      </c>
    </row>
  </sheetData>
  <pageMargins left="0.7" right="0.7" top="0.75" bottom="0.75" header="0.3" footer="0.3"/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5"/>
  <sheetViews>
    <sheetView workbookViewId="0">
      <selection activeCell="E18" sqref="E18"/>
    </sheetView>
  </sheetViews>
  <sheetFormatPr defaultRowHeight="15" x14ac:dyDescent="0.25"/>
  <cols>
    <col min="1" max="1" width="24.42578125" customWidth="1"/>
    <col min="2" max="2" width="16.28515625" customWidth="1"/>
    <col min="3" max="3" width="8.85546875" customWidth="1"/>
    <col min="4" max="4" width="6.5703125" bestFit="1" customWidth="1"/>
    <col min="5" max="6" width="5.5703125" bestFit="1" customWidth="1"/>
    <col min="7" max="7" width="7.28515625" customWidth="1"/>
    <col min="8" max="8" width="11.28515625" customWidth="1"/>
    <col min="9" max="16" width="12" customWidth="1"/>
    <col min="17" max="17" width="11" customWidth="1"/>
    <col min="18" max="20" width="12" customWidth="1"/>
    <col min="21" max="28" width="12" bestFit="1" customWidth="1"/>
    <col min="29" max="29" width="6" customWidth="1"/>
    <col min="30" max="36" width="12" bestFit="1" customWidth="1"/>
    <col min="37" max="37" width="12" customWidth="1"/>
    <col min="38" max="38" width="12" bestFit="1" customWidth="1"/>
    <col min="39" max="39" width="7.28515625" customWidth="1"/>
    <col min="40" max="40" width="11.28515625" customWidth="1"/>
    <col min="41" max="51" width="12" bestFit="1" customWidth="1"/>
    <col min="52" max="52" width="11.42578125" bestFit="1" customWidth="1"/>
    <col min="53" max="66" width="12" bestFit="1" customWidth="1"/>
    <col min="67" max="67" width="10.140625" bestFit="1" customWidth="1"/>
    <col min="68" max="79" width="12" bestFit="1" customWidth="1"/>
    <col min="80" max="80" width="9.7109375" bestFit="1" customWidth="1"/>
    <col min="81" max="93" width="12" bestFit="1" customWidth="1"/>
    <col min="94" max="94" width="12.140625" bestFit="1" customWidth="1"/>
    <col min="95" max="95" width="11.28515625" bestFit="1" customWidth="1"/>
  </cols>
  <sheetData>
    <row r="3" spans="1:8" x14ac:dyDescent="0.25">
      <c r="B3" s="91" t="s">
        <v>1687</v>
      </c>
    </row>
    <row r="4" spans="1:8" x14ac:dyDescent="0.25">
      <c r="B4" t="s">
        <v>1056</v>
      </c>
      <c r="C4" t="s">
        <v>1483</v>
      </c>
      <c r="D4" t="s">
        <v>1484</v>
      </c>
      <c r="E4" t="s">
        <v>1947</v>
      </c>
      <c r="F4" t="s">
        <v>2172</v>
      </c>
      <c r="G4" t="s">
        <v>1061</v>
      </c>
      <c r="H4" t="s">
        <v>1055</v>
      </c>
    </row>
    <row r="5" spans="1:8" x14ac:dyDescent="0.25">
      <c r="A5" t="s">
        <v>1065</v>
      </c>
      <c r="B5" s="93">
        <v>43.98613497669492</v>
      </c>
      <c r="C5" s="93">
        <v>42.703066479389079</v>
      </c>
      <c r="D5" s="93">
        <v>30.284292527105332</v>
      </c>
      <c r="E5" s="93">
        <v>31.940911306583224</v>
      </c>
      <c r="F5" s="93">
        <v>31.362066432139969</v>
      </c>
      <c r="G5" s="93"/>
      <c r="H5" s="93">
        <v>36.065286157876749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5"/>
  <sheetViews>
    <sheetView workbookViewId="0">
      <selection activeCell="H7" sqref="H7"/>
    </sheetView>
  </sheetViews>
  <sheetFormatPr defaultRowHeight="15" x14ac:dyDescent="0.25"/>
  <cols>
    <col min="1" max="1" width="26.28515625" bestFit="1" customWidth="1"/>
    <col min="2" max="2" width="16.28515625" bestFit="1" customWidth="1"/>
    <col min="3" max="3" width="8.85546875" bestFit="1" customWidth="1"/>
    <col min="4" max="4" width="6.5703125" bestFit="1" customWidth="1"/>
    <col min="5" max="6" width="5.5703125" bestFit="1" customWidth="1"/>
    <col min="7" max="7" width="7.28515625" bestFit="1" customWidth="1"/>
    <col min="8" max="8" width="11.28515625" bestFit="1" customWidth="1"/>
  </cols>
  <sheetData>
    <row r="3" spans="1:8" x14ac:dyDescent="0.25">
      <c r="B3" s="91" t="s">
        <v>1687</v>
      </c>
    </row>
    <row r="4" spans="1:8" x14ac:dyDescent="0.25">
      <c r="B4" t="s">
        <v>1056</v>
      </c>
      <c r="C4" t="s">
        <v>1483</v>
      </c>
      <c r="D4" t="s">
        <v>1484</v>
      </c>
      <c r="E4" t="s">
        <v>1947</v>
      </c>
      <c r="F4" t="s">
        <v>2172</v>
      </c>
      <c r="G4" t="s">
        <v>1061</v>
      </c>
      <c r="H4" t="s">
        <v>1055</v>
      </c>
    </row>
    <row r="5" spans="1:8" x14ac:dyDescent="0.25">
      <c r="A5" t="s">
        <v>1485</v>
      </c>
      <c r="B5" s="93">
        <v>55.873067011366921</v>
      </c>
      <c r="C5" s="93">
        <v>55.160639044809336</v>
      </c>
      <c r="D5" s="93">
        <v>50.415356786801198</v>
      </c>
      <c r="E5" s="93">
        <v>43.227631578331824</v>
      </c>
      <c r="F5" s="93">
        <v>42.146908068712499</v>
      </c>
      <c r="G5" s="93"/>
      <c r="H5" s="93">
        <v>49.886547888497368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Q11"/>
  <sheetViews>
    <sheetView topLeftCell="AK1" workbookViewId="0">
      <selection activeCell="AP36" sqref="AP36"/>
    </sheetView>
  </sheetViews>
  <sheetFormatPr defaultRowHeight="15" x14ac:dyDescent="0.25"/>
  <cols>
    <col min="1" max="1" width="13.140625" bestFit="1" customWidth="1"/>
    <col min="2" max="2" width="24.42578125" bestFit="1" customWidth="1"/>
    <col min="5" max="5" width="32.28515625" bestFit="1" customWidth="1"/>
    <col min="6" max="6" width="26.5703125" bestFit="1" customWidth="1"/>
    <col min="7" max="7" width="10.5703125" bestFit="1" customWidth="1"/>
    <col min="8" max="8" width="12.5703125" bestFit="1" customWidth="1"/>
    <col min="9" max="9" width="48.7109375" bestFit="1" customWidth="1"/>
    <col min="10" max="10" width="22.42578125" bestFit="1" customWidth="1"/>
    <col min="11" max="11" width="15" bestFit="1" customWidth="1"/>
    <col min="12" max="12" width="15.7109375" bestFit="1" customWidth="1"/>
    <col min="13" max="13" width="17.85546875" bestFit="1" customWidth="1"/>
    <col min="14" max="14" width="31.5703125" bestFit="1" customWidth="1"/>
    <col min="15" max="15" width="28.7109375" bestFit="1" customWidth="1"/>
    <col min="16" max="16" width="17.42578125" bestFit="1" customWidth="1"/>
    <col min="17" max="17" width="18.7109375" bestFit="1" customWidth="1"/>
    <col min="18" max="18" width="12.7109375" bestFit="1" customWidth="1"/>
    <col min="19" max="19" width="7.28515625" bestFit="1" customWidth="1"/>
    <col min="20" max="20" width="11.28515625" bestFit="1" customWidth="1"/>
    <col min="23" max="23" width="13.140625" bestFit="1" customWidth="1"/>
    <col min="24" max="24" width="26.28515625" bestFit="1" customWidth="1"/>
    <col min="26" max="26" width="34.140625" bestFit="1" customWidth="1"/>
    <col min="27" max="27" width="17.28515625" bestFit="1" customWidth="1"/>
    <col min="28" max="28" width="19.7109375" bestFit="1" customWidth="1"/>
    <col min="29" max="29" width="9.85546875" bestFit="1" customWidth="1"/>
    <col min="30" max="30" width="20" bestFit="1" customWidth="1"/>
    <col min="31" max="31" width="26.85546875" bestFit="1" customWidth="1"/>
    <col min="32" max="32" width="25.140625" bestFit="1" customWidth="1"/>
    <col min="33" max="33" width="18.85546875" bestFit="1" customWidth="1"/>
    <col min="34" max="34" width="29" bestFit="1" customWidth="1"/>
    <col min="35" max="35" width="35.5703125" bestFit="1" customWidth="1"/>
    <col min="36" max="36" width="10.7109375" bestFit="1" customWidth="1"/>
    <col min="37" max="37" width="13.5703125" bestFit="1" customWidth="1"/>
    <col min="38" max="38" width="13.85546875" bestFit="1" customWidth="1"/>
    <col min="39" max="39" width="16.42578125" bestFit="1" customWidth="1"/>
    <col min="40" max="40" width="18.42578125" bestFit="1" customWidth="1"/>
    <col min="41" max="41" width="13.42578125" bestFit="1" customWidth="1"/>
    <col min="42" max="42" width="13.140625" bestFit="1" customWidth="1"/>
    <col min="43" max="43" width="11.28515625" bestFit="1" customWidth="1"/>
    <col min="44" max="44" width="10.7109375" bestFit="1" customWidth="1"/>
  </cols>
  <sheetData>
    <row r="3" spans="1:43" x14ac:dyDescent="0.25">
      <c r="A3" s="91" t="s">
        <v>1060</v>
      </c>
      <c r="B3" t="s">
        <v>1065</v>
      </c>
      <c r="E3" s="91" t="s">
        <v>1680</v>
      </c>
      <c r="F3" s="91" t="s">
        <v>1687</v>
      </c>
      <c r="W3" s="91" t="s">
        <v>1060</v>
      </c>
      <c r="X3" t="s">
        <v>1485</v>
      </c>
      <c r="Z3" s="91" t="s">
        <v>2173</v>
      </c>
      <c r="AA3" s="91" t="s">
        <v>1687</v>
      </c>
    </row>
    <row r="4" spans="1:43" x14ac:dyDescent="0.25">
      <c r="A4" s="89" t="s">
        <v>1056</v>
      </c>
      <c r="B4" s="117">
        <v>43.98613497669492</v>
      </c>
      <c r="E4" s="91" t="s">
        <v>1060</v>
      </c>
      <c r="F4" t="s">
        <v>538</v>
      </c>
      <c r="G4" t="s">
        <v>562</v>
      </c>
      <c r="H4" t="s">
        <v>571</v>
      </c>
      <c r="I4" t="s">
        <v>2163</v>
      </c>
      <c r="J4" t="s">
        <v>1671</v>
      </c>
      <c r="K4" t="s">
        <v>1681</v>
      </c>
      <c r="L4" t="s">
        <v>2165</v>
      </c>
      <c r="M4" t="s">
        <v>2164</v>
      </c>
      <c r="N4" t="s">
        <v>550</v>
      </c>
      <c r="O4" t="s">
        <v>1672</v>
      </c>
      <c r="P4" t="s">
        <v>2166</v>
      </c>
      <c r="Q4" t="s">
        <v>1682</v>
      </c>
      <c r="R4" t="s">
        <v>2167</v>
      </c>
      <c r="S4" t="s">
        <v>1061</v>
      </c>
      <c r="T4" t="s">
        <v>1055</v>
      </c>
      <c r="W4" s="89" t="s">
        <v>1056</v>
      </c>
      <c r="X4" s="117">
        <v>55.873067011366921</v>
      </c>
      <c r="Z4" s="91" t="s">
        <v>1060</v>
      </c>
      <c r="AA4" t="s">
        <v>2169</v>
      </c>
      <c r="AB4" t="s">
        <v>2171</v>
      </c>
      <c r="AC4" t="s">
        <v>1481</v>
      </c>
      <c r="AD4" t="s">
        <v>1674</v>
      </c>
      <c r="AE4" t="s">
        <v>2170</v>
      </c>
      <c r="AF4" t="s">
        <v>1676</v>
      </c>
      <c r="AG4" t="s">
        <v>549</v>
      </c>
      <c r="AH4" t="s">
        <v>1479</v>
      </c>
      <c r="AI4" t="s">
        <v>2168</v>
      </c>
      <c r="AJ4" t="s">
        <v>1482</v>
      </c>
      <c r="AK4" t="s">
        <v>1678</v>
      </c>
      <c r="AL4" t="s">
        <v>1480</v>
      </c>
      <c r="AM4" t="s">
        <v>1677</v>
      </c>
      <c r="AN4" t="s">
        <v>1675</v>
      </c>
      <c r="AO4" t="s">
        <v>1673</v>
      </c>
      <c r="AP4" t="s">
        <v>543</v>
      </c>
      <c r="AQ4" t="s">
        <v>1055</v>
      </c>
    </row>
    <row r="5" spans="1:43" x14ac:dyDescent="0.25">
      <c r="A5" s="89" t="s">
        <v>1483</v>
      </c>
      <c r="B5" s="117">
        <v>42.703066479389079</v>
      </c>
      <c r="E5" s="89" t="s">
        <v>1056</v>
      </c>
      <c r="F5" s="117">
        <v>1</v>
      </c>
      <c r="G5" s="117">
        <v>9</v>
      </c>
      <c r="H5" s="117">
        <v>1</v>
      </c>
      <c r="I5" s="117"/>
      <c r="J5" s="117">
        <v>7</v>
      </c>
      <c r="K5" s="117">
        <v>2</v>
      </c>
      <c r="L5" s="117"/>
      <c r="M5" s="117"/>
      <c r="N5" s="117">
        <v>3</v>
      </c>
      <c r="O5" s="117">
        <v>3</v>
      </c>
      <c r="P5" s="117"/>
      <c r="Q5" s="117">
        <v>3</v>
      </c>
      <c r="R5" s="117"/>
      <c r="S5" s="117"/>
      <c r="T5" s="117">
        <v>29</v>
      </c>
      <c r="W5" s="89" t="s">
        <v>1483</v>
      </c>
      <c r="X5" s="117">
        <v>55.160639044809336</v>
      </c>
      <c r="Z5" s="89" t="s">
        <v>1056</v>
      </c>
      <c r="AA5" s="117"/>
      <c r="AB5" s="117"/>
      <c r="AC5" s="117"/>
      <c r="AD5" s="117">
        <v>2</v>
      </c>
      <c r="AE5" s="117"/>
      <c r="AF5" s="117"/>
      <c r="AG5" s="117"/>
      <c r="AH5" s="117">
        <v>1</v>
      </c>
      <c r="AI5" s="117"/>
      <c r="AJ5" s="117">
        <v>1</v>
      </c>
      <c r="AK5" s="117"/>
      <c r="AL5" s="117">
        <v>1</v>
      </c>
      <c r="AM5" s="117"/>
      <c r="AN5" s="117"/>
      <c r="AO5" s="117">
        <v>1</v>
      </c>
      <c r="AP5" s="117">
        <v>2</v>
      </c>
      <c r="AQ5" s="117">
        <v>8</v>
      </c>
    </row>
    <row r="6" spans="1:43" x14ac:dyDescent="0.25">
      <c r="A6" s="89" t="s">
        <v>1484</v>
      </c>
      <c r="B6" s="117">
        <v>30.284292527105332</v>
      </c>
      <c r="E6" s="89" t="s">
        <v>1483</v>
      </c>
      <c r="F6" s="117"/>
      <c r="G6" s="117">
        <v>1</v>
      </c>
      <c r="H6" s="117"/>
      <c r="I6" s="117"/>
      <c r="J6" s="117"/>
      <c r="K6" s="117"/>
      <c r="L6" s="117"/>
      <c r="M6" s="117"/>
      <c r="N6" s="117">
        <v>2</v>
      </c>
      <c r="O6" s="117"/>
      <c r="P6" s="117"/>
      <c r="Q6" s="117"/>
      <c r="R6" s="117"/>
      <c r="S6" s="117"/>
      <c r="T6" s="117">
        <v>3</v>
      </c>
      <c r="W6" s="89" t="s">
        <v>1484</v>
      </c>
      <c r="X6" s="117">
        <v>50.415356786801198</v>
      </c>
      <c r="Z6" s="89" t="s">
        <v>1483</v>
      </c>
      <c r="AA6" s="117"/>
      <c r="AB6" s="117"/>
      <c r="AC6" s="117"/>
      <c r="AD6" s="117">
        <v>4</v>
      </c>
      <c r="AE6" s="117"/>
      <c r="AF6" s="117">
        <v>1</v>
      </c>
      <c r="AG6" s="117"/>
      <c r="AH6" s="117"/>
      <c r="AI6" s="117"/>
      <c r="AJ6" s="117"/>
      <c r="AK6" s="117">
        <v>8</v>
      </c>
      <c r="AL6" s="117"/>
      <c r="AM6" s="117"/>
      <c r="AN6" s="117">
        <v>7</v>
      </c>
      <c r="AO6" s="117">
        <v>3</v>
      </c>
      <c r="AP6" s="117"/>
      <c r="AQ6" s="117">
        <v>23</v>
      </c>
    </row>
    <row r="7" spans="1:43" x14ac:dyDescent="0.25">
      <c r="A7" s="89" t="s">
        <v>1947</v>
      </c>
      <c r="B7" s="117">
        <v>31.940911306583224</v>
      </c>
      <c r="E7" s="89" t="s">
        <v>1484</v>
      </c>
      <c r="F7" s="117"/>
      <c r="G7" s="117">
        <v>3</v>
      </c>
      <c r="H7" s="117"/>
      <c r="I7" s="117">
        <v>2</v>
      </c>
      <c r="J7" s="117">
        <v>1</v>
      </c>
      <c r="K7" s="117"/>
      <c r="L7" s="117">
        <v>2</v>
      </c>
      <c r="M7" s="117">
        <v>8</v>
      </c>
      <c r="N7" s="117">
        <v>2</v>
      </c>
      <c r="O7" s="117"/>
      <c r="P7" s="117">
        <v>4</v>
      </c>
      <c r="Q7" s="117"/>
      <c r="R7" s="117">
        <v>1</v>
      </c>
      <c r="S7" s="117"/>
      <c r="T7" s="117">
        <v>23</v>
      </c>
      <c r="W7" s="89" t="s">
        <v>1947</v>
      </c>
      <c r="X7" s="117">
        <v>43.227631578331824</v>
      </c>
      <c r="Z7" s="89" t="s">
        <v>1484</v>
      </c>
      <c r="AA7" s="117">
        <v>1</v>
      </c>
      <c r="AB7" s="117">
        <v>1</v>
      </c>
      <c r="AC7" s="117">
        <v>1</v>
      </c>
      <c r="AD7" s="117">
        <v>8</v>
      </c>
      <c r="AE7" s="117">
        <v>1</v>
      </c>
      <c r="AF7" s="117">
        <v>3</v>
      </c>
      <c r="AG7" s="117">
        <v>1</v>
      </c>
      <c r="AH7" s="117"/>
      <c r="AI7" s="117">
        <v>1</v>
      </c>
      <c r="AJ7" s="117"/>
      <c r="AK7" s="117">
        <v>6</v>
      </c>
      <c r="AL7" s="117"/>
      <c r="AM7" s="117">
        <v>4</v>
      </c>
      <c r="AN7" s="117">
        <v>3</v>
      </c>
      <c r="AO7" s="117">
        <v>10</v>
      </c>
      <c r="AP7" s="117"/>
      <c r="AQ7" s="117">
        <v>40</v>
      </c>
    </row>
    <row r="8" spans="1:43" x14ac:dyDescent="0.25">
      <c r="A8" s="89" t="s">
        <v>2172</v>
      </c>
      <c r="B8" s="117">
        <v>31.362066432139969</v>
      </c>
      <c r="E8" s="89" t="s">
        <v>1947</v>
      </c>
      <c r="F8" s="117"/>
      <c r="G8" s="117">
        <v>8</v>
      </c>
      <c r="H8" s="117"/>
      <c r="I8" s="117">
        <v>6</v>
      </c>
      <c r="J8" s="117">
        <v>6</v>
      </c>
      <c r="K8" s="117"/>
      <c r="L8" s="117">
        <v>8</v>
      </c>
      <c r="M8" s="117">
        <v>18</v>
      </c>
      <c r="N8" s="117">
        <v>5</v>
      </c>
      <c r="O8" s="117"/>
      <c r="P8" s="117">
        <v>5</v>
      </c>
      <c r="Q8" s="117"/>
      <c r="R8" s="117">
        <v>6</v>
      </c>
      <c r="S8" s="117"/>
      <c r="T8" s="117">
        <v>62</v>
      </c>
      <c r="W8" s="89" t="s">
        <v>2172</v>
      </c>
      <c r="X8" s="117">
        <v>42.146908068712499</v>
      </c>
      <c r="Z8" s="89" t="s">
        <v>1947</v>
      </c>
      <c r="AA8" s="117">
        <v>4</v>
      </c>
      <c r="AB8" s="117"/>
      <c r="AC8" s="117"/>
      <c r="AD8" s="117">
        <v>3</v>
      </c>
      <c r="AE8" s="117">
        <v>3</v>
      </c>
      <c r="AF8" s="117">
        <v>4</v>
      </c>
      <c r="AG8" s="117">
        <v>5</v>
      </c>
      <c r="AH8" s="117"/>
      <c r="AI8" s="117">
        <v>17</v>
      </c>
      <c r="AJ8" s="117"/>
      <c r="AK8" s="117">
        <v>9</v>
      </c>
      <c r="AL8" s="117"/>
      <c r="AM8" s="117">
        <v>5</v>
      </c>
      <c r="AN8" s="117"/>
      <c r="AO8" s="117">
        <v>7</v>
      </c>
      <c r="AP8" s="117"/>
      <c r="AQ8" s="117">
        <v>57</v>
      </c>
    </row>
    <row r="9" spans="1:43" x14ac:dyDescent="0.25">
      <c r="A9" s="89" t="s">
        <v>1061</v>
      </c>
      <c r="B9" s="117"/>
      <c r="E9" s="89" t="s">
        <v>2172</v>
      </c>
      <c r="F9" s="117"/>
      <c r="G9" s="117">
        <v>18</v>
      </c>
      <c r="H9" s="117"/>
      <c r="I9" s="117">
        <v>9</v>
      </c>
      <c r="J9" s="117">
        <v>4</v>
      </c>
      <c r="K9" s="117"/>
      <c r="L9" s="117">
        <v>7</v>
      </c>
      <c r="M9" s="117">
        <v>12</v>
      </c>
      <c r="N9" s="117">
        <v>4</v>
      </c>
      <c r="O9" s="117"/>
      <c r="P9" s="117">
        <v>6</v>
      </c>
      <c r="Q9" s="117"/>
      <c r="R9" s="117">
        <v>10</v>
      </c>
      <c r="S9" s="117"/>
      <c r="T9" s="117">
        <v>70</v>
      </c>
      <c r="W9" s="89" t="s">
        <v>1061</v>
      </c>
      <c r="X9" s="117"/>
      <c r="Z9" s="89" t="s">
        <v>2172</v>
      </c>
      <c r="AA9" s="117">
        <v>3</v>
      </c>
      <c r="AB9" s="117">
        <v>1</v>
      </c>
      <c r="AC9" s="117"/>
      <c r="AD9" s="117">
        <v>3</v>
      </c>
      <c r="AE9" s="117"/>
      <c r="AF9" s="117">
        <v>2</v>
      </c>
      <c r="AG9" s="117">
        <v>1</v>
      </c>
      <c r="AH9" s="117"/>
      <c r="AI9" s="117">
        <v>16</v>
      </c>
      <c r="AJ9" s="117"/>
      <c r="AK9" s="117">
        <v>3</v>
      </c>
      <c r="AL9" s="117"/>
      <c r="AM9" s="117">
        <v>2</v>
      </c>
      <c r="AN9" s="117">
        <v>1</v>
      </c>
      <c r="AO9" s="117">
        <v>6</v>
      </c>
      <c r="AP9" s="117"/>
      <c r="AQ9" s="117">
        <v>38</v>
      </c>
    </row>
    <row r="10" spans="1:43" x14ac:dyDescent="0.25">
      <c r="A10" s="89" t="s">
        <v>1055</v>
      </c>
      <c r="B10" s="117">
        <v>36.065286157876749</v>
      </c>
      <c r="E10" s="89" t="s">
        <v>1061</v>
      </c>
      <c r="F10" s="117"/>
      <c r="G10" s="117"/>
      <c r="H10" s="117"/>
      <c r="I10" s="117"/>
      <c r="J10" s="117"/>
      <c r="K10" s="117"/>
      <c r="L10" s="117"/>
      <c r="M10" s="117"/>
      <c r="N10" s="117"/>
      <c r="O10" s="117"/>
      <c r="P10" s="117">
        <v>1</v>
      </c>
      <c r="Q10" s="117"/>
      <c r="R10" s="117"/>
      <c r="S10" s="117"/>
      <c r="T10" s="117">
        <v>1</v>
      </c>
      <c r="W10" s="89" t="s">
        <v>1055</v>
      </c>
      <c r="X10" s="117">
        <v>49.886547888497368</v>
      </c>
      <c r="Z10" s="89" t="s">
        <v>1055</v>
      </c>
      <c r="AA10" s="117">
        <v>8</v>
      </c>
      <c r="AB10" s="117">
        <v>2</v>
      </c>
      <c r="AC10" s="117">
        <v>1</v>
      </c>
      <c r="AD10" s="117">
        <v>20</v>
      </c>
      <c r="AE10" s="117">
        <v>4</v>
      </c>
      <c r="AF10" s="117">
        <v>10</v>
      </c>
      <c r="AG10" s="117">
        <v>7</v>
      </c>
      <c r="AH10" s="117">
        <v>1</v>
      </c>
      <c r="AI10" s="117">
        <v>34</v>
      </c>
      <c r="AJ10" s="117">
        <v>1</v>
      </c>
      <c r="AK10" s="117">
        <v>26</v>
      </c>
      <c r="AL10" s="117">
        <v>1</v>
      </c>
      <c r="AM10" s="117">
        <v>11</v>
      </c>
      <c r="AN10" s="117">
        <v>11</v>
      </c>
      <c r="AO10" s="117">
        <v>27</v>
      </c>
      <c r="AP10" s="117">
        <v>2</v>
      </c>
      <c r="AQ10" s="117">
        <v>166</v>
      </c>
    </row>
    <row r="11" spans="1:43" x14ac:dyDescent="0.25">
      <c r="E11" s="89" t="s">
        <v>1055</v>
      </c>
      <c r="F11" s="117">
        <v>1</v>
      </c>
      <c r="G11" s="117">
        <v>39</v>
      </c>
      <c r="H11" s="117">
        <v>1</v>
      </c>
      <c r="I11" s="117">
        <v>17</v>
      </c>
      <c r="J11" s="117">
        <v>18</v>
      </c>
      <c r="K11" s="117">
        <v>2</v>
      </c>
      <c r="L11" s="117">
        <v>17</v>
      </c>
      <c r="M11" s="117">
        <v>38</v>
      </c>
      <c r="N11" s="117">
        <v>16</v>
      </c>
      <c r="O11" s="117">
        <v>3</v>
      </c>
      <c r="P11" s="117">
        <v>16</v>
      </c>
      <c r="Q11" s="117">
        <v>3</v>
      </c>
      <c r="R11" s="117">
        <v>17</v>
      </c>
      <c r="S11" s="117"/>
      <c r="T11" s="117">
        <v>188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P1373"/>
  <sheetViews>
    <sheetView tabSelected="1" topLeftCell="B1" zoomScale="93" zoomScaleNormal="93" workbookViewId="0">
      <pane ySplit="1" topLeftCell="A1223" activePane="bottomLeft" state="frozen"/>
      <selection activeCell="X1" sqref="X1"/>
      <selection pane="bottomLeft" activeCell="H1232" sqref="H1232"/>
    </sheetView>
  </sheetViews>
  <sheetFormatPr defaultColWidth="9.140625" defaultRowHeight="20.25" customHeight="1" x14ac:dyDescent="0.25"/>
  <cols>
    <col min="1" max="1" width="14.42578125" style="80" bestFit="1" customWidth="1"/>
    <col min="2" max="2" width="12.85546875" style="94" bestFit="1" customWidth="1"/>
    <col min="3" max="3" width="14.28515625" style="78" bestFit="1" customWidth="1"/>
    <col min="4" max="4" width="15.5703125" style="78" bestFit="1" customWidth="1"/>
    <col min="5" max="5" width="18.5703125" style="78" bestFit="1" customWidth="1"/>
    <col min="6" max="6" width="18.85546875" style="80" bestFit="1" customWidth="1"/>
    <col min="7" max="7" width="16" style="78" bestFit="1" customWidth="1"/>
    <col min="8" max="8" width="54.140625" style="80" bestFit="1" customWidth="1"/>
    <col min="9" max="9" width="10.28515625" style="78" hidden="1" customWidth="1"/>
    <col min="10" max="10" width="17" style="78" hidden="1" customWidth="1"/>
    <col min="11" max="11" width="15.7109375" style="80" hidden="1" customWidth="1"/>
    <col min="12" max="12" width="16.28515625" style="80" hidden="1" customWidth="1"/>
    <col min="13" max="13" width="13.28515625" style="80" hidden="1" customWidth="1"/>
    <col min="14" max="14" width="15.7109375" style="80" hidden="1" customWidth="1"/>
    <col min="15" max="15" width="31.5703125" style="78" hidden="1" customWidth="1"/>
    <col min="16" max="16" width="11.5703125" style="78" hidden="1" customWidth="1"/>
    <col min="17" max="17" width="23.7109375" style="78" hidden="1" customWidth="1"/>
    <col min="18" max="18" width="19.28515625" style="78" bestFit="1" customWidth="1"/>
    <col min="19" max="19" width="24.28515625" style="78" hidden="1" customWidth="1"/>
    <col min="20" max="20" width="16.5703125" style="78" hidden="1" customWidth="1"/>
    <col min="21" max="21" width="43.28515625" style="78" hidden="1" customWidth="1"/>
    <col min="22" max="22" width="20.140625" style="80" hidden="1" customWidth="1"/>
    <col min="23" max="23" width="28.5703125" style="80" hidden="1" customWidth="1"/>
    <col min="24" max="24" width="24.5703125" style="78" hidden="1" customWidth="1"/>
    <col min="25" max="25" width="46.5703125" style="80" hidden="1" customWidth="1"/>
    <col min="26" max="26" width="17.5703125" style="78" bestFit="1" customWidth="1"/>
    <col min="27" max="27" width="12.7109375" style="78" hidden="1" customWidth="1"/>
    <col min="28" max="28" width="17.85546875" style="78" bestFit="1" customWidth="1"/>
    <col min="29" max="29" width="31.42578125" style="80" hidden="1" customWidth="1"/>
    <col min="30" max="30" width="20.5703125" style="78" hidden="1" customWidth="1"/>
    <col min="31" max="31" width="18.7109375" style="80" hidden="1" customWidth="1"/>
    <col min="32" max="32" width="22.140625" style="78" hidden="1" customWidth="1"/>
    <col min="33" max="33" width="18" style="78" hidden="1" customWidth="1"/>
    <col min="34" max="34" width="24.85546875" style="78" hidden="1" customWidth="1"/>
    <col min="35" max="35" width="12.42578125" style="78" hidden="1" customWidth="1"/>
    <col min="36" max="36" width="8.42578125" style="78" hidden="1" customWidth="1"/>
    <col min="37" max="37" width="11.5703125" style="78" customWidth="1"/>
    <col min="38" max="40" width="13.85546875" style="78" customWidth="1"/>
    <col min="41" max="41" width="18.42578125" style="78" bestFit="1" customWidth="1"/>
    <col min="42" max="16384" width="9.140625" style="78"/>
  </cols>
  <sheetData>
    <row r="1" spans="1:41" ht="15" x14ac:dyDescent="0.25">
      <c r="A1" s="114" t="s">
        <v>2</v>
      </c>
      <c r="B1" s="115" t="s">
        <v>0</v>
      </c>
      <c r="C1" s="114" t="s">
        <v>1</v>
      </c>
      <c r="D1" s="114" t="s">
        <v>3</v>
      </c>
      <c r="E1" s="114" t="s">
        <v>4</v>
      </c>
      <c r="F1" s="114" t="s">
        <v>6</v>
      </c>
      <c r="G1" s="114" t="s">
        <v>5</v>
      </c>
      <c r="H1" s="114" t="s">
        <v>7</v>
      </c>
      <c r="I1" s="114" t="s">
        <v>8</v>
      </c>
      <c r="J1" s="114" t="s">
        <v>9</v>
      </c>
      <c r="K1" s="114" t="s">
        <v>10</v>
      </c>
      <c r="L1" s="114" t="s">
        <v>12</v>
      </c>
      <c r="M1" s="114" t="s">
        <v>1670</v>
      </c>
      <c r="N1" s="114" t="s">
        <v>13</v>
      </c>
      <c r="O1" s="114" t="s">
        <v>14</v>
      </c>
      <c r="P1" s="114" t="s">
        <v>15</v>
      </c>
      <c r="Q1" s="114" t="s">
        <v>16</v>
      </c>
      <c r="R1" s="114" t="s">
        <v>17</v>
      </c>
      <c r="S1" s="114" t="s">
        <v>470</v>
      </c>
      <c r="T1" s="114" t="s">
        <v>18</v>
      </c>
      <c r="U1" s="114" t="s">
        <v>19</v>
      </c>
      <c r="V1" s="114" t="s">
        <v>20</v>
      </c>
      <c r="W1" s="114" t="s">
        <v>1955</v>
      </c>
      <c r="X1" s="114" t="s">
        <v>21</v>
      </c>
      <c r="Y1" s="114" t="s">
        <v>22</v>
      </c>
      <c r="Z1" s="114" t="s">
        <v>23</v>
      </c>
      <c r="AA1" s="114" t="s">
        <v>24</v>
      </c>
      <c r="AB1" s="114" t="s">
        <v>25</v>
      </c>
      <c r="AC1" s="114" t="s">
        <v>26</v>
      </c>
      <c r="AD1" s="114" t="s">
        <v>27</v>
      </c>
      <c r="AE1" s="114" t="s">
        <v>28</v>
      </c>
      <c r="AF1" s="114" t="s">
        <v>29</v>
      </c>
      <c r="AG1" s="114" t="s">
        <v>30</v>
      </c>
      <c r="AH1" s="114" t="s">
        <v>31</v>
      </c>
      <c r="AI1" s="114" t="s">
        <v>2199</v>
      </c>
      <c r="AJ1" s="114" t="s">
        <v>32</v>
      </c>
      <c r="AK1" s="114" t="s">
        <v>2195</v>
      </c>
      <c r="AL1" s="114" t="s">
        <v>2196</v>
      </c>
      <c r="AM1" s="114" t="s">
        <v>2197</v>
      </c>
      <c r="AN1" s="114" t="s">
        <v>2198</v>
      </c>
      <c r="AO1" s="114" t="s">
        <v>33</v>
      </c>
    </row>
    <row r="2" spans="1:41" customFormat="1" ht="15" hidden="1" x14ac:dyDescent="0.25">
      <c r="A2" s="98">
        <v>45658</v>
      </c>
      <c r="B2" s="99" t="str">
        <f t="shared" ref="B2:B65" si="0">TEXT(A2, "MMMM")</f>
        <v>January</v>
      </c>
      <c r="C2" s="100"/>
      <c r="D2" s="101" t="s">
        <v>1067</v>
      </c>
      <c r="E2" s="101" t="s">
        <v>1017</v>
      </c>
      <c r="F2" s="101" t="s">
        <v>961</v>
      </c>
      <c r="G2" s="101" t="s">
        <v>1261</v>
      </c>
      <c r="H2" s="101" t="s">
        <v>456</v>
      </c>
      <c r="I2" s="101">
        <v>151.68</v>
      </c>
      <c r="J2" s="101" t="s">
        <v>1285</v>
      </c>
      <c r="K2" s="102" t="s">
        <v>469</v>
      </c>
      <c r="L2" s="101">
        <v>670</v>
      </c>
      <c r="M2" s="101">
        <v>612</v>
      </c>
      <c r="N2" s="103">
        <v>-5</v>
      </c>
      <c r="O2" s="100"/>
      <c r="P2" s="98">
        <f>R2-TIME(0,40,0)</f>
        <v>45658.331944444442</v>
      </c>
      <c r="Q2" s="98">
        <v>45658.3125</v>
      </c>
      <c r="R2" s="98">
        <v>45658.359722222223</v>
      </c>
      <c r="S2" s="103">
        <f t="shared" ref="S2:S65" si="1">(R2-Q2)*86000/60</f>
        <v>67.685185186807459</v>
      </c>
      <c r="T2" s="103">
        <f t="shared" ref="T2:T65" si="2">(R2-P2)*86000/60</f>
        <v>39.814814819449872</v>
      </c>
      <c r="U2" s="101"/>
      <c r="V2" s="98">
        <v>45659.422222222223</v>
      </c>
      <c r="W2" s="98">
        <v>45659.574305555558</v>
      </c>
      <c r="X2" s="103">
        <f t="shared" ref="X2:X65" si="3">(W2-V2)*84600/60</f>
        <v>214.43750000136788</v>
      </c>
      <c r="Y2" s="98" t="s">
        <v>1047</v>
      </c>
      <c r="Z2" s="98">
        <v>45660.432305555558</v>
      </c>
      <c r="AA2" s="98">
        <f>Z2+TIME(0,59,0)</f>
        <v>45660.473277777783</v>
      </c>
      <c r="AB2" s="103">
        <f t="shared" ref="AB2:AB65" si="4">(AA2-Z2)*84600/60</f>
        <v>57.770833336981013</v>
      </c>
      <c r="AC2" s="102"/>
      <c r="AD2" s="104">
        <f t="shared" ref="AD2:AD65" si="5">Z2-R2</f>
        <v>2.0725833333344781</v>
      </c>
      <c r="AE2" s="102">
        <v>2</v>
      </c>
      <c r="AF2" s="105">
        <f t="shared" ref="AF2:AF65" si="6">AE2-AD2</f>
        <v>-7.2583333334478084E-2</v>
      </c>
      <c r="AG2" s="104">
        <f t="shared" ref="AG2:AG65" si="7">AD2*24</f>
        <v>49.742000000027474</v>
      </c>
      <c r="AH2" s="104">
        <f t="shared" ref="AH2:AH65" si="8">AG2-AI2</f>
        <v>24</v>
      </c>
      <c r="AI2" s="104">
        <f t="shared" ref="AI2:AI65" si="9" xml:space="preserve"> ((Z2 - R2) * 24) - (INT(Z2 - R2) * 12)</f>
        <v>25.742000000027474</v>
      </c>
      <c r="AJ2" s="104">
        <f t="shared" ref="AJ2:AJ65" si="10">I2/AI2</f>
        <v>5.892316059351959</v>
      </c>
      <c r="AK2" s="104"/>
      <c r="AL2" s="104"/>
      <c r="AM2" s="104"/>
      <c r="AN2" s="104"/>
      <c r="AO2" s="100"/>
    </row>
    <row r="3" spans="1:41" customFormat="1" ht="15" hidden="1" x14ac:dyDescent="0.25">
      <c r="A3" s="82">
        <v>45658.845520833333</v>
      </c>
      <c r="B3" s="94" t="str">
        <f t="shared" si="0"/>
        <v>January</v>
      </c>
      <c r="C3" s="78"/>
      <c r="D3" s="79" t="s">
        <v>1068</v>
      </c>
      <c r="E3" s="79" t="s">
        <v>1016</v>
      </c>
      <c r="F3" s="79" t="s">
        <v>953</v>
      </c>
      <c r="G3" s="79" t="s">
        <v>970</v>
      </c>
      <c r="H3" s="79" t="s">
        <v>468</v>
      </c>
      <c r="I3" s="79">
        <v>140.1</v>
      </c>
      <c r="J3" s="79" t="s">
        <v>1286</v>
      </c>
      <c r="K3" s="80" t="s">
        <v>469</v>
      </c>
      <c r="L3" s="79">
        <v>20</v>
      </c>
      <c r="M3" s="79">
        <v>14</v>
      </c>
      <c r="N3" s="81">
        <v>3</v>
      </c>
      <c r="O3" s="78"/>
      <c r="P3" s="82">
        <f>R3-TIME(0,43,0)</f>
        <v>45659.621527777774</v>
      </c>
      <c r="Q3" s="82">
        <v>45659.320833333331</v>
      </c>
      <c r="R3" s="82">
        <v>45659.651388888888</v>
      </c>
      <c r="S3" s="81">
        <f t="shared" si="1"/>
        <v>473.79629629722331</v>
      </c>
      <c r="T3" s="81">
        <f t="shared" si="2"/>
        <v>42.80092592986572</v>
      </c>
      <c r="U3" s="79"/>
      <c r="V3" s="82">
        <v>45659.671527777777</v>
      </c>
      <c r="W3" s="82">
        <v>45659.806250000001</v>
      </c>
      <c r="X3" s="103">
        <f t="shared" si="3"/>
        <v>189.95833333698101</v>
      </c>
      <c r="Y3" s="82" t="s">
        <v>1049</v>
      </c>
      <c r="Z3" s="82">
        <v>45659.840277777781</v>
      </c>
      <c r="AA3" s="82">
        <v>45659.879166666673</v>
      </c>
      <c r="AB3" s="81">
        <f t="shared" si="4"/>
        <v>54.833333337664953</v>
      </c>
      <c r="AC3" s="80"/>
      <c r="AD3" s="83">
        <f t="shared" si="5"/>
        <v>0.18888888889341615</v>
      </c>
      <c r="AE3" s="80">
        <v>1</v>
      </c>
      <c r="AF3" s="84">
        <f t="shared" si="6"/>
        <v>0.81111111110658385</v>
      </c>
      <c r="AG3" s="83">
        <f t="shared" si="7"/>
        <v>4.5333333334419876</v>
      </c>
      <c r="AH3" s="83">
        <f t="shared" si="8"/>
        <v>0</v>
      </c>
      <c r="AI3" s="83">
        <f t="shared" si="9"/>
        <v>4.5333333334419876</v>
      </c>
      <c r="AJ3" s="83">
        <f t="shared" si="10"/>
        <v>30.904411763965168</v>
      </c>
      <c r="AK3" s="83"/>
      <c r="AL3" s="83"/>
      <c r="AM3" s="83"/>
      <c r="AN3" s="83"/>
      <c r="AO3" s="78"/>
    </row>
    <row r="4" spans="1:41" customFormat="1" ht="15" hidden="1" x14ac:dyDescent="0.25">
      <c r="A4" s="82">
        <v>45658.846192129633</v>
      </c>
      <c r="B4" s="94" t="str">
        <f t="shared" si="0"/>
        <v>January</v>
      </c>
      <c r="C4" s="78"/>
      <c r="D4" s="79" t="s">
        <v>1069</v>
      </c>
      <c r="E4" s="79" t="s">
        <v>1016</v>
      </c>
      <c r="F4" s="79" t="s">
        <v>952</v>
      </c>
      <c r="G4" s="79" t="s">
        <v>969</v>
      </c>
      <c r="H4" s="79" t="s">
        <v>468</v>
      </c>
      <c r="I4" s="79">
        <v>153.60000000000002</v>
      </c>
      <c r="J4" s="79" t="s">
        <v>1287</v>
      </c>
      <c r="K4" s="80" t="s">
        <v>469</v>
      </c>
      <c r="L4" s="79">
        <v>20</v>
      </c>
      <c r="M4" s="79">
        <v>13</v>
      </c>
      <c r="N4" s="81">
        <f t="shared" ref="N4:N67" si="11">M4-L4</f>
        <v>-7</v>
      </c>
      <c r="O4" s="78"/>
      <c r="P4" s="82">
        <f>R4-TIME(0,37,0)</f>
        <v>45659.449305555558</v>
      </c>
      <c r="Q4" s="82">
        <v>45659.320833333331</v>
      </c>
      <c r="R4" s="82">
        <v>45659.474999999999</v>
      </c>
      <c r="S4" s="81">
        <f t="shared" si="1"/>
        <v>220.97222222291748</v>
      </c>
      <c r="T4" s="81">
        <f t="shared" si="2"/>
        <v>36.828703698605146</v>
      </c>
      <c r="U4" s="79"/>
      <c r="V4" s="82">
        <v>45659.501388888886</v>
      </c>
      <c r="W4" s="82">
        <v>45659.694444444445</v>
      </c>
      <c r="X4" s="103">
        <f t="shared" si="3"/>
        <v>272.20833333834889</v>
      </c>
      <c r="Y4" s="82" t="s">
        <v>1046</v>
      </c>
      <c r="Z4" s="82">
        <v>45659.720138888886</v>
      </c>
      <c r="AA4" s="82">
        <v>45659.761111111111</v>
      </c>
      <c r="AB4" s="81">
        <f t="shared" si="4"/>
        <v>57.770833336981013</v>
      </c>
      <c r="AC4" s="80"/>
      <c r="AD4" s="83">
        <f t="shared" si="5"/>
        <v>0.24513888888759539</v>
      </c>
      <c r="AE4" s="80">
        <v>1</v>
      </c>
      <c r="AF4" s="84">
        <f t="shared" si="6"/>
        <v>0.75486111111240461</v>
      </c>
      <c r="AG4" s="83">
        <f t="shared" si="7"/>
        <v>5.8833333333022892</v>
      </c>
      <c r="AH4" s="83">
        <f t="shared" si="8"/>
        <v>0</v>
      </c>
      <c r="AI4" s="83">
        <f t="shared" si="9"/>
        <v>5.8833333333022892</v>
      </c>
      <c r="AJ4" s="83">
        <f t="shared" si="10"/>
        <v>26.107648725350227</v>
      </c>
      <c r="AK4" s="83"/>
      <c r="AL4" s="83"/>
      <c r="AM4" s="83"/>
      <c r="AN4" s="83"/>
      <c r="AO4" s="78"/>
    </row>
    <row r="5" spans="1:41" customFormat="1" ht="15" hidden="1" x14ac:dyDescent="0.25">
      <c r="A5" s="82">
        <v>45658.846736111111</v>
      </c>
      <c r="B5" s="94" t="str">
        <f t="shared" si="0"/>
        <v>January</v>
      </c>
      <c r="C5" s="78"/>
      <c r="D5" s="79" t="s">
        <v>1070</v>
      </c>
      <c r="E5" s="79" t="s">
        <v>1016</v>
      </c>
      <c r="F5" s="79" t="s">
        <v>962</v>
      </c>
      <c r="G5" s="79" t="s">
        <v>978</v>
      </c>
      <c r="H5" s="79" t="s">
        <v>461</v>
      </c>
      <c r="I5" s="79">
        <v>153.60000000000002</v>
      </c>
      <c r="J5" s="79" t="s">
        <v>1288</v>
      </c>
      <c r="K5" s="80" t="s">
        <v>469</v>
      </c>
      <c r="L5" s="79">
        <v>340</v>
      </c>
      <c r="M5" s="79">
        <f>L5+2</f>
        <v>342</v>
      </c>
      <c r="N5" s="81">
        <f t="shared" si="11"/>
        <v>2</v>
      </c>
      <c r="O5" s="78"/>
      <c r="P5" s="82">
        <v>45659.290972222225</v>
      </c>
      <c r="Q5" s="82">
        <v>45659.176388888889</v>
      </c>
      <c r="R5" s="82">
        <v>45659.317361111112</v>
      </c>
      <c r="S5" s="81">
        <f t="shared" si="1"/>
        <v>202.06018518680744</v>
      </c>
      <c r="T5" s="81">
        <f t="shared" si="2"/>
        <v>37.82407407222005</v>
      </c>
      <c r="U5" s="79"/>
      <c r="V5" s="82">
        <v>45659.39166666667</v>
      </c>
      <c r="W5" s="82">
        <v>45659.565972222219</v>
      </c>
      <c r="X5" s="103">
        <f t="shared" si="3"/>
        <v>245.77083332398615</v>
      </c>
      <c r="Y5" s="82" t="s">
        <v>1038</v>
      </c>
      <c r="Z5" s="82">
        <v>45660.390277777777</v>
      </c>
      <c r="AA5" s="82">
        <f>Z5+TIME(0,59,0)</f>
        <v>45660.431250000001</v>
      </c>
      <c r="AB5" s="81">
        <f t="shared" si="4"/>
        <v>57.770833336981013</v>
      </c>
      <c r="AC5" s="80"/>
      <c r="AD5" s="83">
        <f t="shared" si="5"/>
        <v>1.0729166666642413</v>
      </c>
      <c r="AE5" s="80">
        <v>1</v>
      </c>
      <c r="AF5" s="84">
        <f t="shared" si="6"/>
        <v>-7.2916666664241347E-2</v>
      </c>
      <c r="AG5" s="83">
        <f t="shared" si="7"/>
        <v>25.749999999941792</v>
      </c>
      <c r="AH5" s="83">
        <f t="shared" si="8"/>
        <v>12</v>
      </c>
      <c r="AI5" s="83">
        <f t="shared" si="9"/>
        <v>13.749999999941792</v>
      </c>
      <c r="AJ5" s="83">
        <f t="shared" si="10"/>
        <v>11.170909090956382</v>
      </c>
      <c r="AK5" s="83"/>
      <c r="AL5" s="83"/>
      <c r="AM5" s="83"/>
      <c r="AN5" s="83"/>
      <c r="AO5" s="78"/>
    </row>
    <row r="6" spans="1:41" customFormat="1" ht="15" hidden="1" x14ac:dyDescent="0.25">
      <c r="A6" s="82">
        <v>45658.847858796296</v>
      </c>
      <c r="B6" s="94" t="str">
        <f t="shared" si="0"/>
        <v>January</v>
      </c>
      <c r="C6" s="78"/>
      <c r="D6" s="79" t="s">
        <v>1071</v>
      </c>
      <c r="E6" s="79" t="s">
        <v>1016</v>
      </c>
      <c r="F6" s="79" t="s">
        <v>964</v>
      </c>
      <c r="G6" s="79" t="s">
        <v>979</v>
      </c>
      <c r="H6" s="79" t="s">
        <v>459</v>
      </c>
      <c r="I6" s="79">
        <v>153.60000000000002</v>
      </c>
      <c r="J6" s="79" t="s">
        <v>1289</v>
      </c>
      <c r="K6" s="80" t="s">
        <v>469</v>
      </c>
      <c r="L6" s="79">
        <v>560</v>
      </c>
      <c r="M6" s="79">
        <f>L6-1</f>
        <v>559</v>
      </c>
      <c r="N6" s="81">
        <f t="shared" si="11"/>
        <v>-1</v>
      </c>
      <c r="O6" s="78"/>
      <c r="P6" s="82">
        <f>R6-TIME(0,65,0)</f>
        <v>45659.487499999996</v>
      </c>
      <c r="Q6" s="82">
        <v>45658.895833333336</v>
      </c>
      <c r="R6" s="82">
        <v>45659.532638888886</v>
      </c>
      <c r="S6" s="81">
        <f t="shared" si="1"/>
        <v>912.75462962221354</v>
      </c>
      <c r="T6" s="81">
        <f t="shared" si="2"/>
        <v>64.699074076391597</v>
      </c>
      <c r="U6" s="79" t="s">
        <v>562</v>
      </c>
      <c r="V6" s="82">
        <v>45660.447916666664</v>
      </c>
      <c r="W6" s="82">
        <v>45660.649305555555</v>
      </c>
      <c r="X6" s="103">
        <f t="shared" si="3"/>
        <v>283.95833333561313</v>
      </c>
      <c r="Y6" s="82" t="s">
        <v>1044</v>
      </c>
      <c r="Z6" s="82">
        <v>45661.486111111109</v>
      </c>
      <c r="AA6" s="82">
        <f>Z6+TIME(0,54,0)</f>
        <v>45661.523611111108</v>
      </c>
      <c r="AB6" s="81">
        <f t="shared" si="4"/>
        <v>52.87499999794818</v>
      </c>
      <c r="AC6" s="80"/>
      <c r="AD6" s="83">
        <f t="shared" si="5"/>
        <v>1.953472222223354</v>
      </c>
      <c r="AE6" s="80">
        <v>2</v>
      </c>
      <c r="AF6" s="84">
        <f t="shared" si="6"/>
        <v>4.6527777776645962E-2</v>
      </c>
      <c r="AG6" s="83">
        <f t="shared" si="7"/>
        <v>46.883333333360497</v>
      </c>
      <c r="AH6" s="83">
        <f t="shared" si="8"/>
        <v>12</v>
      </c>
      <c r="AI6" s="83">
        <f t="shared" si="9"/>
        <v>34.883333333360497</v>
      </c>
      <c r="AJ6" s="83">
        <f t="shared" si="10"/>
        <v>4.4032489249846272</v>
      </c>
      <c r="AK6" s="83"/>
      <c r="AL6" s="83"/>
      <c r="AM6" s="83"/>
      <c r="AN6" s="83"/>
      <c r="AO6" s="78"/>
    </row>
    <row r="7" spans="1:41" customFormat="1" ht="15" hidden="1" x14ac:dyDescent="0.25">
      <c r="A7" s="82">
        <v>45658.849062499998</v>
      </c>
      <c r="B7" s="94" t="str">
        <f t="shared" si="0"/>
        <v>January</v>
      </c>
      <c r="C7" s="78"/>
      <c r="D7" s="79" t="s">
        <v>1072</v>
      </c>
      <c r="E7" s="79" t="s">
        <v>1017</v>
      </c>
      <c r="F7" s="79" t="s">
        <v>965</v>
      </c>
      <c r="G7" s="79" t="s">
        <v>980</v>
      </c>
      <c r="H7" s="79" t="s">
        <v>988</v>
      </c>
      <c r="I7" s="79">
        <v>153.60000000000002</v>
      </c>
      <c r="J7" s="79" t="s">
        <v>1290</v>
      </c>
      <c r="K7" s="80" t="s">
        <v>469</v>
      </c>
      <c r="L7" s="79">
        <v>130</v>
      </c>
      <c r="M7" s="79">
        <f>L7-1</f>
        <v>129</v>
      </c>
      <c r="N7" s="81">
        <f t="shared" si="11"/>
        <v>-1</v>
      </c>
      <c r="O7" s="78"/>
      <c r="P7" s="82">
        <f>R7-TIME(0,77,0)</f>
        <v>45659.342812499999</v>
      </c>
      <c r="Q7" s="82">
        <v>45659.349062499998</v>
      </c>
      <c r="R7" s="82">
        <v>45659.396284722221</v>
      </c>
      <c r="S7" s="81">
        <f t="shared" si="1"/>
        <v>67.685185186807459</v>
      </c>
      <c r="T7" s="81">
        <f t="shared" si="2"/>
        <v>76.643518518055018</v>
      </c>
      <c r="U7" s="79" t="s">
        <v>1671</v>
      </c>
      <c r="V7" s="82">
        <v>45659.500451388885</v>
      </c>
      <c r="W7" s="82">
        <v>45659.708784722221</v>
      </c>
      <c r="X7" s="103">
        <f t="shared" si="3"/>
        <v>293.7500000034197</v>
      </c>
      <c r="Y7" s="82" t="s">
        <v>1044</v>
      </c>
      <c r="Z7" s="82">
        <v>45659.799062500002</v>
      </c>
      <c r="AA7" s="82">
        <v>45659.837951388894</v>
      </c>
      <c r="AB7" s="81">
        <f t="shared" si="4"/>
        <v>54.833333337664953</v>
      </c>
      <c r="AC7" s="80"/>
      <c r="AD7" s="83">
        <f t="shared" si="5"/>
        <v>0.40277777778101154</v>
      </c>
      <c r="AE7" s="80">
        <v>1</v>
      </c>
      <c r="AF7" s="84">
        <f t="shared" si="6"/>
        <v>0.59722222221898846</v>
      </c>
      <c r="AG7" s="83">
        <f t="shared" si="7"/>
        <v>9.6666666667442769</v>
      </c>
      <c r="AH7" s="83">
        <f t="shared" si="8"/>
        <v>0</v>
      </c>
      <c r="AI7" s="83">
        <f t="shared" si="9"/>
        <v>9.6666666667442769</v>
      </c>
      <c r="AJ7" s="83">
        <f t="shared" si="10"/>
        <v>15.889655172286224</v>
      </c>
      <c r="AK7" s="83"/>
      <c r="AL7" s="83"/>
      <c r="AM7" s="83"/>
      <c r="AN7" s="83"/>
      <c r="AO7" s="78"/>
    </row>
    <row r="8" spans="1:41" customFormat="1" ht="15" hidden="1" x14ac:dyDescent="0.25">
      <c r="A8" s="82">
        <v>45658.852916666663</v>
      </c>
      <c r="B8" s="94" t="str">
        <f t="shared" si="0"/>
        <v>January</v>
      </c>
      <c r="C8" s="78"/>
      <c r="D8" s="79" t="s">
        <v>1073</v>
      </c>
      <c r="E8" s="79" t="s">
        <v>1016</v>
      </c>
      <c r="F8" s="79" t="s">
        <v>1268</v>
      </c>
      <c r="G8" s="79" t="s">
        <v>52</v>
      </c>
      <c r="H8" s="79" t="s">
        <v>451</v>
      </c>
      <c r="I8" s="79">
        <v>133.44</v>
      </c>
      <c r="J8" s="79" t="s">
        <v>1291</v>
      </c>
      <c r="K8" s="80" t="s">
        <v>469</v>
      </c>
      <c r="L8" s="79">
        <v>790</v>
      </c>
      <c r="M8" s="79">
        <f>L8+2</f>
        <v>792</v>
      </c>
      <c r="N8" s="81">
        <f t="shared" si="11"/>
        <v>2</v>
      </c>
      <c r="O8" s="78"/>
      <c r="P8" s="82">
        <f>R8-TIME(0,40,0)</f>
        <v>45658.844444444439</v>
      </c>
      <c r="Q8" s="82">
        <v>45659.658333333333</v>
      </c>
      <c r="R8" s="82">
        <v>45658.87222222222</v>
      </c>
      <c r="S8" s="81">
        <f t="shared" si="1"/>
        <v>-1126.7592592611134</v>
      </c>
      <c r="T8" s="81">
        <f t="shared" si="2"/>
        <v>39.814814819449872</v>
      </c>
      <c r="U8" s="79"/>
      <c r="V8" s="82">
        <v>45660.331944444442</v>
      </c>
      <c r="W8" s="82">
        <v>45660.511111111111</v>
      </c>
      <c r="X8" s="103">
        <f t="shared" si="3"/>
        <v>252.62500000273576</v>
      </c>
      <c r="Y8" s="82" t="s">
        <v>1040</v>
      </c>
      <c r="Z8" s="82">
        <v>45661.477083333331</v>
      </c>
      <c r="AA8" s="82">
        <f>Z8+TIME(0,59,0)</f>
        <v>45661.518055555556</v>
      </c>
      <c r="AB8" s="81">
        <f t="shared" si="4"/>
        <v>57.770833336981013</v>
      </c>
      <c r="AC8" s="80"/>
      <c r="AD8" s="83">
        <f t="shared" si="5"/>
        <v>2.6048611111109494</v>
      </c>
      <c r="AE8" s="80">
        <v>3</v>
      </c>
      <c r="AF8" s="84">
        <f t="shared" si="6"/>
        <v>0.39513888888905058</v>
      </c>
      <c r="AG8" s="83">
        <f t="shared" si="7"/>
        <v>62.516666666662786</v>
      </c>
      <c r="AH8" s="83">
        <f t="shared" si="8"/>
        <v>24</v>
      </c>
      <c r="AI8" s="83">
        <f t="shared" si="9"/>
        <v>38.516666666662786</v>
      </c>
      <c r="AJ8" s="83">
        <f t="shared" si="10"/>
        <v>3.464474253570232</v>
      </c>
      <c r="AK8" s="83"/>
      <c r="AL8" s="83"/>
      <c r="AM8" s="83"/>
      <c r="AN8" s="83"/>
      <c r="AO8" s="78"/>
    </row>
    <row r="9" spans="1:41" customFormat="1" ht="15" hidden="1" x14ac:dyDescent="0.25">
      <c r="A9" s="82">
        <v>45659.73982638889</v>
      </c>
      <c r="B9" s="94" t="str">
        <f t="shared" si="0"/>
        <v>January</v>
      </c>
      <c r="C9" s="78"/>
      <c r="D9" s="79" t="s">
        <v>1074</v>
      </c>
      <c r="E9" s="79" t="s">
        <v>1016</v>
      </c>
      <c r="F9" s="79" t="s">
        <v>950</v>
      </c>
      <c r="G9" s="79" t="s">
        <v>967</v>
      </c>
      <c r="H9" s="79" t="s">
        <v>1282</v>
      </c>
      <c r="I9" s="79">
        <v>153.60000000000002</v>
      </c>
      <c r="J9" s="79" t="s">
        <v>1292</v>
      </c>
      <c r="K9" s="80" t="s">
        <v>469</v>
      </c>
      <c r="L9" s="79">
        <v>810</v>
      </c>
      <c r="M9" s="79">
        <f>L9+2</f>
        <v>812</v>
      </c>
      <c r="N9" s="81">
        <f t="shared" si="11"/>
        <v>2</v>
      </c>
      <c r="O9" s="78"/>
      <c r="P9" s="82">
        <f>R9-TIME(0,39,0)</f>
        <v>45660.320833333331</v>
      </c>
      <c r="Q9" s="82">
        <v>45659.8125</v>
      </c>
      <c r="R9" s="82">
        <v>45660.347916666666</v>
      </c>
      <c r="S9" s="81">
        <f t="shared" si="1"/>
        <v>767.43055555416504</v>
      </c>
      <c r="T9" s="81">
        <f t="shared" si="2"/>
        <v>38.819444445834961</v>
      </c>
      <c r="U9" s="79"/>
      <c r="V9" s="82">
        <v>45660.865972222222</v>
      </c>
      <c r="W9" s="82">
        <v>45661.582638888889</v>
      </c>
      <c r="X9" s="103">
        <f t="shared" si="3"/>
        <v>1010.5000000006839</v>
      </c>
      <c r="Y9" s="82" t="s">
        <v>1044</v>
      </c>
      <c r="Z9" s="82">
        <v>45662.632638888892</v>
      </c>
      <c r="AA9" s="82">
        <v>45662.666666666672</v>
      </c>
      <c r="AB9" s="81">
        <f t="shared" si="4"/>
        <v>47.979166669174447</v>
      </c>
      <c r="AC9" s="80"/>
      <c r="AD9" s="83">
        <f t="shared" si="5"/>
        <v>2.2847222222262644</v>
      </c>
      <c r="AE9" s="80">
        <v>3</v>
      </c>
      <c r="AF9" s="84">
        <f t="shared" si="6"/>
        <v>0.71527777777373558</v>
      </c>
      <c r="AG9" s="83">
        <f t="shared" si="7"/>
        <v>54.833333333430346</v>
      </c>
      <c r="AH9" s="83">
        <f t="shared" si="8"/>
        <v>24</v>
      </c>
      <c r="AI9" s="83">
        <f t="shared" si="9"/>
        <v>30.833333333430346</v>
      </c>
      <c r="AJ9" s="83">
        <f t="shared" si="10"/>
        <v>4.9816216216059486</v>
      </c>
      <c r="AK9" s="83"/>
      <c r="AL9" s="83"/>
      <c r="AM9" s="83"/>
      <c r="AN9" s="83"/>
      <c r="AO9" s="78"/>
    </row>
    <row r="10" spans="1:41" customFormat="1" ht="15" hidden="1" x14ac:dyDescent="0.25">
      <c r="A10" s="82">
        <v>45659.740497685183</v>
      </c>
      <c r="B10" s="94" t="str">
        <f t="shared" si="0"/>
        <v>January</v>
      </c>
      <c r="C10" s="78"/>
      <c r="D10" s="79" t="s">
        <v>1075</v>
      </c>
      <c r="E10" s="79" t="s">
        <v>1016</v>
      </c>
      <c r="F10" s="79" t="s">
        <v>965</v>
      </c>
      <c r="G10" s="79" t="s">
        <v>980</v>
      </c>
      <c r="H10" s="79" t="s">
        <v>461</v>
      </c>
      <c r="I10" s="79">
        <v>153.60000000000002</v>
      </c>
      <c r="J10" s="79" t="s">
        <v>1293</v>
      </c>
      <c r="K10" s="80" t="s">
        <v>469</v>
      </c>
      <c r="L10" s="79">
        <v>340</v>
      </c>
      <c r="M10" s="79">
        <v>340</v>
      </c>
      <c r="N10" s="81">
        <f t="shared" si="11"/>
        <v>0</v>
      </c>
      <c r="O10" s="78"/>
      <c r="P10" s="82">
        <f>R10-TIME(0,43,0)</f>
        <v>45659.750694444439</v>
      </c>
      <c r="Q10" s="82">
        <v>45660.176388888889</v>
      </c>
      <c r="R10" s="82">
        <v>45659.780555555553</v>
      </c>
      <c r="S10" s="81">
        <f t="shared" si="1"/>
        <v>-567.3611111145874</v>
      </c>
      <c r="T10" s="81">
        <f t="shared" si="2"/>
        <v>42.80092592986572</v>
      </c>
      <c r="U10" s="79"/>
      <c r="V10" s="82">
        <v>45660.506249999999</v>
      </c>
      <c r="W10" s="82">
        <v>45660.631249999999</v>
      </c>
      <c r="X10" s="103">
        <f t="shared" si="3"/>
        <v>176.25</v>
      </c>
      <c r="Y10" s="82"/>
      <c r="Z10" s="82">
        <v>45661.444444444445</v>
      </c>
      <c r="AA10" s="82">
        <v>45661.483333333337</v>
      </c>
      <c r="AB10" s="81">
        <f t="shared" si="4"/>
        <v>54.833333337664953</v>
      </c>
      <c r="AC10" s="80"/>
      <c r="AD10" s="83">
        <f t="shared" si="5"/>
        <v>1.663888888891961</v>
      </c>
      <c r="AE10" s="80">
        <v>2</v>
      </c>
      <c r="AF10" s="84">
        <f t="shared" si="6"/>
        <v>0.33611111110803904</v>
      </c>
      <c r="AG10" s="83">
        <f t="shared" si="7"/>
        <v>39.933333333407063</v>
      </c>
      <c r="AH10" s="83">
        <f t="shared" si="8"/>
        <v>12</v>
      </c>
      <c r="AI10" s="83">
        <f t="shared" si="9"/>
        <v>27.933333333407063</v>
      </c>
      <c r="AJ10" s="83">
        <f t="shared" si="10"/>
        <v>5.4988066825630524</v>
      </c>
      <c r="AK10" s="83"/>
      <c r="AL10" s="83"/>
      <c r="AM10" s="83"/>
      <c r="AN10" s="83"/>
      <c r="AO10" s="78"/>
    </row>
    <row r="11" spans="1:41" customFormat="1" ht="15" hidden="1" x14ac:dyDescent="0.25">
      <c r="A11" s="82">
        <v>45659.967291666668</v>
      </c>
      <c r="B11" s="94" t="str">
        <f t="shared" si="0"/>
        <v>January</v>
      </c>
      <c r="C11" s="78"/>
      <c r="D11" s="79" t="s">
        <v>1076</v>
      </c>
      <c r="E11" s="79" t="s">
        <v>1016</v>
      </c>
      <c r="F11" s="79" t="s">
        <v>962</v>
      </c>
      <c r="G11" s="79" t="s">
        <v>978</v>
      </c>
      <c r="H11" s="79" t="s">
        <v>448</v>
      </c>
      <c r="I11" s="79">
        <v>153.6</v>
      </c>
      <c r="J11" s="79" t="s">
        <v>1294</v>
      </c>
      <c r="K11" s="80" t="s">
        <v>469</v>
      </c>
      <c r="L11" s="79">
        <v>560</v>
      </c>
      <c r="M11" s="79">
        <f>L11+2</f>
        <v>562</v>
      </c>
      <c r="N11" s="81">
        <f t="shared" si="11"/>
        <v>2</v>
      </c>
      <c r="O11" s="78"/>
      <c r="P11" s="82">
        <f>R11-TIME(0,59,0)</f>
        <v>45660.5625</v>
      </c>
      <c r="Q11" s="82">
        <v>45660.333333333336</v>
      </c>
      <c r="R11" s="82">
        <v>45660.603472222225</v>
      </c>
      <c r="S11" s="81">
        <f t="shared" si="1"/>
        <v>387.19907407430583</v>
      </c>
      <c r="T11" s="81">
        <f t="shared" si="2"/>
        <v>58.726851855559893</v>
      </c>
      <c r="U11" s="79" t="s">
        <v>562</v>
      </c>
      <c r="V11" s="82">
        <v>45660.881249999999</v>
      </c>
      <c r="W11" s="82">
        <v>45661.524305555555</v>
      </c>
      <c r="X11" s="103">
        <f t="shared" si="3"/>
        <v>906.70833333424525</v>
      </c>
      <c r="Y11" s="82" t="s">
        <v>1047</v>
      </c>
      <c r="Z11" s="82">
        <v>45663.59097222222</v>
      </c>
      <c r="AA11" s="82">
        <f>Z11+TIME(0,59,0)</f>
        <v>45663.631944444445</v>
      </c>
      <c r="AB11" s="81">
        <f t="shared" si="4"/>
        <v>57.770833336981013</v>
      </c>
      <c r="AC11" s="80"/>
      <c r="AD11" s="83">
        <f t="shared" si="5"/>
        <v>2.9874999999956344</v>
      </c>
      <c r="AE11" s="80">
        <v>2</v>
      </c>
      <c r="AF11" s="84">
        <f t="shared" si="6"/>
        <v>-0.98749999999563443</v>
      </c>
      <c r="AG11" s="83">
        <f t="shared" si="7"/>
        <v>71.699999999895226</v>
      </c>
      <c r="AH11" s="83">
        <f t="shared" si="8"/>
        <v>24</v>
      </c>
      <c r="AI11" s="83">
        <f t="shared" si="9"/>
        <v>47.699999999895226</v>
      </c>
      <c r="AJ11" s="83">
        <f t="shared" si="10"/>
        <v>3.2201257861705948</v>
      </c>
      <c r="AK11" s="83"/>
      <c r="AL11" s="83"/>
      <c r="AM11" s="83"/>
      <c r="AN11" s="83"/>
      <c r="AO11" s="78"/>
    </row>
    <row r="12" spans="1:41" customFormat="1" ht="15" hidden="1" x14ac:dyDescent="0.25">
      <c r="A12" s="82">
        <v>45659.968009259261</v>
      </c>
      <c r="B12" s="94" t="str">
        <f t="shared" si="0"/>
        <v>January</v>
      </c>
      <c r="C12" s="78"/>
      <c r="D12" s="79" t="s">
        <v>1077</v>
      </c>
      <c r="E12" s="79" t="s">
        <v>1016</v>
      </c>
      <c r="F12" s="79" t="s">
        <v>956</v>
      </c>
      <c r="G12" s="79" t="s">
        <v>973</v>
      </c>
      <c r="H12" s="79" t="s">
        <v>468</v>
      </c>
      <c r="I12" s="79">
        <v>149.4</v>
      </c>
      <c r="J12" s="79" t="s">
        <v>1295</v>
      </c>
      <c r="K12" s="80" t="s">
        <v>469</v>
      </c>
      <c r="L12" s="79">
        <v>20</v>
      </c>
      <c r="M12" s="79">
        <f>L12+2</f>
        <v>22</v>
      </c>
      <c r="N12" s="81">
        <f t="shared" si="11"/>
        <v>2</v>
      </c>
      <c r="O12" s="78"/>
      <c r="P12" s="82">
        <v>45660.582638888889</v>
      </c>
      <c r="Q12" s="82">
        <v>45660.333333333336</v>
      </c>
      <c r="R12" s="82">
        <v>45660.609027777777</v>
      </c>
      <c r="S12" s="81">
        <f t="shared" si="1"/>
        <v>395.1620370319385</v>
      </c>
      <c r="T12" s="81">
        <f t="shared" si="2"/>
        <v>37.82407407222005</v>
      </c>
      <c r="U12" s="79"/>
      <c r="V12" s="82">
        <v>45660.657638888886</v>
      </c>
      <c r="W12" s="82">
        <v>45660.781944444447</v>
      </c>
      <c r="X12" s="103">
        <f t="shared" si="3"/>
        <v>175.27083334040071</v>
      </c>
      <c r="Y12" s="82"/>
      <c r="Z12" s="82">
        <v>45660.802777777775</v>
      </c>
      <c r="AA12" s="82">
        <v>45660.838888888888</v>
      </c>
      <c r="AB12" s="81">
        <f t="shared" si="4"/>
        <v>50.916666668490507</v>
      </c>
      <c r="AC12" s="80"/>
      <c r="AD12" s="83">
        <f t="shared" si="5"/>
        <v>0.19374999999854481</v>
      </c>
      <c r="AE12" s="80">
        <v>2</v>
      </c>
      <c r="AF12" s="84">
        <f t="shared" si="6"/>
        <v>1.8062500000014552</v>
      </c>
      <c r="AG12" s="83">
        <f t="shared" si="7"/>
        <v>4.6499999999650754</v>
      </c>
      <c r="AH12" s="83">
        <f t="shared" si="8"/>
        <v>0</v>
      </c>
      <c r="AI12" s="83">
        <f t="shared" si="9"/>
        <v>4.6499999999650754</v>
      </c>
      <c r="AJ12" s="83">
        <f t="shared" si="10"/>
        <v>32.129032258305827</v>
      </c>
      <c r="AK12" s="83"/>
      <c r="AL12" s="83"/>
      <c r="AM12" s="83"/>
      <c r="AN12" s="83"/>
      <c r="AO12" s="78"/>
    </row>
    <row r="13" spans="1:41" customFormat="1" ht="15" hidden="1" x14ac:dyDescent="0.25">
      <c r="A13" s="82">
        <v>45659.968657407408</v>
      </c>
      <c r="B13" s="94" t="str">
        <f t="shared" si="0"/>
        <v>January</v>
      </c>
      <c r="C13" s="78"/>
      <c r="D13" s="79" t="s">
        <v>1078</v>
      </c>
      <c r="E13" s="79" t="s">
        <v>1016</v>
      </c>
      <c r="F13" s="79" t="s">
        <v>953</v>
      </c>
      <c r="G13" s="79" t="s">
        <v>970</v>
      </c>
      <c r="H13" s="79" t="s">
        <v>450</v>
      </c>
      <c r="I13" s="79">
        <v>153.60000000000002</v>
      </c>
      <c r="J13" s="79" t="s">
        <v>1296</v>
      </c>
      <c r="K13" s="80" t="s">
        <v>469</v>
      </c>
      <c r="L13" s="79">
        <v>230</v>
      </c>
      <c r="M13" s="79">
        <v>230</v>
      </c>
      <c r="N13" s="81">
        <f t="shared" si="11"/>
        <v>0</v>
      </c>
      <c r="O13" s="78"/>
      <c r="P13" s="82">
        <v>45660.382638888892</v>
      </c>
      <c r="Q13" s="82">
        <v>45660.375</v>
      </c>
      <c r="R13" s="82">
        <v>45660.413194444445</v>
      </c>
      <c r="S13" s="81">
        <f t="shared" si="1"/>
        <v>54.745370371529134</v>
      </c>
      <c r="T13" s="81">
        <f t="shared" si="2"/>
        <v>43.796296293051761</v>
      </c>
      <c r="U13" s="79"/>
      <c r="V13" s="82">
        <v>45660.548611111109</v>
      </c>
      <c r="W13" s="82">
        <v>45660.713888888888</v>
      </c>
      <c r="X13" s="103">
        <f t="shared" si="3"/>
        <v>233.04166666712263</v>
      </c>
      <c r="Y13" s="82" t="s">
        <v>1044</v>
      </c>
      <c r="Z13" s="82">
        <v>45661.397916666669</v>
      </c>
      <c r="AA13" s="82">
        <f>Z13+TIME(0,59,0)</f>
        <v>45661.438888888893</v>
      </c>
      <c r="AB13" s="81">
        <f t="shared" si="4"/>
        <v>57.770833336981013</v>
      </c>
      <c r="AC13" s="80"/>
      <c r="AD13" s="83">
        <f t="shared" si="5"/>
        <v>0.98472222222335404</v>
      </c>
      <c r="AE13" s="80">
        <v>2</v>
      </c>
      <c r="AF13" s="84">
        <f t="shared" si="6"/>
        <v>1.015277777776646</v>
      </c>
      <c r="AG13" s="83">
        <f t="shared" si="7"/>
        <v>23.633333333360497</v>
      </c>
      <c r="AH13" s="83">
        <f t="shared" si="8"/>
        <v>0</v>
      </c>
      <c r="AI13" s="83">
        <f t="shared" si="9"/>
        <v>23.633333333360497</v>
      </c>
      <c r="AJ13" s="83">
        <f t="shared" si="10"/>
        <v>6.4992947813747595</v>
      </c>
      <c r="AK13" s="83"/>
      <c r="AL13" s="83"/>
      <c r="AM13" s="83"/>
      <c r="AN13" s="83"/>
      <c r="AO13" s="78"/>
    </row>
    <row r="14" spans="1:41" customFormat="1" ht="15" hidden="1" x14ac:dyDescent="0.25">
      <c r="A14" s="82">
        <v>45659.969259259262</v>
      </c>
      <c r="B14" s="94" t="str">
        <f t="shared" si="0"/>
        <v>January</v>
      </c>
      <c r="C14" s="78"/>
      <c r="D14" s="79" t="s">
        <v>1079</v>
      </c>
      <c r="E14" s="79" t="s">
        <v>1016</v>
      </c>
      <c r="F14" s="79" t="s">
        <v>952</v>
      </c>
      <c r="G14" s="79" t="s">
        <v>969</v>
      </c>
      <c r="H14" s="79" t="s">
        <v>1283</v>
      </c>
      <c r="I14" s="79">
        <v>153.60000000000002</v>
      </c>
      <c r="J14" s="79" t="s">
        <v>1297</v>
      </c>
      <c r="K14" s="80" t="s">
        <v>469</v>
      </c>
      <c r="L14" s="79">
        <v>302</v>
      </c>
      <c r="M14" s="79">
        <v>293</v>
      </c>
      <c r="N14" s="81">
        <f t="shared" si="11"/>
        <v>-9</v>
      </c>
      <c r="O14" s="78"/>
      <c r="P14" s="82">
        <f>R14-TIME(0,57,0)</f>
        <v>45660.261805555558</v>
      </c>
      <c r="Q14" s="82">
        <v>45660.354166666664</v>
      </c>
      <c r="R14" s="82">
        <v>45660.301388888889</v>
      </c>
      <c r="S14" s="81">
        <f t="shared" si="1"/>
        <v>-75.6481481444401</v>
      </c>
      <c r="T14" s="81">
        <f t="shared" si="2"/>
        <v>56.736111108330078</v>
      </c>
      <c r="U14" s="79" t="s">
        <v>1681</v>
      </c>
      <c r="V14" s="82">
        <v>45660.525694444441</v>
      </c>
      <c r="W14" s="82">
        <v>45660.606944444444</v>
      </c>
      <c r="X14" s="103">
        <f t="shared" si="3"/>
        <v>114.56250000410364</v>
      </c>
      <c r="Y14" s="82"/>
      <c r="Z14" s="82">
        <v>45661.35833333333</v>
      </c>
      <c r="AA14" s="82">
        <v>45661.394444444442</v>
      </c>
      <c r="AB14" s="81">
        <f t="shared" si="4"/>
        <v>50.916666668490507</v>
      </c>
      <c r="AC14" s="80"/>
      <c r="AD14" s="83">
        <f t="shared" si="5"/>
        <v>1.0569444444408873</v>
      </c>
      <c r="AE14" s="80">
        <v>2</v>
      </c>
      <c r="AF14" s="84">
        <f t="shared" si="6"/>
        <v>0.94305555555911269</v>
      </c>
      <c r="AG14" s="83">
        <f t="shared" si="7"/>
        <v>25.366666666581295</v>
      </c>
      <c r="AH14" s="83">
        <f t="shared" si="8"/>
        <v>12</v>
      </c>
      <c r="AI14" s="83">
        <f t="shared" si="9"/>
        <v>13.366666666581295</v>
      </c>
      <c r="AJ14" s="83">
        <f t="shared" si="10"/>
        <v>11.491271820522273</v>
      </c>
      <c r="AK14" s="83"/>
      <c r="AL14" s="83"/>
      <c r="AM14" s="83"/>
      <c r="AN14" s="83"/>
      <c r="AO14" s="78"/>
    </row>
    <row r="15" spans="1:41" customFormat="1" ht="15" hidden="1" x14ac:dyDescent="0.25">
      <c r="A15" s="82">
        <v>45659.969942129632</v>
      </c>
      <c r="B15" s="94" t="str">
        <f t="shared" si="0"/>
        <v>January</v>
      </c>
      <c r="C15" s="86"/>
      <c r="D15" s="79" t="s">
        <v>1080</v>
      </c>
      <c r="E15" s="79" t="s">
        <v>1016</v>
      </c>
      <c r="F15" s="79" t="s">
        <v>951</v>
      </c>
      <c r="G15" s="79" t="s">
        <v>968</v>
      </c>
      <c r="H15" s="79" t="s">
        <v>455</v>
      </c>
      <c r="I15" s="79">
        <v>153.60000000000002</v>
      </c>
      <c r="J15" s="79" t="s">
        <v>1298</v>
      </c>
      <c r="K15" s="80" t="s">
        <v>469</v>
      </c>
      <c r="L15" s="79">
        <v>480</v>
      </c>
      <c r="M15" s="79">
        <v>469</v>
      </c>
      <c r="N15" s="81">
        <f t="shared" si="11"/>
        <v>-11</v>
      </c>
      <c r="O15" s="86"/>
      <c r="P15" s="82">
        <f>R15-TIME(0,76,0)</f>
        <v>45660.370138888895</v>
      </c>
      <c r="Q15" s="82">
        <v>45661.136805555558</v>
      </c>
      <c r="R15" s="82">
        <v>45660.42291666667</v>
      </c>
      <c r="S15" s="81">
        <f t="shared" si="1"/>
        <v>-1023.2407407388868</v>
      </c>
      <c r="T15" s="81">
        <f t="shared" si="2"/>
        <v>75.6481481444401</v>
      </c>
      <c r="U15" s="79" t="s">
        <v>538</v>
      </c>
      <c r="V15" s="82">
        <v>45661.351388888892</v>
      </c>
      <c r="W15" s="82">
        <v>45661.568055555559</v>
      </c>
      <c r="X15" s="103">
        <f t="shared" si="3"/>
        <v>305.50000000068394</v>
      </c>
      <c r="Y15" s="82" t="s">
        <v>1044</v>
      </c>
      <c r="Z15" s="82">
        <v>45662.418055555558</v>
      </c>
      <c r="AA15" s="82">
        <f>Z15+TIME(0,57,0)</f>
        <v>45662.457638888889</v>
      </c>
      <c r="AB15" s="81">
        <f t="shared" si="4"/>
        <v>55.81249999726424</v>
      </c>
      <c r="AC15" s="80"/>
      <c r="AD15" s="83">
        <f t="shared" si="5"/>
        <v>1.9951388888875954</v>
      </c>
      <c r="AE15" s="80">
        <v>2</v>
      </c>
      <c r="AF15" s="92">
        <f t="shared" si="6"/>
        <v>4.8611111124046147E-3</v>
      </c>
      <c r="AG15" s="83">
        <f t="shared" si="7"/>
        <v>47.883333333302289</v>
      </c>
      <c r="AH15" s="83">
        <f t="shared" si="8"/>
        <v>12</v>
      </c>
      <c r="AI15" s="83">
        <f t="shared" si="9"/>
        <v>35.883333333302289</v>
      </c>
      <c r="AJ15" s="83">
        <f t="shared" si="10"/>
        <v>4.2805387830970618</v>
      </c>
      <c r="AK15" s="83"/>
      <c r="AL15" s="83"/>
      <c r="AM15" s="83"/>
      <c r="AN15" s="83"/>
      <c r="AO15" s="86"/>
    </row>
    <row r="16" spans="1:41" customFormat="1" ht="15" hidden="1" x14ac:dyDescent="0.25">
      <c r="A16" s="82">
        <v>45660</v>
      </c>
      <c r="B16" s="94" t="str">
        <f t="shared" si="0"/>
        <v>January</v>
      </c>
      <c r="C16" s="78"/>
      <c r="D16" s="79" t="s">
        <v>1081</v>
      </c>
      <c r="E16" s="79" t="s">
        <v>1017</v>
      </c>
      <c r="F16" s="79"/>
      <c r="G16" s="79" t="s">
        <v>63</v>
      </c>
      <c r="H16" s="79" t="s">
        <v>1284</v>
      </c>
      <c r="I16" s="79">
        <v>156</v>
      </c>
      <c r="J16" s="79" t="s">
        <v>1299</v>
      </c>
      <c r="K16" s="80" t="s">
        <v>469</v>
      </c>
      <c r="L16" s="79">
        <v>620</v>
      </c>
      <c r="M16" s="79">
        <v>612</v>
      </c>
      <c r="N16" s="81">
        <f t="shared" si="11"/>
        <v>-8</v>
      </c>
      <c r="O16" s="78"/>
      <c r="P16" s="82">
        <f>R16-TIME(0,40,0)</f>
        <v>45660.336805555547</v>
      </c>
      <c r="Q16" s="82">
        <v>45660.3125</v>
      </c>
      <c r="R16" s="82">
        <v>45660.364583333328</v>
      </c>
      <c r="S16" s="81">
        <f t="shared" si="1"/>
        <v>74.652777770825196</v>
      </c>
      <c r="T16" s="81">
        <f t="shared" si="2"/>
        <v>39.814814819449872</v>
      </c>
      <c r="U16" s="79"/>
      <c r="V16" s="82">
        <v>45660.885416666664</v>
      </c>
      <c r="W16" s="82">
        <f>V16+TIME(0,367,0)</f>
        <v>45661.140277777777</v>
      </c>
      <c r="X16" s="103">
        <f t="shared" si="3"/>
        <v>359.35416666849051</v>
      </c>
      <c r="Y16" s="82" t="s">
        <v>1044</v>
      </c>
      <c r="Z16" s="82">
        <v>45662.595416666663</v>
      </c>
      <c r="AA16" s="82">
        <f>Z16+TIME(0,57,0)</f>
        <v>45662.634999999995</v>
      </c>
      <c r="AB16" s="81">
        <f t="shared" si="4"/>
        <v>55.81249999726424</v>
      </c>
      <c r="AC16" s="80"/>
      <c r="AD16" s="83">
        <f t="shared" si="5"/>
        <v>2.2308333333348855</v>
      </c>
      <c r="AE16" s="80">
        <v>3</v>
      </c>
      <c r="AF16" s="84">
        <f t="shared" si="6"/>
        <v>0.76916666666511446</v>
      </c>
      <c r="AG16" s="83">
        <f t="shared" si="7"/>
        <v>53.540000000037253</v>
      </c>
      <c r="AH16" s="83">
        <f t="shared" si="8"/>
        <v>24</v>
      </c>
      <c r="AI16" s="83">
        <f t="shared" si="9"/>
        <v>29.540000000037253</v>
      </c>
      <c r="AJ16" s="83">
        <f t="shared" si="10"/>
        <v>5.2809749492147349</v>
      </c>
      <c r="AK16" s="83"/>
      <c r="AL16" s="83"/>
      <c r="AM16" s="83"/>
      <c r="AN16" s="83"/>
      <c r="AO16" s="78"/>
    </row>
    <row r="17" spans="1:41" customFormat="1" ht="15" hidden="1" x14ac:dyDescent="0.25">
      <c r="A17" s="82">
        <v>45660</v>
      </c>
      <c r="B17" s="94" t="str">
        <f t="shared" si="0"/>
        <v>January</v>
      </c>
      <c r="C17" s="78"/>
      <c r="D17" s="79" t="s">
        <v>1082</v>
      </c>
      <c r="E17" s="79" t="s">
        <v>1017</v>
      </c>
      <c r="F17" s="79"/>
      <c r="G17" s="79" t="s">
        <v>63</v>
      </c>
      <c r="H17" s="79" t="s">
        <v>449</v>
      </c>
      <c r="I17" s="79">
        <v>156</v>
      </c>
      <c r="J17" s="79" t="s">
        <v>1300</v>
      </c>
      <c r="K17" s="80" t="s">
        <v>469</v>
      </c>
      <c r="L17" s="79">
        <v>765</v>
      </c>
      <c r="M17" s="79">
        <f>L17+2</f>
        <v>767</v>
      </c>
      <c r="N17" s="81">
        <f t="shared" si="11"/>
        <v>2</v>
      </c>
      <c r="O17" s="78"/>
      <c r="P17" s="82">
        <f>R17-TIME(0,41,0)</f>
        <v>45660.341666666667</v>
      </c>
      <c r="Q17" s="82">
        <v>45660.3125</v>
      </c>
      <c r="R17" s="82">
        <v>45660.370138888888</v>
      </c>
      <c r="S17" s="81">
        <f t="shared" si="1"/>
        <v>82.615740738886714</v>
      </c>
      <c r="T17" s="81">
        <f t="shared" si="2"/>
        <v>40.810185182635905</v>
      </c>
      <c r="U17" s="79"/>
      <c r="V17" s="82">
        <v>45660.745138888888</v>
      </c>
      <c r="W17" s="82">
        <f>V17+TIME(0,153,0)</f>
        <v>45660.851388888885</v>
      </c>
      <c r="X17" s="103">
        <f t="shared" si="3"/>
        <v>149.81249999589636</v>
      </c>
      <c r="Y17" s="82"/>
      <c r="Z17" s="82">
        <v>45661.880305555555</v>
      </c>
      <c r="AA17" s="82">
        <f>Z17+TIME(0,59,0)</f>
        <v>45661.921277777779</v>
      </c>
      <c r="AB17" s="81">
        <f t="shared" si="4"/>
        <v>57.770833336981013</v>
      </c>
      <c r="AC17" s="80"/>
      <c r="AD17" s="83">
        <f t="shared" si="5"/>
        <v>1.5101666666669189</v>
      </c>
      <c r="AE17" s="80">
        <v>3</v>
      </c>
      <c r="AF17" s="84">
        <f t="shared" si="6"/>
        <v>1.4898333333330811</v>
      </c>
      <c r="AG17" s="83">
        <f t="shared" si="7"/>
        <v>36.244000000006054</v>
      </c>
      <c r="AH17" s="83">
        <f t="shared" si="8"/>
        <v>12</v>
      </c>
      <c r="AI17" s="83">
        <f t="shared" si="9"/>
        <v>24.244000000006054</v>
      </c>
      <c r="AJ17" s="83">
        <f t="shared" si="10"/>
        <v>6.434581752184501</v>
      </c>
      <c r="AK17" s="83"/>
      <c r="AL17" s="83"/>
      <c r="AM17" s="83"/>
      <c r="AN17" s="83"/>
      <c r="AO17" s="78"/>
    </row>
    <row r="18" spans="1:41" customFormat="1" ht="15" hidden="1" x14ac:dyDescent="0.25">
      <c r="A18" s="82">
        <v>45660</v>
      </c>
      <c r="B18" s="94" t="str">
        <f t="shared" si="0"/>
        <v>January</v>
      </c>
      <c r="C18" s="78"/>
      <c r="D18" s="79" t="s">
        <v>1083</v>
      </c>
      <c r="E18" s="79" t="s">
        <v>1017</v>
      </c>
      <c r="F18" s="79" t="s">
        <v>961</v>
      </c>
      <c r="G18" s="79" t="s">
        <v>1261</v>
      </c>
      <c r="H18" s="79" t="s">
        <v>457</v>
      </c>
      <c r="I18" s="79">
        <v>156</v>
      </c>
      <c r="J18" s="79" t="s">
        <v>1301</v>
      </c>
      <c r="K18" s="80" t="s">
        <v>469</v>
      </c>
      <c r="L18" s="79">
        <v>320</v>
      </c>
      <c r="M18" s="79">
        <v>319</v>
      </c>
      <c r="N18" s="81">
        <f t="shared" si="11"/>
        <v>-1</v>
      </c>
      <c r="O18" s="78"/>
      <c r="P18" s="82">
        <f>R18-TIME(0,43,0)</f>
        <v>45660.332638888882</v>
      </c>
      <c r="Q18" s="82">
        <v>45660.3125</v>
      </c>
      <c r="R18" s="82">
        <v>45660.362499999996</v>
      </c>
      <c r="S18" s="81">
        <f t="shared" si="1"/>
        <v>71.666666660409348</v>
      </c>
      <c r="T18" s="81">
        <f t="shared" si="2"/>
        <v>42.80092592986572</v>
      </c>
      <c r="U18" s="79"/>
      <c r="V18" s="82">
        <v>45660.612499999996</v>
      </c>
      <c r="W18" s="82">
        <f>V18+TIME(0,161,0)</f>
        <v>45660.724305555552</v>
      </c>
      <c r="X18" s="103">
        <f t="shared" si="3"/>
        <v>157.64583333424525</v>
      </c>
      <c r="Y18" s="82"/>
      <c r="Z18" s="82">
        <v>45661.491805555554</v>
      </c>
      <c r="AA18" s="82">
        <v>45661.532777777778</v>
      </c>
      <c r="AB18" s="81">
        <f t="shared" si="4"/>
        <v>57.770833336981013</v>
      </c>
      <c r="AC18" s="80"/>
      <c r="AD18" s="83">
        <f t="shared" si="5"/>
        <v>1.1293055555579485</v>
      </c>
      <c r="AE18" s="80">
        <v>2</v>
      </c>
      <c r="AF18" s="84">
        <f t="shared" si="6"/>
        <v>0.87069444444205146</v>
      </c>
      <c r="AG18" s="83">
        <f t="shared" si="7"/>
        <v>27.103333333390765</v>
      </c>
      <c r="AH18" s="83">
        <f t="shared" si="8"/>
        <v>12</v>
      </c>
      <c r="AI18" s="83">
        <f t="shared" si="9"/>
        <v>15.103333333390765</v>
      </c>
      <c r="AJ18" s="83">
        <f t="shared" si="10"/>
        <v>10.328845729380278</v>
      </c>
      <c r="AK18" s="83"/>
      <c r="AL18" s="83"/>
      <c r="AM18" s="83"/>
      <c r="AN18" s="83"/>
      <c r="AO18" s="78"/>
    </row>
    <row r="19" spans="1:41" customFormat="1" ht="15" hidden="1" x14ac:dyDescent="0.25">
      <c r="A19" s="82">
        <v>45660</v>
      </c>
      <c r="B19" s="94" t="str">
        <f t="shared" si="0"/>
        <v>January</v>
      </c>
      <c r="C19" s="78"/>
      <c r="D19" s="79" t="s">
        <v>1084</v>
      </c>
      <c r="E19" s="79" t="s">
        <v>1017</v>
      </c>
      <c r="F19" s="79"/>
      <c r="G19" s="79" t="s">
        <v>50</v>
      </c>
      <c r="H19" s="79" t="s">
        <v>460</v>
      </c>
      <c r="I19" s="79">
        <v>156</v>
      </c>
      <c r="J19" s="79" t="s">
        <v>1302</v>
      </c>
      <c r="K19" s="80" t="s">
        <v>469</v>
      </c>
      <c r="L19" s="79">
        <v>600</v>
      </c>
      <c r="M19" s="79">
        <v>591</v>
      </c>
      <c r="N19" s="81">
        <f t="shared" si="11"/>
        <v>-9</v>
      </c>
      <c r="O19" s="78"/>
      <c r="P19" s="82">
        <f>R19-TIME(0,77,0)</f>
        <v>45660.311805555553</v>
      </c>
      <c r="Q19" s="82">
        <v>45660.3125</v>
      </c>
      <c r="R19" s="82">
        <v>45660.365277777775</v>
      </c>
      <c r="S19" s="81">
        <f t="shared" si="1"/>
        <v>75.6481481444401</v>
      </c>
      <c r="T19" s="81">
        <f t="shared" si="2"/>
        <v>76.643518518055018</v>
      </c>
      <c r="U19" s="79" t="s">
        <v>550</v>
      </c>
      <c r="V19" s="82">
        <v>45661.462499999994</v>
      </c>
      <c r="W19" s="82">
        <f>V19+TIME(0,175,0)</f>
        <v>45661.584027777775</v>
      </c>
      <c r="X19" s="103">
        <f t="shared" si="3"/>
        <v>171.35416667122627</v>
      </c>
      <c r="Y19" s="82"/>
      <c r="Z19" s="82">
        <v>45661.886111111104</v>
      </c>
      <c r="AA19" s="82">
        <f>Z19+TIME(0,56,0)</f>
        <v>45661.924999999996</v>
      </c>
      <c r="AB19" s="81">
        <f t="shared" si="4"/>
        <v>54.833333337664953</v>
      </c>
      <c r="AC19" s="80"/>
      <c r="AD19" s="83">
        <f t="shared" si="5"/>
        <v>1.5208333333284827</v>
      </c>
      <c r="AE19" s="80">
        <v>2</v>
      </c>
      <c r="AF19" s="84">
        <f t="shared" si="6"/>
        <v>0.47916666667151731</v>
      </c>
      <c r="AG19" s="83">
        <f t="shared" si="7"/>
        <v>36.499999999883585</v>
      </c>
      <c r="AH19" s="83">
        <f t="shared" si="8"/>
        <v>12</v>
      </c>
      <c r="AI19" s="83">
        <f t="shared" si="9"/>
        <v>24.499999999883585</v>
      </c>
      <c r="AJ19" s="83">
        <f t="shared" si="10"/>
        <v>6.367346938805766</v>
      </c>
      <c r="AK19" s="83"/>
      <c r="AL19" s="83"/>
      <c r="AM19" s="83"/>
      <c r="AN19" s="83"/>
      <c r="AO19" s="78"/>
    </row>
    <row r="20" spans="1:41" customFormat="1" ht="15" hidden="1" x14ac:dyDescent="0.25">
      <c r="A20" s="82">
        <v>45660</v>
      </c>
      <c r="B20" s="94" t="str">
        <f t="shared" si="0"/>
        <v>January</v>
      </c>
      <c r="C20" s="78"/>
      <c r="D20" s="79" t="s">
        <v>1085</v>
      </c>
      <c r="E20" s="79" t="s">
        <v>1017</v>
      </c>
      <c r="F20" s="79"/>
      <c r="G20" s="79" t="s">
        <v>50</v>
      </c>
      <c r="H20" s="79" t="s">
        <v>454</v>
      </c>
      <c r="I20" s="79">
        <v>156</v>
      </c>
      <c r="J20" s="79" t="s">
        <v>1303</v>
      </c>
      <c r="K20" s="80" t="s">
        <v>469</v>
      </c>
      <c r="L20" s="79">
        <v>390</v>
      </c>
      <c r="M20" s="79">
        <v>386</v>
      </c>
      <c r="N20" s="81">
        <f t="shared" si="11"/>
        <v>-4</v>
      </c>
      <c r="O20" s="78"/>
      <c r="P20" s="82">
        <f>R20-TIME(0,43,0)</f>
        <v>45660.336111111108</v>
      </c>
      <c r="Q20" s="82">
        <v>45660.3125</v>
      </c>
      <c r="R20" s="82">
        <v>45660.365972222222</v>
      </c>
      <c r="S20" s="81">
        <f t="shared" si="1"/>
        <v>76.643518518055018</v>
      </c>
      <c r="T20" s="81">
        <f t="shared" si="2"/>
        <v>42.80092592986572</v>
      </c>
      <c r="U20" s="79"/>
      <c r="V20" s="82">
        <v>45661.428472222222</v>
      </c>
      <c r="W20" s="82">
        <f>V20+TIME(0,153,0)</f>
        <v>45661.534722222219</v>
      </c>
      <c r="X20" s="103">
        <f t="shared" si="3"/>
        <v>149.81249999589636</v>
      </c>
      <c r="Y20" s="82"/>
      <c r="Z20" s="82">
        <v>45662.372472222225</v>
      </c>
      <c r="AA20" s="82">
        <f>Z20+TIME(0,59,0)</f>
        <v>45662.41344444445</v>
      </c>
      <c r="AB20" s="81">
        <f t="shared" si="4"/>
        <v>57.770833336981013</v>
      </c>
      <c r="AC20" s="80"/>
      <c r="AD20" s="83">
        <f t="shared" si="5"/>
        <v>2.0065000000031432</v>
      </c>
      <c r="AE20" s="80">
        <v>2</v>
      </c>
      <c r="AF20" s="84">
        <f t="shared" si="6"/>
        <v>-6.5000000031432137E-3</v>
      </c>
      <c r="AG20" s="83">
        <f t="shared" si="7"/>
        <v>48.156000000075437</v>
      </c>
      <c r="AH20" s="83">
        <f t="shared" si="8"/>
        <v>24</v>
      </c>
      <c r="AI20" s="83">
        <f t="shared" si="9"/>
        <v>24.156000000075437</v>
      </c>
      <c r="AJ20" s="83">
        <f t="shared" si="10"/>
        <v>6.4580228514453069</v>
      </c>
      <c r="AK20" s="83"/>
      <c r="AL20" s="83"/>
      <c r="AM20" s="83"/>
      <c r="AN20" s="83"/>
      <c r="AO20" s="78"/>
    </row>
    <row r="21" spans="1:41" customFormat="1" ht="15" hidden="1" x14ac:dyDescent="0.25">
      <c r="A21" s="82">
        <v>45660</v>
      </c>
      <c r="B21" s="94" t="str">
        <f t="shared" si="0"/>
        <v>January</v>
      </c>
      <c r="C21" s="78"/>
      <c r="D21" s="79" t="s">
        <v>1086</v>
      </c>
      <c r="E21" s="79" t="s">
        <v>1017</v>
      </c>
      <c r="F21" s="79" t="s">
        <v>1269</v>
      </c>
      <c r="G21" s="79" t="s">
        <v>50</v>
      </c>
      <c r="H21" s="79" t="s">
        <v>450</v>
      </c>
      <c r="I21" s="79">
        <v>156</v>
      </c>
      <c r="J21" s="79" t="s">
        <v>1304</v>
      </c>
      <c r="K21" s="80" t="s">
        <v>469</v>
      </c>
      <c r="L21" s="79">
        <v>230</v>
      </c>
      <c r="M21" s="80">
        <f>L21+2</f>
        <v>232</v>
      </c>
      <c r="N21" s="81">
        <f t="shared" si="11"/>
        <v>2</v>
      </c>
      <c r="O21" s="78"/>
      <c r="P21" s="82">
        <f>R21-TIME(0,39,0)</f>
        <v>45660.349305555552</v>
      </c>
      <c r="Q21" s="82">
        <v>45660.3125</v>
      </c>
      <c r="R21" s="82">
        <v>45660.376388888886</v>
      </c>
      <c r="S21" s="81">
        <f t="shared" si="1"/>
        <v>91.574074070134273</v>
      </c>
      <c r="T21" s="81">
        <f t="shared" si="2"/>
        <v>38.819444445834961</v>
      </c>
      <c r="U21" s="79"/>
      <c r="V21" s="82">
        <v>45661.397222222222</v>
      </c>
      <c r="W21" s="82">
        <f>V21+TIME(0,149,0)</f>
        <v>45661.500694444447</v>
      </c>
      <c r="X21" s="103">
        <f t="shared" si="3"/>
        <v>145.89583333698101</v>
      </c>
      <c r="Y21" s="82"/>
      <c r="Z21" s="82">
        <v>45661.821527777778</v>
      </c>
      <c r="AA21" s="82">
        <f>Z21+TIME(0,52,0)</f>
        <v>45661.857638888891</v>
      </c>
      <c r="AB21" s="81">
        <f t="shared" si="4"/>
        <v>50.916666668490507</v>
      </c>
      <c r="AC21" s="80"/>
      <c r="AD21" s="83">
        <f t="shared" si="5"/>
        <v>1.445138888891961</v>
      </c>
      <c r="AE21" s="80">
        <v>2</v>
      </c>
      <c r="AF21" s="84">
        <f t="shared" si="6"/>
        <v>0.55486111110803904</v>
      </c>
      <c r="AG21" s="83">
        <f t="shared" si="7"/>
        <v>34.683333333407063</v>
      </c>
      <c r="AH21" s="83">
        <f t="shared" si="8"/>
        <v>12</v>
      </c>
      <c r="AI21" s="83">
        <f t="shared" si="9"/>
        <v>22.683333333407063</v>
      </c>
      <c r="AJ21" s="83">
        <f t="shared" si="10"/>
        <v>6.877296105782202</v>
      </c>
      <c r="AK21" s="83"/>
      <c r="AL21" s="83"/>
      <c r="AM21" s="83"/>
      <c r="AN21" s="83"/>
      <c r="AO21" s="78"/>
    </row>
    <row r="22" spans="1:41" customFormat="1" ht="15" hidden="1" x14ac:dyDescent="0.25">
      <c r="A22" s="82">
        <v>45660</v>
      </c>
      <c r="B22" s="94" t="str">
        <f t="shared" si="0"/>
        <v>January</v>
      </c>
      <c r="C22" s="78"/>
      <c r="D22" s="79" t="s">
        <v>1087</v>
      </c>
      <c r="E22" s="79" t="s">
        <v>1017</v>
      </c>
      <c r="F22" s="79" t="s">
        <v>1269</v>
      </c>
      <c r="G22" s="79" t="s">
        <v>50</v>
      </c>
      <c r="H22" s="79" t="s">
        <v>462</v>
      </c>
      <c r="I22" s="79">
        <v>154.34400000000002</v>
      </c>
      <c r="J22" s="79" t="s">
        <v>1305</v>
      </c>
      <c r="K22" s="80" t="s">
        <v>469</v>
      </c>
      <c r="L22" s="79">
        <v>680</v>
      </c>
      <c r="M22" s="80">
        <f>L22+2</f>
        <v>682</v>
      </c>
      <c r="N22" s="81">
        <f t="shared" si="11"/>
        <v>2</v>
      </c>
      <c r="O22" s="78"/>
      <c r="P22" s="82">
        <f>R22-TIME(0,43,0)</f>
        <v>45660.343749999993</v>
      </c>
      <c r="Q22" s="82">
        <v>45660.3125</v>
      </c>
      <c r="R22" s="82">
        <v>45660.373611111107</v>
      </c>
      <c r="S22" s="81">
        <f t="shared" si="1"/>
        <v>87.592592586103521</v>
      </c>
      <c r="T22" s="81">
        <f t="shared" si="2"/>
        <v>42.80092592986572</v>
      </c>
      <c r="U22" s="79"/>
      <c r="V22" s="82">
        <v>45661.468749999993</v>
      </c>
      <c r="W22" s="82">
        <f>V22+TIME(0,175,0)</f>
        <v>45661.590277777774</v>
      </c>
      <c r="X22" s="103">
        <f t="shared" si="3"/>
        <v>171.35416667122627</v>
      </c>
      <c r="Y22" s="82"/>
      <c r="Z22" s="82">
        <v>45662.78666666666</v>
      </c>
      <c r="AA22" s="82">
        <v>45662.819305555546</v>
      </c>
      <c r="AB22" s="81">
        <f t="shared" si="4"/>
        <v>46.020833329457673</v>
      </c>
      <c r="AC22" s="80"/>
      <c r="AD22" s="83">
        <f t="shared" si="5"/>
        <v>2.4130555555530009</v>
      </c>
      <c r="AE22" s="80">
        <v>2</v>
      </c>
      <c r="AF22" s="84">
        <f t="shared" si="6"/>
        <v>-0.41305555555300089</v>
      </c>
      <c r="AG22" s="83">
        <f t="shared" si="7"/>
        <v>57.913333333272021</v>
      </c>
      <c r="AH22" s="83">
        <f t="shared" si="8"/>
        <v>24</v>
      </c>
      <c r="AI22" s="83">
        <f t="shared" si="9"/>
        <v>33.913333333272021</v>
      </c>
      <c r="AJ22" s="83">
        <f t="shared" si="10"/>
        <v>4.5511303322276113</v>
      </c>
      <c r="AK22" s="83"/>
      <c r="AL22" s="83"/>
      <c r="AM22" s="83"/>
      <c r="AN22" s="83"/>
      <c r="AO22" s="78"/>
    </row>
    <row r="23" spans="1:41" customFormat="1" ht="15" hidden="1" x14ac:dyDescent="0.25">
      <c r="A23" s="82">
        <v>45660</v>
      </c>
      <c r="B23" s="94" t="str">
        <f t="shared" si="0"/>
        <v>January</v>
      </c>
      <c r="C23" s="78"/>
      <c r="D23" s="79" t="s">
        <v>1088</v>
      </c>
      <c r="E23" s="79" t="s">
        <v>1017</v>
      </c>
      <c r="F23" s="79"/>
      <c r="G23" s="79" t="s">
        <v>50</v>
      </c>
      <c r="H23" s="79" t="s">
        <v>451</v>
      </c>
      <c r="I23" s="79">
        <v>156</v>
      </c>
      <c r="J23" s="79" t="s">
        <v>1306</v>
      </c>
      <c r="K23" s="80" t="s">
        <v>469</v>
      </c>
      <c r="L23" s="80">
        <v>790</v>
      </c>
      <c r="M23" s="80">
        <f>L23+2</f>
        <v>792</v>
      </c>
      <c r="N23" s="81">
        <f t="shared" si="11"/>
        <v>2</v>
      </c>
      <c r="O23" s="78"/>
      <c r="P23" s="82">
        <v>45660.331944444442</v>
      </c>
      <c r="Q23" s="82">
        <v>45660.3125</v>
      </c>
      <c r="R23" s="82">
        <v>45660.359722222223</v>
      </c>
      <c r="S23" s="81">
        <f t="shared" si="1"/>
        <v>67.685185186807459</v>
      </c>
      <c r="T23" s="81">
        <f t="shared" si="2"/>
        <v>39.814814819449872</v>
      </c>
      <c r="U23" s="79"/>
      <c r="V23" s="82">
        <v>45661.411805555559</v>
      </c>
      <c r="W23" s="82">
        <f>V23+TIME(0,336,0)</f>
        <v>45661.645138888889</v>
      </c>
      <c r="X23" s="103">
        <f t="shared" si="3"/>
        <v>328.99999999521242</v>
      </c>
      <c r="Y23" s="82" t="s">
        <v>1050</v>
      </c>
      <c r="Z23" s="82">
        <v>45662.819444444445</v>
      </c>
      <c r="AA23" s="82">
        <v>45662.86041666667</v>
      </c>
      <c r="AB23" s="81">
        <f t="shared" si="4"/>
        <v>57.770833336981013</v>
      </c>
      <c r="AC23" s="80"/>
      <c r="AD23" s="83">
        <f t="shared" si="5"/>
        <v>2.4597222222218988</v>
      </c>
      <c r="AE23" s="80">
        <v>3</v>
      </c>
      <c r="AF23" s="84">
        <f t="shared" si="6"/>
        <v>0.54027777777810115</v>
      </c>
      <c r="AG23" s="83">
        <f t="shared" si="7"/>
        <v>59.033333333325572</v>
      </c>
      <c r="AH23" s="83">
        <f t="shared" si="8"/>
        <v>24</v>
      </c>
      <c r="AI23" s="83">
        <f t="shared" si="9"/>
        <v>35.033333333325572</v>
      </c>
      <c r="AJ23" s="83">
        <f t="shared" si="10"/>
        <v>4.4529019980980369</v>
      </c>
      <c r="AK23" s="83"/>
      <c r="AL23" s="83"/>
      <c r="AM23" s="83"/>
      <c r="AN23" s="83"/>
      <c r="AO23" s="78"/>
    </row>
    <row r="24" spans="1:41" customFormat="1" ht="15" hidden="1" x14ac:dyDescent="0.25">
      <c r="A24" s="82">
        <v>45660</v>
      </c>
      <c r="B24" s="94" t="str">
        <f t="shared" si="0"/>
        <v>January</v>
      </c>
      <c r="C24" s="78"/>
      <c r="D24" s="79" t="s">
        <v>1089</v>
      </c>
      <c r="E24" s="79" t="s">
        <v>1017</v>
      </c>
      <c r="F24" s="79"/>
      <c r="G24" s="79" t="s">
        <v>50</v>
      </c>
      <c r="H24" s="79" t="s">
        <v>454</v>
      </c>
      <c r="I24" s="79">
        <v>156</v>
      </c>
      <c r="J24" s="79" t="s">
        <v>1307</v>
      </c>
      <c r="K24" s="80" t="s">
        <v>469</v>
      </c>
      <c r="L24" s="79">
        <v>390</v>
      </c>
      <c r="M24" s="79">
        <v>386</v>
      </c>
      <c r="N24" s="81">
        <f t="shared" si="11"/>
        <v>-4</v>
      </c>
      <c r="O24" s="78"/>
      <c r="P24" s="82">
        <f>R24-TIME(0,63,0)</f>
        <v>45660.315972222226</v>
      </c>
      <c r="Q24" s="82">
        <v>45660.3125</v>
      </c>
      <c r="R24" s="82">
        <v>45660.359722222223</v>
      </c>
      <c r="S24" s="81">
        <f t="shared" si="1"/>
        <v>67.685185186807459</v>
      </c>
      <c r="T24" s="81">
        <f t="shared" si="2"/>
        <v>62.708333329161782</v>
      </c>
      <c r="U24" s="79" t="s">
        <v>1681</v>
      </c>
      <c r="V24" s="82">
        <v>45661.422222222223</v>
      </c>
      <c r="W24" s="82">
        <f>V24+TIME(0,153,0)</f>
        <v>45661.52847222222</v>
      </c>
      <c r="X24" s="103">
        <f t="shared" si="3"/>
        <v>149.81249999589636</v>
      </c>
      <c r="Y24" s="82"/>
      <c r="Z24" s="82">
        <v>45662.396222222225</v>
      </c>
      <c r="AA24" s="82">
        <f>Z24+TIME(0,57,0)</f>
        <v>45662.435805555557</v>
      </c>
      <c r="AB24" s="81">
        <f t="shared" si="4"/>
        <v>55.81249999726424</v>
      </c>
      <c r="AC24" s="80"/>
      <c r="AD24" s="83">
        <f t="shared" si="5"/>
        <v>2.0365000000019791</v>
      </c>
      <c r="AE24" s="80">
        <v>2</v>
      </c>
      <c r="AF24" s="84">
        <f t="shared" si="6"/>
        <v>-3.650000000197906E-2</v>
      </c>
      <c r="AG24" s="83">
        <f t="shared" si="7"/>
        <v>48.876000000047497</v>
      </c>
      <c r="AH24" s="83">
        <f t="shared" si="8"/>
        <v>24</v>
      </c>
      <c r="AI24" s="83">
        <f t="shared" si="9"/>
        <v>24.876000000047497</v>
      </c>
      <c r="AJ24" s="83">
        <f t="shared" si="10"/>
        <v>6.2711046791969025</v>
      </c>
      <c r="AK24" s="83"/>
      <c r="AL24" s="83"/>
      <c r="AM24" s="83"/>
      <c r="AN24" s="83"/>
      <c r="AO24" s="78"/>
    </row>
    <row r="25" spans="1:41" customFormat="1" ht="15" hidden="1" x14ac:dyDescent="0.25">
      <c r="A25" s="82">
        <v>45660.500717592593</v>
      </c>
      <c r="B25" s="94" t="str">
        <f t="shared" si="0"/>
        <v>January</v>
      </c>
      <c r="C25" s="78"/>
      <c r="D25" s="79" t="s">
        <v>1090</v>
      </c>
      <c r="E25" s="79" t="s">
        <v>1016</v>
      </c>
      <c r="F25" s="79" t="s">
        <v>954</v>
      </c>
      <c r="G25" s="79" t="s">
        <v>971</v>
      </c>
      <c r="H25" s="79" t="s">
        <v>461</v>
      </c>
      <c r="I25" s="79">
        <v>153.60000000000002</v>
      </c>
      <c r="J25" s="79" t="s">
        <v>1308</v>
      </c>
      <c r="K25" s="80" t="s">
        <v>469</v>
      </c>
      <c r="L25" s="79">
        <v>340</v>
      </c>
      <c r="M25" s="79">
        <v>255</v>
      </c>
      <c r="N25" s="81">
        <f t="shared" si="11"/>
        <v>-85</v>
      </c>
      <c r="O25" s="78"/>
      <c r="P25" s="82">
        <f>R25-TIME(0,35,0)</f>
        <v>45660.679861111115</v>
      </c>
      <c r="Q25" s="82">
        <v>45661.176388888889</v>
      </c>
      <c r="R25" s="82">
        <v>45660.70416666667</v>
      </c>
      <c r="S25" s="81">
        <f t="shared" si="1"/>
        <v>-676.85185184721684</v>
      </c>
      <c r="T25" s="81">
        <f t="shared" si="2"/>
        <v>34.837962961804202</v>
      </c>
      <c r="U25" s="79"/>
      <c r="V25" s="82">
        <v>45661.5</v>
      </c>
      <c r="W25" s="82">
        <f>V25+TIME(0,149,0)</f>
        <v>45661.603472222225</v>
      </c>
      <c r="X25" s="103">
        <f t="shared" si="3"/>
        <v>145.89583333698101</v>
      </c>
      <c r="Y25" s="82"/>
      <c r="Z25" s="82">
        <v>45663.543749999997</v>
      </c>
      <c r="AA25" s="82">
        <f>Z25+TIME(0,59,0)</f>
        <v>45663.584722222222</v>
      </c>
      <c r="AB25" s="81">
        <f t="shared" si="4"/>
        <v>57.770833336981013</v>
      </c>
      <c r="AC25" s="80"/>
      <c r="AD25" s="83">
        <f t="shared" si="5"/>
        <v>2.8395833333270275</v>
      </c>
      <c r="AE25" s="80">
        <v>2</v>
      </c>
      <c r="AF25" s="84">
        <f t="shared" si="6"/>
        <v>-0.8395833333270275</v>
      </c>
      <c r="AG25" s="83">
        <f t="shared" si="7"/>
        <v>68.14999999984866</v>
      </c>
      <c r="AH25" s="83">
        <f t="shared" si="8"/>
        <v>24</v>
      </c>
      <c r="AI25" s="83">
        <f t="shared" si="9"/>
        <v>44.14999999984866</v>
      </c>
      <c r="AJ25" s="83">
        <f t="shared" si="10"/>
        <v>3.4790486976336701</v>
      </c>
      <c r="AK25" s="83"/>
      <c r="AL25" s="83"/>
      <c r="AM25" s="83"/>
      <c r="AN25" s="83"/>
      <c r="AO25" s="78"/>
    </row>
    <row r="26" spans="1:41" customFormat="1" ht="15" hidden="1" x14ac:dyDescent="0.25">
      <c r="A26" s="82">
        <v>45660.502581018518</v>
      </c>
      <c r="B26" s="94" t="str">
        <f t="shared" si="0"/>
        <v>January</v>
      </c>
      <c r="C26" s="78"/>
      <c r="D26" s="79" t="s">
        <v>1091</v>
      </c>
      <c r="E26" s="79" t="s">
        <v>1017</v>
      </c>
      <c r="F26" s="79" t="s">
        <v>1270</v>
      </c>
      <c r="G26" s="79" t="s">
        <v>1262</v>
      </c>
      <c r="H26" s="79" t="s">
        <v>996</v>
      </c>
      <c r="I26" s="79">
        <v>153.60000000000002</v>
      </c>
      <c r="J26" s="79" t="s">
        <v>1309</v>
      </c>
      <c r="K26" s="80" t="s">
        <v>469</v>
      </c>
      <c r="L26" s="79">
        <v>350</v>
      </c>
      <c r="M26" s="79">
        <v>351</v>
      </c>
      <c r="N26" s="81">
        <f t="shared" si="11"/>
        <v>1</v>
      </c>
      <c r="O26" s="78"/>
      <c r="P26" s="82">
        <f>R26-TIME(0,43,0)</f>
        <v>45661.0227199074</v>
      </c>
      <c r="Q26" s="82">
        <v>45661.002581018518</v>
      </c>
      <c r="R26" s="82">
        <v>45661.052581018514</v>
      </c>
      <c r="S26" s="81">
        <f t="shared" si="1"/>
        <v>71.666666660409348</v>
      </c>
      <c r="T26" s="81">
        <f t="shared" si="2"/>
        <v>42.80092592986572</v>
      </c>
      <c r="U26" s="79"/>
      <c r="V26" s="82">
        <v>45661.344247685178</v>
      </c>
      <c r="W26" s="82">
        <f>V26+TIME(0,153,0)</f>
        <v>45661.450497685175</v>
      </c>
      <c r="X26" s="103">
        <f t="shared" si="3"/>
        <v>149.81249999589636</v>
      </c>
      <c r="Y26" s="82"/>
      <c r="Z26" s="82">
        <v>45661.760914351849</v>
      </c>
      <c r="AA26" s="82">
        <v>45661.801886574074</v>
      </c>
      <c r="AB26" s="81">
        <f t="shared" si="4"/>
        <v>57.770833336981013</v>
      </c>
      <c r="AC26" s="80"/>
      <c r="AD26" s="83">
        <f t="shared" si="5"/>
        <v>0.70833333333575865</v>
      </c>
      <c r="AE26" s="80">
        <v>2</v>
      </c>
      <c r="AF26" s="84">
        <f t="shared" si="6"/>
        <v>1.2916666666642413</v>
      </c>
      <c r="AG26" s="83">
        <f t="shared" si="7"/>
        <v>17.000000000058208</v>
      </c>
      <c r="AH26" s="83">
        <f t="shared" si="8"/>
        <v>0</v>
      </c>
      <c r="AI26" s="83">
        <f t="shared" si="9"/>
        <v>17.000000000058208</v>
      </c>
      <c r="AJ26" s="83">
        <f t="shared" si="10"/>
        <v>9.0352941176161234</v>
      </c>
      <c r="AK26" s="83"/>
      <c r="AL26" s="83"/>
      <c r="AM26" s="83"/>
      <c r="AN26" s="83"/>
      <c r="AO26" s="78"/>
    </row>
    <row r="27" spans="1:41" customFormat="1" ht="15" hidden="1" x14ac:dyDescent="0.25">
      <c r="A27" s="82">
        <v>45660.505231481482</v>
      </c>
      <c r="B27" s="94" t="str">
        <f t="shared" si="0"/>
        <v>January</v>
      </c>
      <c r="C27" s="78"/>
      <c r="D27" s="79" t="s">
        <v>1092</v>
      </c>
      <c r="E27" s="79" t="s">
        <v>1016</v>
      </c>
      <c r="F27" s="79" t="s">
        <v>957</v>
      </c>
      <c r="G27" s="79" t="s">
        <v>974</v>
      </c>
      <c r="H27" s="79" t="s">
        <v>988</v>
      </c>
      <c r="I27" s="79">
        <v>153.60000000000002</v>
      </c>
      <c r="J27" s="79" t="s">
        <v>1310</v>
      </c>
      <c r="K27" s="80" t="s">
        <v>469</v>
      </c>
      <c r="L27" s="79">
        <v>130</v>
      </c>
      <c r="M27" s="80">
        <f>L27-1</f>
        <v>129</v>
      </c>
      <c r="N27" s="81">
        <f t="shared" si="11"/>
        <v>-1</v>
      </c>
      <c r="O27" s="78"/>
      <c r="P27" s="82">
        <f>R27-TIME(0,39,0)</f>
        <v>45660.725694444445</v>
      </c>
      <c r="Q27" s="82">
        <v>45661.260416666664</v>
      </c>
      <c r="R27" s="82">
        <v>45660.75277777778</v>
      </c>
      <c r="S27" s="81">
        <f t="shared" si="1"/>
        <v>-727.61574073471513</v>
      </c>
      <c r="T27" s="81">
        <f t="shared" si="2"/>
        <v>38.819444445834961</v>
      </c>
      <c r="U27" s="79"/>
      <c r="V27" s="82">
        <v>45661.331944444442</v>
      </c>
      <c r="W27" s="82">
        <f>V27+TIME(0,161,0)</f>
        <v>45661.443749999999</v>
      </c>
      <c r="X27" s="103">
        <f t="shared" si="3"/>
        <v>157.64583333424525</v>
      </c>
      <c r="Y27" s="82"/>
      <c r="Z27" s="82">
        <v>45661.713888888888</v>
      </c>
      <c r="AA27" s="82">
        <v>45661.754861111112</v>
      </c>
      <c r="AB27" s="81">
        <f t="shared" si="4"/>
        <v>57.770833336981013</v>
      </c>
      <c r="AC27" s="80"/>
      <c r="AD27" s="83">
        <f t="shared" si="5"/>
        <v>0.96111111110803904</v>
      </c>
      <c r="AE27" s="80">
        <v>1</v>
      </c>
      <c r="AF27" s="84">
        <f t="shared" si="6"/>
        <v>3.888888889196096E-2</v>
      </c>
      <c r="AG27" s="83">
        <f t="shared" si="7"/>
        <v>23.066666666592937</v>
      </c>
      <c r="AH27" s="83">
        <f t="shared" si="8"/>
        <v>0</v>
      </c>
      <c r="AI27" s="83">
        <f t="shared" si="9"/>
        <v>23.066666666592937</v>
      </c>
      <c r="AJ27" s="83">
        <f t="shared" si="10"/>
        <v>6.6589595375935398</v>
      </c>
      <c r="AK27" s="83"/>
      <c r="AL27" s="83"/>
      <c r="AM27" s="83"/>
      <c r="AN27" s="83"/>
      <c r="AO27" s="78"/>
    </row>
    <row r="28" spans="1:41" customFormat="1" ht="15" hidden="1" x14ac:dyDescent="0.25">
      <c r="A28" s="82">
        <v>45660.505833333336</v>
      </c>
      <c r="B28" s="94" t="str">
        <f t="shared" si="0"/>
        <v>January</v>
      </c>
      <c r="C28" s="78"/>
      <c r="D28" s="79" t="s">
        <v>1093</v>
      </c>
      <c r="E28" s="79" t="s">
        <v>1016</v>
      </c>
      <c r="F28" s="79" t="s">
        <v>1271</v>
      </c>
      <c r="G28" s="79" t="s">
        <v>44</v>
      </c>
      <c r="H28" s="79" t="s">
        <v>458</v>
      </c>
      <c r="I28" s="79">
        <v>156</v>
      </c>
      <c r="J28" s="79" t="s">
        <v>1311</v>
      </c>
      <c r="K28" s="80" t="s">
        <v>469</v>
      </c>
      <c r="L28" s="79">
        <v>470</v>
      </c>
      <c r="M28" s="80">
        <f>L28-1</f>
        <v>469</v>
      </c>
      <c r="N28" s="81">
        <f t="shared" si="11"/>
        <v>-1</v>
      </c>
      <c r="O28" s="78"/>
      <c r="P28" s="82">
        <f>R28-TIME(0,53,0)</f>
        <v>45660.607638888883</v>
      </c>
      <c r="Q28" s="82">
        <v>45661.0625</v>
      </c>
      <c r="R28" s="82">
        <v>45660.644444444442</v>
      </c>
      <c r="S28" s="81">
        <f t="shared" si="1"/>
        <v>-599.21296296597575</v>
      </c>
      <c r="T28" s="81">
        <f t="shared" si="2"/>
        <v>52.75462963472819</v>
      </c>
      <c r="U28" s="79" t="s">
        <v>1671</v>
      </c>
      <c r="V28" s="82">
        <v>45661.431250000001</v>
      </c>
      <c r="W28" s="82">
        <f>V28+TIME(0,175,0)</f>
        <v>45661.552777777782</v>
      </c>
      <c r="X28" s="103">
        <f t="shared" si="3"/>
        <v>171.35416667122627</v>
      </c>
      <c r="Y28" s="82"/>
      <c r="Z28" s="82">
        <v>45661.427083333336</v>
      </c>
      <c r="AA28" s="82">
        <f>Z28+TIME(0,54,0)</f>
        <v>45661.464583333334</v>
      </c>
      <c r="AB28" s="81">
        <f t="shared" si="4"/>
        <v>52.87499999794818</v>
      </c>
      <c r="AC28" s="80"/>
      <c r="AD28" s="83">
        <f t="shared" si="5"/>
        <v>0.78263888889341615</v>
      </c>
      <c r="AE28" s="80">
        <v>2</v>
      </c>
      <c r="AF28" s="84">
        <f t="shared" si="6"/>
        <v>1.2173611111065838</v>
      </c>
      <c r="AG28" s="83">
        <f t="shared" si="7"/>
        <v>18.783333333441988</v>
      </c>
      <c r="AH28" s="83">
        <f t="shared" si="8"/>
        <v>0</v>
      </c>
      <c r="AI28" s="83">
        <f t="shared" si="9"/>
        <v>18.783333333441988</v>
      </c>
      <c r="AJ28" s="83">
        <f t="shared" si="10"/>
        <v>8.3052351374852318</v>
      </c>
      <c r="AK28" s="83"/>
      <c r="AL28" s="83"/>
      <c r="AM28" s="83"/>
      <c r="AN28" s="83"/>
      <c r="AO28" s="78"/>
    </row>
    <row r="29" spans="1:41" customFormat="1" ht="15" hidden="1" x14ac:dyDescent="0.25">
      <c r="A29" s="82">
        <v>45660.85528935185</v>
      </c>
      <c r="B29" s="94" t="str">
        <f t="shared" si="0"/>
        <v>January</v>
      </c>
      <c r="C29" s="78"/>
      <c r="D29" s="79" t="s">
        <v>1094</v>
      </c>
      <c r="E29" s="79" t="s">
        <v>1016</v>
      </c>
      <c r="F29" s="79" t="s">
        <v>959</v>
      </c>
      <c r="G29" s="79" t="s">
        <v>976</v>
      </c>
      <c r="H29" s="79" t="s">
        <v>468</v>
      </c>
      <c r="I29" s="79">
        <v>151.80000000000001</v>
      </c>
      <c r="J29" s="79" t="s">
        <v>1312</v>
      </c>
      <c r="K29" s="80" t="s">
        <v>469</v>
      </c>
      <c r="L29" s="79">
        <v>20</v>
      </c>
      <c r="M29" s="79">
        <v>14</v>
      </c>
      <c r="N29" s="81">
        <f t="shared" si="11"/>
        <v>-6</v>
      </c>
      <c r="O29" s="78"/>
      <c r="P29" s="82">
        <f>R29-TIME(0,53,0)</f>
        <v>45661.311805555553</v>
      </c>
      <c r="Q29" s="82">
        <v>45661.320833333331</v>
      </c>
      <c r="R29" s="82">
        <v>45661.348611111112</v>
      </c>
      <c r="S29" s="81">
        <f t="shared" si="1"/>
        <v>39.814814819449872</v>
      </c>
      <c r="T29" s="81">
        <f t="shared" si="2"/>
        <v>52.75462963472819</v>
      </c>
      <c r="U29" s="79" t="s">
        <v>1671</v>
      </c>
      <c r="V29" s="82">
        <v>45661.384027777778</v>
      </c>
      <c r="W29" s="82">
        <f>V29+TIME(0,320,0)</f>
        <v>45661.606249999997</v>
      </c>
      <c r="X29" s="103">
        <f t="shared" si="3"/>
        <v>313.33333332877373</v>
      </c>
      <c r="Y29" s="82" t="s">
        <v>1044</v>
      </c>
      <c r="Z29" s="82">
        <v>45661.591666666667</v>
      </c>
      <c r="AA29" s="82">
        <v>45661.624305555553</v>
      </c>
      <c r="AB29" s="81">
        <f t="shared" si="4"/>
        <v>46.020833329457673</v>
      </c>
      <c r="AC29" s="80"/>
      <c r="AD29" s="83">
        <f t="shared" si="5"/>
        <v>0.24305555555474712</v>
      </c>
      <c r="AE29" s="80">
        <v>2</v>
      </c>
      <c r="AF29" s="84">
        <f t="shared" si="6"/>
        <v>1.7569444444452529</v>
      </c>
      <c r="AG29" s="83">
        <f t="shared" si="7"/>
        <v>5.8333333333139308</v>
      </c>
      <c r="AH29" s="83">
        <f t="shared" si="8"/>
        <v>0</v>
      </c>
      <c r="AI29" s="83">
        <f t="shared" si="9"/>
        <v>5.8333333333139308</v>
      </c>
      <c r="AJ29" s="83">
        <f t="shared" si="10"/>
        <v>26.0228571429437</v>
      </c>
      <c r="AK29" s="83"/>
      <c r="AL29" s="83"/>
      <c r="AM29" s="83"/>
      <c r="AN29" s="83"/>
      <c r="AO29" s="78"/>
    </row>
    <row r="30" spans="1:41" customFormat="1" ht="15" hidden="1" x14ac:dyDescent="0.25">
      <c r="A30" s="82">
        <v>45660.860046296293</v>
      </c>
      <c r="B30" s="94" t="str">
        <f t="shared" si="0"/>
        <v>January</v>
      </c>
      <c r="C30" s="78"/>
      <c r="D30" s="79" t="s">
        <v>1095</v>
      </c>
      <c r="E30" s="79" t="s">
        <v>1017</v>
      </c>
      <c r="F30" s="79" t="s">
        <v>958</v>
      </c>
      <c r="G30" s="79" t="s">
        <v>975</v>
      </c>
      <c r="H30" s="79" t="s">
        <v>988</v>
      </c>
      <c r="I30" s="79">
        <v>153.60000000000002</v>
      </c>
      <c r="J30" s="79" t="s">
        <v>1313</v>
      </c>
      <c r="K30" s="80" t="s">
        <v>469</v>
      </c>
      <c r="L30" s="79">
        <v>130</v>
      </c>
      <c r="M30" s="80">
        <f>L30-1</f>
        <v>129</v>
      </c>
      <c r="N30" s="81">
        <f t="shared" si="11"/>
        <v>-1</v>
      </c>
      <c r="O30" s="78"/>
      <c r="P30" s="82">
        <f>R30-TIME(0,43,0)</f>
        <v>45661.377407407403</v>
      </c>
      <c r="Q30" s="82">
        <v>45661.360046296293</v>
      </c>
      <c r="R30" s="82">
        <v>45661.407268518517</v>
      </c>
      <c r="S30" s="81">
        <f t="shared" si="1"/>
        <v>67.685185186807459</v>
      </c>
      <c r="T30" s="81">
        <f t="shared" si="2"/>
        <v>42.80092592986572</v>
      </c>
      <c r="U30" s="79"/>
      <c r="V30" s="82">
        <v>45661.501712962963</v>
      </c>
      <c r="W30" s="82">
        <f>V30+TIME(0,167,0)</f>
        <v>45661.617685185185</v>
      </c>
      <c r="X30" s="103">
        <f t="shared" si="3"/>
        <v>163.52083333287737</v>
      </c>
      <c r="Y30" s="82"/>
      <c r="Z30" s="82">
        <v>45661.776712962965</v>
      </c>
      <c r="AA30" s="82">
        <f>Z30+TIME(0,59,0)</f>
        <v>45661.817685185189</v>
      </c>
      <c r="AB30" s="81">
        <f t="shared" si="4"/>
        <v>57.770833336981013</v>
      </c>
      <c r="AC30" s="80"/>
      <c r="AD30" s="83">
        <f t="shared" si="5"/>
        <v>0.36944444444816327</v>
      </c>
      <c r="AE30" s="80">
        <v>1</v>
      </c>
      <c r="AF30" s="84">
        <f t="shared" si="6"/>
        <v>0.63055555555183673</v>
      </c>
      <c r="AG30" s="83">
        <f t="shared" si="7"/>
        <v>8.8666666667559184</v>
      </c>
      <c r="AH30" s="83">
        <f t="shared" si="8"/>
        <v>0</v>
      </c>
      <c r="AI30" s="83">
        <f t="shared" si="9"/>
        <v>8.8666666667559184</v>
      </c>
      <c r="AJ30" s="83">
        <f t="shared" si="10"/>
        <v>17.323308270502316</v>
      </c>
      <c r="AK30" s="83"/>
      <c r="AL30" s="83"/>
      <c r="AM30" s="83"/>
      <c r="AN30" s="83"/>
      <c r="AO30" s="78"/>
    </row>
    <row r="31" spans="1:41" customFormat="1" ht="15" hidden="1" x14ac:dyDescent="0.25">
      <c r="A31" s="82">
        <v>45660.862569444442</v>
      </c>
      <c r="B31" s="94" t="str">
        <f t="shared" si="0"/>
        <v>January</v>
      </c>
      <c r="C31" s="78"/>
      <c r="D31" s="79" t="s">
        <v>1096</v>
      </c>
      <c r="E31" s="79" t="s">
        <v>1016</v>
      </c>
      <c r="F31" s="79" t="s">
        <v>956</v>
      </c>
      <c r="G31" s="79" t="s">
        <v>973</v>
      </c>
      <c r="H31" s="79" t="s">
        <v>1282</v>
      </c>
      <c r="I31" s="79">
        <v>151.94400000000002</v>
      </c>
      <c r="J31" s="79" t="s">
        <v>1314</v>
      </c>
      <c r="K31" s="80" t="s">
        <v>469</v>
      </c>
      <c r="L31" s="79">
        <v>810</v>
      </c>
      <c r="M31" s="80">
        <f>L31-1</f>
        <v>809</v>
      </c>
      <c r="N31" s="81">
        <f t="shared" si="11"/>
        <v>-1</v>
      </c>
      <c r="O31" s="78"/>
      <c r="P31" s="82">
        <f>R31-TIME(0,39,0)</f>
        <v>45661.343055555553</v>
      </c>
      <c r="Q31" s="82">
        <v>45660.895833333336</v>
      </c>
      <c r="R31" s="82">
        <v>45661.370138888888</v>
      </c>
      <c r="S31" s="81">
        <f t="shared" si="1"/>
        <v>679.83796295763261</v>
      </c>
      <c r="T31" s="81">
        <f t="shared" si="2"/>
        <v>38.819444445834961</v>
      </c>
      <c r="U31" s="79"/>
      <c r="V31" s="82">
        <v>45663.605555555558</v>
      </c>
      <c r="W31" s="82">
        <f>V31+TIME(0,153,0)</f>
        <v>45663.711805555555</v>
      </c>
      <c r="X31" s="103">
        <f t="shared" si="3"/>
        <v>149.81249999589636</v>
      </c>
      <c r="Y31" s="82"/>
      <c r="Z31" s="82">
        <v>45664.861805555556</v>
      </c>
      <c r="AA31" s="82">
        <f>Z31+TIME(0,59,0)</f>
        <v>45664.902777777781</v>
      </c>
      <c r="AB31" s="81">
        <f t="shared" si="4"/>
        <v>57.770833336981013</v>
      </c>
      <c r="AC31" s="80"/>
      <c r="AD31" s="83">
        <f t="shared" si="5"/>
        <v>3.4916666666686069</v>
      </c>
      <c r="AE31" s="80">
        <v>3</v>
      </c>
      <c r="AF31" s="84">
        <f t="shared" si="6"/>
        <v>-0.49166666666860692</v>
      </c>
      <c r="AG31" s="83">
        <f t="shared" si="7"/>
        <v>83.800000000046566</v>
      </c>
      <c r="AH31" s="83">
        <f t="shared" si="8"/>
        <v>36</v>
      </c>
      <c r="AI31" s="83">
        <f t="shared" si="9"/>
        <v>47.800000000046566</v>
      </c>
      <c r="AJ31" s="83">
        <f t="shared" si="10"/>
        <v>3.1787447698713804</v>
      </c>
      <c r="AK31" s="83"/>
      <c r="AL31" s="83"/>
      <c r="AM31" s="83"/>
      <c r="AN31" s="83"/>
      <c r="AO31" s="78"/>
    </row>
    <row r="32" spans="1:41" customFormat="1" ht="15" hidden="1" x14ac:dyDescent="0.25">
      <c r="A32" s="82">
        <v>45660.863333333335</v>
      </c>
      <c r="B32" s="94" t="str">
        <f t="shared" si="0"/>
        <v>January</v>
      </c>
      <c r="C32" s="78"/>
      <c r="D32" s="79" t="s">
        <v>1097</v>
      </c>
      <c r="E32" s="79" t="s">
        <v>1016</v>
      </c>
      <c r="F32" s="79" t="s">
        <v>952</v>
      </c>
      <c r="G32" s="79" t="s">
        <v>969</v>
      </c>
      <c r="H32" s="79" t="s">
        <v>461</v>
      </c>
      <c r="I32" s="79">
        <v>153.60000000000002</v>
      </c>
      <c r="J32" s="79" t="s">
        <v>1315</v>
      </c>
      <c r="K32" s="80" t="s">
        <v>469</v>
      </c>
      <c r="L32" s="79">
        <v>340</v>
      </c>
      <c r="M32" s="79">
        <v>296</v>
      </c>
      <c r="N32" s="81">
        <f t="shared" si="11"/>
        <v>-44</v>
      </c>
      <c r="O32" s="78"/>
      <c r="P32" s="82">
        <f>R32-TIME(0,40,0)</f>
        <v>45661.469444444439</v>
      </c>
      <c r="Q32" s="82">
        <v>45661.176388888889</v>
      </c>
      <c r="R32" s="82">
        <v>45661.49722222222</v>
      </c>
      <c r="S32" s="81">
        <f t="shared" si="1"/>
        <v>459.86111110833008</v>
      </c>
      <c r="T32" s="81">
        <f t="shared" si="2"/>
        <v>39.814814819449872</v>
      </c>
      <c r="U32" s="79"/>
      <c r="V32" s="82">
        <v>45662.378472222219</v>
      </c>
      <c r="W32" s="82">
        <f>V32+TIME(0,175,0)</f>
        <v>45662.5</v>
      </c>
      <c r="X32" s="103">
        <f t="shared" si="3"/>
        <v>171.35416667122627</v>
      </c>
      <c r="Y32" s="82"/>
      <c r="Z32" s="82">
        <v>45662.665277777778</v>
      </c>
      <c r="AA32" s="82">
        <f>Z32+TIME(0,57,0)</f>
        <v>45662.704861111109</v>
      </c>
      <c r="AB32" s="81">
        <f t="shared" si="4"/>
        <v>55.81249999726424</v>
      </c>
      <c r="AC32" s="80"/>
      <c r="AD32" s="83">
        <f t="shared" si="5"/>
        <v>1.1680555555576575</v>
      </c>
      <c r="AE32" s="80">
        <v>2</v>
      </c>
      <c r="AF32" s="84">
        <f t="shared" si="6"/>
        <v>0.8319444444423425</v>
      </c>
      <c r="AG32" s="83">
        <f t="shared" si="7"/>
        <v>28.03333333338378</v>
      </c>
      <c r="AH32" s="83">
        <f t="shared" si="8"/>
        <v>12</v>
      </c>
      <c r="AI32" s="83">
        <f t="shared" si="9"/>
        <v>16.03333333338378</v>
      </c>
      <c r="AJ32" s="83">
        <f t="shared" si="10"/>
        <v>9.5800415800114394</v>
      </c>
      <c r="AK32" s="83"/>
      <c r="AL32" s="83"/>
      <c r="AM32" s="83"/>
      <c r="AN32" s="83"/>
      <c r="AO32" s="78"/>
    </row>
    <row r="33" spans="1:41" customFormat="1" ht="15" hidden="1" x14ac:dyDescent="0.25">
      <c r="A33" s="82">
        <v>45660.863854166666</v>
      </c>
      <c r="B33" s="94" t="str">
        <f t="shared" si="0"/>
        <v>January</v>
      </c>
      <c r="C33" s="78"/>
      <c r="D33" s="79" t="s">
        <v>1098</v>
      </c>
      <c r="E33" s="79" t="s">
        <v>1016</v>
      </c>
      <c r="F33" s="79" t="s">
        <v>1272</v>
      </c>
      <c r="G33" s="79" t="s">
        <v>38</v>
      </c>
      <c r="H33" s="79" t="s">
        <v>458</v>
      </c>
      <c r="I33" s="79">
        <v>156</v>
      </c>
      <c r="J33" s="79" t="s">
        <v>1316</v>
      </c>
      <c r="K33" s="80" t="s">
        <v>469</v>
      </c>
      <c r="L33" s="79">
        <v>470</v>
      </c>
      <c r="M33" s="80">
        <f>L33-1</f>
        <v>469</v>
      </c>
      <c r="N33" s="81">
        <f t="shared" si="11"/>
        <v>-1</v>
      </c>
      <c r="O33" s="78"/>
      <c r="P33" s="82">
        <f>R33-TIME(0,40,0)</f>
        <v>45660.810416666667</v>
      </c>
      <c r="Q33" s="82">
        <v>45661.0625</v>
      </c>
      <c r="R33" s="82">
        <v>45660.838194444448</v>
      </c>
      <c r="S33" s="81">
        <f t="shared" si="1"/>
        <v>-321.5046296242993</v>
      </c>
      <c r="T33" s="81">
        <f t="shared" si="2"/>
        <v>39.814814819449872</v>
      </c>
      <c r="U33" s="79"/>
      <c r="V33" s="82">
        <v>45663.572222222225</v>
      </c>
      <c r="W33" s="82">
        <f>V33+TIME(0,167,0)</f>
        <v>45663.688194444447</v>
      </c>
      <c r="X33" s="103">
        <f t="shared" si="3"/>
        <v>163.52083333287737</v>
      </c>
      <c r="Y33" s="82"/>
      <c r="Z33" s="82">
        <v>45664.652777777781</v>
      </c>
      <c r="AA33" s="82">
        <v>45664.686805555561</v>
      </c>
      <c r="AB33" s="81">
        <f t="shared" si="4"/>
        <v>47.979166669174447</v>
      </c>
      <c r="AC33" s="80"/>
      <c r="AD33" s="83">
        <f t="shared" si="5"/>
        <v>3.8145833333328483</v>
      </c>
      <c r="AE33" s="80">
        <v>2</v>
      </c>
      <c r="AF33" s="84">
        <f t="shared" si="6"/>
        <v>-1.8145833333328483</v>
      </c>
      <c r="AG33" s="83">
        <f t="shared" si="7"/>
        <v>91.549999999988358</v>
      </c>
      <c r="AH33" s="83">
        <f t="shared" si="8"/>
        <v>36</v>
      </c>
      <c r="AI33" s="83">
        <f t="shared" si="9"/>
        <v>55.549999999988358</v>
      </c>
      <c r="AJ33" s="83">
        <f t="shared" si="10"/>
        <v>2.8082808280833969</v>
      </c>
      <c r="AK33" s="83"/>
      <c r="AL33" s="83"/>
      <c r="AM33" s="83"/>
      <c r="AN33" s="83"/>
      <c r="AO33" s="78"/>
    </row>
    <row r="34" spans="1:41" customFormat="1" ht="15" hidden="1" x14ac:dyDescent="0.25">
      <c r="A34" s="82">
        <v>45660.864421296297</v>
      </c>
      <c r="B34" s="94" t="str">
        <f t="shared" si="0"/>
        <v>January</v>
      </c>
      <c r="C34" s="78"/>
      <c r="D34" s="79" t="s">
        <v>1099</v>
      </c>
      <c r="E34" s="79" t="s">
        <v>1016</v>
      </c>
      <c r="F34" s="79" t="s">
        <v>1273</v>
      </c>
      <c r="G34" s="79" t="s">
        <v>41</v>
      </c>
      <c r="H34" s="79" t="s">
        <v>459</v>
      </c>
      <c r="I34" s="79">
        <v>156</v>
      </c>
      <c r="J34" s="79" t="s">
        <v>1317</v>
      </c>
      <c r="K34" s="80" t="s">
        <v>469</v>
      </c>
      <c r="L34" s="79">
        <v>560</v>
      </c>
      <c r="M34" s="79">
        <v>507</v>
      </c>
      <c r="N34" s="81">
        <f t="shared" si="11"/>
        <v>-53</v>
      </c>
      <c r="O34" s="78"/>
      <c r="P34" s="82">
        <f>R34-TIME(0,40,0)</f>
        <v>45660.825694444437</v>
      </c>
      <c r="Q34" s="82">
        <v>45660.895833333336</v>
      </c>
      <c r="R34" s="82">
        <v>45660.853472222218</v>
      </c>
      <c r="S34" s="81">
        <f t="shared" si="1"/>
        <v>-60.717592602789715</v>
      </c>
      <c r="T34" s="81">
        <f t="shared" si="2"/>
        <v>39.814814819449872</v>
      </c>
      <c r="U34" s="79"/>
      <c r="V34" s="82">
        <v>45661.689583333333</v>
      </c>
      <c r="W34" s="82">
        <f>V34+TIME(0,175,0)</f>
        <v>45661.811111111114</v>
      </c>
      <c r="X34" s="103">
        <f t="shared" si="3"/>
        <v>171.35416667122627</v>
      </c>
      <c r="Y34" s="82"/>
      <c r="Z34" s="82">
        <v>45662.419444444444</v>
      </c>
      <c r="AA34" s="82">
        <f>Z34+TIME(0,56,0)</f>
        <v>45662.458333333336</v>
      </c>
      <c r="AB34" s="81">
        <f t="shared" si="4"/>
        <v>54.833333337664953</v>
      </c>
      <c r="AC34" s="80"/>
      <c r="AD34" s="83">
        <f t="shared" si="5"/>
        <v>1.5659722222262644</v>
      </c>
      <c r="AE34" s="80">
        <v>3</v>
      </c>
      <c r="AF34" s="84">
        <f t="shared" si="6"/>
        <v>1.4340277777737356</v>
      </c>
      <c r="AG34" s="83">
        <f t="shared" si="7"/>
        <v>37.583333333430346</v>
      </c>
      <c r="AH34" s="83">
        <f t="shared" si="8"/>
        <v>12</v>
      </c>
      <c r="AI34" s="83">
        <f t="shared" si="9"/>
        <v>25.583333333430346</v>
      </c>
      <c r="AJ34" s="83">
        <f t="shared" si="10"/>
        <v>6.0977198696837176</v>
      </c>
      <c r="AK34" s="83"/>
      <c r="AL34" s="83"/>
      <c r="AM34" s="83"/>
      <c r="AN34" s="83"/>
      <c r="AO34" s="78"/>
    </row>
    <row r="35" spans="1:41" customFormat="1" ht="15" hidden="1" x14ac:dyDescent="0.25">
      <c r="A35" s="82">
        <v>45660.984942129631</v>
      </c>
      <c r="B35" s="94" t="str">
        <f t="shared" si="0"/>
        <v>January</v>
      </c>
      <c r="C35" s="78"/>
      <c r="D35" s="79" t="s">
        <v>1100</v>
      </c>
      <c r="E35" s="79" t="s">
        <v>1016</v>
      </c>
      <c r="F35" s="79" t="s">
        <v>965</v>
      </c>
      <c r="G35" s="79" t="s">
        <v>980</v>
      </c>
      <c r="H35" s="79" t="s">
        <v>997</v>
      </c>
      <c r="I35" s="79">
        <v>153.60000000000002</v>
      </c>
      <c r="J35" s="79" t="s">
        <v>1318</v>
      </c>
      <c r="K35" s="80" t="s">
        <v>469</v>
      </c>
      <c r="L35" s="80">
        <v>414</v>
      </c>
      <c r="M35" s="80">
        <f>L35-1</f>
        <v>413</v>
      </c>
      <c r="N35" s="81">
        <f t="shared" si="11"/>
        <v>-1</v>
      </c>
      <c r="O35" s="78"/>
      <c r="P35" s="82">
        <f>R35-TIME(0,43,0)</f>
        <v>45661.768055555556</v>
      </c>
      <c r="Q35" s="82">
        <v>45661.354166666664</v>
      </c>
      <c r="R35" s="82">
        <v>45661.79791666667</v>
      </c>
      <c r="S35" s="81">
        <f t="shared" si="1"/>
        <v>636.04166667500976</v>
      </c>
      <c r="T35" s="81">
        <f t="shared" si="2"/>
        <v>42.80092592986572</v>
      </c>
      <c r="U35" s="79"/>
      <c r="V35" s="82">
        <v>45662.45208333333</v>
      </c>
      <c r="W35" s="82">
        <f>V35+TIME(0,317,0)</f>
        <v>45662.672222222216</v>
      </c>
      <c r="X35" s="103">
        <f t="shared" si="3"/>
        <v>310.39583332945767</v>
      </c>
      <c r="Y35" s="82" t="s">
        <v>1044</v>
      </c>
      <c r="Z35" s="82">
        <v>45663.470138888886</v>
      </c>
      <c r="AA35" s="82">
        <f>Z35+TIME(0,54,0)</f>
        <v>45663.507638888885</v>
      </c>
      <c r="AB35" s="81">
        <f t="shared" si="4"/>
        <v>52.87499999794818</v>
      </c>
      <c r="AC35" s="80"/>
      <c r="AD35" s="83">
        <f t="shared" si="5"/>
        <v>1.6722222222160781</v>
      </c>
      <c r="AE35" s="80">
        <v>2</v>
      </c>
      <c r="AF35" s="84">
        <f t="shared" si="6"/>
        <v>0.32777777778392192</v>
      </c>
      <c r="AG35" s="83">
        <f t="shared" si="7"/>
        <v>40.133333333185874</v>
      </c>
      <c r="AH35" s="83">
        <f t="shared" si="8"/>
        <v>12</v>
      </c>
      <c r="AI35" s="83">
        <f t="shared" si="9"/>
        <v>28.133333333185874</v>
      </c>
      <c r="AJ35" s="83">
        <f t="shared" si="10"/>
        <v>5.4597156398390441</v>
      </c>
      <c r="AK35" s="83"/>
      <c r="AL35" s="83"/>
      <c r="AM35" s="83"/>
      <c r="AN35" s="83"/>
      <c r="AO35" s="78"/>
    </row>
    <row r="36" spans="1:41" customFormat="1" ht="15" hidden="1" x14ac:dyDescent="0.25">
      <c r="A36" s="82">
        <v>45660.985543981478</v>
      </c>
      <c r="B36" s="94" t="str">
        <f t="shared" si="0"/>
        <v>January</v>
      </c>
      <c r="C36" s="78"/>
      <c r="D36" s="79" t="s">
        <v>1101</v>
      </c>
      <c r="E36" s="79" t="s">
        <v>1016</v>
      </c>
      <c r="F36" s="79" t="s">
        <v>953</v>
      </c>
      <c r="G36" s="79" t="s">
        <v>970</v>
      </c>
      <c r="H36" s="79" t="s">
        <v>1283</v>
      </c>
      <c r="I36" s="79">
        <v>153.60000000000002</v>
      </c>
      <c r="J36" s="79" t="s">
        <v>1319</v>
      </c>
      <c r="K36" s="80" t="s">
        <v>469</v>
      </c>
      <c r="L36" s="79">
        <v>302</v>
      </c>
      <c r="M36" s="79">
        <v>290</v>
      </c>
      <c r="N36" s="81">
        <f t="shared" si="11"/>
        <v>-12</v>
      </c>
      <c r="O36" s="78"/>
      <c r="P36" s="82">
        <f>R36-TIME(0,40,0)</f>
        <v>45661.555555555555</v>
      </c>
      <c r="Q36" s="82">
        <v>45661.354166666664</v>
      </c>
      <c r="R36" s="82">
        <v>45661.583333333336</v>
      </c>
      <c r="S36" s="81">
        <f t="shared" si="1"/>
        <v>328.4722222291748</v>
      </c>
      <c r="T36" s="81">
        <f t="shared" si="2"/>
        <v>39.814814819449872</v>
      </c>
      <c r="U36" s="79"/>
      <c r="V36" s="82">
        <v>45661.776388888888</v>
      </c>
      <c r="W36" s="82">
        <f>V36+TIME(0,153,0)</f>
        <v>45661.882638888885</v>
      </c>
      <c r="X36" s="103">
        <f t="shared" si="3"/>
        <v>149.81249999589636</v>
      </c>
      <c r="Y36" s="82"/>
      <c r="Z36" s="82">
        <v>45662.613888888889</v>
      </c>
      <c r="AA36" s="82">
        <f>Z36+TIME(0,57,0)</f>
        <v>45662.65347222222</v>
      </c>
      <c r="AB36" s="81">
        <f t="shared" si="4"/>
        <v>55.81249999726424</v>
      </c>
      <c r="AC36" s="80"/>
      <c r="AD36" s="83">
        <f t="shared" si="5"/>
        <v>1.0305555555532919</v>
      </c>
      <c r="AE36" s="80">
        <v>2</v>
      </c>
      <c r="AF36" s="84">
        <f t="shared" si="6"/>
        <v>0.96944444444670808</v>
      </c>
      <c r="AG36" s="83">
        <f t="shared" si="7"/>
        <v>24.733333333279006</v>
      </c>
      <c r="AH36" s="83">
        <f t="shared" si="8"/>
        <v>12</v>
      </c>
      <c r="AI36" s="83">
        <f t="shared" si="9"/>
        <v>12.733333333279006</v>
      </c>
      <c r="AJ36" s="83">
        <f t="shared" si="10"/>
        <v>12.062827225182359</v>
      </c>
      <c r="AK36" s="83"/>
      <c r="AL36" s="83"/>
      <c r="AM36" s="83"/>
      <c r="AN36" s="83"/>
      <c r="AO36" s="78"/>
    </row>
    <row r="37" spans="1:41" customFormat="1" ht="15" hidden="1" x14ac:dyDescent="0.25">
      <c r="A37" s="82">
        <v>45660.986030092594</v>
      </c>
      <c r="B37" s="94" t="str">
        <f t="shared" si="0"/>
        <v>January</v>
      </c>
      <c r="C37" s="78"/>
      <c r="D37" s="79" t="s">
        <v>1102</v>
      </c>
      <c r="E37" s="79" t="s">
        <v>1017</v>
      </c>
      <c r="F37" s="79" t="s">
        <v>955</v>
      </c>
      <c r="G37" s="79" t="s">
        <v>972</v>
      </c>
      <c r="H37" s="79" t="s">
        <v>996</v>
      </c>
      <c r="I37" s="79">
        <v>152.00200000000001</v>
      </c>
      <c r="J37" s="79" t="s">
        <v>1320</v>
      </c>
      <c r="K37" s="80" t="s">
        <v>469</v>
      </c>
      <c r="L37" s="79">
        <v>350</v>
      </c>
      <c r="M37" s="79">
        <v>351</v>
      </c>
      <c r="N37" s="81">
        <f t="shared" si="11"/>
        <v>1</v>
      </c>
      <c r="O37" s="78"/>
      <c r="P37" s="82">
        <f>R37-TIME(0,39,0)</f>
        <v>45661.472222222219</v>
      </c>
      <c r="Q37" s="82">
        <v>45661.354166666664</v>
      </c>
      <c r="R37" s="82">
        <v>45661.499305555553</v>
      </c>
      <c r="S37" s="81">
        <f t="shared" si="1"/>
        <v>208.03240740763917</v>
      </c>
      <c r="T37" s="81">
        <f t="shared" si="2"/>
        <v>38.819444445834961</v>
      </c>
      <c r="U37" s="79"/>
      <c r="V37" s="82">
        <v>45661.806250000001</v>
      </c>
      <c r="W37" s="82">
        <f>V37+TIME(0,153,0)</f>
        <v>45661.912499999999</v>
      </c>
      <c r="X37" s="103">
        <f t="shared" si="3"/>
        <v>149.81249999589636</v>
      </c>
      <c r="Y37" s="82"/>
      <c r="Z37" s="82">
        <v>45662.756944444445</v>
      </c>
      <c r="AA37" s="82">
        <v>45662.789583333331</v>
      </c>
      <c r="AB37" s="81">
        <f t="shared" si="4"/>
        <v>46.020833329457673</v>
      </c>
      <c r="AC37" s="80"/>
      <c r="AD37" s="83">
        <f t="shared" si="5"/>
        <v>1.257638888891961</v>
      </c>
      <c r="AE37" s="80">
        <v>2</v>
      </c>
      <c r="AF37" s="84">
        <f t="shared" si="6"/>
        <v>0.74236111110803904</v>
      </c>
      <c r="AG37" s="83">
        <f t="shared" si="7"/>
        <v>30.183333333407063</v>
      </c>
      <c r="AH37" s="83">
        <f t="shared" si="8"/>
        <v>12</v>
      </c>
      <c r="AI37" s="83">
        <f t="shared" si="9"/>
        <v>18.183333333407063</v>
      </c>
      <c r="AJ37" s="83">
        <f t="shared" si="10"/>
        <v>8.359413382184254</v>
      </c>
      <c r="AK37" s="83"/>
      <c r="AL37" s="83"/>
      <c r="AM37" s="83"/>
      <c r="AN37" s="83"/>
      <c r="AO37" s="78"/>
    </row>
    <row r="38" spans="1:41" customFormat="1" ht="15" hidden="1" x14ac:dyDescent="0.25">
      <c r="A38" s="82">
        <v>45661</v>
      </c>
      <c r="B38" s="94" t="str">
        <f t="shared" si="0"/>
        <v>January</v>
      </c>
      <c r="C38" s="78"/>
      <c r="D38" s="79" t="s">
        <v>1103</v>
      </c>
      <c r="E38" s="79" t="s">
        <v>1017</v>
      </c>
      <c r="F38" s="79" t="s">
        <v>961</v>
      </c>
      <c r="G38" s="79" t="s">
        <v>1261</v>
      </c>
      <c r="H38" s="79" t="s">
        <v>464</v>
      </c>
      <c r="I38" s="79">
        <v>156</v>
      </c>
      <c r="J38" s="79" t="s">
        <v>1321</v>
      </c>
      <c r="K38" s="80" t="s">
        <v>469</v>
      </c>
      <c r="L38" s="79">
        <v>256</v>
      </c>
      <c r="M38" s="80">
        <f>L38-1</f>
        <v>255</v>
      </c>
      <c r="N38" s="81">
        <f t="shared" si="11"/>
        <v>-1</v>
      </c>
      <c r="O38" s="78"/>
      <c r="P38" s="82">
        <v>45661.331944444442</v>
      </c>
      <c r="Q38" s="82">
        <v>45661.3125</v>
      </c>
      <c r="R38" s="82">
        <v>45661.359722222223</v>
      </c>
      <c r="S38" s="81">
        <f t="shared" si="1"/>
        <v>67.685185186807459</v>
      </c>
      <c r="T38" s="81">
        <f t="shared" si="2"/>
        <v>39.814814819449872</v>
      </c>
      <c r="U38" s="79"/>
      <c r="V38" s="82">
        <v>45661.651388888888</v>
      </c>
      <c r="W38" s="82">
        <f>V38+TIME(0,153,0)</f>
        <v>45661.757638888885</v>
      </c>
      <c r="X38" s="103">
        <f t="shared" si="3"/>
        <v>149.81249999589636</v>
      </c>
      <c r="Y38" s="82"/>
      <c r="Z38" s="82">
        <v>45661.876388888886</v>
      </c>
      <c r="AA38" s="82">
        <v>45661.912499999999</v>
      </c>
      <c r="AB38" s="81">
        <f t="shared" si="4"/>
        <v>50.916666668490507</v>
      </c>
      <c r="AC38" s="80"/>
      <c r="AD38" s="83">
        <f t="shared" si="5"/>
        <v>0.51666666666278616</v>
      </c>
      <c r="AE38" s="80">
        <v>2</v>
      </c>
      <c r="AF38" s="84">
        <f t="shared" si="6"/>
        <v>1.4833333333372138</v>
      </c>
      <c r="AG38" s="83">
        <f t="shared" si="7"/>
        <v>12.399999999906868</v>
      </c>
      <c r="AH38" s="83">
        <f t="shared" si="8"/>
        <v>0</v>
      </c>
      <c r="AI38" s="83">
        <f t="shared" si="9"/>
        <v>12.399999999906868</v>
      </c>
      <c r="AJ38" s="83">
        <f t="shared" si="10"/>
        <v>12.580645161384812</v>
      </c>
      <c r="AK38" s="83"/>
      <c r="AL38" s="83"/>
      <c r="AM38" s="83"/>
      <c r="AN38" s="83"/>
      <c r="AO38" s="78"/>
    </row>
    <row r="39" spans="1:41" customFormat="1" ht="15" hidden="1" x14ac:dyDescent="0.25">
      <c r="A39" s="82">
        <v>45661</v>
      </c>
      <c r="B39" s="94" t="str">
        <f t="shared" si="0"/>
        <v>January</v>
      </c>
      <c r="C39" s="78"/>
      <c r="D39" s="79" t="s">
        <v>1104</v>
      </c>
      <c r="E39" s="79" t="s">
        <v>1017</v>
      </c>
      <c r="F39" s="79" t="s">
        <v>961</v>
      </c>
      <c r="G39" s="79" t="s">
        <v>1261</v>
      </c>
      <c r="H39" s="79" t="s">
        <v>456</v>
      </c>
      <c r="I39" s="79">
        <v>156</v>
      </c>
      <c r="J39" s="79" t="s">
        <v>1322</v>
      </c>
      <c r="K39" s="80" t="s">
        <v>469</v>
      </c>
      <c r="L39" s="80">
        <v>670</v>
      </c>
      <c r="M39" s="79">
        <v>612</v>
      </c>
      <c r="N39" s="81">
        <f t="shared" si="11"/>
        <v>-58</v>
      </c>
      <c r="O39" s="78"/>
      <c r="P39" s="82">
        <f>R39-TIME(0,44,0)</f>
        <v>45661.305555555555</v>
      </c>
      <c r="Q39" s="82">
        <v>45661.3125</v>
      </c>
      <c r="R39" s="82">
        <v>45661.336111111108</v>
      </c>
      <c r="S39" s="81">
        <f t="shared" si="1"/>
        <v>33.842592588189291</v>
      </c>
      <c r="T39" s="81">
        <f t="shared" si="2"/>
        <v>43.796296293051761</v>
      </c>
      <c r="U39" s="79"/>
      <c r="V39" s="82">
        <v>45662.481944444444</v>
      </c>
      <c r="W39" s="82">
        <f>V39+TIME(0,175,0)</f>
        <v>45662.603472222225</v>
      </c>
      <c r="X39" s="103">
        <f t="shared" si="3"/>
        <v>171.35416667122627</v>
      </c>
      <c r="Y39" s="82"/>
      <c r="Z39" s="82">
        <v>45663.624666666663</v>
      </c>
      <c r="AA39" s="82">
        <f>Z39+TIME(0,59,0)</f>
        <v>45663.665638888888</v>
      </c>
      <c r="AB39" s="81">
        <f t="shared" si="4"/>
        <v>57.770833336981013</v>
      </c>
      <c r="AC39" s="80"/>
      <c r="AD39" s="83">
        <f t="shared" si="5"/>
        <v>2.2885555555549217</v>
      </c>
      <c r="AE39" s="80">
        <v>2</v>
      </c>
      <c r="AF39" s="84">
        <f t="shared" si="6"/>
        <v>-0.28855555555492174</v>
      </c>
      <c r="AG39" s="83">
        <f t="shared" si="7"/>
        <v>54.925333333318122</v>
      </c>
      <c r="AH39" s="83">
        <f t="shared" si="8"/>
        <v>24</v>
      </c>
      <c r="AI39" s="83">
        <f t="shared" si="9"/>
        <v>30.925333333318122</v>
      </c>
      <c r="AJ39" s="83">
        <f t="shared" si="10"/>
        <v>5.0444080365636612</v>
      </c>
      <c r="AK39" s="83"/>
      <c r="AL39" s="83"/>
      <c r="AM39" s="83"/>
      <c r="AN39" s="83"/>
      <c r="AO39" s="78"/>
    </row>
    <row r="40" spans="1:41" customFormat="1" ht="15" hidden="1" x14ac:dyDescent="0.25">
      <c r="A40" s="82">
        <v>45661</v>
      </c>
      <c r="B40" s="94" t="str">
        <f t="shared" si="0"/>
        <v>January</v>
      </c>
      <c r="C40" s="78"/>
      <c r="D40" s="79" t="s">
        <v>1105</v>
      </c>
      <c r="E40" s="79" t="s">
        <v>1017</v>
      </c>
      <c r="F40" s="79"/>
      <c r="G40" s="79" t="s">
        <v>63</v>
      </c>
      <c r="H40" s="79" t="s">
        <v>1284</v>
      </c>
      <c r="I40" s="79">
        <v>156</v>
      </c>
      <c r="J40" s="79" t="s">
        <v>1323</v>
      </c>
      <c r="K40" s="80" t="s">
        <v>469</v>
      </c>
      <c r="L40" s="79">
        <v>620</v>
      </c>
      <c r="M40" s="79">
        <v>602</v>
      </c>
      <c r="N40" s="81">
        <f t="shared" si="11"/>
        <v>-18</v>
      </c>
      <c r="O40" s="78"/>
      <c r="P40" s="82">
        <f>R40-TIME(0,44,0)</f>
        <v>45661.32916666667</v>
      </c>
      <c r="Q40" s="82">
        <v>45661.3125</v>
      </c>
      <c r="R40" s="82">
        <v>45661.359722222223</v>
      </c>
      <c r="S40" s="81">
        <f t="shared" si="1"/>
        <v>67.685185186807459</v>
      </c>
      <c r="T40" s="81">
        <f t="shared" si="2"/>
        <v>43.796296293051761</v>
      </c>
      <c r="U40" s="79"/>
      <c r="V40" s="82">
        <v>45661.880555555559</v>
      </c>
      <c r="W40" s="82">
        <f>V40+TIME(0,153,0)</f>
        <v>45661.986805555556</v>
      </c>
      <c r="X40" s="103">
        <f t="shared" si="3"/>
        <v>149.81249999589636</v>
      </c>
      <c r="Y40" s="82"/>
      <c r="Z40" s="82">
        <v>45663.465555555558</v>
      </c>
      <c r="AA40" s="82">
        <v>45663.499583333338</v>
      </c>
      <c r="AB40" s="81">
        <f t="shared" si="4"/>
        <v>47.979166669174447</v>
      </c>
      <c r="AC40" s="80"/>
      <c r="AD40" s="83">
        <f t="shared" si="5"/>
        <v>2.1058333333348855</v>
      </c>
      <c r="AE40" s="80">
        <v>3</v>
      </c>
      <c r="AF40" s="84">
        <f t="shared" si="6"/>
        <v>0.89416666666511446</v>
      </c>
      <c r="AG40" s="83">
        <f t="shared" si="7"/>
        <v>50.540000000037253</v>
      </c>
      <c r="AH40" s="83">
        <f t="shared" si="8"/>
        <v>24</v>
      </c>
      <c r="AI40" s="83">
        <f t="shared" si="9"/>
        <v>26.540000000037253</v>
      </c>
      <c r="AJ40" s="83">
        <f t="shared" si="10"/>
        <v>5.87792012056447</v>
      </c>
      <c r="AK40" s="83"/>
      <c r="AL40" s="83"/>
      <c r="AM40" s="83"/>
      <c r="AN40" s="83"/>
      <c r="AO40" s="78"/>
    </row>
    <row r="41" spans="1:41" customFormat="1" ht="15" hidden="1" x14ac:dyDescent="0.25">
      <c r="A41" s="82">
        <v>45661</v>
      </c>
      <c r="B41" s="94" t="str">
        <f t="shared" si="0"/>
        <v>January</v>
      </c>
      <c r="C41" s="78"/>
      <c r="D41" s="79" t="s">
        <v>1106</v>
      </c>
      <c r="E41" s="79" t="s">
        <v>1017</v>
      </c>
      <c r="F41" s="79" t="s">
        <v>961</v>
      </c>
      <c r="G41" s="79" t="s">
        <v>1261</v>
      </c>
      <c r="H41" s="79" t="s">
        <v>454</v>
      </c>
      <c r="I41" s="79">
        <v>156</v>
      </c>
      <c r="J41" s="79" t="s">
        <v>1324</v>
      </c>
      <c r="K41" s="80" t="s">
        <v>469</v>
      </c>
      <c r="L41" s="79">
        <v>390</v>
      </c>
      <c r="M41" s="80">
        <f>L41+2</f>
        <v>392</v>
      </c>
      <c r="N41" s="81">
        <f t="shared" si="11"/>
        <v>2</v>
      </c>
      <c r="O41" s="78"/>
      <c r="P41" s="82">
        <v>45661.331944444442</v>
      </c>
      <c r="Q41" s="82">
        <v>45661.3125</v>
      </c>
      <c r="R41" s="82">
        <v>45661.359722222223</v>
      </c>
      <c r="S41" s="81">
        <f t="shared" si="1"/>
        <v>67.685185186807459</v>
      </c>
      <c r="T41" s="81">
        <f t="shared" si="2"/>
        <v>39.814814819449872</v>
      </c>
      <c r="U41" s="79"/>
      <c r="V41" s="82">
        <v>45662.422222222223</v>
      </c>
      <c r="W41" s="82">
        <f>V41+TIME(0,167,0)</f>
        <v>45662.538194444445</v>
      </c>
      <c r="X41" s="103">
        <f t="shared" si="3"/>
        <v>163.52083333287737</v>
      </c>
      <c r="Y41" s="82"/>
      <c r="Z41" s="82">
        <v>45663.452222222222</v>
      </c>
      <c r="AA41" s="82">
        <f>Z41+TIME(0,53,0)</f>
        <v>45663.489027777781</v>
      </c>
      <c r="AB41" s="81">
        <f t="shared" si="4"/>
        <v>51.895833338348893</v>
      </c>
      <c r="AC41" s="80"/>
      <c r="AD41" s="83">
        <f t="shared" si="5"/>
        <v>2.0924999999988358</v>
      </c>
      <c r="AE41" s="80">
        <v>2</v>
      </c>
      <c r="AF41" s="84">
        <f t="shared" si="6"/>
        <v>-9.2499999998835847E-2</v>
      </c>
      <c r="AG41" s="83">
        <f t="shared" si="7"/>
        <v>50.21999999997206</v>
      </c>
      <c r="AH41" s="83">
        <f t="shared" si="8"/>
        <v>24</v>
      </c>
      <c r="AI41" s="83">
        <f t="shared" si="9"/>
        <v>26.21999999997206</v>
      </c>
      <c r="AJ41" s="83">
        <f t="shared" si="10"/>
        <v>5.9496567505784226</v>
      </c>
      <c r="AK41" s="83"/>
      <c r="AL41" s="83"/>
      <c r="AM41" s="83"/>
      <c r="AN41" s="83"/>
      <c r="AO41" s="78"/>
    </row>
    <row r="42" spans="1:41" customFormat="1" ht="15" hidden="1" x14ac:dyDescent="0.25">
      <c r="A42" s="82">
        <v>45661</v>
      </c>
      <c r="B42" s="94" t="str">
        <f t="shared" si="0"/>
        <v>January</v>
      </c>
      <c r="C42" s="78"/>
      <c r="D42" s="79" t="s">
        <v>1107</v>
      </c>
      <c r="E42" s="79" t="s">
        <v>1017</v>
      </c>
      <c r="F42" s="79" t="s">
        <v>961</v>
      </c>
      <c r="G42" s="79" t="s">
        <v>1261</v>
      </c>
      <c r="H42" s="79" t="s">
        <v>456</v>
      </c>
      <c r="I42" s="79">
        <v>156</v>
      </c>
      <c r="J42" s="79" t="s">
        <v>1325</v>
      </c>
      <c r="K42" s="80" t="s">
        <v>469</v>
      </c>
      <c r="L42" s="80">
        <v>670</v>
      </c>
      <c r="M42" s="79">
        <v>603</v>
      </c>
      <c r="N42" s="81">
        <f t="shared" si="11"/>
        <v>-67</v>
      </c>
      <c r="O42" s="78"/>
      <c r="P42" s="82">
        <f>R42-TIME(0,39,0)</f>
        <v>45661.536805555552</v>
      </c>
      <c r="Q42" s="82">
        <v>45661.5</v>
      </c>
      <c r="R42" s="82">
        <v>45661.563888888886</v>
      </c>
      <c r="S42" s="81">
        <f t="shared" si="1"/>
        <v>91.574074070134273</v>
      </c>
      <c r="T42" s="81">
        <f t="shared" si="2"/>
        <v>38.819444445834961</v>
      </c>
      <c r="U42" s="79"/>
      <c r="V42" s="82">
        <v>45662.647222222222</v>
      </c>
      <c r="W42" s="82">
        <f>V42+TIME(0,175,0)</f>
        <v>45662.768750000003</v>
      </c>
      <c r="X42" s="103">
        <f t="shared" si="3"/>
        <v>171.35416667122627</v>
      </c>
      <c r="Y42" s="82"/>
      <c r="Z42" s="82">
        <v>45663.705222222219</v>
      </c>
      <c r="AA42" s="82">
        <f>Z42+TIME(0,56,0)</f>
        <v>45663.744111111111</v>
      </c>
      <c r="AB42" s="81">
        <f t="shared" si="4"/>
        <v>54.833333337664953</v>
      </c>
      <c r="AC42" s="80"/>
      <c r="AD42" s="83">
        <f t="shared" si="5"/>
        <v>2.1413333333330229</v>
      </c>
      <c r="AE42" s="80">
        <v>2</v>
      </c>
      <c r="AF42" s="84">
        <f t="shared" si="6"/>
        <v>-0.14133333333302289</v>
      </c>
      <c r="AG42" s="83">
        <f t="shared" si="7"/>
        <v>51.391999999992549</v>
      </c>
      <c r="AH42" s="83">
        <f t="shared" si="8"/>
        <v>24</v>
      </c>
      <c r="AI42" s="83">
        <f t="shared" si="9"/>
        <v>27.391999999992549</v>
      </c>
      <c r="AJ42" s="83">
        <f t="shared" si="10"/>
        <v>5.6950934579454744</v>
      </c>
      <c r="AK42" s="83"/>
      <c r="AL42" s="83"/>
      <c r="AM42" s="83"/>
      <c r="AN42" s="83"/>
      <c r="AO42" s="78"/>
    </row>
    <row r="43" spans="1:41" customFormat="1" ht="15" hidden="1" x14ac:dyDescent="0.25">
      <c r="A43" s="82">
        <v>45661</v>
      </c>
      <c r="B43" s="94" t="str">
        <f t="shared" si="0"/>
        <v>January</v>
      </c>
      <c r="C43" s="78"/>
      <c r="D43" s="79" t="s">
        <v>1108</v>
      </c>
      <c r="E43" s="79" t="s">
        <v>1017</v>
      </c>
      <c r="F43" s="79"/>
      <c r="G43" s="79" t="s">
        <v>63</v>
      </c>
      <c r="H43" s="79" t="s">
        <v>457</v>
      </c>
      <c r="I43" s="79">
        <v>156</v>
      </c>
      <c r="J43" s="79" t="s">
        <v>1326</v>
      </c>
      <c r="K43" s="80" t="s">
        <v>469</v>
      </c>
      <c r="L43" s="79">
        <v>320</v>
      </c>
      <c r="M43" s="79">
        <v>321</v>
      </c>
      <c r="N43" s="81">
        <f t="shared" si="11"/>
        <v>1</v>
      </c>
      <c r="O43" s="78"/>
      <c r="P43" s="82">
        <v>45661.331944444442</v>
      </c>
      <c r="Q43" s="82">
        <v>45661.3125</v>
      </c>
      <c r="R43" s="82">
        <v>45661.359722222223</v>
      </c>
      <c r="S43" s="81">
        <f t="shared" si="1"/>
        <v>67.685185186807459</v>
      </c>
      <c r="T43" s="81">
        <f t="shared" si="2"/>
        <v>39.814814819449872</v>
      </c>
      <c r="U43" s="79"/>
      <c r="V43" s="82">
        <v>45661.609722222223</v>
      </c>
      <c r="W43" s="82">
        <f>V43+TIME(0,149,0)</f>
        <v>45661.713194444448</v>
      </c>
      <c r="X43" s="103">
        <f t="shared" si="3"/>
        <v>145.89583333698101</v>
      </c>
      <c r="Y43" s="82"/>
      <c r="Z43" s="82">
        <v>45662.418888888889</v>
      </c>
      <c r="AA43" s="82">
        <v>45662.452916666669</v>
      </c>
      <c r="AB43" s="81">
        <f t="shared" si="4"/>
        <v>47.979166669174447</v>
      </c>
      <c r="AC43" s="80"/>
      <c r="AD43" s="83">
        <f t="shared" si="5"/>
        <v>1.0591666666659876</v>
      </c>
      <c r="AE43" s="80">
        <v>2</v>
      </c>
      <c r="AF43" s="84">
        <f t="shared" si="6"/>
        <v>0.94083333333401242</v>
      </c>
      <c r="AG43" s="83">
        <f t="shared" si="7"/>
        <v>25.419999999983702</v>
      </c>
      <c r="AH43" s="83">
        <f t="shared" si="8"/>
        <v>12</v>
      </c>
      <c r="AI43" s="83">
        <f t="shared" si="9"/>
        <v>13.419999999983702</v>
      </c>
      <c r="AJ43" s="83">
        <f t="shared" si="10"/>
        <v>11.624441132651972</v>
      </c>
      <c r="AK43" s="83"/>
      <c r="AL43" s="83"/>
      <c r="AM43" s="83"/>
      <c r="AN43" s="83"/>
      <c r="AO43" s="78"/>
    </row>
    <row r="44" spans="1:41" customFormat="1" ht="15" hidden="1" x14ac:dyDescent="0.25">
      <c r="A44" s="82">
        <v>45661</v>
      </c>
      <c r="B44" s="94" t="str">
        <f t="shared" si="0"/>
        <v>January</v>
      </c>
      <c r="C44" s="78"/>
      <c r="D44" s="79" t="s">
        <v>1109</v>
      </c>
      <c r="E44" s="79" t="s">
        <v>1017</v>
      </c>
      <c r="F44" s="79"/>
      <c r="G44" s="79" t="s">
        <v>63</v>
      </c>
      <c r="H44" s="79" t="s">
        <v>450</v>
      </c>
      <c r="I44" s="79">
        <v>156</v>
      </c>
      <c r="J44" s="79" t="s">
        <v>1327</v>
      </c>
      <c r="K44" s="80" t="s">
        <v>469</v>
      </c>
      <c r="L44" s="79">
        <v>230</v>
      </c>
      <c r="M44" s="80">
        <f>L44-1</f>
        <v>229</v>
      </c>
      <c r="N44" s="81">
        <f t="shared" si="11"/>
        <v>-1</v>
      </c>
      <c r="O44" s="78"/>
      <c r="P44" s="82">
        <v>45661.331944444442</v>
      </c>
      <c r="Q44" s="82">
        <v>45661.3125</v>
      </c>
      <c r="R44" s="82">
        <v>45661.359722222223</v>
      </c>
      <c r="S44" s="81">
        <f t="shared" si="1"/>
        <v>67.685185186807459</v>
      </c>
      <c r="T44" s="81">
        <f t="shared" si="2"/>
        <v>39.814814819449872</v>
      </c>
      <c r="U44" s="79"/>
      <c r="V44" s="82">
        <v>45662.380555555559</v>
      </c>
      <c r="W44" s="82">
        <f>V44+TIME(0,153,0)</f>
        <v>45662.486805555556</v>
      </c>
      <c r="X44" s="103">
        <f t="shared" si="3"/>
        <v>149.81249999589636</v>
      </c>
      <c r="Y44" s="82"/>
      <c r="Z44" s="82">
        <v>45662.787499999999</v>
      </c>
      <c r="AA44" s="82">
        <v>45662.821527777778</v>
      </c>
      <c r="AB44" s="81">
        <f t="shared" si="4"/>
        <v>47.979166669174447</v>
      </c>
      <c r="AC44" s="80"/>
      <c r="AD44" s="83">
        <f t="shared" si="5"/>
        <v>1.4277777777751908</v>
      </c>
      <c r="AE44" s="80">
        <v>2</v>
      </c>
      <c r="AF44" s="84">
        <f t="shared" si="6"/>
        <v>0.57222222222480923</v>
      </c>
      <c r="AG44" s="83">
        <f t="shared" si="7"/>
        <v>34.266666666604578</v>
      </c>
      <c r="AH44" s="83">
        <f t="shared" si="8"/>
        <v>12</v>
      </c>
      <c r="AI44" s="83">
        <f t="shared" si="9"/>
        <v>22.266666666604578</v>
      </c>
      <c r="AJ44" s="83">
        <f t="shared" si="10"/>
        <v>7.0059880239716312</v>
      </c>
      <c r="AK44" s="83"/>
      <c r="AL44" s="83"/>
      <c r="AM44" s="83"/>
      <c r="AN44" s="83"/>
      <c r="AO44" s="78"/>
    </row>
    <row r="45" spans="1:41" customFormat="1" ht="15" hidden="1" x14ac:dyDescent="0.25">
      <c r="A45" s="82">
        <v>45661.482118055559</v>
      </c>
      <c r="B45" s="94" t="str">
        <f t="shared" si="0"/>
        <v>January</v>
      </c>
      <c r="C45" s="78"/>
      <c r="D45" s="79" t="s">
        <v>1110</v>
      </c>
      <c r="E45" s="79" t="s">
        <v>1016</v>
      </c>
      <c r="F45" s="79" t="s">
        <v>959</v>
      </c>
      <c r="G45" s="79" t="s">
        <v>976</v>
      </c>
      <c r="H45" s="79" t="s">
        <v>996</v>
      </c>
      <c r="I45" s="79">
        <v>153.60000000000002</v>
      </c>
      <c r="J45" s="79" t="s">
        <v>1328</v>
      </c>
      <c r="K45" s="80" t="s">
        <v>469</v>
      </c>
      <c r="L45" s="79">
        <v>350</v>
      </c>
      <c r="M45" s="79">
        <v>351</v>
      </c>
      <c r="N45" s="81">
        <f t="shared" si="11"/>
        <v>1</v>
      </c>
      <c r="O45" s="78"/>
      <c r="P45" s="82">
        <f>R45-TIME(0,40,0)</f>
        <v>45661.632638888885</v>
      </c>
      <c r="Q45" s="82">
        <v>45662.333333333336</v>
      </c>
      <c r="R45" s="82">
        <v>45661.660416666666</v>
      </c>
      <c r="S45" s="81">
        <f t="shared" si="1"/>
        <v>-964.51388889375573</v>
      </c>
      <c r="T45" s="81">
        <f t="shared" si="2"/>
        <v>39.814814819449872</v>
      </c>
      <c r="U45" s="79"/>
      <c r="V45" s="82">
        <v>45662.392361111109</v>
      </c>
      <c r="W45" s="82">
        <f>V45+TIME(0,167,0)</f>
        <v>45662.508333333331</v>
      </c>
      <c r="X45" s="103">
        <f t="shared" si="3"/>
        <v>163.52083333287737</v>
      </c>
      <c r="Y45" s="82"/>
      <c r="Z45" s="82">
        <v>45663.517361111109</v>
      </c>
      <c r="AA45" s="82">
        <f>Z45+TIME(0,59,0)</f>
        <v>45663.558333333334</v>
      </c>
      <c r="AB45" s="81">
        <f t="shared" si="4"/>
        <v>57.770833336981013</v>
      </c>
      <c r="AC45" s="80"/>
      <c r="AD45" s="83">
        <f t="shared" si="5"/>
        <v>1.8569444444437977</v>
      </c>
      <c r="AE45" s="80">
        <v>2</v>
      </c>
      <c r="AF45" s="84">
        <f t="shared" si="6"/>
        <v>0.14305555555620231</v>
      </c>
      <c r="AG45" s="83">
        <f t="shared" si="7"/>
        <v>44.566666666651145</v>
      </c>
      <c r="AH45" s="83">
        <f t="shared" si="8"/>
        <v>12</v>
      </c>
      <c r="AI45" s="83">
        <f t="shared" si="9"/>
        <v>32.566666666651145</v>
      </c>
      <c r="AJ45" s="83">
        <f t="shared" si="10"/>
        <v>4.7164790174024533</v>
      </c>
      <c r="AK45" s="83"/>
      <c r="AL45" s="83"/>
      <c r="AM45" s="83"/>
      <c r="AN45" s="83"/>
      <c r="AO45" s="78"/>
    </row>
    <row r="46" spans="1:41" customFormat="1" ht="15" hidden="1" x14ac:dyDescent="0.25">
      <c r="A46" s="82">
        <v>45661.48741898148</v>
      </c>
      <c r="B46" s="94" t="str">
        <f t="shared" si="0"/>
        <v>January</v>
      </c>
      <c r="C46" s="78"/>
      <c r="D46" s="79" t="s">
        <v>1111</v>
      </c>
      <c r="E46" s="79" t="s">
        <v>1016</v>
      </c>
      <c r="F46" s="79" t="s">
        <v>964</v>
      </c>
      <c r="G46" s="79" t="s">
        <v>979</v>
      </c>
      <c r="H46" s="79" t="s">
        <v>461</v>
      </c>
      <c r="I46" s="79">
        <v>153.60000000000002</v>
      </c>
      <c r="J46" s="79" t="s">
        <v>1329</v>
      </c>
      <c r="K46" s="80" t="s">
        <v>469</v>
      </c>
      <c r="L46" s="79">
        <v>340</v>
      </c>
      <c r="M46" s="79">
        <v>299</v>
      </c>
      <c r="N46" s="81">
        <f t="shared" si="11"/>
        <v>-41</v>
      </c>
      <c r="O46" s="78"/>
      <c r="P46" s="82">
        <f>R46-TIME(0,63,0)</f>
        <v>45661.583333333336</v>
      </c>
      <c r="Q46" s="82">
        <v>45662.176388888889</v>
      </c>
      <c r="R46" s="82">
        <v>45661.627083333333</v>
      </c>
      <c r="S46" s="81">
        <f t="shared" si="1"/>
        <v>-787.33796296388994</v>
      </c>
      <c r="T46" s="81">
        <f t="shared" si="2"/>
        <v>62.708333329161782</v>
      </c>
      <c r="U46" s="79" t="s">
        <v>550</v>
      </c>
      <c r="V46" s="82">
        <v>45661.779861111114</v>
      </c>
      <c r="W46" s="82">
        <f>V46+TIME(0,153,0)</f>
        <v>45661.886111111111</v>
      </c>
      <c r="X46" s="103">
        <f t="shared" si="3"/>
        <v>149.81249999589636</v>
      </c>
      <c r="Y46" s="82"/>
      <c r="Z46" s="82">
        <v>45662.743055555555</v>
      </c>
      <c r="AA46" s="82">
        <f>Z46+TIME(0,54,0)</f>
        <v>45662.780555555553</v>
      </c>
      <c r="AB46" s="81">
        <f t="shared" si="4"/>
        <v>52.87499999794818</v>
      </c>
      <c r="AC46" s="80"/>
      <c r="AD46" s="83">
        <f t="shared" si="5"/>
        <v>1.1159722222218988</v>
      </c>
      <c r="AE46" s="80">
        <v>2</v>
      </c>
      <c r="AF46" s="84">
        <f t="shared" si="6"/>
        <v>0.88402777777810115</v>
      </c>
      <c r="AG46" s="83">
        <f t="shared" si="7"/>
        <v>26.783333333325572</v>
      </c>
      <c r="AH46" s="83">
        <f t="shared" si="8"/>
        <v>12</v>
      </c>
      <c r="AI46" s="83">
        <f t="shared" si="9"/>
        <v>14.783333333325572</v>
      </c>
      <c r="AJ46" s="83">
        <f t="shared" si="10"/>
        <v>10.390078917705569</v>
      </c>
      <c r="AK46" s="83"/>
      <c r="AL46" s="83"/>
      <c r="AM46" s="83"/>
      <c r="AN46" s="83"/>
      <c r="AO46" s="78"/>
    </row>
    <row r="47" spans="1:41" customFormat="1" ht="15" hidden="1" x14ac:dyDescent="0.25">
      <c r="A47" s="82">
        <v>45661.817939814813</v>
      </c>
      <c r="B47" s="94" t="str">
        <f t="shared" si="0"/>
        <v>January</v>
      </c>
      <c r="C47" s="78"/>
      <c r="D47" s="79" t="s">
        <v>1112</v>
      </c>
      <c r="E47" s="79" t="s">
        <v>1016</v>
      </c>
      <c r="F47" s="79" t="s">
        <v>1274</v>
      </c>
      <c r="G47" s="79" t="s">
        <v>1263</v>
      </c>
      <c r="H47" s="79" t="s">
        <v>452</v>
      </c>
      <c r="I47" s="79">
        <v>187.20000000000002</v>
      </c>
      <c r="J47" s="79" t="s">
        <v>1330</v>
      </c>
      <c r="K47" s="80" t="s">
        <v>469</v>
      </c>
      <c r="L47" s="79">
        <v>690</v>
      </c>
      <c r="M47" s="80">
        <f>L47+2</f>
        <v>692</v>
      </c>
      <c r="N47" s="81">
        <f t="shared" si="11"/>
        <v>2</v>
      </c>
      <c r="O47" s="78"/>
      <c r="P47" s="82">
        <f>R47-TIME(0,57,0)</f>
        <v>45662.418750000004</v>
      </c>
      <c r="Q47" s="82">
        <v>45661.875</v>
      </c>
      <c r="R47" s="82">
        <v>45662.458333333336</v>
      </c>
      <c r="S47" s="81">
        <f t="shared" si="1"/>
        <v>836.1111111145874</v>
      </c>
      <c r="T47" s="81">
        <f t="shared" si="2"/>
        <v>56.736111108330078</v>
      </c>
      <c r="U47" s="79" t="s">
        <v>562</v>
      </c>
      <c r="V47" s="82">
        <v>45663.428472222222</v>
      </c>
      <c r="W47" s="82">
        <f>V47+TIME(0,153,0)</f>
        <v>45663.534722222219</v>
      </c>
      <c r="X47" s="103">
        <f t="shared" si="3"/>
        <v>149.81249999589636</v>
      </c>
      <c r="Y47" s="82"/>
      <c r="Z47" s="82">
        <v>45664.267361111109</v>
      </c>
      <c r="AA47" s="82">
        <f>Z47+TIME(0,56,0)</f>
        <v>45664.306250000001</v>
      </c>
      <c r="AB47" s="81">
        <f t="shared" si="4"/>
        <v>54.833333337664953</v>
      </c>
      <c r="AC47" s="80"/>
      <c r="AD47" s="83">
        <f t="shared" si="5"/>
        <v>1.8090277777737356</v>
      </c>
      <c r="AE47" s="80">
        <v>2</v>
      </c>
      <c r="AF47" s="84">
        <f t="shared" si="6"/>
        <v>0.19097222222626442</v>
      </c>
      <c r="AG47" s="83">
        <f t="shared" si="7"/>
        <v>43.416666666569654</v>
      </c>
      <c r="AH47" s="83">
        <f t="shared" si="8"/>
        <v>12</v>
      </c>
      <c r="AI47" s="83">
        <f t="shared" si="9"/>
        <v>31.416666666569654</v>
      </c>
      <c r="AJ47" s="83">
        <f t="shared" si="10"/>
        <v>5.9586206896735732</v>
      </c>
      <c r="AK47" s="83"/>
      <c r="AL47" s="83"/>
      <c r="AM47" s="83"/>
      <c r="AN47" s="83"/>
      <c r="AO47" s="78"/>
    </row>
    <row r="48" spans="1:41" customFormat="1" ht="15" hidden="1" x14ac:dyDescent="0.25">
      <c r="A48" s="82">
        <v>45661.818414351852</v>
      </c>
      <c r="B48" s="94" t="str">
        <f t="shared" si="0"/>
        <v>January</v>
      </c>
      <c r="C48" s="78"/>
      <c r="D48" s="79" t="s">
        <v>1113</v>
      </c>
      <c r="E48" s="79" t="s">
        <v>1017</v>
      </c>
      <c r="F48" s="79"/>
      <c r="G48" s="79" t="s">
        <v>977</v>
      </c>
      <c r="H48" s="79" t="s">
        <v>458</v>
      </c>
      <c r="I48" s="79">
        <v>156</v>
      </c>
      <c r="J48" s="79" t="s">
        <v>1331</v>
      </c>
      <c r="K48" s="80" t="s">
        <v>469</v>
      </c>
      <c r="L48" s="79">
        <v>470</v>
      </c>
      <c r="M48" s="79">
        <v>465</v>
      </c>
      <c r="N48" s="81">
        <f t="shared" si="11"/>
        <v>-5</v>
      </c>
      <c r="O48" s="78"/>
      <c r="P48" s="82">
        <f>R48-TIME(0,42,0)</f>
        <v>45662.353136574071</v>
      </c>
      <c r="Q48" s="82">
        <v>45662.318414351852</v>
      </c>
      <c r="R48" s="82">
        <v>45662.382303240738</v>
      </c>
      <c r="S48" s="81">
        <f t="shared" si="1"/>
        <v>91.574074070134273</v>
      </c>
      <c r="T48" s="81">
        <f t="shared" si="2"/>
        <v>41.805555556250816</v>
      </c>
      <c r="U48" s="79"/>
      <c r="V48" s="82">
        <v>45663.444803240738</v>
      </c>
      <c r="W48" s="82">
        <f>V48+TIME(0,158,0)</f>
        <v>45663.554525462961</v>
      </c>
      <c r="X48" s="103">
        <f t="shared" si="3"/>
        <v>154.70833333492919</v>
      </c>
      <c r="Y48" s="82"/>
      <c r="Z48" s="82">
        <v>45664.613553240735</v>
      </c>
      <c r="AA48" s="82">
        <f>Z48+TIME(0,57,0)</f>
        <v>45664.653136574067</v>
      </c>
      <c r="AB48" s="81">
        <f t="shared" si="4"/>
        <v>55.81249999726424</v>
      </c>
      <c r="AC48" s="80"/>
      <c r="AD48" s="83">
        <f t="shared" si="5"/>
        <v>2.2312499999970896</v>
      </c>
      <c r="AE48" s="80">
        <v>2</v>
      </c>
      <c r="AF48" s="84">
        <f t="shared" si="6"/>
        <v>-0.23124999999708962</v>
      </c>
      <c r="AG48" s="83">
        <f t="shared" si="7"/>
        <v>53.549999999930151</v>
      </c>
      <c r="AH48" s="83">
        <f t="shared" si="8"/>
        <v>24</v>
      </c>
      <c r="AI48" s="83">
        <f t="shared" si="9"/>
        <v>29.549999999930151</v>
      </c>
      <c r="AJ48" s="83">
        <f t="shared" si="10"/>
        <v>5.279187817271362</v>
      </c>
      <c r="AK48" s="83"/>
      <c r="AL48" s="83"/>
      <c r="AM48" s="83"/>
      <c r="AN48" s="83"/>
      <c r="AO48" s="78"/>
    </row>
    <row r="49" spans="1:41" customFormat="1" ht="15" hidden="1" x14ac:dyDescent="0.25">
      <c r="A49" s="82">
        <v>45661.819803240738</v>
      </c>
      <c r="B49" s="94" t="str">
        <f t="shared" si="0"/>
        <v>January</v>
      </c>
      <c r="C49" s="78"/>
      <c r="D49" s="79" t="s">
        <v>1114</v>
      </c>
      <c r="E49" s="79" t="s">
        <v>1016</v>
      </c>
      <c r="F49" s="79" t="s">
        <v>957</v>
      </c>
      <c r="G49" s="79" t="s">
        <v>974</v>
      </c>
      <c r="H49" s="79" t="s">
        <v>1283</v>
      </c>
      <c r="I49" s="79">
        <v>153.60000000000002</v>
      </c>
      <c r="J49" s="79" t="s">
        <v>1332</v>
      </c>
      <c r="K49" s="80" t="s">
        <v>469</v>
      </c>
      <c r="L49" s="79">
        <v>302</v>
      </c>
      <c r="M49" s="79">
        <v>291</v>
      </c>
      <c r="N49" s="81">
        <f t="shared" si="11"/>
        <v>-11</v>
      </c>
      <c r="O49" s="78"/>
      <c r="P49" s="82">
        <f>R49-TIME(0,43,0)</f>
        <v>45662.318749999999</v>
      </c>
      <c r="Q49" s="82">
        <v>45662.177083333336</v>
      </c>
      <c r="R49" s="82">
        <v>45662.348611111112</v>
      </c>
      <c r="S49" s="81">
        <f t="shared" si="1"/>
        <v>245.85648147985921</v>
      </c>
      <c r="T49" s="81">
        <f t="shared" si="2"/>
        <v>42.80092592986572</v>
      </c>
      <c r="U49" s="79"/>
      <c r="V49" s="82">
        <v>45662.59097222222</v>
      </c>
      <c r="W49" s="82">
        <f>V49+TIME(0,161,0)</f>
        <v>45662.702777777777</v>
      </c>
      <c r="X49" s="103">
        <f t="shared" si="3"/>
        <v>157.64583333424525</v>
      </c>
      <c r="Y49" s="82"/>
      <c r="Z49" s="82">
        <v>45663.447916666664</v>
      </c>
      <c r="AA49" s="82">
        <v>45663.484027777777</v>
      </c>
      <c r="AB49" s="81">
        <f t="shared" si="4"/>
        <v>50.916666668490507</v>
      </c>
      <c r="AC49" s="80"/>
      <c r="AD49" s="83">
        <f t="shared" si="5"/>
        <v>1.0993055555518367</v>
      </c>
      <c r="AE49" s="80">
        <v>2</v>
      </c>
      <c r="AF49" s="84">
        <f t="shared" si="6"/>
        <v>0.90069444444816327</v>
      </c>
      <c r="AG49" s="83">
        <f t="shared" si="7"/>
        <v>26.383333333244082</v>
      </c>
      <c r="AH49" s="83">
        <f t="shared" si="8"/>
        <v>12</v>
      </c>
      <c r="AI49" s="83">
        <f t="shared" si="9"/>
        <v>14.383333333244082</v>
      </c>
      <c r="AJ49" s="83">
        <f t="shared" si="10"/>
        <v>10.679026651282953</v>
      </c>
      <c r="AK49" s="83"/>
      <c r="AL49" s="83"/>
      <c r="AM49" s="83"/>
      <c r="AN49" s="83"/>
      <c r="AO49" s="78"/>
    </row>
    <row r="50" spans="1:41" customFormat="1" ht="15" hidden="1" x14ac:dyDescent="0.25">
      <c r="A50" s="82">
        <v>45661.829826388886</v>
      </c>
      <c r="B50" s="94" t="str">
        <f t="shared" si="0"/>
        <v>January</v>
      </c>
      <c r="C50" s="78"/>
      <c r="D50" s="79" t="s">
        <v>1115</v>
      </c>
      <c r="E50" s="79" t="s">
        <v>1017</v>
      </c>
      <c r="F50" s="79" t="s">
        <v>1275</v>
      </c>
      <c r="G50" s="79" t="s">
        <v>1264</v>
      </c>
      <c r="H50" s="79" t="s">
        <v>988</v>
      </c>
      <c r="I50" s="79">
        <v>153.60000000000002</v>
      </c>
      <c r="J50" s="79" t="s">
        <v>1333</v>
      </c>
      <c r="K50" s="80" t="s">
        <v>469</v>
      </c>
      <c r="L50" s="79">
        <v>130</v>
      </c>
      <c r="M50" s="80">
        <f>L50-1</f>
        <v>129</v>
      </c>
      <c r="N50" s="81">
        <f t="shared" si="11"/>
        <v>-1</v>
      </c>
      <c r="O50" s="78"/>
      <c r="P50" s="82">
        <f>R50-TIME(0,40,0)</f>
        <v>45662.352048611101</v>
      </c>
      <c r="Q50" s="82">
        <v>45662.329826388886</v>
      </c>
      <c r="R50" s="82">
        <v>45662.379826388882</v>
      </c>
      <c r="S50" s="81">
        <f t="shared" si="1"/>
        <v>71.666666660409348</v>
      </c>
      <c r="T50" s="81">
        <f t="shared" si="2"/>
        <v>39.814814819449872</v>
      </c>
      <c r="U50" s="79"/>
      <c r="V50" s="82">
        <v>45662.483993055546</v>
      </c>
      <c r="W50" s="82">
        <f>V50+TIME(0,237,0)</f>
        <v>45662.648576388878</v>
      </c>
      <c r="X50" s="103">
        <f t="shared" si="3"/>
        <v>232.06249999726424</v>
      </c>
      <c r="Y50" s="82" t="s">
        <v>1039</v>
      </c>
      <c r="Z50" s="82">
        <v>45662.879826388882</v>
      </c>
      <c r="AA50" s="82">
        <v>45662.916631944441</v>
      </c>
      <c r="AB50" s="81">
        <f t="shared" si="4"/>
        <v>51.895833338348893</v>
      </c>
      <c r="AC50" s="80"/>
      <c r="AD50" s="83">
        <f t="shared" si="5"/>
        <v>0.5</v>
      </c>
      <c r="AE50" s="80">
        <v>1</v>
      </c>
      <c r="AF50" s="84">
        <f t="shared" si="6"/>
        <v>0.5</v>
      </c>
      <c r="AG50" s="83">
        <f t="shared" si="7"/>
        <v>12</v>
      </c>
      <c r="AH50" s="83">
        <f t="shared" si="8"/>
        <v>0</v>
      </c>
      <c r="AI50" s="83">
        <f t="shared" si="9"/>
        <v>12</v>
      </c>
      <c r="AJ50" s="83">
        <f t="shared" si="10"/>
        <v>12.800000000000002</v>
      </c>
      <c r="AK50" s="83"/>
      <c r="AL50" s="83"/>
      <c r="AM50" s="83"/>
      <c r="AN50" s="83"/>
      <c r="AO50" s="78"/>
    </row>
    <row r="51" spans="1:41" customFormat="1" ht="15" hidden="1" x14ac:dyDescent="0.25">
      <c r="A51" s="82">
        <v>45661.849537037036</v>
      </c>
      <c r="B51" s="94" t="str">
        <f t="shared" si="0"/>
        <v>January</v>
      </c>
      <c r="C51" s="78"/>
      <c r="D51" s="79" t="s">
        <v>1116</v>
      </c>
      <c r="E51" s="79" t="s">
        <v>1016</v>
      </c>
      <c r="F51" s="79" t="s">
        <v>958</v>
      </c>
      <c r="G51" s="79" t="s">
        <v>975</v>
      </c>
      <c r="H51" s="79" t="s">
        <v>1282</v>
      </c>
      <c r="I51" s="79">
        <v>153.60000000000002</v>
      </c>
      <c r="J51" s="79" t="s">
        <v>1334</v>
      </c>
      <c r="K51" s="80" t="s">
        <v>469</v>
      </c>
      <c r="L51" s="79">
        <v>810</v>
      </c>
      <c r="M51" s="79">
        <v>812</v>
      </c>
      <c r="N51" s="81">
        <f t="shared" si="11"/>
        <v>2</v>
      </c>
      <c r="O51" s="78"/>
      <c r="P51" s="82">
        <f>R51-TIME(0,40,0)</f>
        <v>45663.439583333333</v>
      </c>
      <c r="Q51" s="82">
        <v>45661.895833333336</v>
      </c>
      <c r="R51" s="82">
        <v>45663.467361111114</v>
      </c>
      <c r="S51" s="81">
        <f t="shared" si="1"/>
        <v>2252.5231481486117</v>
      </c>
      <c r="T51" s="81">
        <f t="shared" si="2"/>
        <v>39.814814819449872</v>
      </c>
      <c r="U51" s="79"/>
      <c r="V51" s="82">
        <v>45664.423611111109</v>
      </c>
      <c r="W51" s="82">
        <f>V51+TIME(0,153,0)</f>
        <v>45664.529861111107</v>
      </c>
      <c r="X51" s="103">
        <f t="shared" si="3"/>
        <v>149.81249999589636</v>
      </c>
      <c r="Y51" s="82"/>
      <c r="Z51" s="82">
        <v>45665.620833333334</v>
      </c>
      <c r="AA51" s="82">
        <f>Z51+TIME(0,54,0)</f>
        <v>45665.658333333333</v>
      </c>
      <c r="AB51" s="81">
        <f t="shared" si="4"/>
        <v>52.87499999794818</v>
      </c>
      <c r="AC51" s="80"/>
      <c r="AD51" s="83">
        <f t="shared" si="5"/>
        <v>2.1534722222204437</v>
      </c>
      <c r="AE51" s="80">
        <v>3</v>
      </c>
      <c r="AF51" s="84">
        <f t="shared" si="6"/>
        <v>0.84652777777955635</v>
      </c>
      <c r="AG51" s="83">
        <f t="shared" si="7"/>
        <v>51.683333333290648</v>
      </c>
      <c r="AH51" s="83">
        <f t="shared" si="8"/>
        <v>24</v>
      </c>
      <c r="AI51" s="83">
        <f t="shared" si="9"/>
        <v>27.683333333290648</v>
      </c>
      <c r="AJ51" s="83">
        <f t="shared" si="10"/>
        <v>5.5484647802614155</v>
      </c>
      <c r="AK51" s="83"/>
      <c r="AL51" s="83"/>
      <c r="AM51" s="83"/>
      <c r="AN51" s="83"/>
      <c r="AO51" s="78"/>
    </row>
    <row r="52" spans="1:41" customFormat="1" ht="15" hidden="1" x14ac:dyDescent="0.25">
      <c r="A52" s="82">
        <v>45661.96671296296</v>
      </c>
      <c r="B52" s="94" t="str">
        <f t="shared" si="0"/>
        <v>January</v>
      </c>
      <c r="C52" s="78"/>
      <c r="D52" s="79" t="s">
        <v>1117</v>
      </c>
      <c r="E52" s="79" t="s">
        <v>1016</v>
      </c>
      <c r="F52" s="79" t="s">
        <v>951</v>
      </c>
      <c r="G52" s="79" t="s">
        <v>968</v>
      </c>
      <c r="H52" s="79" t="s">
        <v>459</v>
      </c>
      <c r="I52" s="79">
        <v>153.60000000000002</v>
      </c>
      <c r="J52" s="79" t="s">
        <v>1335</v>
      </c>
      <c r="K52" s="80" t="s">
        <v>469</v>
      </c>
      <c r="L52" s="79">
        <v>560</v>
      </c>
      <c r="M52" s="80">
        <f>L52-1</f>
        <v>559</v>
      </c>
      <c r="N52" s="81">
        <f t="shared" si="11"/>
        <v>-1</v>
      </c>
      <c r="O52" s="78"/>
      <c r="P52" s="82">
        <f>R52-TIME(0,43,0)</f>
        <v>45662.663194444445</v>
      </c>
      <c r="Q52" s="82">
        <v>45662.842361111114</v>
      </c>
      <c r="R52" s="82">
        <v>45662.693055555559</v>
      </c>
      <c r="S52" s="81">
        <f t="shared" si="1"/>
        <v>-214.00462962847087</v>
      </c>
      <c r="T52" s="81">
        <f t="shared" si="2"/>
        <v>42.80092592986572</v>
      </c>
      <c r="U52" s="79"/>
      <c r="V52" s="82">
        <v>45663.498611111114</v>
      </c>
      <c r="W52" s="82">
        <f>V52+TIME(0,161,0)</f>
        <v>45663.61041666667</v>
      </c>
      <c r="X52" s="103">
        <f t="shared" si="3"/>
        <v>157.64583333424525</v>
      </c>
      <c r="Y52" s="82"/>
      <c r="Z52" s="82">
        <v>45665.501388888886</v>
      </c>
      <c r="AA52" s="82">
        <f>Z52+TIME(0,57,0)</f>
        <v>45665.540972222218</v>
      </c>
      <c r="AB52" s="81">
        <f t="shared" si="4"/>
        <v>55.81249999726424</v>
      </c>
      <c r="AC52" s="80"/>
      <c r="AD52" s="83">
        <f t="shared" si="5"/>
        <v>2.8083333333270275</v>
      </c>
      <c r="AE52" s="80">
        <v>3</v>
      </c>
      <c r="AF52" s="84">
        <f t="shared" si="6"/>
        <v>0.1916666666729725</v>
      </c>
      <c r="AG52" s="83">
        <f t="shared" si="7"/>
        <v>67.39999999984866</v>
      </c>
      <c r="AH52" s="83">
        <f t="shared" si="8"/>
        <v>24</v>
      </c>
      <c r="AI52" s="83">
        <f t="shared" si="9"/>
        <v>43.39999999984866</v>
      </c>
      <c r="AJ52" s="83">
        <f t="shared" si="10"/>
        <v>3.5391705069247843</v>
      </c>
      <c r="AK52" s="83"/>
      <c r="AL52" s="83"/>
      <c r="AM52" s="83"/>
      <c r="AN52" s="83"/>
      <c r="AO52" s="78"/>
    </row>
    <row r="53" spans="1:41" customFormat="1" ht="15" hidden="1" x14ac:dyDescent="0.25">
      <c r="A53" s="82">
        <v>45661.9684837963</v>
      </c>
      <c r="B53" s="94" t="str">
        <f t="shared" si="0"/>
        <v>January</v>
      </c>
      <c r="C53" s="78"/>
      <c r="D53" s="79" t="s">
        <v>1118</v>
      </c>
      <c r="E53" s="79" t="s">
        <v>1017</v>
      </c>
      <c r="F53" s="79" t="s">
        <v>958</v>
      </c>
      <c r="G53" s="79" t="s">
        <v>975</v>
      </c>
      <c r="H53" s="79" t="s">
        <v>468</v>
      </c>
      <c r="I53" s="79">
        <v>153.60000000000002</v>
      </c>
      <c r="J53" s="79" t="s">
        <v>1336</v>
      </c>
      <c r="K53" s="80" t="s">
        <v>469</v>
      </c>
      <c r="L53" s="79">
        <v>20</v>
      </c>
      <c r="M53" s="79">
        <v>12</v>
      </c>
      <c r="N53" s="81">
        <f t="shared" si="11"/>
        <v>-8</v>
      </c>
      <c r="O53" s="78"/>
      <c r="P53" s="82">
        <f>R53-TIME(0,40,0)</f>
        <v>45662.492789351847</v>
      </c>
      <c r="Q53" s="82">
        <v>45662.4684837963</v>
      </c>
      <c r="R53" s="82">
        <v>45662.520567129628</v>
      </c>
      <c r="S53" s="81">
        <f t="shared" si="1"/>
        <v>74.652777770825196</v>
      </c>
      <c r="T53" s="81">
        <f t="shared" si="2"/>
        <v>39.814814819449872</v>
      </c>
      <c r="U53" s="79"/>
      <c r="V53" s="82">
        <v>45662.542094907403</v>
      </c>
      <c r="W53" s="82">
        <f>V53+TIME(0,161,0)</f>
        <v>45662.653900462959</v>
      </c>
      <c r="X53" s="103">
        <f t="shared" si="3"/>
        <v>157.64583333424525</v>
      </c>
      <c r="Y53" s="82"/>
      <c r="Z53" s="82">
        <v>45662.728206018517</v>
      </c>
      <c r="AA53" s="82">
        <f>Z53+TIME(0,59,0)</f>
        <v>45662.769178240742</v>
      </c>
      <c r="AB53" s="81">
        <f t="shared" si="4"/>
        <v>57.770833336981013</v>
      </c>
      <c r="AC53" s="80"/>
      <c r="AD53" s="83">
        <f t="shared" si="5"/>
        <v>0.20763888888905058</v>
      </c>
      <c r="AE53" s="80">
        <v>2</v>
      </c>
      <c r="AF53" s="84">
        <f t="shared" si="6"/>
        <v>1.7923611111109494</v>
      </c>
      <c r="AG53" s="83">
        <f t="shared" si="7"/>
        <v>4.9833333333372138</v>
      </c>
      <c r="AH53" s="83">
        <f t="shared" si="8"/>
        <v>0</v>
      </c>
      <c r="AI53" s="83">
        <f t="shared" si="9"/>
        <v>4.9833333333372138</v>
      </c>
      <c r="AJ53" s="83">
        <f t="shared" si="10"/>
        <v>30.82274247489239</v>
      </c>
      <c r="AK53" s="83"/>
      <c r="AL53" s="83"/>
      <c r="AM53" s="83"/>
      <c r="AN53" s="83"/>
      <c r="AO53" s="78"/>
    </row>
    <row r="54" spans="1:41" customFormat="1" ht="15" hidden="1" x14ac:dyDescent="0.25">
      <c r="A54" s="82">
        <v>45661.978865740741</v>
      </c>
      <c r="B54" s="94" t="str">
        <f t="shared" si="0"/>
        <v>January</v>
      </c>
      <c r="C54" s="78"/>
      <c r="D54" s="79" t="s">
        <v>1119</v>
      </c>
      <c r="E54" s="79" t="s">
        <v>1017</v>
      </c>
      <c r="F54" s="79" t="s">
        <v>1270</v>
      </c>
      <c r="G54" s="79" t="s">
        <v>1262</v>
      </c>
      <c r="H54" s="79" t="s">
        <v>996</v>
      </c>
      <c r="I54" s="79">
        <v>153.60000000000002</v>
      </c>
      <c r="J54" s="79" t="s">
        <v>1337</v>
      </c>
      <c r="K54" s="80" t="s">
        <v>469</v>
      </c>
      <c r="L54" s="79">
        <v>350</v>
      </c>
      <c r="M54" s="79">
        <v>351</v>
      </c>
      <c r="N54" s="81">
        <f t="shared" si="11"/>
        <v>1</v>
      </c>
      <c r="O54" s="78"/>
      <c r="P54" s="82">
        <f>R54-TIME(0,49,0)</f>
        <v>45662.505949074068</v>
      </c>
      <c r="Q54" s="82">
        <v>45662.478865740741</v>
      </c>
      <c r="R54" s="82">
        <v>45662.539976851847</v>
      </c>
      <c r="S54" s="81">
        <f t="shared" si="1"/>
        <v>87.592592586103521</v>
      </c>
      <c r="T54" s="81">
        <f t="shared" si="2"/>
        <v>48.77314815069743</v>
      </c>
      <c r="U54" s="79" t="s">
        <v>571</v>
      </c>
      <c r="V54" s="82">
        <v>45662.831643518512</v>
      </c>
      <c r="W54" s="82">
        <f>V54+TIME(0,175,0)</f>
        <v>45662.953171296293</v>
      </c>
      <c r="X54" s="103">
        <f t="shared" si="3"/>
        <v>171.35416667122627</v>
      </c>
      <c r="Y54" s="82"/>
      <c r="Z54" s="82">
        <v>45663.797976851849</v>
      </c>
      <c r="AA54" s="82">
        <v>45663.83756018518</v>
      </c>
      <c r="AB54" s="81">
        <f t="shared" si="4"/>
        <v>55.81249999726424</v>
      </c>
      <c r="AC54" s="80"/>
      <c r="AD54" s="83">
        <f t="shared" si="5"/>
        <v>1.2580000000016298</v>
      </c>
      <c r="AE54" s="80">
        <v>2</v>
      </c>
      <c r="AF54" s="84">
        <f t="shared" si="6"/>
        <v>0.74199999999837019</v>
      </c>
      <c r="AG54" s="83">
        <f t="shared" si="7"/>
        <v>30.192000000039116</v>
      </c>
      <c r="AH54" s="83">
        <f t="shared" si="8"/>
        <v>12</v>
      </c>
      <c r="AI54" s="83">
        <f t="shared" si="9"/>
        <v>18.192000000039116</v>
      </c>
      <c r="AJ54" s="83">
        <f t="shared" si="10"/>
        <v>8.4432717677918738</v>
      </c>
      <c r="AK54" s="83"/>
      <c r="AL54" s="83"/>
      <c r="AM54" s="83"/>
      <c r="AN54" s="83"/>
      <c r="AO54" s="78"/>
    </row>
    <row r="55" spans="1:41" customFormat="1" ht="15" hidden="1" x14ac:dyDescent="0.25">
      <c r="A55" s="82">
        <v>45662</v>
      </c>
      <c r="B55" s="94" t="str">
        <f t="shared" si="0"/>
        <v>January</v>
      </c>
      <c r="C55" s="78"/>
      <c r="D55" s="79" t="s">
        <v>1120</v>
      </c>
      <c r="E55" s="79" t="s">
        <v>1017</v>
      </c>
      <c r="F55" s="79" t="s">
        <v>961</v>
      </c>
      <c r="G55" s="79" t="s">
        <v>1261</v>
      </c>
      <c r="H55" s="79" t="s">
        <v>464</v>
      </c>
      <c r="I55" s="79">
        <v>156</v>
      </c>
      <c r="J55" s="79" t="s">
        <v>1338</v>
      </c>
      <c r="K55" s="80" t="s">
        <v>469</v>
      </c>
      <c r="L55" s="79">
        <v>256</v>
      </c>
      <c r="M55" s="80">
        <f>L55-1</f>
        <v>255</v>
      </c>
      <c r="N55" s="81">
        <f t="shared" si="11"/>
        <v>-1</v>
      </c>
      <c r="O55" s="78"/>
      <c r="P55" s="82">
        <f>R55-TIME(0,43,0)</f>
        <v>45662.346527777772</v>
      </c>
      <c r="Q55" s="82">
        <v>45662.3125</v>
      </c>
      <c r="R55" s="82">
        <v>45662.376388888886</v>
      </c>
      <c r="S55" s="81">
        <f t="shared" si="1"/>
        <v>91.574074070134273</v>
      </c>
      <c r="T55" s="81">
        <f t="shared" si="2"/>
        <v>42.80092592986572</v>
      </c>
      <c r="U55" s="79"/>
      <c r="V55" s="82">
        <v>45662.674999999996</v>
      </c>
      <c r="W55" s="82">
        <f>V55+TIME(0,153,0)</f>
        <v>45662.781249999993</v>
      </c>
      <c r="X55" s="103">
        <f t="shared" si="3"/>
        <v>149.81249999589636</v>
      </c>
      <c r="Y55" s="82"/>
      <c r="Z55" s="82">
        <v>45662.899999999994</v>
      </c>
      <c r="AA55" s="82">
        <f>Z55+TIME(0,56,0)</f>
        <v>45662.938888888886</v>
      </c>
      <c r="AB55" s="81">
        <f t="shared" si="4"/>
        <v>54.833333337664953</v>
      </c>
      <c r="AC55" s="80"/>
      <c r="AD55" s="83">
        <f t="shared" si="5"/>
        <v>0.52361111110803904</v>
      </c>
      <c r="AE55" s="80">
        <v>2</v>
      </c>
      <c r="AF55" s="84">
        <f t="shared" si="6"/>
        <v>1.476388888891961</v>
      </c>
      <c r="AG55" s="83">
        <f t="shared" si="7"/>
        <v>12.566666666592937</v>
      </c>
      <c r="AH55" s="83">
        <f t="shared" si="8"/>
        <v>0</v>
      </c>
      <c r="AI55" s="83">
        <f t="shared" si="9"/>
        <v>12.566666666592937</v>
      </c>
      <c r="AJ55" s="83">
        <f t="shared" si="10"/>
        <v>12.413793103521108</v>
      </c>
      <c r="AK55" s="83"/>
      <c r="AL55" s="83"/>
      <c r="AM55" s="83"/>
      <c r="AN55" s="83"/>
      <c r="AO55" s="78"/>
    </row>
    <row r="56" spans="1:41" customFormat="1" ht="15" hidden="1" x14ac:dyDescent="0.25">
      <c r="A56" s="82">
        <v>45662</v>
      </c>
      <c r="B56" s="94" t="str">
        <f t="shared" si="0"/>
        <v>January</v>
      </c>
      <c r="C56" s="78"/>
      <c r="D56" s="79" t="s">
        <v>1121</v>
      </c>
      <c r="E56" s="79" t="s">
        <v>1017</v>
      </c>
      <c r="F56" s="79"/>
      <c r="G56" s="79" t="s">
        <v>1265</v>
      </c>
      <c r="H56" s="79" t="s">
        <v>450</v>
      </c>
      <c r="I56" s="79">
        <v>156</v>
      </c>
      <c r="J56" s="79" t="s">
        <v>1339</v>
      </c>
      <c r="K56" s="80" t="s">
        <v>469</v>
      </c>
      <c r="L56" s="79">
        <v>230</v>
      </c>
      <c r="M56" s="79">
        <v>234</v>
      </c>
      <c r="N56" s="81">
        <f t="shared" si="11"/>
        <v>4</v>
      </c>
      <c r="O56" s="78"/>
      <c r="P56" s="82">
        <f>R56-TIME(0,43,0)</f>
        <v>45662.332638888882</v>
      </c>
      <c r="Q56" s="82">
        <v>45662.3125</v>
      </c>
      <c r="R56" s="82">
        <v>45662.362499999996</v>
      </c>
      <c r="S56" s="81">
        <f t="shared" si="1"/>
        <v>71.666666660409348</v>
      </c>
      <c r="T56" s="81">
        <f t="shared" si="2"/>
        <v>42.80092592986572</v>
      </c>
      <c r="U56" s="79"/>
      <c r="V56" s="82">
        <v>45663.383333333331</v>
      </c>
      <c r="W56" s="82">
        <f>V56+TIME(0,149,0)</f>
        <v>45663.486805555556</v>
      </c>
      <c r="X56" s="103">
        <f t="shared" si="3"/>
        <v>145.89583333698101</v>
      </c>
      <c r="Y56" s="82"/>
      <c r="Z56" s="82">
        <v>45663.700694444437</v>
      </c>
      <c r="AA56" s="82">
        <f>Z56+TIME(0,58,0)</f>
        <v>45663.740972222215</v>
      </c>
      <c r="AB56" s="81">
        <f t="shared" si="4"/>
        <v>56.791666667122627</v>
      </c>
      <c r="AC56" s="80"/>
      <c r="AD56" s="83">
        <f t="shared" si="5"/>
        <v>1.3381944444408873</v>
      </c>
      <c r="AE56" s="80">
        <v>2</v>
      </c>
      <c r="AF56" s="84">
        <f t="shared" si="6"/>
        <v>0.66180555555911269</v>
      </c>
      <c r="AG56" s="83">
        <f t="shared" si="7"/>
        <v>32.116666666581295</v>
      </c>
      <c r="AH56" s="83">
        <f t="shared" si="8"/>
        <v>12</v>
      </c>
      <c r="AI56" s="83">
        <f t="shared" si="9"/>
        <v>20.116666666581295</v>
      </c>
      <c r="AJ56" s="83">
        <f t="shared" si="10"/>
        <v>7.7547638774148488</v>
      </c>
      <c r="AK56" s="83"/>
      <c r="AL56" s="83"/>
      <c r="AM56" s="83"/>
      <c r="AN56" s="83"/>
      <c r="AO56" s="78"/>
    </row>
    <row r="57" spans="1:41" customFormat="1" ht="15" hidden="1" x14ac:dyDescent="0.25">
      <c r="A57" s="82">
        <v>45662</v>
      </c>
      <c r="B57" s="94" t="str">
        <f t="shared" si="0"/>
        <v>January</v>
      </c>
      <c r="C57" s="78"/>
      <c r="D57" s="79" t="s">
        <v>1122</v>
      </c>
      <c r="E57" s="79" t="s">
        <v>1017</v>
      </c>
      <c r="F57" s="79"/>
      <c r="G57" s="79" t="s">
        <v>50</v>
      </c>
      <c r="H57" s="79" t="s">
        <v>454</v>
      </c>
      <c r="I57" s="79">
        <v>156</v>
      </c>
      <c r="J57" s="79" t="s">
        <v>1340</v>
      </c>
      <c r="K57" s="80" t="s">
        <v>469</v>
      </c>
      <c r="L57" s="79">
        <v>390</v>
      </c>
      <c r="M57" s="80">
        <f>L57-2</f>
        <v>388</v>
      </c>
      <c r="N57" s="81">
        <f t="shared" si="11"/>
        <v>-2</v>
      </c>
      <c r="O57" s="78"/>
      <c r="P57" s="82">
        <f>R57-TIME(0,63,0)</f>
        <v>45662.321527777778</v>
      </c>
      <c r="Q57" s="82">
        <v>45662.3125</v>
      </c>
      <c r="R57" s="82">
        <v>45662.365277777775</v>
      </c>
      <c r="S57" s="81">
        <f t="shared" si="1"/>
        <v>75.6481481444401</v>
      </c>
      <c r="T57" s="81">
        <f t="shared" si="2"/>
        <v>62.708333329161782</v>
      </c>
      <c r="U57" s="79" t="s">
        <v>562</v>
      </c>
      <c r="V57" s="82">
        <v>45663.427777777775</v>
      </c>
      <c r="W57" s="82">
        <f>V57+TIME(0,247,0)</f>
        <v>45663.599305555552</v>
      </c>
      <c r="X57" s="103">
        <f t="shared" si="3"/>
        <v>241.85416666507081</v>
      </c>
      <c r="Y57" s="82" t="s">
        <v>1046</v>
      </c>
      <c r="Z57" s="82">
        <v>45664.371777777778</v>
      </c>
      <c r="AA57" s="82">
        <f>Z57+TIME(0,57,0)</f>
        <v>45664.41136111111</v>
      </c>
      <c r="AB57" s="81">
        <f t="shared" si="4"/>
        <v>55.81249999726424</v>
      </c>
      <c r="AC57" s="80"/>
      <c r="AD57" s="83">
        <f t="shared" si="5"/>
        <v>2.0065000000031432</v>
      </c>
      <c r="AE57" s="80">
        <v>2</v>
      </c>
      <c r="AF57" s="84">
        <f t="shared" si="6"/>
        <v>-6.5000000031432137E-3</v>
      </c>
      <c r="AG57" s="83">
        <f t="shared" si="7"/>
        <v>48.156000000075437</v>
      </c>
      <c r="AH57" s="83">
        <f t="shared" si="8"/>
        <v>24</v>
      </c>
      <c r="AI57" s="83">
        <f t="shared" si="9"/>
        <v>24.156000000075437</v>
      </c>
      <c r="AJ57" s="83">
        <f t="shared" si="10"/>
        <v>6.4580228514453069</v>
      </c>
      <c r="AK57" s="83"/>
      <c r="AL57" s="83"/>
      <c r="AM57" s="83"/>
      <c r="AN57" s="83"/>
      <c r="AO57" s="78"/>
    </row>
    <row r="58" spans="1:41" customFormat="1" ht="15" hidden="1" x14ac:dyDescent="0.25">
      <c r="A58" s="82">
        <v>45662</v>
      </c>
      <c r="B58" s="94" t="str">
        <f t="shared" si="0"/>
        <v>January</v>
      </c>
      <c r="C58" s="78"/>
      <c r="D58" s="79" t="s">
        <v>1123</v>
      </c>
      <c r="E58" s="79" t="s">
        <v>1017</v>
      </c>
      <c r="F58" s="79" t="s">
        <v>961</v>
      </c>
      <c r="G58" s="79" t="s">
        <v>1261</v>
      </c>
      <c r="H58" s="79" t="s">
        <v>455</v>
      </c>
      <c r="I58" s="79">
        <v>156</v>
      </c>
      <c r="J58" s="79" t="s">
        <v>1341</v>
      </c>
      <c r="K58" s="80" t="s">
        <v>469</v>
      </c>
      <c r="L58" s="79">
        <v>480</v>
      </c>
      <c r="M58" s="80">
        <f>L58-1</f>
        <v>479</v>
      </c>
      <c r="N58" s="81">
        <f t="shared" si="11"/>
        <v>-1</v>
      </c>
      <c r="O58" s="78"/>
      <c r="P58" s="82">
        <f>R58-TIME(0,40,0)</f>
        <v>45662.331944444442</v>
      </c>
      <c r="Q58" s="82">
        <v>45662.3125</v>
      </c>
      <c r="R58" s="82">
        <v>45662.359722222223</v>
      </c>
      <c r="S58" s="81">
        <f t="shared" si="1"/>
        <v>67.685185186807459</v>
      </c>
      <c r="T58" s="81">
        <f t="shared" si="2"/>
        <v>39.814814819449872</v>
      </c>
      <c r="U58" s="79"/>
      <c r="V58" s="82">
        <v>45663.443055555559</v>
      </c>
      <c r="W58" s="82">
        <f>V58+TIME(0,153,0)</f>
        <v>45663.549305555556</v>
      </c>
      <c r="X58" s="103">
        <f t="shared" si="3"/>
        <v>149.81249999589636</v>
      </c>
      <c r="Y58" s="82"/>
      <c r="Z58" s="82">
        <v>45664.683844444451</v>
      </c>
      <c r="AA58" s="82">
        <v>45664.723427777782</v>
      </c>
      <c r="AB58" s="81">
        <f t="shared" si="4"/>
        <v>55.81249999726424</v>
      </c>
      <c r="AC58" s="80"/>
      <c r="AD58" s="83">
        <f t="shared" si="5"/>
        <v>2.3241222222277429</v>
      </c>
      <c r="AE58" s="80">
        <v>2</v>
      </c>
      <c r="AF58" s="84">
        <f t="shared" si="6"/>
        <v>-0.3241222222277429</v>
      </c>
      <c r="AG58" s="83">
        <f t="shared" si="7"/>
        <v>55.778933333465829</v>
      </c>
      <c r="AH58" s="83">
        <f t="shared" si="8"/>
        <v>24</v>
      </c>
      <c r="AI58" s="83">
        <f t="shared" si="9"/>
        <v>31.778933333465829</v>
      </c>
      <c r="AJ58" s="83">
        <f t="shared" si="10"/>
        <v>4.9089124031648721</v>
      </c>
      <c r="AK58" s="83"/>
      <c r="AL58" s="83"/>
      <c r="AM58" s="83"/>
      <c r="AN58" s="83"/>
      <c r="AO58" s="78"/>
    </row>
    <row r="59" spans="1:41" customFormat="1" ht="15" hidden="1" x14ac:dyDescent="0.25">
      <c r="A59" s="82">
        <v>45662</v>
      </c>
      <c r="B59" s="94" t="str">
        <f t="shared" si="0"/>
        <v>January</v>
      </c>
      <c r="C59" s="78"/>
      <c r="D59" s="79" t="s">
        <v>1124</v>
      </c>
      <c r="E59" s="79" t="s">
        <v>1017</v>
      </c>
      <c r="F59" s="79"/>
      <c r="G59" s="79" t="s">
        <v>50</v>
      </c>
      <c r="H59" s="79" t="s">
        <v>457</v>
      </c>
      <c r="I59" s="79">
        <v>156</v>
      </c>
      <c r="J59" s="79" t="s">
        <v>1342</v>
      </c>
      <c r="K59" s="80" t="s">
        <v>469</v>
      </c>
      <c r="L59" s="79">
        <v>320</v>
      </c>
      <c r="M59" s="79">
        <v>323</v>
      </c>
      <c r="N59" s="81">
        <f t="shared" si="11"/>
        <v>3</v>
      </c>
      <c r="O59" s="78"/>
      <c r="P59" s="82">
        <f>R59-TIME(0,44,0)</f>
        <v>45662.519444444442</v>
      </c>
      <c r="Q59" s="82">
        <v>45662.5</v>
      </c>
      <c r="R59" s="82">
        <v>45662.549999999996</v>
      </c>
      <c r="S59" s="81">
        <f t="shared" si="1"/>
        <v>71.666666660409348</v>
      </c>
      <c r="T59" s="81">
        <f t="shared" si="2"/>
        <v>43.796296293051761</v>
      </c>
      <c r="U59" s="79"/>
      <c r="V59" s="82">
        <v>45662.799999999996</v>
      </c>
      <c r="W59" s="82">
        <f>V59+TIME(0,149,0)</f>
        <v>45662.90347222222</v>
      </c>
      <c r="X59" s="103">
        <f t="shared" si="3"/>
        <v>145.89583333698101</v>
      </c>
      <c r="Y59" s="82"/>
      <c r="Z59" s="82">
        <v>45664.304999999993</v>
      </c>
      <c r="AA59" s="82">
        <f>Z59+TIME(0,57,0)</f>
        <v>45664.344583333324</v>
      </c>
      <c r="AB59" s="81">
        <f t="shared" si="4"/>
        <v>55.81249999726424</v>
      </c>
      <c r="AC59" s="80"/>
      <c r="AD59" s="83">
        <f t="shared" si="5"/>
        <v>1.7549999999973807</v>
      </c>
      <c r="AE59" s="80">
        <v>2</v>
      </c>
      <c r="AF59" s="84">
        <f t="shared" si="6"/>
        <v>0.24500000000261934</v>
      </c>
      <c r="AG59" s="83">
        <f t="shared" si="7"/>
        <v>42.119999999937136</v>
      </c>
      <c r="AH59" s="83">
        <f t="shared" si="8"/>
        <v>12</v>
      </c>
      <c r="AI59" s="83">
        <f t="shared" si="9"/>
        <v>30.119999999937136</v>
      </c>
      <c r="AJ59" s="83">
        <f t="shared" si="10"/>
        <v>5.1792828685367063</v>
      </c>
      <c r="AK59" s="83"/>
      <c r="AL59" s="83"/>
      <c r="AM59" s="83"/>
      <c r="AN59" s="83"/>
      <c r="AO59" s="78"/>
    </row>
    <row r="60" spans="1:41" customFormat="1" ht="15" hidden="1" x14ac:dyDescent="0.25">
      <c r="A60" s="82">
        <v>45662</v>
      </c>
      <c r="B60" s="94" t="str">
        <f t="shared" si="0"/>
        <v>January</v>
      </c>
      <c r="C60" s="78"/>
      <c r="D60" s="79" t="s">
        <v>1125</v>
      </c>
      <c r="E60" s="79" t="s">
        <v>1017</v>
      </c>
      <c r="F60" s="79" t="s">
        <v>1269</v>
      </c>
      <c r="G60" s="79" t="s">
        <v>50</v>
      </c>
      <c r="H60" s="79" t="s">
        <v>454</v>
      </c>
      <c r="I60" s="79">
        <v>156</v>
      </c>
      <c r="J60" s="79" t="s">
        <v>1343</v>
      </c>
      <c r="K60" s="80" t="s">
        <v>469</v>
      </c>
      <c r="L60" s="79">
        <v>390</v>
      </c>
      <c r="M60" s="80">
        <f>L60+2</f>
        <v>392</v>
      </c>
      <c r="N60" s="81">
        <f t="shared" si="11"/>
        <v>2</v>
      </c>
      <c r="O60" s="78"/>
      <c r="P60" s="82">
        <f>R60-TIME(0,59,0)</f>
        <v>45662.318749999999</v>
      </c>
      <c r="Q60" s="82">
        <v>45662.3125</v>
      </c>
      <c r="R60" s="82">
        <v>45662.359722222223</v>
      </c>
      <c r="S60" s="81">
        <f t="shared" si="1"/>
        <v>67.685185186807459</v>
      </c>
      <c r="T60" s="81">
        <f t="shared" si="2"/>
        <v>58.726851855559893</v>
      </c>
      <c r="U60" s="79" t="s">
        <v>1671</v>
      </c>
      <c r="V60" s="82">
        <v>45663.422222222223</v>
      </c>
      <c r="W60" s="82">
        <f>V60+TIME(0,153,0)</f>
        <v>45663.52847222222</v>
      </c>
      <c r="X60" s="103">
        <f t="shared" si="3"/>
        <v>149.81249999589636</v>
      </c>
      <c r="Y60" s="82"/>
      <c r="Z60" s="82">
        <v>45664.552222222221</v>
      </c>
      <c r="AA60" s="82">
        <f>Z60+TIME(0,59,0)</f>
        <v>45664.593194444446</v>
      </c>
      <c r="AB60" s="81">
        <f t="shared" si="4"/>
        <v>57.770833336981013</v>
      </c>
      <c r="AC60" s="80"/>
      <c r="AD60" s="83">
        <f t="shared" si="5"/>
        <v>2.1924999999973807</v>
      </c>
      <c r="AE60" s="80">
        <v>2</v>
      </c>
      <c r="AF60" s="84">
        <f t="shared" si="6"/>
        <v>-0.19249999999738066</v>
      </c>
      <c r="AG60" s="83">
        <f t="shared" si="7"/>
        <v>52.619999999937136</v>
      </c>
      <c r="AH60" s="83">
        <f t="shared" si="8"/>
        <v>24</v>
      </c>
      <c r="AI60" s="83">
        <f t="shared" si="9"/>
        <v>28.619999999937136</v>
      </c>
      <c r="AJ60" s="83">
        <f t="shared" si="10"/>
        <v>5.4507337526325177</v>
      </c>
      <c r="AK60" s="83"/>
      <c r="AL60" s="83"/>
      <c r="AM60" s="83"/>
      <c r="AN60" s="83"/>
      <c r="AO60" s="78"/>
    </row>
    <row r="61" spans="1:41" customFormat="1" ht="15" hidden="1" x14ac:dyDescent="0.25">
      <c r="A61" s="82">
        <v>45662</v>
      </c>
      <c r="B61" s="94" t="str">
        <f t="shared" si="0"/>
        <v>January</v>
      </c>
      <c r="C61" s="78"/>
      <c r="D61" s="79" t="s">
        <v>1126</v>
      </c>
      <c r="E61" s="79" t="s">
        <v>1017</v>
      </c>
      <c r="F61" s="79" t="s">
        <v>1269</v>
      </c>
      <c r="G61" s="79" t="s">
        <v>50</v>
      </c>
      <c r="H61" s="79" t="s">
        <v>454</v>
      </c>
      <c r="I61" s="79">
        <v>156</v>
      </c>
      <c r="J61" s="79" t="s">
        <v>1344</v>
      </c>
      <c r="K61" s="80" t="s">
        <v>469</v>
      </c>
      <c r="L61" s="79">
        <v>390</v>
      </c>
      <c r="M61" s="80">
        <f>L61+2</f>
        <v>392</v>
      </c>
      <c r="N61" s="81">
        <f t="shared" si="11"/>
        <v>2</v>
      </c>
      <c r="O61" s="78"/>
      <c r="P61" s="82">
        <f>R61-TIME(0,39,0)</f>
        <v>45662.343055555553</v>
      </c>
      <c r="Q61" s="82">
        <v>45662.3125</v>
      </c>
      <c r="R61" s="82">
        <v>45662.370138888888</v>
      </c>
      <c r="S61" s="81">
        <f t="shared" si="1"/>
        <v>82.615740738886714</v>
      </c>
      <c r="T61" s="81">
        <f t="shared" si="2"/>
        <v>38.819444445834961</v>
      </c>
      <c r="U61" s="79"/>
      <c r="V61" s="82">
        <v>45663.432638888888</v>
      </c>
      <c r="W61" s="82">
        <f>V61+TIME(0,175,0)</f>
        <v>45663.554166666669</v>
      </c>
      <c r="X61" s="103">
        <f t="shared" si="3"/>
        <v>171.35416667122627</v>
      </c>
      <c r="Y61" s="82"/>
      <c r="Z61" s="82">
        <v>45664.462638888886</v>
      </c>
      <c r="AA61" s="82">
        <v>45664.502222222218</v>
      </c>
      <c r="AB61" s="81">
        <f t="shared" si="4"/>
        <v>55.81249999726424</v>
      </c>
      <c r="AC61" s="80"/>
      <c r="AD61" s="83">
        <f t="shared" si="5"/>
        <v>2.0924999999988358</v>
      </c>
      <c r="AE61" s="80">
        <v>2</v>
      </c>
      <c r="AF61" s="84">
        <f t="shared" si="6"/>
        <v>-9.2499999998835847E-2</v>
      </c>
      <c r="AG61" s="83">
        <f t="shared" si="7"/>
        <v>50.21999999997206</v>
      </c>
      <c r="AH61" s="83">
        <f t="shared" si="8"/>
        <v>24</v>
      </c>
      <c r="AI61" s="83">
        <f t="shared" si="9"/>
        <v>26.21999999997206</v>
      </c>
      <c r="AJ61" s="83">
        <f t="shared" si="10"/>
        <v>5.9496567505784226</v>
      </c>
      <c r="AK61" s="83"/>
      <c r="AL61" s="83"/>
      <c r="AM61" s="83"/>
      <c r="AN61" s="83"/>
      <c r="AO61" s="78"/>
    </row>
    <row r="62" spans="1:41" customFormat="1" ht="15" hidden="1" x14ac:dyDescent="0.25">
      <c r="A62" s="82">
        <v>45662</v>
      </c>
      <c r="B62" s="94" t="str">
        <f t="shared" si="0"/>
        <v>January</v>
      </c>
      <c r="C62" s="78"/>
      <c r="D62" s="79" t="s">
        <v>1127</v>
      </c>
      <c r="E62" s="79" t="s">
        <v>1017</v>
      </c>
      <c r="F62" s="79"/>
      <c r="G62" s="79" t="s">
        <v>50</v>
      </c>
      <c r="H62" s="79" t="s">
        <v>449</v>
      </c>
      <c r="I62" s="79">
        <v>156</v>
      </c>
      <c r="J62" s="79" t="s">
        <v>1345</v>
      </c>
      <c r="K62" s="80" t="s">
        <v>469</v>
      </c>
      <c r="L62" s="79">
        <v>765</v>
      </c>
      <c r="M62" s="80">
        <f>L62-1</f>
        <v>764</v>
      </c>
      <c r="N62" s="81">
        <f t="shared" si="11"/>
        <v>-1</v>
      </c>
      <c r="O62" s="78"/>
      <c r="P62" s="82">
        <v>45662.331944444442</v>
      </c>
      <c r="Q62" s="82">
        <v>45662.3125</v>
      </c>
      <c r="R62" s="82">
        <v>45662.359722222223</v>
      </c>
      <c r="S62" s="81">
        <f t="shared" si="1"/>
        <v>67.685185186807459</v>
      </c>
      <c r="T62" s="81">
        <f t="shared" si="2"/>
        <v>39.814814819449872</v>
      </c>
      <c r="U62" s="79"/>
      <c r="V62" s="82">
        <v>45662.734722222223</v>
      </c>
      <c r="W62" s="82">
        <f>V62+TIME(0,149,0)</f>
        <v>45662.838194444448</v>
      </c>
      <c r="X62" s="103">
        <f t="shared" si="3"/>
        <v>145.89583333698101</v>
      </c>
      <c r="Y62" s="82"/>
      <c r="Z62" s="82">
        <v>45664.278722222225</v>
      </c>
      <c r="AA62" s="82">
        <v>45664.318305555556</v>
      </c>
      <c r="AB62" s="81">
        <f t="shared" si="4"/>
        <v>55.81249999726424</v>
      </c>
      <c r="AC62" s="80"/>
      <c r="AD62" s="83">
        <f t="shared" si="5"/>
        <v>1.919000000001688</v>
      </c>
      <c r="AE62" s="80">
        <v>3</v>
      </c>
      <c r="AF62" s="84">
        <f t="shared" si="6"/>
        <v>1.080999999998312</v>
      </c>
      <c r="AG62" s="83">
        <f t="shared" si="7"/>
        <v>46.056000000040513</v>
      </c>
      <c r="AH62" s="83">
        <f t="shared" si="8"/>
        <v>12</v>
      </c>
      <c r="AI62" s="83">
        <f t="shared" si="9"/>
        <v>34.056000000040513</v>
      </c>
      <c r="AJ62" s="83">
        <f t="shared" si="10"/>
        <v>4.5806906271968062</v>
      </c>
      <c r="AK62" s="83"/>
      <c r="AL62" s="83"/>
      <c r="AM62" s="83"/>
      <c r="AN62" s="83"/>
      <c r="AO62" s="78"/>
    </row>
    <row r="63" spans="1:41" customFormat="1" ht="15" hidden="1" x14ac:dyDescent="0.25">
      <c r="A63" s="82">
        <v>45662</v>
      </c>
      <c r="B63" s="94" t="str">
        <f t="shared" si="0"/>
        <v>January</v>
      </c>
      <c r="C63" s="78"/>
      <c r="D63" s="79" t="s">
        <v>1128</v>
      </c>
      <c r="E63" s="79" t="s">
        <v>1017</v>
      </c>
      <c r="F63" s="79" t="s">
        <v>961</v>
      </c>
      <c r="G63" s="79" t="s">
        <v>1261</v>
      </c>
      <c r="H63" s="79" t="s">
        <v>451</v>
      </c>
      <c r="I63" s="79">
        <v>156</v>
      </c>
      <c r="J63" s="79" t="s">
        <v>1346</v>
      </c>
      <c r="K63" s="80" t="s">
        <v>469</v>
      </c>
      <c r="L63" s="80">
        <v>790</v>
      </c>
      <c r="M63" s="80">
        <f>L63-2</f>
        <v>788</v>
      </c>
      <c r="N63" s="81">
        <f t="shared" si="11"/>
        <v>-2</v>
      </c>
      <c r="O63" s="78"/>
      <c r="P63" s="82">
        <f>R63-TIME(0,39,0)</f>
        <v>45662.338888888888</v>
      </c>
      <c r="Q63" s="82">
        <v>45662.3125</v>
      </c>
      <c r="R63" s="82">
        <v>45662.365972222222</v>
      </c>
      <c r="S63" s="81">
        <f t="shared" si="1"/>
        <v>76.643518518055018</v>
      </c>
      <c r="T63" s="81">
        <f t="shared" si="2"/>
        <v>38.819444445834961</v>
      </c>
      <c r="U63" s="79"/>
      <c r="V63" s="82">
        <v>45663.438888888886</v>
      </c>
      <c r="W63" s="82">
        <f>V63+TIME(0,367,0)</f>
        <v>45663.693749999999</v>
      </c>
      <c r="X63" s="103">
        <f t="shared" si="3"/>
        <v>359.35416666849051</v>
      </c>
      <c r="Y63" s="82" t="s">
        <v>1038</v>
      </c>
      <c r="Z63" s="82">
        <v>45664.778472222213</v>
      </c>
      <c r="AA63" s="82">
        <f>Z63+TIME(0,58,0)</f>
        <v>45664.818749999991</v>
      </c>
      <c r="AB63" s="81">
        <f t="shared" si="4"/>
        <v>56.791666667122627</v>
      </c>
      <c r="AC63" s="80"/>
      <c r="AD63" s="83">
        <f t="shared" si="5"/>
        <v>2.4124999999912689</v>
      </c>
      <c r="AE63" s="80">
        <v>3</v>
      </c>
      <c r="AF63" s="84">
        <f t="shared" si="6"/>
        <v>0.58750000000873115</v>
      </c>
      <c r="AG63" s="83">
        <f t="shared" si="7"/>
        <v>57.899999999790452</v>
      </c>
      <c r="AH63" s="83">
        <f t="shared" si="8"/>
        <v>24</v>
      </c>
      <c r="AI63" s="83">
        <f t="shared" si="9"/>
        <v>33.899999999790452</v>
      </c>
      <c r="AJ63" s="83">
        <f t="shared" si="10"/>
        <v>4.6017699115328696</v>
      </c>
      <c r="AK63" s="83"/>
      <c r="AL63" s="83"/>
      <c r="AM63" s="83"/>
      <c r="AN63" s="83"/>
      <c r="AO63" s="78"/>
    </row>
    <row r="64" spans="1:41" customFormat="1" ht="15" hidden="1" x14ac:dyDescent="0.25">
      <c r="A64" s="82">
        <v>45662</v>
      </c>
      <c r="B64" s="94" t="str">
        <f t="shared" si="0"/>
        <v>January</v>
      </c>
      <c r="C64" s="78"/>
      <c r="D64" s="79" t="s">
        <v>1129</v>
      </c>
      <c r="E64" s="79" t="s">
        <v>1017</v>
      </c>
      <c r="F64" s="79"/>
      <c r="G64" s="79" t="s">
        <v>50</v>
      </c>
      <c r="H64" s="79" t="s">
        <v>451</v>
      </c>
      <c r="I64" s="79">
        <v>156</v>
      </c>
      <c r="J64" s="79" t="s">
        <v>1347</v>
      </c>
      <c r="K64" s="80" t="s">
        <v>469</v>
      </c>
      <c r="L64" s="80">
        <v>790</v>
      </c>
      <c r="M64" s="80">
        <f>L64-2</f>
        <v>788</v>
      </c>
      <c r="N64" s="81">
        <f t="shared" si="11"/>
        <v>-2</v>
      </c>
      <c r="O64" s="78"/>
      <c r="P64" s="82">
        <v>45662.331944444442</v>
      </c>
      <c r="Q64" s="82">
        <v>45662.3125</v>
      </c>
      <c r="R64" s="82">
        <v>45662.359722222223</v>
      </c>
      <c r="S64" s="81">
        <f t="shared" si="1"/>
        <v>67.685185186807459</v>
      </c>
      <c r="T64" s="81">
        <f t="shared" si="2"/>
        <v>39.814814819449872</v>
      </c>
      <c r="U64" s="79"/>
      <c r="V64" s="82">
        <v>45663.411805555559</v>
      </c>
      <c r="W64" s="82">
        <f>V64+TIME(0,175,0)</f>
        <v>45663.53333333334</v>
      </c>
      <c r="X64" s="103">
        <f t="shared" si="3"/>
        <v>171.35416667122627</v>
      </c>
      <c r="Y64" s="82"/>
      <c r="Z64" s="82">
        <v>45664.819444444445</v>
      </c>
      <c r="AA64" s="82">
        <f>Z64+TIME(0,57,0)</f>
        <v>45664.859027777777</v>
      </c>
      <c r="AB64" s="81">
        <f t="shared" si="4"/>
        <v>55.81249999726424</v>
      </c>
      <c r="AC64" s="80"/>
      <c r="AD64" s="83">
        <f t="shared" si="5"/>
        <v>2.4597222222218988</v>
      </c>
      <c r="AE64" s="80">
        <v>3</v>
      </c>
      <c r="AF64" s="84">
        <f t="shared" si="6"/>
        <v>0.54027777777810115</v>
      </c>
      <c r="AG64" s="83">
        <f t="shared" si="7"/>
        <v>59.033333333325572</v>
      </c>
      <c r="AH64" s="83">
        <f t="shared" si="8"/>
        <v>24</v>
      </c>
      <c r="AI64" s="83">
        <f t="shared" si="9"/>
        <v>35.033333333325572</v>
      </c>
      <c r="AJ64" s="83">
        <f t="shared" si="10"/>
        <v>4.4529019980980369</v>
      </c>
      <c r="AK64" s="83"/>
      <c r="AL64" s="83"/>
      <c r="AM64" s="83"/>
      <c r="AN64" s="83"/>
      <c r="AO64" s="78"/>
    </row>
    <row r="65" spans="1:41" customFormat="1" ht="15" hidden="1" x14ac:dyDescent="0.25">
      <c r="A65" s="82">
        <v>45662.550312500003</v>
      </c>
      <c r="B65" s="94" t="str">
        <f t="shared" si="0"/>
        <v>January</v>
      </c>
      <c r="C65" s="78"/>
      <c r="D65" s="79" t="s">
        <v>1130</v>
      </c>
      <c r="E65" s="79" t="s">
        <v>1016</v>
      </c>
      <c r="F65" s="79" t="s">
        <v>950</v>
      </c>
      <c r="G65" s="79" t="s">
        <v>967</v>
      </c>
      <c r="H65" s="79" t="s">
        <v>997</v>
      </c>
      <c r="I65" s="79">
        <v>153.60000000000002</v>
      </c>
      <c r="J65" s="79" t="s">
        <v>1348</v>
      </c>
      <c r="K65" s="80" t="s">
        <v>469</v>
      </c>
      <c r="L65" s="80">
        <v>414</v>
      </c>
      <c r="M65" s="80">
        <f>L65-1</f>
        <v>413</v>
      </c>
      <c r="N65" s="81">
        <f t="shared" si="11"/>
        <v>-1</v>
      </c>
      <c r="O65" s="78"/>
      <c r="P65" s="82">
        <f>R65-TIME(0,76,0)</f>
        <v>45662.70694444445</v>
      </c>
      <c r="Q65" s="82">
        <v>45663.082638888889</v>
      </c>
      <c r="R65" s="82">
        <v>45662.759722222225</v>
      </c>
      <c r="S65" s="81">
        <f t="shared" si="1"/>
        <v>-462.84722221874591</v>
      </c>
      <c r="T65" s="81">
        <f t="shared" si="2"/>
        <v>75.6481481444401</v>
      </c>
      <c r="U65" s="79" t="s">
        <v>562</v>
      </c>
      <c r="V65" s="82">
        <v>45663.513888888891</v>
      </c>
      <c r="W65" s="82">
        <f>V65+TIME(0,149,0)</f>
        <v>45663.617361111115</v>
      </c>
      <c r="X65" s="103">
        <f t="shared" si="3"/>
        <v>145.89583333698101</v>
      </c>
      <c r="Y65" s="82"/>
      <c r="Z65" s="82">
        <v>45664.525000000001</v>
      </c>
      <c r="AA65" s="82">
        <v>45664.578472222223</v>
      </c>
      <c r="AB65" s="81">
        <f t="shared" si="4"/>
        <v>75.395833332877373</v>
      </c>
      <c r="AC65" s="80" t="s">
        <v>1482</v>
      </c>
      <c r="AD65" s="83">
        <f t="shared" si="5"/>
        <v>1.765277777776646</v>
      </c>
      <c r="AE65" s="80">
        <v>2</v>
      </c>
      <c r="AF65" s="84">
        <f t="shared" si="6"/>
        <v>0.23472222222335404</v>
      </c>
      <c r="AG65" s="83">
        <f t="shared" si="7"/>
        <v>42.366666666639503</v>
      </c>
      <c r="AH65" s="83">
        <f t="shared" si="8"/>
        <v>12</v>
      </c>
      <c r="AI65" s="83">
        <f t="shared" si="9"/>
        <v>30.366666666639503</v>
      </c>
      <c r="AJ65" s="83">
        <f t="shared" si="10"/>
        <v>5.0581778265687403</v>
      </c>
      <c r="AK65" s="83"/>
      <c r="AL65" s="83"/>
      <c r="AM65" s="83"/>
      <c r="AN65" s="83"/>
      <c r="AO65" s="78"/>
    </row>
    <row r="66" spans="1:41" customFormat="1" ht="15" hidden="1" x14ac:dyDescent="0.25">
      <c r="A66" s="82">
        <v>45662.551296296297</v>
      </c>
      <c r="B66" s="94" t="str">
        <f t="shared" ref="B66:B129" si="12">TEXT(A66, "MMMM")</f>
        <v>January</v>
      </c>
      <c r="C66" s="78"/>
      <c r="D66" s="79" t="s">
        <v>1131</v>
      </c>
      <c r="E66" s="79" t="s">
        <v>1017</v>
      </c>
      <c r="F66" s="79" t="s">
        <v>1276</v>
      </c>
      <c r="G66" s="79" t="s">
        <v>981</v>
      </c>
      <c r="H66" s="79" t="s">
        <v>468</v>
      </c>
      <c r="I66" s="79">
        <v>153.60000000000002</v>
      </c>
      <c r="J66" s="79" t="s">
        <v>1349</v>
      </c>
      <c r="K66" s="80" t="s">
        <v>469</v>
      </c>
      <c r="L66" s="79">
        <v>20</v>
      </c>
      <c r="M66" s="79">
        <v>12</v>
      </c>
      <c r="N66" s="81">
        <f t="shared" si="11"/>
        <v>-8</v>
      </c>
      <c r="O66" s="78"/>
      <c r="P66" s="82">
        <v>45663.570740740739</v>
      </c>
      <c r="Q66" s="82">
        <v>45663.051296296297</v>
      </c>
      <c r="R66" s="82">
        <v>45663.59851851852</v>
      </c>
      <c r="S66" s="81">
        <f t="shared" ref="S66:S129" si="13">(R66-Q66)*86000/60</f>
        <v>784.35185185347416</v>
      </c>
      <c r="T66" s="81">
        <f t="shared" ref="T66:T129" si="14">(R66-P66)*86000/60</f>
        <v>39.814814819449872</v>
      </c>
      <c r="U66" s="79"/>
      <c r="V66" s="82">
        <v>45663.623518518521</v>
      </c>
      <c r="W66" s="82">
        <f>V66+TIME(0,197,0)</f>
        <v>45663.760324074079</v>
      </c>
      <c r="X66" s="103">
        <f t="shared" ref="X66:X129" si="15">(W66-V66)*84600/60</f>
        <v>192.89583333629707</v>
      </c>
      <c r="Y66" s="82" t="s">
        <v>1044</v>
      </c>
      <c r="Z66" s="82">
        <v>45663.796435185184</v>
      </c>
      <c r="AA66" s="82">
        <f>Z66+TIME(0,56,0)</f>
        <v>45663.835324074076</v>
      </c>
      <c r="AB66" s="81">
        <f t="shared" ref="AB66:AB129" si="16">(AA66-Z66)*84600/60</f>
        <v>54.833333337664953</v>
      </c>
      <c r="AC66" s="80"/>
      <c r="AD66" s="83">
        <f t="shared" ref="AD66:AD129" si="17">Z66-R66</f>
        <v>0.19791666666424135</v>
      </c>
      <c r="AE66" s="80">
        <v>2</v>
      </c>
      <c r="AF66" s="84">
        <f t="shared" ref="AF66:AF129" si="18">AE66-AD66</f>
        <v>1.8020833333357587</v>
      </c>
      <c r="AG66" s="83">
        <f t="shared" ref="AG66:AG129" si="19">AD66*24</f>
        <v>4.7499999999417923</v>
      </c>
      <c r="AH66" s="83">
        <f t="shared" ref="AH66:AH129" si="20">AG66-AI66</f>
        <v>0</v>
      </c>
      <c r="AI66" s="83">
        <f t="shared" ref="AI66:AI129" si="21" xml:space="preserve"> ((Z66 - R66) * 24) - (INT(Z66 - R66) * 12)</f>
        <v>4.7499999999417923</v>
      </c>
      <c r="AJ66" s="83">
        <f t="shared" ref="AJ66:AJ129" si="22">I66/AI66</f>
        <v>32.336842105659429</v>
      </c>
      <c r="AK66" s="83"/>
      <c r="AL66" s="83"/>
      <c r="AM66" s="83"/>
      <c r="AN66" s="83"/>
      <c r="AO66" s="78"/>
    </row>
    <row r="67" spans="1:41" customFormat="1" ht="15" hidden="1" x14ac:dyDescent="0.25">
      <c r="A67" s="82">
        <v>45662.607164351852</v>
      </c>
      <c r="B67" s="94" t="str">
        <f t="shared" si="12"/>
        <v>January</v>
      </c>
      <c r="C67" s="78"/>
      <c r="D67" s="79" t="s">
        <v>1132</v>
      </c>
      <c r="E67" s="79" t="s">
        <v>1017</v>
      </c>
      <c r="F67" s="79"/>
      <c r="G67" s="79" t="s">
        <v>53</v>
      </c>
      <c r="H67" s="79" t="s">
        <v>1284</v>
      </c>
      <c r="I67" s="79">
        <v>156</v>
      </c>
      <c r="J67" s="79" t="s">
        <v>1350</v>
      </c>
      <c r="K67" s="80" t="s">
        <v>469</v>
      </c>
      <c r="L67" s="79">
        <v>620</v>
      </c>
      <c r="M67" s="79">
        <v>602</v>
      </c>
      <c r="N67" s="81">
        <f t="shared" si="11"/>
        <v>-18</v>
      </c>
      <c r="O67" s="78"/>
      <c r="P67" s="82">
        <f>R67-TIME(0,57,0)</f>
        <v>45663.119664351849</v>
      </c>
      <c r="Q67" s="82">
        <v>45663.107164351852</v>
      </c>
      <c r="R67" s="82">
        <v>45663.15924768518</v>
      </c>
      <c r="S67" s="81">
        <f t="shared" si="13"/>
        <v>74.652777770825196</v>
      </c>
      <c r="T67" s="81">
        <f t="shared" si="14"/>
        <v>56.736111108330078</v>
      </c>
      <c r="U67" s="79" t="s">
        <v>562</v>
      </c>
      <c r="V67" s="82">
        <v>45663.680081018516</v>
      </c>
      <c r="W67" s="82">
        <f>V67+TIME(0,149,0)</f>
        <v>45663.783553240741</v>
      </c>
      <c r="X67" s="103">
        <f t="shared" si="15"/>
        <v>145.89583333698101</v>
      </c>
      <c r="Y67" s="82"/>
      <c r="Z67" s="82">
        <v>45665.390081018515</v>
      </c>
      <c r="AA67" s="82">
        <v>45665.429664351846</v>
      </c>
      <c r="AB67" s="81">
        <f t="shared" si="16"/>
        <v>55.81249999726424</v>
      </c>
      <c r="AC67" s="80"/>
      <c r="AD67" s="83">
        <f t="shared" si="17"/>
        <v>2.2308333333348855</v>
      </c>
      <c r="AE67" s="80">
        <v>3</v>
      </c>
      <c r="AF67" s="84">
        <f t="shared" si="18"/>
        <v>0.76916666666511446</v>
      </c>
      <c r="AG67" s="83">
        <f t="shared" si="19"/>
        <v>53.540000000037253</v>
      </c>
      <c r="AH67" s="83">
        <f t="shared" si="20"/>
        <v>24</v>
      </c>
      <c r="AI67" s="83">
        <f t="shared" si="21"/>
        <v>29.540000000037253</v>
      </c>
      <c r="AJ67" s="83">
        <f t="shared" si="22"/>
        <v>5.2809749492147349</v>
      </c>
      <c r="AK67" s="83"/>
      <c r="AL67" s="83"/>
      <c r="AM67" s="83"/>
      <c r="AN67" s="83"/>
      <c r="AO67" s="78"/>
    </row>
    <row r="68" spans="1:41" customFormat="1" ht="15" hidden="1" x14ac:dyDescent="0.25">
      <c r="A68" s="82">
        <v>45662.609270833331</v>
      </c>
      <c r="B68" s="94" t="str">
        <f t="shared" si="12"/>
        <v>January</v>
      </c>
      <c r="C68" s="78"/>
      <c r="D68" s="79" t="s">
        <v>1133</v>
      </c>
      <c r="E68" s="79" t="s">
        <v>1016</v>
      </c>
      <c r="F68" s="79" t="s">
        <v>962</v>
      </c>
      <c r="G68" s="79" t="s">
        <v>978</v>
      </c>
      <c r="H68" s="79" t="s">
        <v>461</v>
      </c>
      <c r="I68" s="79">
        <v>153.60000000000002</v>
      </c>
      <c r="J68" s="79" t="s">
        <v>1351</v>
      </c>
      <c r="K68" s="80" t="s">
        <v>469</v>
      </c>
      <c r="L68" s="79">
        <v>340</v>
      </c>
      <c r="M68" s="80">
        <f>L68-1</f>
        <v>339</v>
      </c>
      <c r="N68" s="81">
        <f t="shared" ref="N68:N131" si="23">M68-L68</f>
        <v>-1</v>
      </c>
      <c r="O68" s="78"/>
      <c r="P68" s="82">
        <f>R68-TIME(0,49,0)</f>
        <v>45664.272222222222</v>
      </c>
      <c r="Q68" s="82">
        <v>45663.176388888889</v>
      </c>
      <c r="R68" s="82">
        <v>45664.306250000001</v>
      </c>
      <c r="S68" s="81">
        <f t="shared" si="13"/>
        <v>1619.4675925944466</v>
      </c>
      <c r="T68" s="81">
        <f t="shared" si="14"/>
        <v>48.77314815069743</v>
      </c>
      <c r="U68" s="79" t="s">
        <v>1671</v>
      </c>
      <c r="V68" s="82">
        <v>45664.51458333333</v>
      </c>
      <c r="W68" s="82">
        <f>V68+TIME(0,175,0)</f>
        <v>45664.636111111111</v>
      </c>
      <c r="X68" s="103">
        <f t="shared" si="15"/>
        <v>171.35416667122627</v>
      </c>
      <c r="Y68" s="82"/>
      <c r="Z68" s="82">
        <v>45665.518750000003</v>
      </c>
      <c r="AA68" s="82">
        <v>45665.552777777782</v>
      </c>
      <c r="AB68" s="81">
        <f t="shared" si="16"/>
        <v>47.979166669174447</v>
      </c>
      <c r="AC68" s="80"/>
      <c r="AD68" s="83">
        <f t="shared" si="17"/>
        <v>1.2125000000014552</v>
      </c>
      <c r="AE68" s="80">
        <v>2</v>
      </c>
      <c r="AF68" s="84">
        <f t="shared" si="18"/>
        <v>0.78749999999854481</v>
      </c>
      <c r="AG68" s="83">
        <f t="shared" si="19"/>
        <v>29.100000000034925</v>
      </c>
      <c r="AH68" s="83">
        <f t="shared" si="20"/>
        <v>12</v>
      </c>
      <c r="AI68" s="83">
        <f t="shared" si="21"/>
        <v>17.100000000034925</v>
      </c>
      <c r="AJ68" s="83">
        <f t="shared" si="22"/>
        <v>8.9824561403325323</v>
      </c>
      <c r="AK68" s="83"/>
      <c r="AL68" s="83"/>
      <c r="AM68" s="83"/>
      <c r="AN68" s="83"/>
      <c r="AO68" s="78"/>
    </row>
    <row r="69" spans="1:41" customFormat="1" ht="15" hidden="1" x14ac:dyDescent="0.25">
      <c r="A69" s="82">
        <v>45662.609942129631</v>
      </c>
      <c r="B69" s="94" t="str">
        <f t="shared" si="12"/>
        <v>January</v>
      </c>
      <c r="C69" s="78"/>
      <c r="D69" s="79" t="s">
        <v>1134</v>
      </c>
      <c r="E69" s="79" t="s">
        <v>1016</v>
      </c>
      <c r="F69" s="79" t="s">
        <v>952</v>
      </c>
      <c r="G69" s="79" t="s">
        <v>969</v>
      </c>
      <c r="H69" s="79" t="s">
        <v>461</v>
      </c>
      <c r="I69" s="79">
        <v>153.60000000000002</v>
      </c>
      <c r="J69" s="79" t="s">
        <v>1352</v>
      </c>
      <c r="K69" s="80" t="s">
        <v>469</v>
      </c>
      <c r="L69" s="79">
        <v>340</v>
      </c>
      <c r="M69" s="80">
        <f>L69-1</f>
        <v>339</v>
      </c>
      <c r="N69" s="81">
        <f t="shared" si="23"/>
        <v>-1</v>
      </c>
      <c r="O69" s="78"/>
      <c r="P69" s="82">
        <f>R69-TIME(0,41,0)</f>
        <v>45662.782638888893</v>
      </c>
      <c r="Q69" s="82">
        <v>45663.176388888889</v>
      </c>
      <c r="R69" s="82">
        <v>45662.811111111114</v>
      </c>
      <c r="S69" s="81">
        <f t="shared" si="13"/>
        <v>-523.56481481110677</v>
      </c>
      <c r="T69" s="81">
        <f t="shared" si="14"/>
        <v>40.810185182635905</v>
      </c>
      <c r="U69" s="79"/>
      <c r="V69" s="82">
        <v>45663.432638888888</v>
      </c>
      <c r="W69" s="82">
        <f>V69+TIME(0,171,0)</f>
        <v>45663.551388888889</v>
      </c>
      <c r="X69" s="103">
        <f t="shared" si="15"/>
        <v>167.43750000205182</v>
      </c>
      <c r="Y69" s="82"/>
      <c r="Z69" s="82">
        <v>45664.575694444444</v>
      </c>
      <c r="AA69" s="82">
        <v>45664.614583333336</v>
      </c>
      <c r="AB69" s="81">
        <f t="shared" si="16"/>
        <v>54.833333337664953</v>
      </c>
      <c r="AC69" s="80"/>
      <c r="AD69" s="83">
        <f t="shared" si="17"/>
        <v>1.7645833333299379</v>
      </c>
      <c r="AE69" s="80">
        <v>2</v>
      </c>
      <c r="AF69" s="84">
        <f t="shared" si="18"/>
        <v>0.23541666667006211</v>
      </c>
      <c r="AG69" s="83">
        <f t="shared" si="19"/>
        <v>42.349999999918509</v>
      </c>
      <c r="AH69" s="83">
        <f t="shared" si="20"/>
        <v>12</v>
      </c>
      <c r="AI69" s="83">
        <f t="shared" si="21"/>
        <v>30.349999999918509</v>
      </c>
      <c r="AJ69" s="83">
        <f t="shared" si="22"/>
        <v>5.0609555189592239</v>
      </c>
      <c r="AK69" s="83"/>
      <c r="AL69" s="83"/>
      <c r="AM69" s="83"/>
      <c r="AN69" s="83"/>
      <c r="AO69" s="78"/>
    </row>
    <row r="70" spans="1:41" customFormat="1" ht="15" hidden="1" x14ac:dyDescent="0.25">
      <c r="A70" s="82">
        <v>45662.662743055553</v>
      </c>
      <c r="B70" s="94" t="str">
        <f t="shared" si="12"/>
        <v>January</v>
      </c>
      <c r="C70" s="78"/>
      <c r="D70" s="79" t="s">
        <v>1135</v>
      </c>
      <c r="E70" s="79" t="s">
        <v>1017</v>
      </c>
      <c r="F70" s="79" t="s">
        <v>1276</v>
      </c>
      <c r="G70" s="79" t="s">
        <v>981</v>
      </c>
      <c r="H70" s="79" t="s">
        <v>468</v>
      </c>
      <c r="I70" s="79">
        <v>153.60000000000002</v>
      </c>
      <c r="J70" s="79" t="s">
        <v>1353</v>
      </c>
      <c r="K70" s="80" t="s">
        <v>469</v>
      </c>
      <c r="L70" s="79">
        <v>20</v>
      </c>
      <c r="M70" s="79">
        <v>12</v>
      </c>
      <c r="N70" s="81">
        <f t="shared" si="23"/>
        <v>-8</v>
      </c>
      <c r="O70" s="78"/>
      <c r="P70" s="82">
        <f>R70-TIME(0,40,0)</f>
        <v>45663.446076388886</v>
      </c>
      <c r="Q70" s="82">
        <v>45663.162743055553</v>
      </c>
      <c r="R70" s="82">
        <v>45663.473854166667</v>
      </c>
      <c r="S70" s="81">
        <f t="shared" si="13"/>
        <v>445.92592592986574</v>
      </c>
      <c r="T70" s="81">
        <f t="shared" si="14"/>
        <v>39.814814819449872</v>
      </c>
      <c r="U70" s="79"/>
      <c r="V70" s="82">
        <v>45663.491215277776</v>
      </c>
      <c r="W70" s="82">
        <f>V70+TIME(0,367,0)</f>
        <v>45663.746076388888</v>
      </c>
      <c r="X70" s="103">
        <f t="shared" si="15"/>
        <v>359.35416666849051</v>
      </c>
      <c r="Y70" s="82" t="s">
        <v>1039</v>
      </c>
      <c r="Z70" s="82">
        <v>45663.650243055556</v>
      </c>
      <c r="AA70" s="82">
        <f>Z70+TIME(0,58,0)</f>
        <v>45663.690520833334</v>
      </c>
      <c r="AB70" s="81">
        <f t="shared" si="16"/>
        <v>56.791666667122627</v>
      </c>
      <c r="AC70" s="80"/>
      <c r="AD70" s="83">
        <f t="shared" si="17"/>
        <v>0.17638888888905058</v>
      </c>
      <c r="AE70" s="80">
        <v>2</v>
      </c>
      <c r="AF70" s="84">
        <f t="shared" si="18"/>
        <v>1.8236111111109494</v>
      </c>
      <c r="AG70" s="83">
        <f t="shared" si="19"/>
        <v>4.2333333333372138</v>
      </c>
      <c r="AH70" s="83">
        <f t="shared" si="20"/>
        <v>0</v>
      </c>
      <c r="AI70" s="83">
        <f t="shared" si="21"/>
        <v>4.2333333333372138</v>
      </c>
      <c r="AJ70" s="83">
        <f t="shared" si="22"/>
        <v>36.28346456689588</v>
      </c>
      <c r="AK70" s="83"/>
      <c r="AL70" s="83"/>
      <c r="AM70" s="83"/>
      <c r="AN70" s="83"/>
      <c r="AO70" s="78"/>
    </row>
    <row r="71" spans="1:41" customFormat="1" ht="15" hidden="1" x14ac:dyDescent="0.25">
      <c r="A71" s="82">
        <v>45662.700104166666</v>
      </c>
      <c r="B71" s="94" t="str">
        <f t="shared" si="12"/>
        <v>January</v>
      </c>
      <c r="C71" s="78"/>
      <c r="D71" s="79" t="s">
        <v>1136</v>
      </c>
      <c r="E71" s="79" t="s">
        <v>1016</v>
      </c>
      <c r="F71" s="79" t="s">
        <v>964</v>
      </c>
      <c r="G71" s="79" t="s">
        <v>979</v>
      </c>
      <c r="H71" s="79" t="s">
        <v>457</v>
      </c>
      <c r="I71" s="79">
        <v>153.60000000000002</v>
      </c>
      <c r="J71" s="79" t="s">
        <v>1354</v>
      </c>
      <c r="K71" s="80" t="s">
        <v>469</v>
      </c>
      <c r="L71" s="79">
        <v>320</v>
      </c>
      <c r="M71" s="79">
        <v>320</v>
      </c>
      <c r="N71" s="81">
        <f t="shared" si="23"/>
        <v>0</v>
      </c>
      <c r="O71" s="78"/>
      <c r="P71" s="82">
        <f>R71-TIME(0,40,0)</f>
        <v>45662.79583333333</v>
      </c>
      <c r="Q71" s="82">
        <v>45663.098611111112</v>
      </c>
      <c r="R71" s="82">
        <v>45662.823611111111</v>
      </c>
      <c r="S71" s="81">
        <f t="shared" si="13"/>
        <v>-394.16666666875244</v>
      </c>
      <c r="T71" s="81">
        <f t="shared" si="14"/>
        <v>39.814814819449872</v>
      </c>
      <c r="U71" s="79"/>
      <c r="V71" s="82">
        <v>45662.998611111114</v>
      </c>
      <c r="W71" s="82">
        <f>V71+TIME(0,167,0)</f>
        <v>45663.114583333336</v>
      </c>
      <c r="X71" s="103">
        <f t="shared" si="15"/>
        <v>163.52083333287737</v>
      </c>
      <c r="Y71" s="82"/>
      <c r="Z71" s="82">
        <v>45663.50277777778</v>
      </c>
      <c r="AA71" s="82">
        <f>Z71+TIME(0,57,0)</f>
        <v>45663.542361111111</v>
      </c>
      <c r="AB71" s="81">
        <f t="shared" si="16"/>
        <v>55.81249999726424</v>
      </c>
      <c r="AC71" s="80"/>
      <c r="AD71" s="83">
        <f t="shared" si="17"/>
        <v>0.67916666666860692</v>
      </c>
      <c r="AE71" s="80">
        <v>2</v>
      </c>
      <c r="AF71" s="84">
        <f t="shared" si="18"/>
        <v>1.3208333333313931</v>
      </c>
      <c r="AG71" s="83">
        <f t="shared" si="19"/>
        <v>16.300000000046566</v>
      </c>
      <c r="AH71" s="83">
        <f t="shared" si="20"/>
        <v>0</v>
      </c>
      <c r="AI71" s="83">
        <f t="shared" si="21"/>
        <v>16.300000000046566</v>
      </c>
      <c r="AJ71" s="83">
        <f t="shared" si="22"/>
        <v>9.4233128834086628</v>
      </c>
      <c r="AK71" s="83"/>
      <c r="AL71" s="83"/>
      <c r="AM71" s="83"/>
      <c r="AN71" s="83"/>
      <c r="AO71" s="78"/>
    </row>
    <row r="72" spans="1:41" customFormat="1" ht="15" hidden="1" x14ac:dyDescent="0.25">
      <c r="A72" s="82">
        <v>45662.700798611113</v>
      </c>
      <c r="B72" s="94" t="str">
        <f t="shared" si="12"/>
        <v>January</v>
      </c>
      <c r="C72" s="78"/>
      <c r="D72" s="79" t="s">
        <v>1137</v>
      </c>
      <c r="E72" s="79" t="s">
        <v>1017</v>
      </c>
      <c r="F72" s="79" t="s">
        <v>963</v>
      </c>
      <c r="G72" s="79" t="s">
        <v>60</v>
      </c>
      <c r="H72" s="79" t="s">
        <v>457</v>
      </c>
      <c r="I72" s="79">
        <v>156</v>
      </c>
      <c r="J72" s="79" t="s">
        <v>1355</v>
      </c>
      <c r="K72" s="80" t="s">
        <v>469</v>
      </c>
      <c r="L72" s="79">
        <v>320</v>
      </c>
      <c r="M72" s="79">
        <v>321</v>
      </c>
      <c r="N72" s="81">
        <f t="shared" si="23"/>
        <v>1</v>
      </c>
      <c r="O72" s="78"/>
      <c r="P72" s="82">
        <f>R72-TIME(0,59,0)</f>
        <v>45662.691666666666</v>
      </c>
      <c r="Q72" s="82">
        <v>45663.098611111112</v>
      </c>
      <c r="R72" s="82">
        <v>45662.732638888891</v>
      </c>
      <c r="S72" s="81">
        <f t="shared" si="13"/>
        <v>-524.56018518472172</v>
      </c>
      <c r="T72" s="81">
        <f t="shared" si="14"/>
        <v>58.726851855559893</v>
      </c>
      <c r="U72" s="79" t="s">
        <v>1672</v>
      </c>
      <c r="V72" s="82">
        <v>45663.334027777775</v>
      </c>
      <c r="W72" s="82">
        <f>V72+TIME(0,171,0)</f>
        <v>45663.452777777777</v>
      </c>
      <c r="X72" s="103">
        <f t="shared" si="15"/>
        <v>167.43750000205182</v>
      </c>
      <c r="Y72" s="82"/>
      <c r="Z72" s="82">
        <v>45664.62222222222</v>
      </c>
      <c r="AA72" s="82">
        <f>Z72+TIME(0,56,0)</f>
        <v>45664.661111111112</v>
      </c>
      <c r="AB72" s="81">
        <f t="shared" si="16"/>
        <v>54.833333337664953</v>
      </c>
      <c r="AC72" s="80"/>
      <c r="AD72" s="83">
        <f t="shared" si="17"/>
        <v>1.8895833333299379</v>
      </c>
      <c r="AE72" s="80">
        <v>2</v>
      </c>
      <c r="AF72" s="84">
        <f t="shared" si="18"/>
        <v>0.11041666667006211</v>
      </c>
      <c r="AG72" s="83">
        <f t="shared" si="19"/>
        <v>45.349999999918509</v>
      </c>
      <c r="AH72" s="83">
        <f t="shared" si="20"/>
        <v>12</v>
      </c>
      <c r="AI72" s="83">
        <f t="shared" si="21"/>
        <v>33.349999999918509</v>
      </c>
      <c r="AJ72" s="83">
        <f t="shared" si="22"/>
        <v>4.6776611694267221</v>
      </c>
      <c r="AK72" s="83"/>
      <c r="AL72" s="83"/>
      <c r="AM72" s="83"/>
      <c r="AN72" s="83"/>
      <c r="AO72" s="78"/>
    </row>
    <row r="73" spans="1:41" customFormat="1" ht="15" hidden="1" x14ac:dyDescent="0.25">
      <c r="A73" s="82">
        <v>45662.701307870368</v>
      </c>
      <c r="B73" s="94" t="str">
        <f t="shared" si="12"/>
        <v>January</v>
      </c>
      <c r="C73" s="78"/>
      <c r="D73" s="79" t="s">
        <v>1138</v>
      </c>
      <c r="E73" s="79" t="s">
        <v>1016</v>
      </c>
      <c r="F73" s="79" t="s">
        <v>1268</v>
      </c>
      <c r="G73" s="79" t="s">
        <v>52</v>
      </c>
      <c r="H73" s="79" t="s">
        <v>463</v>
      </c>
      <c r="I73" s="79">
        <v>156</v>
      </c>
      <c r="J73" s="79" t="s">
        <v>1356</v>
      </c>
      <c r="K73" s="80" t="s">
        <v>469</v>
      </c>
      <c r="L73" s="79">
        <v>606</v>
      </c>
      <c r="M73" s="79">
        <v>576</v>
      </c>
      <c r="N73" s="81">
        <f t="shared" si="23"/>
        <v>-30</v>
      </c>
      <c r="O73" s="78"/>
      <c r="P73" s="82">
        <f>R73-TIME(0,43,0)</f>
        <v>45662.74722222222</v>
      </c>
      <c r="Q73" s="82">
        <v>45662.729166666664</v>
      </c>
      <c r="R73" s="82">
        <v>45662.777083333334</v>
      </c>
      <c r="S73" s="81">
        <f t="shared" si="13"/>
        <v>68.680555560422363</v>
      </c>
      <c r="T73" s="81">
        <f t="shared" si="14"/>
        <v>42.80092592986572</v>
      </c>
      <c r="U73" s="79"/>
      <c r="V73" s="82">
        <v>45664.331250000003</v>
      </c>
      <c r="W73" s="82">
        <f>V73+TIME(0,167,0)</f>
        <v>45664.447222222225</v>
      </c>
      <c r="X73" s="103">
        <f t="shared" si="15"/>
        <v>163.52083333287737</v>
      </c>
      <c r="Y73" s="82"/>
      <c r="Z73" s="82">
        <v>45665.422222222223</v>
      </c>
      <c r="AA73" s="82">
        <v>45665.461805555555</v>
      </c>
      <c r="AB73" s="81">
        <f t="shared" si="16"/>
        <v>55.81249999726424</v>
      </c>
      <c r="AC73" s="80"/>
      <c r="AD73" s="83">
        <f t="shared" si="17"/>
        <v>2.6451388888890506</v>
      </c>
      <c r="AE73" s="80">
        <v>3</v>
      </c>
      <c r="AF73" s="84">
        <f t="shared" si="18"/>
        <v>0.35486111111094942</v>
      </c>
      <c r="AG73" s="83">
        <f t="shared" si="19"/>
        <v>63.483333333337214</v>
      </c>
      <c r="AH73" s="83">
        <f t="shared" si="20"/>
        <v>24</v>
      </c>
      <c r="AI73" s="83">
        <f t="shared" si="21"/>
        <v>39.483333333337214</v>
      </c>
      <c r="AJ73" s="83">
        <f t="shared" si="22"/>
        <v>3.9510341916416549</v>
      </c>
      <c r="AK73" s="83"/>
      <c r="AL73" s="83"/>
      <c r="AM73" s="83"/>
      <c r="AN73" s="83"/>
      <c r="AO73" s="78"/>
    </row>
    <row r="74" spans="1:41" customFormat="1" ht="15" hidden="1" x14ac:dyDescent="0.25">
      <c r="A74" s="82">
        <v>45662.969965277778</v>
      </c>
      <c r="B74" s="94" t="str">
        <f t="shared" si="12"/>
        <v>January</v>
      </c>
      <c r="C74" s="78"/>
      <c r="D74" s="79" t="s">
        <v>1139</v>
      </c>
      <c r="E74" s="79" t="s">
        <v>1017</v>
      </c>
      <c r="F74" s="79" t="s">
        <v>960</v>
      </c>
      <c r="G74" s="79" t="s">
        <v>62</v>
      </c>
      <c r="H74" s="79" t="s">
        <v>458</v>
      </c>
      <c r="I74" s="79">
        <v>156</v>
      </c>
      <c r="J74" s="79" t="s">
        <v>1357</v>
      </c>
      <c r="K74" s="80" t="s">
        <v>469</v>
      </c>
      <c r="L74" s="79">
        <v>470</v>
      </c>
      <c r="M74" s="79">
        <v>465</v>
      </c>
      <c r="N74" s="81">
        <f t="shared" si="23"/>
        <v>-5</v>
      </c>
      <c r="O74" s="78"/>
      <c r="P74" s="82">
        <v>45663.48940972222</v>
      </c>
      <c r="Q74" s="82">
        <v>45663.469965277778</v>
      </c>
      <c r="R74" s="82">
        <v>45663.517187500001</v>
      </c>
      <c r="S74" s="81">
        <f t="shared" si="13"/>
        <v>67.685185186807459</v>
      </c>
      <c r="T74" s="81">
        <f t="shared" si="14"/>
        <v>39.814814819449872</v>
      </c>
      <c r="U74" s="79"/>
      <c r="V74" s="82">
        <v>45664.517187500001</v>
      </c>
      <c r="W74" s="82">
        <f>V74+TIME(0,167,0)</f>
        <v>45664.633159722223</v>
      </c>
      <c r="X74" s="103">
        <f t="shared" si="15"/>
        <v>163.52083333287737</v>
      </c>
      <c r="Y74" s="82"/>
      <c r="Z74" s="82">
        <v>45665.672048611108</v>
      </c>
      <c r="AA74" s="82">
        <v>45665.706076388888</v>
      </c>
      <c r="AB74" s="81">
        <f t="shared" si="16"/>
        <v>47.979166669174447</v>
      </c>
      <c r="AC74" s="80"/>
      <c r="AD74" s="83">
        <f t="shared" si="17"/>
        <v>2.1548611111065838</v>
      </c>
      <c r="AE74" s="80">
        <v>2</v>
      </c>
      <c r="AF74" s="84">
        <f t="shared" si="18"/>
        <v>-0.15486111110658385</v>
      </c>
      <c r="AG74" s="83">
        <f t="shared" si="19"/>
        <v>51.716666666558012</v>
      </c>
      <c r="AH74" s="83">
        <f t="shared" si="20"/>
        <v>24</v>
      </c>
      <c r="AI74" s="83">
        <f t="shared" si="21"/>
        <v>27.716666666558012</v>
      </c>
      <c r="AJ74" s="83">
        <f t="shared" si="22"/>
        <v>5.6283824413930805</v>
      </c>
      <c r="AK74" s="83"/>
      <c r="AL74" s="83"/>
      <c r="AM74" s="83"/>
      <c r="AN74" s="83"/>
      <c r="AO74" s="78"/>
    </row>
    <row r="75" spans="1:41" customFormat="1" ht="15" hidden="1" x14ac:dyDescent="0.25">
      <c r="A75" s="82">
        <v>45662.97078703704</v>
      </c>
      <c r="B75" s="94" t="str">
        <f t="shared" si="12"/>
        <v>January</v>
      </c>
      <c r="C75" s="78"/>
      <c r="D75" s="79" t="s">
        <v>1140</v>
      </c>
      <c r="E75" s="79" t="s">
        <v>1016</v>
      </c>
      <c r="F75" s="79" t="s">
        <v>1271</v>
      </c>
      <c r="G75" s="79" t="s">
        <v>44</v>
      </c>
      <c r="H75" s="79" t="s">
        <v>456</v>
      </c>
      <c r="I75" s="79">
        <v>156</v>
      </c>
      <c r="J75" s="79" t="s">
        <v>1358</v>
      </c>
      <c r="K75" s="80" t="s">
        <v>469</v>
      </c>
      <c r="L75" s="80">
        <v>670</v>
      </c>
      <c r="M75" s="79">
        <v>622</v>
      </c>
      <c r="N75" s="81">
        <f t="shared" si="23"/>
        <v>-48</v>
      </c>
      <c r="O75" s="78"/>
      <c r="P75" s="82">
        <f>R75-TIME(0,41,0)</f>
        <v>45662.951388888891</v>
      </c>
      <c r="Q75" s="82">
        <v>45663.740277777775</v>
      </c>
      <c r="R75" s="82">
        <v>45662.979861111111</v>
      </c>
      <c r="S75" s="81">
        <f t="shared" si="13"/>
        <v>-1089.9305555520793</v>
      </c>
      <c r="T75" s="81">
        <f t="shared" si="14"/>
        <v>40.810185182635905</v>
      </c>
      <c r="U75" s="79"/>
      <c r="V75" s="82">
        <v>45663.836805555555</v>
      </c>
      <c r="W75" s="82">
        <f>V75+TIME(0,207,0)</f>
        <v>45663.980555555558</v>
      </c>
      <c r="X75" s="103">
        <f t="shared" si="15"/>
        <v>202.68750000410364</v>
      </c>
      <c r="Y75" s="82" t="s">
        <v>1047</v>
      </c>
      <c r="Z75" s="82">
        <v>45664.92083333333</v>
      </c>
      <c r="AA75" s="82">
        <v>45664.960416666661</v>
      </c>
      <c r="AB75" s="81">
        <f t="shared" si="16"/>
        <v>55.81249999726424</v>
      </c>
      <c r="AC75" s="80"/>
      <c r="AD75" s="83">
        <f t="shared" si="17"/>
        <v>1.9409722222189885</v>
      </c>
      <c r="AE75" s="80">
        <v>2</v>
      </c>
      <c r="AF75" s="84">
        <f t="shared" si="18"/>
        <v>5.9027777781011537E-2</v>
      </c>
      <c r="AG75" s="83">
        <f t="shared" si="19"/>
        <v>46.583333333255723</v>
      </c>
      <c r="AH75" s="83">
        <f t="shared" si="20"/>
        <v>12</v>
      </c>
      <c r="AI75" s="83">
        <f t="shared" si="21"/>
        <v>34.583333333255723</v>
      </c>
      <c r="AJ75" s="83">
        <f t="shared" si="22"/>
        <v>4.5108433735040991</v>
      </c>
      <c r="AK75" s="83"/>
      <c r="AL75" s="83"/>
      <c r="AM75" s="83"/>
      <c r="AN75" s="83"/>
      <c r="AO75" s="78"/>
    </row>
    <row r="76" spans="1:41" customFormat="1" ht="15" hidden="1" x14ac:dyDescent="0.25">
      <c r="A76" s="82">
        <v>45662.971782407411</v>
      </c>
      <c r="B76" s="94" t="str">
        <f t="shared" si="12"/>
        <v>January</v>
      </c>
      <c r="C76" s="78"/>
      <c r="D76" s="79" t="s">
        <v>1141</v>
      </c>
      <c r="E76" s="79" t="s">
        <v>1016</v>
      </c>
      <c r="F76" s="79" t="s">
        <v>1273</v>
      </c>
      <c r="G76" s="79" t="s">
        <v>41</v>
      </c>
      <c r="H76" s="79" t="s">
        <v>452</v>
      </c>
      <c r="I76" s="79">
        <v>156</v>
      </c>
      <c r="J76" s="79" t="s">
        <v>1359</v>
      </c>
      <c r="K76" s="80" t="s">
        <v>469</v>
      </c>
      <c r="L76" s="79">
        <v>690</v>
      </c>
      <c r="M76" s="80">
        <f>L76+2</f>
        <v>692</v>
      </c>
      <c r="N76" s="81">
        <f t="shared" si="23"/>
        <v>2</v>
      </c>
      <c r="O76" s="78"/>
      <c r="P76" s="82">
        <f>R76-TIME(0,76,0)</f>
        <v>45663.510416666672</v>
      </c>
      <c r="Q76" s="82">
        <v>45663.815972222219</v>
      </c>
      <c r="R76" s="82">
        <v>45663.563194444447</v>
      </c>
      <c r="S76" s="81">
        <f t="shared" si="13"/>
        <v>-362.3148148069352</v>
      </c>
      <c r="T76" s="81">
        <f t="shared" si="14"/>
        <v>75.6481481444401</v>
      </c>
      <c r="U76" s="79" t="s">
        <v>550</v>
      </c>
      <c r="V76" s="82">
        <v>45664.674305555556</v>
      </c>
      <c r="W76" s="82">
        <f>V76+TIME(0,161,0)</f>
        <v>45664.786111111112</v>
      </c>
      <c r="X76" s="103">
        <f t="shared" si="15"/>
        <v>157.64583333424525</v>
      </c>
      <c r="Y76" s="82"/>
      <c r="Z76" s="82">
        <v>45665.40625</v>
      </c>
      <c r="AA76" s="82">
        <f>Z76+TIME(0,58,0)</f>
        <v>45665.446527777778</v>
      </c>
      <c r="AB76" s="81">
        <f t="shared" si="16"/>
        <v>56.791666667122627</v>
      </c>
      <c r="AC76" s="80"/>
      <c r="AD76" s="83">
        <f t="shared" si="17"/>
        <v>1.8430555555532919</v>
      </c>
      <c r="AE76" s="80">
        <v>2</v>
      </c>
      <c r="AF76" s="84">
        <f t="shared" si="18"/>
        <v>0.15694444444670808</v>
      </c>
      <c r="AG76" s="83">
        <f t="shared" si="19"/>
        <v>44.233333333279006</v>
      </c>
      <c r="AH76" s="83">
        <f t="shared" si="20"/>
        <v>12</v>
      </c>
      <c r="AI76" s="83">
        <f t="shared" si="21"/>
        <v>32.233333333279006</v>
      </c>
      <c r="AJ76" s="83">
        <f t="shared" si="22"/>
        <v>4.8397104446824075</v>
      </c>
      <c r="AK76" s="83"/>
      <c r="AL76" s="83"/>
      <c r="AM76" s="83"/>
      <c r="AN76" s="83"/>
      <c r="AO76" s="78"/>
    </row>
    <row r="77" spans="1:41" customFormat="1" ht="15" hidden="1" x14ac:dyDescent="0.25">
      <c r="A77" s="82">
        <v>45663</v>
      </c>
      <c r="B77" s="94" t="str">
        <f t="shared" si="12"/>
        <v>January</v>
      </c>
      <c r="C77" s="78"/>
      <c r="D77" s="79" t="s">
        <v>1142</v>
      </c>
      <c r="E77" s="79" t="s">
        <v>1017</v>
      </c>
      <c r="F77" s="79" t="s">
        <v>1277</v>
      </c>
      <c r="G77" s="79" t="s">
        <v>1266</v>
      </c>
      <c r="H77" s="79" t="s">
        <v>458</v>
      </c>
      <c r="I77" s="79">
        <v>156</v>
      </c>
      <c r="J77" s="79" t="s">
        <v>1360</v>
      </c>
      <c r="K77" s="80" t="s">
        <v>469</v>
      </c>
      <c r="L77" s="79">
        <v>470</v>
      </c>
      <c r="M77" s="80">
        <f>L77-1</f>
        <v>469</v>
      </c>
      <c r="N77" s="81">
        <f t="shared" si="23"/>
        <v>-1</v>
      </c>
      <c r="O77" s="78"/>
      <c r="P77" s="82">
        <v>45663.331944444442</v>
      </c>
      <c r="Q77" s="82">
        <v>45663.3125</v>
      </c>
      <c r="R77" s="82">
        <v>45663.359722222223</v>
      </c>
      <c r="S77" s="81">
        <f t="shared" si="13"/>
        <v>67.685185186807459</v>
      </c>
      <c r="T77" s="81">
        <f t="shared" si="14"/>
        <v>39.814814819449872</v>
      </c>
      <c r="U77" s="79"/>
      <c r="V77" s="82">
        <v>45664.443055555559</v>
      </c>
      <c r="W77" s="82">
        <f>V77+TIME(0,158,0)</f>
        <v>45664.552777777782</v>
      </c>
      <c r="X77" s="103">
        <f t="shared" si="15"/>
        <v>154.70833333492919</v>
      </c>
      <c r="Y77" s="82"/>
      <c r="Z77" s="82">
        <v>45665.611805555556</v>
      </c>
      <c r="AA77" s="82">
        <f>Z77+TIME(0,58,0)</f>
        <v>45665.652083333334</v>
      </c>
      <c r="AB77" s="81">
        <f t="shared" si="16"/>
        <v>56.791666667122627</v>
      </c>
      <c r="AC77" s="80"/>
      <c r="AD77" s="83">
        <f t="shared" si="17"/>
        <v>2.2520833333328483</v>
      </c>
      <c r="AE77" s="80">
        <v>2</v>
      </c>
      <c r="AF77" s="84">
        <f t="shared" si="18"/>
        <v>-0.25208333333284827</v>
      </c>
      <c r="AG77" s="83">
        <f t="shared" si="19"/>
        <v>54.049999999988358</v>
      </c>
      <c r="AH77" s="83">
        <f t="shared" si="20"/>
        <v>24</v>
      </c>
      <c r="AI77" s="83">
        <f t="shared" si="21"/>
        <v>30.049999999988358</v>
      </c>
      <c r="AJ77" s="83">
        <f t="shared" si="22"/>
        <v>5.191347753745772</v>
      </c>
      <c r="AK77" s="83"/>
      <c r="AL77" s="83"/>
      <c r="AM77" s="83"/>
      <c r="AN77" s="83"/>
      <c r="AO77" s="78"/>
    </row>
    <row r="78" spans="1:41" customFormat="1" ht="15" hidden="1" x14ac:dyDescent="0.25">
      <c r="A78" s="82">
        <v>45663</v>
      </c>
      <c r="B78" s="94" t="str">
        <f t="shared" si="12"/>
        <v>January</v>
      </c>
      <c r="C78" s="78"/>
      <c r="D78" s="79" t="s">
        <v>1143</v>
      </c>
      <c r="E78" s="79" t="s">
        <v>1017</v>
      </c>
      <c r="F78" s="79" t="s">
        <v>1277</v>
      </c>
      <c r="G78" s="79" t="s">
        <v>1266</v>
      </c>
      <c r="H78" s="79" t="s">
        <v>454</v>
      </c>
      <c r="I78" s="79">
        <v>156</v>
      </c>
      <c r="J78" s="79" t="s">
        <v>1361</v>
      </c>
      <c r="K78" s="80" t="s">
        <v>469</v>
      </c>
      <c r="L78" s="79">
        <v>390</v>
      </c>
      <c r="M78" s="80">
        <f>L78-2</f>
        <v>388</v>
      </c>
      <c r="N78" s="81">
        <f t="shared" si="23"/>
        <v>-2</v>
      </c>
      <c r="O78" s="78"/>
      <c r="P78" s="82">
        <f>R78-TIME(0,40,0)</f>
        <v>45663.348611111105</v>
      </c>
      <c r="Q78" s="82">
        <v>45663.3125</v>
      </c>
      <c r="R78" s="82">
        <v>45663.376388888886</v>
      </c>
      <c r="S78" s="81">
        <f t="shared" si="13"/>
        <v>91.574074070134273</v>
      </c>
      <c r="T78" s="81">
        <f t="shared" si="14"/>
        <v>39.814814819449872</v>
      </c>
      <c r="U78" s="79"/>
      <c r="V78" s="82">
        <v>45664.438888888886</v>
      </c>
      <c r="W78" s="82">
        <f>V78+TIME(0,175,0)</f>
        <v>45664.560416666667</v>
      </c>
      <c r="X78" s="103">
        <f t="shared" si="15"/>
        <v>171.35416667122627</v>
      </c>
      <c r="Y78" s="82"/>
      <c r="Z78" s="82">
        <v>45665.468888888885</v>
      </c>
      <c r="AA78" s="82">
        <f>Z78+TIME(0,59,0)</f>
        <v>45665.50986111111</v>
      </c>
      <c r="AB78" s="81">
        <f t="shared" si="16"/>
        <v>57.770833336981013</v>
      </c>
      <c r="AC78" s="80"/>
      <c r="AD78" s="83">
        <f t="shared" si="17"/>
        <v>2.0924999999988358</v>
      </c>
      <c r="AE78" s="80">
        <v>2</v>
      </c>
      <c r="AF78" s="84">
        <f t="shared" si="18"/>
        <v>-9.2499999998835847E-2</v>
      </c>
      <c r="AG78" s="83">
        <f t="shared" si="19"/>
        <v>50.21999999997206</v>
      </c>
      <c r="AH78" s="83">
        <f t="shared" si="20"/>
        <v>24</v>
      </c>
      <c r="AI78" s="83">
        <f t="shared" si="21"/>
        <v>26.21999999997206</v>
      </c>
      <c r="AJ78" s="83">
        <f t="shared" si="22"/>
        <v>5.9496567505784226</v>
      </c>
      <c r="AK78" s="83"/>
      <c r="AL78" s="83"/>
      <c r="AM78" s="83"/>
      <c r="AN78" s="83"/>
      <c r="AO78" s="78"/>
    </row>
    <row r="79" spans="1:41" customFormat="1" ht="15" hidden="1" x14ac:dyDescent="0.25">
      <c r="A79" s="82">
        <v>45663.555555555555</v>
      </c>
      <c r="B79" s="94" t="str">
        <f t="shared" si="12"/>
        <v>January</v>
      </c>
      <c r="C79" s="78"/>
      <c r="D79" s="79" t="s">
        <v>1144</v>
      </c>
      <c r="E79" s="79" t="s">
        <v>1016</v>
      </c>
      <c r="F79" s="79" t="s">
        <v>957</v>
      </c>
      <c r="G79" s="79" t="s">
        <v>974</v>
      </c>
      <c r="H79" s="79" t="s">
        <v>997</v>
      </c>
      <c r="I79" s="79">
        <v>153.60000000000002</v>
      </c>
      <c r="J79" s="79" t="s">
        <v>1362</v>
      </c>
      <c r="K79" s="80" t="s">
        <v>469</v>
      </c>
      <c r="L79" s="80">
        <v>414</v>
      </c>
      <c r="M79" s="80">
        <f>L79-1</f>
        <v>413</v>
      </c>
      <c r="N79" s="81">
        <f t="shared" si="23"/>
        <v>-1</v>
      </c>
      <c r="O79" s="78"/>
      <c r="P79" s="82">
        <f>R79-TIME(0,40,0)</f>
        <v>45663.620138888888</v>
      </c>
      <c r="Q79" s="82">
        <v>45664.082638888889</v>
      </c>
      <c r="R79" s="82">
        <v>45663.647916666669</v>
      </c>
      <c r="S79" s="81">
        <f t="shared" si="13"/>
        <v>-623.10185184930253</v>
      </c>
      <c r="T79" s="81">
        <f t="shared" si="14"/>
        <v>39.814814819449872</v>
      </c>
      <c r="U79" s="79"/>
      <c r="V79" s="82">
        <v>45664.511805555558</v>
      </c>
      <c r="W79" s="82">
        <f>V79+TIME(0,171,0)</f>
        <v>45664.630555555559</v>
      </c>
      <c r="X79" s="103">
        <f t="shared" si="15"/>
        <v>167.43750000205182</v>
      </c>
      <c r="Y79" s="82"/>
      <c r="Z79" s="82">
        <v>45665.538888888892</v>
      </c>
      <c r="AA79" s="82">
        <v>45665.598611111112</v>
      </c>
      <c r="AB79" s="81">
        <f t="shared" si="16"/>
        <v>84.208333330825553</v>
      </c>
      <c r="AC79" s="80" t="s">
        <v>1480</v>
      </c>
      <c r="AD79" s="83">
        <f t="shared" si="17"/>
        <v>1.890972222223354</v>
      </c>
      <c r="AE79" s="80">
        <v>2</v>
      </c>
      <c r="AF79" s="84">
        <f t="shared" si="18"/>
        <v>0.10902777777664596</v>
      </c>
      <c r="AG79" s="83">
        <f t="shared" si="19"/>
        <v>45.383333333360497</v>
      </c>
      <c r="AH79" s="83">
        <f t="shared" si="20"/>
        <v>12</v>
      </c>
      <c r="AI79" s="83">
        <f t="shared" si="21"/>
        <v>33.383333333360497</v>
      </c>
      <c r="AJ79" s="83">
        <f t="shared" si="22"/>
        <v>4.6010983524675497</v>
      </c>
      <c r="AK79" s="83"/>
      <c r="AL79" s="83"/>
      <c r="AM79" s="83"/>
      <c r="AN79" s="83"/>
      <c r="AO79" s="78"/>
    </row>
    <row r="80" spans="1:41" customFormat="1" ht="15" hidden="1" x14ac:dyDescent="0.25">
      <c r="A80" s="82">
        <v>45663.556516203702</v>
      </c>
      <c r="B80" s="94" t="str">
        <f t="shared" si="12"/>
        <v>January</v>
      </c>
      <c r="C80" s="78"/>
      <c r="D80" s="79" t="s">
        <v>1145</v>
      </c>
      <c r="E80" s="79" t="s">
        <v>1016</v>
      </c>
      <c r="F80" s="79" t="s">
        <v>965</v>
      </c>
      <c r="G80" s="79" t="s">
        <v>980</v>
      </c>
      <c r="H80" s="79" t="s">
        <v>1283</v>
      </c>
      <c r="I80" s="79">
        <v>153.60000000000002</v>
      </c>
      <c r="J80" s="79" t="s">
        <v>1363</v>
      </c>
      <c r="K80" s="80" t="s">
        <v>469</v>
      </c>
      <c r="L80" s="79">
        <v>302</v>
      </c>
      <c r="M80" s="79">
        <v>295</v>
      </c>
      <c r="N80" s="81">
        <f t="shared" si="23"/>
        <v>-7</v>
      </c>
      <c r="O80" s="78"/>
      <c r="P80" s="82">
        <f>R80-TIME(0,39,0)</f>
        <v>45663.78402777778</v>
      </c>
      <c r="Q80" s="82">
        <v>45664.177083333336</v>
      </c>
      <c r="R80" s="82">
        <v>45663.811111111114</v>
      </c>
      <c r="S80" s="81">
        <f t="shared" si="13"/>
        <v>-524.56018518472172</v>
      </c>
      <c r="T80" s="81">
        <f t="shared" si="14"/>
        <v>38.819444445834961</v>
      </c>
      <c r="U80" s="79"/>
      <c r="V80" s="82">
        <v>45664.488888888889</v>
      </c>
      <c r="W80" s="82">
        <f>V80+TIME(0,167,0)</f>
        <v>45664.604861111111</v>
      </c>
      <c r="X80" s="103">
        <f t="shared" si="15"/>
        <v>163.52083333287737</v>
      </c>
      <c r="Y80" s="82"/>
      <c r="Z80" s="82">
        <v>45664.750694444447</v>
      </c>
      <c r="AA80" s="82">
        <v>45664.789583333339</v>
      </c>
      <c r="AB80" s="81">
        <f t="shared" si="16"/>
        <v>54.833333337664953</v>
      </c>
      <c r="AC80" s="80"/>
      <c r="AD80" s="83">
        <f t="shared" si="17"/>
        <v>0.93958333333284827</v>
      </c>
      <c r="AE80" s="80">
        <v>2</v>
      </c>
      <c r="AF80" s="84">
        <f t="shared" si="18"/>
        <v>1.0604166666671517</v>
      </c>
      <c r="AG80" s="83">
        <f t="shared" si="19"/>
        <v>22.549999999988358</v>
      </c>
      <c r="AH80" s="83">
        <f t="shared" si="20"/>
        <v>0</v>
      </c>
      <c r="AI80" s="83">
        <f t="shared" si="21"/>
        <v>22.549999999988358</v>
      </c>
      <c r="AJ80" s="83">
        <f t="shared" si="22"/>
        <v>6.8115299334846702</v>
      </c>
      <c r="AK80" s="83"/>
      <c r="AL80" s="83"/>
      <c r="AM80" s="83"/>
      <c r="AN80" s="83"/>
      <c r="AO80" s="78"/>
    </row>
    <row r="81" spans="1:41" customFormat="1" ht="15" hidden="1" x14ac:dyDescent="0.25">
      <c r="A81" s="82">
        <v>45663.590810185182</v>
      </c>
      <c r="B81" s="94" t="str">
        <f t="shared" si="12"/>
        <v>January</v>
      </c>
      <c r="C81" s="78"/>
      <c r="D81" s="79" t="s">
        <v>1146</v>
      </c>
      <c r="E81" s="79" t="s">
        <v>1017</v>
      </c>
      <c r="F81" s="79" t="s">
        <v>1270</v>
      </c>
      <c r="G81" s="79" t="s">
        <v>1262</v>
      </c>
      <c r="H81" s="79" t="s">
        <v>461</v>
      </c>
      <c r="I81" s="79">
        <v>153.60000000000002</v>
      </c>
      <c r="J81" s="79" t="s">
        <v>1364</v>
      </c>
      <c r="K81" s="80" t="s">
        <v>469</v>
      </c>
      <c r="L81" s="79">
        <v>340</v>
      </c>
      <c r="M81" s="79">
        <v>328</v>
      </c>
      <c r="N81" s="81">
        <f t="shared" si="23"/>
        <v>-12</v>
      </c>
      <c r="O81" s="78"/>
      <c r="P81" s="82">
        <f>R81-TIME(0,41,0)</f>
        <v>45664.112337962957</v>
      </c>
      <c r="Q81" s="82">
        <v>45664.090810185182</v>
      </c>
      <c r="R81" s="82">
        <v>45664.140810185178</v>
      </c>
      <c r="S81" s="81">
        <f t="shared" si="13"/>
        <v>71.666666660409348</v>
      </c>
      <c r="T81" s="81">
        <f t="shared" si="14"/>
        <v>40.810185182635905</v>
      </c>
      <c r="U81" s="79"/>
      <c r="V81" s="82">
        <v>45664.274837962956</v>
      </c>
      <c r="W81" s="82">
        <f>V81+TIME(0,161,0)</f>
        <v>45664.386643518512</v>
      </c>
      <c r="X81" s="103">
        <f t="shared" si="15"/>
        <v>157.64583333424525</v>
      </c>
      <c r="Y81" s="82"/>
      <c r="Z81" s="82">
        <v>45665.077615740731</v>
      </c>
      <c r="AA81" s="82">
        <f>Z81+TIME(0,59,0)</f>
        <v>45665.118587962956</v>
      </c>
      <c r="AB81" s="81">
        <f t="shared" si="16"/>
        <v>57.770833336981013</v>
      </c>
      <c r="AC81" s="80"/>
      <c r="AD81" s="83">
        <f t="shared" si="17"/>
        <v>0.93680555555329192</v>
      </c>
      <c r="AE81" s="80">
        <v>2</v>
      </c>
      <c r="AF81" s="84">
        <f t="shared" si="18"/>
        <v>1.0631944444467081</v>
      </c>
      <c r="AG81" s="83">
        <f t="shared" si="19"/>
        <v>22.483333333279006</v>
      </c>
      <c r="AH81" s="83">
        <f t="shared" si="20"/>
        <v>0</v>
      </c>
      <c r="AI81" s="83">
        <f t="shared" si="21"/>
        <v>22.483333333279006</v>
      </c>
      <c r="AJ81" s="83">
        <f t="shared" si="22"/>
        <v>6.8317272053537952</v>
      </c>
      <c r="AK81" s="83"/>
      <c r="AL81" s="83"/>
      <c r="AM81" s="83"/>
      <c r="AN81" s="83"/>
      <c r="AO81" s="78"/>
    </row>
    <row r="82" spans="1:41" customFormat="1" ht="15" hidden="1" x14ac:dyDescent="0.25">
      <c r="A82" s="82">
        <v>45663.758888888886</v>
      </c>
      <c r="B82" s="94" t="str">
        <f t="shared" si="12"/>
        <v>January</v>
      </c>
      <c r="C82" s="78"/>
      <c r="D82" s="79" t="s">
        <v>1147</v>
      </c>
      <c r="E82" s="79" t="s">
        <v>1016</v>
      </c>
      <c r="F82" s="79" t="s">
        <v>964</v>
      </c>
      <c r="G82" s="79" t="s">
        <v>979</v>
      </c>
      <c r="H82" s="79" t="s">
        <v>451</v>
      </c>
      <c r="I82" s="79">
        <v>153.60000000000002</v>
      </c>
      <c r="J82" s="79" t="s">
        <v>1365</v>
      </c>
      <c r="K82" s="80" t="s">
        <v>469</v>
      </c>
      <c r="L82" s="80">
        <v>790</v>
      </c>
      <c r="M82" s="80">
        <f>L82+2</f>
        <v>792</v>
      </c>
      <c r="N82" s="81">
        <f t="shared" si="23"/>
        <v>2</v>
      </c>
      <c r="O82" s="78"/>
      <c r="P82" s="82">
        <f>R82-TIME(0,63,0)</f>
        <v>45663.724305555559</v>
      </c>
      <c r="Q82" s="82">
        <v>45663.833333333336</v>
      </c>
      <c r="R82" s="82">
        <v>45663.768055555556</v>
      </c>
      <c r="S82" s="81">
        <f t="shared" si="13"/>
        <v>-93.564814817364095</v>
      </c>
      <c r="T82" s="81">
        <f t="shared" si="14"/>
        <v>62.708333329161782</v>
      </c>
      <c r="U82" s="79" t="s">
        <v>1671</v>
      </c>
      <c r="V82" s="82">
        <v>45664.768055555556</v>
      </c>
      <c r="W82" s="82">
        <f>V82+TIME(0,161,0)</f>
        <v>45664.879861111112</v>
      </c>
      <c r="X82" s="103">
        <f t="shared" si="15"/>
        <v>157.64583333424525</v>
      </c>
      <c r="Y82" s="82"/>
      <c r="Z82" s="82">
        <v>45666.410416666666</v>
      </c>
      <c r="AA82" s="82">
        <f>Z82+TIME(0,57,0)</f>
        <v>45666.45</v>
      </c>
      <c r="AB82" s="81">
        <f t="shared" si="16"/>
        <v>55.81249999726424</v>
      </c>
      <c r="AC82" s="80"/>
      <c r="AD82" s="83">
        <f t="shared" si="17"/>
        <v>2.6423611111094942</v>
      </c>
      <c r="AE82" s="80">
        <v>3</v>
      </c>
      <c r="AF82" s="84">
        <f t="shared" si="18"/>
        <v>0.35763888889050577</v>
      </c>
      <c r="AG82" s="83">
        <f t="shared" si="19"/>
        <v>63.416666666627862</v>
      </c>
      <c r="AH82" s="83">
        <f t="shared" si="20"/>
        <v>24</v>
      </c>
      <c r="AI82" s="83">
        <f t="shared" si="21"/>
        <v>39.416666666627862</v>
      </c>
      <c r="AJ82" s="83">
        <f t="shared" si="22"/>
        <v>3.896828752646543</v>
      </c>
      <c r="AK82" s="83"/>
      <c r="AL82" s="83"/>
      <c r="AM82" s="83"/>
      <c r="AN82" s="83"/>
      <c r="AO82" s="78"/>
    </row>
    <row r="83" spans="1:41" customFormat="1" ht="15" hidden="1" x14ac:dyDescent="0.25">
      <c r="A83" s="82">
        <v>45663.759965277779</v>
      </c>
      <c r="B83" s="94" t="str">
        <f t="shared" si="12"/>
        <v>January</v>
      </c>
      <c r="C83" s="78"/>
      <c r="D83" s="79" t="s">
        <v>1148</v>
      </c>
      <c r="E83" s="79" t="s">
        <v>1016</v>
      </c>
      <c r="F83" s="79" t="s">
        <v>953</v>
      </c>
      <c r="G83" s="79" t="s">
        <v>970</v>
      </c>
      <c r="H83" s="79" t="s">
        <v>996</v>
      </c>
      <c r="I83" s="79">
        <v>153.60000000000002</v>
      </c>
      <c r="J83" s="79" t="s">
        <v>1366</v>
      </c>
      <c r="K83" s="80" t="s">
        <v>469</v>
      </c>
      <c r="L83" s="79">
        <v>350</v>
      </c>
      <c r="M83" s="79">
        <v>343</v>
      </c>
      <c r="N83" s="81">
        <f t="shared" si="23"/>
        <v>-7</v>
      </c>
      <c r="O83" s="78"/>
      <c r="P83" s="82">
        <f>R83-TIME(0,40,0)</f>
        <v>45664.737499999996</v>
      </c>
      <c r="Q83" s="82">
        <v>45664.154861111114</v>
      </c>
      <c r="R83" s="82">
        <v>45664.765277777777</v>
      </c>
      <c r="S83" s="81">
        <f t="shared" si="13"/>
        <v>874.93055554999353</v>
      </c>
      <c r="T83" s="81">
        <f t="shared" si="14"/>
        <v>39.814814819449872</v>
      </c>
      <c r="U83" s="79"/>
      <c r="V83" s="82">
        <v>45665.467361111114</v>
      </c>
      <c r="W83" s="82">
        <f>V83+TIME(0,360,0)</f>
        <v>45665.717361111114</v>
      </c>
      <c r="X83" s="103">
        <f t="shared" si="15"/>
        <v>352.5</v>
      </c>
      <c r="Y83" s="82" t="s">
        <v>1038</v>
      </c>
      <c r="Z83" s="82">
        <v>45666.430555555555</v>
      </c>
      <c r="AA83" s="82">
        <v>45666.469444444447</v>
      </c>
      <c r="AB83" s="81">
        <f t="shared" si="16"/>
        <v>54.833333337664953</v>
      </c>
      <c r="AC83" s="80"/>
      <c r="AD83" s="83">
        <f t="shared" si="17"/>
        <v>1.6652777777781012</v>
      </c>
      <c r="AE83" s="80">
        <v>2</v>
      </c>
      <c r="AF83" s="84">
        <f t="shared" si="18"/>
        <v>0.33472222222189885</v>
      </c>
      <c r="AG83" s="83">
        <f t="shared" si="19"/>
        <v>39.966666666674428</v>
      </c>
      <c r="AH83" s="83">
        <f t="shared" si="20"/>
        <v>12</v>
      </c>
      <c r="AI83" s="83">
        <f t="shared" si="21"/>
        <v>27.966666666674428</v>
      </c>
      <c r="AJ83" s="83">
        <f t="shared" si="22"/>
        <v>5.4922526817624817</v>
      </c>
      <c r="AK83" s="83"/>
      <c r="AL83" s="83"/>
      <c r="AM83" s="83"/>
      <c r="AN83" s="83"/>
      <c r="AO83" s="78"/>
    </row>
    <row r="84" spans="1:41" customFormat="1" ht="15" hidden="1" x14ac:dyDescent="0.25">
      <c r="A84" s="82">
        <v>45663.760509259257</v>
      </c>
      <c r="B84" s="94" t="str">
        <f t="shared" si="12"/>
        <v>January</v>
      </c>
      <c r="C84" s="78"/>
      <c r="D84" s="79" t="s">
        <v>1149</v>
      </c>
      <c r="E84" s="79" t="s">
        <v>1017</v>
      </c>
      <c r="F84" s="79" t="s">
        <v>1276</v>
      </c>
      <c r="G84" s="79" t="s">
        <v>981</v>
      </c>
      <c r="H84" s="79" t="s">
        <v>461</v>
      </c>
      <c r="I84" s="79">
        <v>153.60000000000002</v>
      </c>
      <c r="J84" s="79" t="s">
        <v>1367</v>
      </c>
      <c r="K84" s="80" t="s">
        <v>469</v>
      </c>
      <c r="L84" s="79">
        <v>340</v>
      </c>
      <c r="M84" s="79">
        <v>328</v>
      </c>
      <c r="N84" s="81">
        <f t="shared" si="23"/>
        <v>-12</v>
      </c>
      <c r="O84" s="78"/>
      <c r="P84" s="82">
        <v>45664.332037037035</v>
      </c>
      <c r="Q84" s="82">
        <v>45664.312592592592</v>
      </c>
      <c r="R84" s="82">
        <v>45664.359814814816</v>
      </c>
      <c r="S84" s="81">
        <f t="shared" si="13"/>
        <v>67.685185186807459</v>
      </c>
      <c r="T84" s="81">
        <f t="shared" si="14"/>
        <v>39.814814819449872</v>
      </c>
      <c r="U84" s="79"/>
      <c r="V84" s="82">
        <v>45664.493842592594</v>
      </c>
      <c r="W84" s="82">
        <f>V84+TIME(0,167,0)</f>
        <v>45664.609814814816</v>
      </c>
      <c r="X84" s="103">
        <f t="shared" si="15"/>
        <v>163.52083333287737</v>
      </c>
      <c r="Y84" s="82"/>
      <c r="Z84" s="82">
        <v>45665.30773148148</v>
      </c>
      <c r="AA84" s="82">
        <v>45665.344537037039</v>
      </c>
      <c r="AB84" s="81">
        <f t="shared" si="16"/>
        <v>51.895833338348893</v>
      </c>
      <c r="AC84" s="80"/>
      <c r="AD84" s="83">
        <f t="shared" si="17"/>
        <v>0.94791666666424135</v>
      </c>
      <c r="AE84" s="80">
        <v>2</v>
      </c>
      <c r="AF84" s="84">
        <f t="shared" si="18"/>
        <v>1.0520833333357587</v>
      </c>
      <c r="AG84" s="83">
        <f t="shared" si="19"/>
        <v>22.749999999941792</v>
      </c>
      <c r="AH84" s="83">
        <f t="shared" si="20"/>
        <v>0</v>
      </c>
      <c r="AI84" s="83">
        <f t="shared" si="21"/>
        <v>22.749999999941792</v>
      </c>
      <c r="AJ84" s="83">
        <f t="shared" si="22"/>
        <v>6.7516483516656276</v>
      </c>
      <c r="AK84" s="83"/>
      <c r="AL84" s="83"/>
      <c r="AM84" s="83"/>
      <c r="AN84" s="83"/>
      <c r="AO84" s="78"/>
    </row>
    <row r="85" spans="1:41" customFormat="1" ht="15" hidden="1" x14ac:dyDescent="0.25">
      <c r="A85" s="82">
        <v>45663.762048611112</v>
      </c>
      <c r="B85" s="94" t="str">
        <f t="shared" si="12"/>
        <v>January</v>
      </c>
      <c r="C85" s="78"/>
      <c r="D85" s="79" t="s">
        <v>1150</v>
      </c>
      <c r="E85" s="79" t="s">
        <v>1017</v>
      </c>
      <c r="F85" s="79" t="s">
        <v>1275</v>
      </c>
      <c r="G85" s="79" t="s">
        <v>1264</v>
      </c>
      <c r="H85" s="79" t="s">
        <v>461</v>
      </c>
      <c r="I85" s="79">
        <v>153.60000000000002</v>
      </c>
      <c r="J85" s="79" t="s">
        <v>1368</v>
      </c>
      <c r="K85" s="80" t="s">
        <v>469</v>
      </c>
      <c r="L85" s="79">
        <v>340</v>
      </c>
      <c r="M85" s="80">
        <f>L85-1</f>
        <v>339</v>
      </c>
      <c r="N85" s="81">
        <f t="shared" si="23"/>
        <v>-1</v>
      </c>
      <c r="O85" s="78"/>
      <c r="P85" s="82">
        <f>R85-TIME(0,44,0)</f>
        <v>45664.329409722224</v>
      </c>
      <c r="Q85" s="82">
        <v>45664.312743055554</v>
      </c>
      <c r="R85" s="82">
        <v>45664.359965277778</v>
      </c>
      <c r="S85" s="81">
        <f t="shared" si="13"/>
        <v>67.685185186807459</v>
      </c>
      <c r="T85" s="81">
        <f t="shared" si="14"/>
        <v>43.796296293051761</v>
      </c>
      <c r="U85" s="79"/>
      <c r="V85" s="82">
        <v>45664.493993055556</v>
      </c>
      <c r="W85" s="82">
        <f>V85+TIME(0,153,0)</f>
        <v>45664.600243055553</v>
      </c>
      <c r="X85" s="103">
        <f t="shared" si="15"/>
        <v>149.81249999589636</v>
      </c>
      <c r="Y85" s="82"/>
      <c r="Z85" s="82">
        <v>45665.310659722221</v>
      </c>
      <c r="AA85" s="82">
        <v>45665.349548611113</v>
      </c>
      <c r="AB85" s="81">
        <f t="shared" si="16"/>
        <v>54.833333337664953</v>
      </c>
      <c r="AC85" s="80"/>
      <c r="AD85" s="83">
        <f t="shared" si="17"/>
        <v>0.95069444444379769</v>
      </c>
      <c r="AE85" s="80">
        <v>2</v>
      </c>
      <c r="AF85" s="84">
        <f t="shared" si="18"/>
        <v>1.0493055555562023</v>
      </c>
      <c r="AG85" s="83">
        <f t="shared" si="19"/>
        <v>22.816666666651145</v>
      </c>
      <c r="AH85" s="83">
        <f t="shared" si="20"/>
        <v>0</v>
      </c>
      <c r="AI85" s="83">
        <f t="shared" si="21"/>
        <v>22.816666666651145</v>
      </c>
      <c r="AJ85" s="83">
        <f t="shared" si="22"/>
        <v>6.7319211103040697</v>
      </c>
      <c r="AK85" s="83"/>
      <c r="AL85" s="83"/>
      <c r="AM85" s="83"/>
      <c r="AN85" s="83"/>
      <c r="AO85" s="78"/>
    </row>
    <row r="86" spans="1:41" customFormat="1" ht="15" hidden="1" x14ac:dyDescent="0.25">
      <c r="A86" s="82">
        <v>45663.932638888888</v>
      </c>
      <c r="B86" s="94" t="str">
        <f t="shared" si="12"/>
        <v>January</v>
      </c>
      <c r="C86" s="78"/>
      <c r="D86" s="79" t="s">
        <v>1151</v>
      </c>
      <c r="E86" s="79" t="s">
        <v>1017</v>
      </c>
      <c r="F86" s="79" t="s">
        <v>1036</v>
      </c>
      <c r="G86" s="79" t="s">
        <v>36</v>
      </c>
      <c r="H86" s="79" t="s">
        <v>457</v>
      </c>
      <c r="I86" s="79">
        <v>156</v>
      </c>
      <c r="J86" s="79" t="s">
        <v>1369</v>
      </c>
      <c r="K86" s="80" t="s">
        <v>469</v>
      </c>
      <c r="L86" s="79">
        <v>320</v>
      </c>
      <c r="M86" s="79">
        <v>323</v>
      </c>
      <c r="N86" s="81">
        <f t="shared" si="23"/>
        <v>3</v>
      </c>
      <c r="O86" s="78"/>
      <c r="P86" s="82">
        <f>R86-TIME(0,57,0)</f>
        <v>45664.450694444444</v>
      </c>
      <c r="Q86" s="82">
        <v>45664.432638888888</v>
      </c>
      <c r="R86" s="82">
        <v>45664.490277777775</v>
      </c>
      <c r="S86" s="81">
        <f t="shared" si="13"/>
        <v>82.615740738886714</v>
      </c>
      <c r="T86" s="81">
        <f t="shared" si="14"/>
        <v>56.736111108330078</v>
      </c>
      <c r="U86" s="79" t="s">
        <v>1672</v>
      </c>
      <c r="V86" s="82">
        <v>45664.740277777775</v>
      </c>
      <c r="W86" s="82">
        <f>V86+TIME(0,175,0)</f>
        <v>45664.861805555556</v>
      </c>
      <c r="X86" s="103">
        <f t="shared" si="15"/>
        <v>171.35416667122627</v>
      </c>
      <c r="Y86" s="82"/>
      <c r="Z86" s="82">
        <v>45665.812499999993</v>
      </c>
      <c r="AA86" s="82">
        <v>45665.851388888885</v>
      </c>
      <c r="AB86" s="81">
        <f t="shared" si="16"/>
        <v>54.833333337664953</v>
      </c>
      <c r="AC86" s="80"/>
      <c r="AD86" s="83">
        <f t="shared" si="17"/>
        <v>1.3222222222175333</v>
      </c>
      <c r="AE86" s="80">
        <v>2</v>
      </c>
      <c r="AF86" s="84">
        <f t="shared" si="18"/>
        <v>0.67777777778246673</v>
      </c>
      <c r="AG86" s="83">
        <f t="shared" si="19"/>
        <v>31.733333333220799</v>
      </c>
      <c r="AH86" s="83">
        <f t="shared" si="20"/>
        <v>12</v>
      </c>
      <c r="AI86" s="83">
        <f t="shared" si="21"/>
        <v>19.733333333220799</v>
      </c>
      <c r="AJ86" s="83">
        <f t="shared" si="22"/>
        <v>7.9054054054504883</v>
      </c>
      <c r="AK86" s="83"/>
      <c r="AL86" s="83"/>
      <c r="AM86" s="83"/>
      <c r="AN86" s="83"/>
      <c r="AO86" s="78"/>
    </row>
    <row r="87" spans="1:41" customFormat="1" ht="15" hidden="1" x14ac:dyDescent="0.25">
      <c r="A87" s="82">
        <v>45663.960844907408</v>
      </c>
      <c r="B87" s="94" t="str">
        <f t="shared" si="12"/>
        <v>January</v>
      </c>
      <c r="C87" s="78"/>
      <c r="D87" s="79" t="s">
        <v>1152</v>
      </c>
      <c r="E87" s="79" t="s">
        <v>1016</v>
      </c>
      <c r="F87" s="79" t="s">
        <v>956</v>
      </c>
      <c r="G87" s="79" t="s">
        <v>973</v>
      </c>
      <c r="H87" s="79" t="s">
        <v>997</v>
      </c>
      <c r="I87" s="79">
        <v>153.60000000000002</v>
      </c>
      <c r="J87" s="79" t="s">
        <v>1370</v>
      </c>
      <c r="K87" s="80" t="s">
        <v>469</v>
      </c>
      <c r="L87" s="80">
        <v>414</v>
      </c>
      <c r="M87" s="80">
        <f>L87-1</f>
        <v>413</v>
      </c>
      <c r="N87" s="81">
        <f t="shared" si="23"/>
        <v>-1</v>
      </c>
      <c r="O87" s="78"/>
      <c r="P87" s="82">
        <f>R87-TIME(0,53,0)</f>
        <v>45665.424305555549</v>
      </c>
      <c r="Q87" s="82">
        <v>45664.333333333336</v>
      </c>
      <c r="R87" s="82">
        <v>45665.461111111108</v>
      </c>
      <c r="S87" s="81">
        <f t="shared" si="13"/>
        <v>1616.4814814736019</v>
      </c>
      <c r="T87" s="81">
        <f t="shared" si="14"/>
        <v>52.75462963472819</v>
      </c>
      <c r="U87" s="79" t="s">
        <v>1682</v>
      </c>
      <c r="V87" s="82">
        <v>45665.731944444444</v>
      </c>
      <c r="W87" s="82">
        <f>V87+TIME(0,167,0)</f>
        <v>45665.847916666666</v>
      </c>
      <c r="X87" s="103">
        <f t="shared" si="15"/>
        <v>163.52083333287737</v>
      </c>
      <c r="Y87" s="82"/>
      <c r="Z87" s="82">
        <v>45667.421527777777</v>
      </c>
      <c r="AA87" s="82">
        <v>45667.460416666669</v>
      </c>
      <c r="AB87" s="81">
        <f t="shared" si="16"/>
        <v>54.833333337664953</v>
      </c>
      <c r="AC87" s="80"/>
      <c r="AD87" s="83">
        <f t="shared" si="17"/>
        <v>1.9604166666686069</v>
      </c>
      <c r="AE87" s="80">
        <v>2</v>
      </c>
      <c r="AF87" s="84">
        <f t="shared" si="18"/>
        <v>3.9583333331393078E-2</v>
      </c>
      <c r="AG87" s="83">
        <f t="shared" si="19"/>
        <v>47.050000000046566</v>
      </c>
      <c r="AH87" s="83">
        <f t="shared" si="20"/>
        <v>12</v>
      </c>
      <c r="AI87" s="83">
        <f t="shared" si="21"/>
        <v>35.050000000046566</v>
      </c>
      <c r="AJ87" s="83">
        <f t="shared" si="22"/>
        <v>4.3823109843023094</v>
      </c>
      <c r="AK87" s="83"/>
      <c r="AL87" s="83"/>
      <c r="AM87" s="83"/>
      <c r="AN87" s="83"/>
      <c r="AO87" s="78"/>
    </row>
    <row r="88" spans="1:41" customFormat="1" ht="15" hidden="1" x14ac:dyDescent="0.25">
      <c r="A88" s="82">
        <v>45664</v>
      </c>
      <c r="B88" s="94" t="str">
        <f t="shared" si="12"/>
        <v>January</v>
      </c>
      <c r="C88" s="78"/>
      <c r="D88" s="79" t="s">
        <v>1153</v>
      </c>
      <c r="E88" s="79" t="s">
        <v>1017</v>
      </c>
      <c r="F88" s="79"/>
      <c r="G88" s="79" t="s">
        <v>50</v>
      </c>
      <c r="H88" s="79" t="s">
        <v>465</v>
      </c>
      <c r="I88" s="79">
        <v>156</v>
      </c>
      <c r="J88" s="79" t="s">
        <v>1371</v>
      </c>
      <c r="K88" s="80" t="s">
        <v>469</v>
      </c>
      <c r="L88" s="80">
        <v>382</v>
      </c>
      <c r="M88" s="80">
        <f>L88-1</f>
        <v>381</v>
      </c>
      <c r="N88" s="81">
        <f t="shared" si="23"/>
        <v>-1</v>
      </c>
      <c r="O88" s="78"/>
      <c r="P88" s="82">
        <f>R88-TIME(0,43,0)</f>
        <v>45664.332638888882</v>
      </c>
      <c r="Q88" s="82">
        <v>45664.3125</v>
      </c>
      <c r="R88" s="82">
        <v>45664.362499999996</v>
      </c>
      <c r="S88" s="81">
        <f t="shared" si="13"/>
        <v>71.666666660409348</v>
      </c>
      <c r="T88" s="81">
        <f t="shared" si="14"/>
        <v>42.80092592986572</v>
      </c>
      <c r="U88" s="79"/>
      <c r="V88" s="82">
        <v>45665.487499999996</v>
      </c>
      <c r="W88" s="82">
        <f>V88+TIME(0,153,0)</f>
        <v>45665.593749999993</v>
      </c>
      <c r="X88" s="103">
        <f t="shared" si="15"/>
        <v>149.81249999589636</v>
      </c>
      <c r="Y88" s="82"/>
      <c r="Z88" s="82">
        <v>45666.581249999996</v>
      </c>
      <c r="AA88" s="82">
        <f>Z88+TIME(0,59,0)</f>
        <v>45666.62222222222</v>
      </c>
      <c r="AB88" s="81">
        <f t="shared" si="16"/>
        <v>57.770833336981013</v>
      </c>
      <c r="AC88" s="80"/>
      <c r="AD88" s="83">
        <f t="shared" si="17"/>
        <v>2.21875</v>
      </c>
      <c r="AE88" s="80">
        <v>2</v>
      </c>
      <c r="AF88" s="84">
        <f t="shared" si="18"/>
        <v>-0.21875</v>
      </c>
      <c r="AG88" s="83">
        <f t="shared" si="19"/>
        <v>53.25</v>
      </c>
      <c r="AH88" s="83">
        <f t="shared" si="20"/>
        <v>24</v>
      </c>
      <c r="AI88" s="83">
        <f t="shared" si="21"/>
        <v>29.25</v>
      </c>
      <c r="AJ88" s="83">
        <f t="shared" si="22"/>
        <v>5.333333333333333</v>
      </c>
      <c r="AK88" s="83"/>
      <c r="AL88" s="83"/>
      <c r="AM88" s="83"/>
      <c r="AN88" s="83"/>
      <c r="AO88" s="78"/>
    </row>
    <row r="89" spans="1:41" customFormat="1" ht="15" hidden="1" x14ac:dyDescent="0.25">
      <c r="A89" s="82">
        <v>45664</v>
      </c>
      <c r="B89" s="94" t="str">
        <f t="shared" si="12"/>
        <v>January</v>
      </c>
      <c r="C89" s="78"/>
      <c r="D89" s="79" t="s">
        <v>1154</v>
      </c>
      <c r="E89" s="79" t="s">
        <v>1017</v>
      </c>
      <c r="F89" s="79"/>
      <c r="G89" s="79" t="s">
        <v>43</v>
      </c>
      <c r="H89" s="79" t="s">
        <v>456</v>
      </c>
      <c r="I89" s="79">
        <v>156</v>
      </c>
      <c r="J89" s="79" t="s">
        <v>1372</v>
      </c>
      <c r="K89" s="80" t="s">
        <v>469</v>
      </c>
      <c r="L89" s="80">
        <v>670</v>
      </c>
      <c r="M89" s="79">
        <v>612</v>
      </c>
      <c r="N89" s="81">
        <f t="shared" si="23"/>
        <v>-58</v>
      </c>
      <c r="O89" s="78"/>
      <c r="P89" s="82">
        <f>R89-TIME(0,39,0)</f>
        <v>45664.338888888888</v>
      </c>
      <c r="Q89" s="82">
        <v>45664.3125</v>
      </c>
      <c r="R89" s="82">
        <v>45664.365972222222</v>
      </c>
      <c r="S89" s="81">
        <f t="shared" si="13"/>
        <v>76.643518518055018</v>
      </c>
      <c r="T89" s="81">
        <f t="shared" si="14"/>
        <v>38.819444445834961</v>
      </c>
      <c r="U89" s="79"/>
      <c r="V89" s="82">
        <v>45665.428472222222</v>
      </c>
      <c r="W89" s="82">
        <f>V89+TIME(0,267,0)</f>
        <v>45665.613888888889</v>
      </c>
      <c r="X89" s="103">
        <f t="shared" si="15"/>
        <v>261.43750000068394</v>
      </c>
      <c r="Y89" s="82" t="s">
        <v>1044</v>
      </c>
      <c r="Z89" s="82">
        <v>45666.408000000003</v>
      </c>
      <c r="AA89" s="82">
        <f>Z89+TIME(0,58,0)</f>
        <v>45666.448277777781</v>
      </c>
      <c r="AB89" s="81">
        <f t="shared" si="16"/>
        <v>56.791666667122627</v>
      </c>
      <c r="AC89" s="80"/>
      <c r="AD89" s="83">
        <f t="shared" si="17"/>
        <v>2.0420277777811862</v>
      </c>
      <c r="AE89" s="80">
        <v>2</v>
      </c>
      <c r="AF89" s="84">
        <f t="shared" si="18"/>
        <v>-4.202777778118616E-2</v>
      </c>
      <c r="AG89" s="83">
        <f t="shared" si="19"/>
        <v>49.008666666748468</v>
      </c>
      <c r="AH89" s="83">
        <f t="shared" si="20"/>
        <v>24</v>
      </c>
      <c r="AI89" s="83">
        <f t="shared" si="21"/>
        <v>25.008666666748468</v>
      </c>
      <c r="AJ89" s="83">
        <f t="shared" si="22"/>
        <v>6.2378375496290515</v>
      </c>
      <c r="AK89" s="83"/>
      <c r="AL89" s="83"/>
      <c r="AM89" s="83"/>
      <c r="AN89" s="83"/>
      <c r="AO89" s="78"/>
    </row>
    <row r="90" spans="1:41" customFormat="1" ht="15" hidden="1" x14ac:dyDescent="0.25">
      <c r="A90" s="82">
        <v>45664</v>
      </c>
      <c r="B90" s="94" t="str">
        <f t="shared" si="12"/>
        <v>January</v>
      </c>
      <c r="C90" s="78"/>
      <c r="D90" s="79" t="s">
        <v>1155</v>
      </c>
      <c r="E90" s="79" t="s">
        <v>1017</v>
      </c>
      <c r="F90" s="79"/>
      <c r="G90" s="79" t="s">
        <v>50</v>
      </c>
      <c r="H90" s="79" t="s">
        <v>458</v>
      </c>
      <c r="I90" s="79">
        <v>156</v>
      </c>
      <c r="J90" s="79" t="s">
        <v>1373</v>
      </c>
      <c r="K90" s="80" t="s">
        <v>469</v>
      </c>
      <c r="L90" s="79">
        <v>470</v>
      </c>
      <c r="M90" s="79">
        <v>465</v>
      </c>
      <c r="N90" s="81">
        <f t="shared" si="23"/>
        <v>-5</v>
      </c>
      <c r="O90" s="78"/>
      <c r="P90" s="82">
        <f>R90-TIME(0,39,0)</f>
        <v>45664.338194444441</v>
      </c>
      <c r="Q90" s="82">
        <v>45664.3125</v>
      </c>
      <c r="R90" s="82">
        <v>45664.365277777775</v>
      </c>
      <c r="S90" s="81">
        <f t="shared" si="13"/>
        <v>75.6481481444401</v>
      </c>
      <c r="T90" s="81">
        <f t="shared" si="14"/>
        <v>38.819444445834961</v>
      </c>
      <c r="U90" s="79"/>
      <c r="V90" s="82">
        <v>45665.427777777775</v>
      </c>
      <c r="W90" s="82">
        <f>V90+TIME(0,307,0)</f>
        <v>45665.640972222216</v>
      </c>
      <c r="X90" s="103">
        <f t="shared" si="15"/>
        <v>300.60416666165111</v>
      </c>
      <c r="Y90" s="82" t="s">
        <v>1049</v>
      </c>
      <c r="Z90" s="82">
        <v>45666.577777777769</v>
      </c>
      <c r="AA90" s="82">
        <v>45666.616666666661</v>
      </c>
      <c r="AB90" s="81">
        <f t="shared" si="16"/>
        <v>54.833333337664953</v>
      </c>
      <c r="AC90" s="80"/>
      <c r="AD90" s="83">
        <f t="shared" si="17"/>
        <v>2.2124999999941792</v>
      </c>
      <c r="AE90" s="80">
        <v>2</v>
      </c>
      <c r="AF90" s="84">
        <f t="shared" si="18"/>
        <v>-0.21249999999417923</v>
      </c>
      <c r="AG90" s="83">
        <f t="shared" si="19"/>
        <v>53.099999999860302</v>
      </c>
      <c r="AH90" s="83">
        <f t="shared" si="20"/>
        <v>24</v>
      </c>
      <c r="AI90" s="83">
        <f t="shared" si="21"/>
        <v>29.099999999860302</v>
      </c>
      <c r="AJ90" s="83">
        <f t="shared" si="22"/>
        <v>5.3608247422937767</v>
      </c>
      <c r="AK90" s="83"/>
      <c r="AL90" s="83"/>
      <c r="AM90" s="83"/>
      <c r="AN90" s="83"/>
      <c r="AO90" s="78"/>
    </row>
    <row r="91" spans="1:41" customFormat="1" ht="15" hidden="1" x14ac:dyDescent="0.25">
      <c r="A91" s="82">
        <v>45664</v>
      </c>
      <c r="B91" s="94" t="str">
        <f t="shared" si="12"/>
        <v>January</v>
      </c>
      <c r="C91" s="78"/>
      <c r="D91" s="79" t="s">
        <v>1156</v>
      </c>
      <c r="E91" s="79" t="s">
        <v>1017</v>
      </c>
      <c r="F91" s="79"/>
      <c r="G91" s="79" t="s">
        <v>43</v>
      </c>
      <c r="H91" s="79" t="s">
        <v>457</v>
      </c>
      <c r="I91" s="79">
        <v>156</v>
      </c>
      <c r="J91" s="79" t="s">
        <v>1374</v>
      </c>
      <c r="K91" s="80" t="s">
        <v>469</v>
      </c>
      <c r="L91" s="79">
        <v>320</v>
      </c>
      <c r="M91" s="79">
        <v>321</v>
      </c>
      <c r="N91" s="81">
        <f t="shared" si="23"/>
        <v>1</v>
      </c>
      <c r="O91" s="78"/>
      <c r="P91" s="82">
        <v>45664.331944444442</v>
      </c>
      <c r="Q91" s="82">
        <v>45664.3125</v>
      </c>
      <c r="R91" s="82">
        <v>45664.359722222223</v>
      </c>
      <c r="S91" s="81">
        <f t="shared" si="13"/>
        <v>67.685185186807459</v>
      </c>
      <c r="T91" s="81">
        <f t="shared" si="14"/>
        <v>39.814814819449872</v>
      </c>
      <c r="U91" s="79"/>
      <c r="V91" s="82">
        <v>45664.609722222223</v>
      </c>
      <c r="W91" s="82">
        <f>V91+TIME(0,149,0)</f>
        <v>45664.713194444448</v>
      </c>
      <c r="X91" s="103">
        <f t="shared" si="15"/>
        <v>145.89583333698101</v>
      </c>
      <c r="Y91" s="82"/>
      <c r="Z91" s="82">
        <v>45665.49527777778</v>
      </c>
      <c r="AA91" s="82">
        <v>45665.534166666672</v>
      </c>
      <c r="AB91" s="81">
        <f t="shared" si="16"/>
        <v>54.833333337664953</v>
      </c>
      <c r="AC91" s="80"/>
      <c r="AD91" s="83">
        <f t="shared" si="17"/>
        <v>1.1355555555564933</v>
      </c>
      <c r="AE91" s="80">
        <v>2</v>
      </c>
      <c r="AF91" s="84">
        <f t="shared" si="18"/>
        <v>0.86444444444350665</v>
      </c>
      <c r="AG91" s="83">
        <f t="shared" si="19"/>
        <v>27.25333333335584</v>
      </c>
      <c r="AH91" s="83">
        <f t="shared" si="20"/>
        <v>12</v>
      </c>
      <c r="AI91" s="83">
        <f t="shared" si="21"/>
        <v>15.25333333335584</v>
      </c>
      <c r="AJ91" s="83">
        <f t="shared" si="22"/>
        <v>10.227272727257636</v>
      </c>
      <c r="AK91" s="83"/>
      <c r="AL91" s="83"/>
      <c r="AM91" s="83"/>
      <c r="AN91" s="83"/>
      <c r="AO91" s="78"/>
    </row>
    <row r="92" spans="1:41" customFormat="1" ht="15" hidden="1" x14ac:dyDescent="0.25">
      <c r="A92" s="82">
        <v>45664</v>
      </c>
      <c r="B92" s="94" t="str">
        <f t="shared" si="12"/>
        <v>January</v>
      </c>
      <c r="C92" s="78"/>
      <c r="D92" s="79" t="s">
        <v>1157</v>
      </c>
      <c r="E92" s="79" t="s">
        <v>1017</v>
      </c>
      <c r="F92" s="79" t="s">
        <v>1269</v>
      </c>
      <c r="G92" s="79" t="s">
        <v>50</v>
      </c>
      <c r="H92" s="79" t="s">
        <v>1284</v>
      </c>
      <c r="I92" s="79">
        <v>155.10000000000002</v>
      </c>
      <c r="J92" s="79" t="s">
        <v>1375</v>
      </c>
      <c r="K92" s="80" t="s">
        <v>469</v>
      </c>
      <c r="L92" s="79">
        <v>620</v>
      </c>
      <c r="M92" s="79">
        <v>602</v>
      </c>
      <c r="N92" s="81">
        <f t="shared" si="23"/>
        <v>-18</v>
      </c>
      <c r="O92" s="78"/>
      <c r="P92" s="82">
        <f>R92-TIME(0,77,0)</f>
        <v>45664.320138888885</v>
      </c>
      <c r="Q92" s="82">
        <v>45664.3125</v>
      </c>
      <c r="R92" s="82">
        <v>45664.373611111107</v>
      </c>
      <c r="S92" s="81">
        <f t="shared" si="13"/>
        <v>87.592592586103521</v>
      </c>
      <c r="T92" s="81">
        <f t="shared" si="14"/>
        <v>76.643518518055018</v>
      </c>
      <c r="U92" s="79"/>
      <c r="V92" s="82">
        <v>45665.352777777771</v>
      </c>
      <c r="W92" s="82">
        <f>V92+TIME(0,167,0)</f>
        <v>45665.468749999993</v>
      </c>
      <c r="X92" s="103">
        <f t="shared" si="15"/>
        <v>163.52083333287737</v>
      </c>
      <c r="Y92" s="82"/>
      <c r="Z92" s="82">
        <v>45666.418472222213</v>
      </c>
      <c r="AA92" s="82">
        <f>Z92+TIME(0,58,0)</f>
        <v>45666.458749999991</v>
      </c>
      <c r="AB92" s="81">
        <f t="shared" si="16"/>
        <v>56.791666667122627</v>
      </c>
      <c r="AC92" s="80"/>
      <c r="AD92" s="83">
        <f t="shared" si="17"/>
        <v>2.0448611111060018</v>
      </c>
      <c r="AE92" s="80">
        <v>3</v>
      </c>
      <c r="AF92" s="84">
        <f t="shared" si="18"/>
        <v>0.95513888889399823</v>
      </c>
      <c r="AG92" s="83">
        <f t="shared" si="19"/>
        <v>49.076666666544043</v>
      </c>
      <c r="AH92" s="83">
        <f t="shared" si="20"/>
        <v>24</v>
      </c>
      <c r="AI92" s="83">
        <f t="shared" si="21"/>
        <v>25.076666666544043</v>
      </c>
      <c r="AJ92" s="83">
        <f t="shared" si="22"/>
        <v>6.1850325668254067</v>
      </c>
      <c r="AK92" s="83"/>
      <c r="AL92" s="83"/>
      <c r="AM92" s="83"/>
      <c r="AN92" s="83"/>
      <c r="AO92" s="78"/>
    </row>
    <row r="93" spans="1:41" customFormat="1" ht="15" hidden="1" x14ac:dyDescent="0.25">
      <c r="A93" s="82">
        <v>45664</v>
      </c>
      <c r="B93" s="94" t="str">
        <f t="shared" si="12"/>
        <v>January</v>
      </c>
      <c r="C93" s="78"/>
      <c r="D93" s="79" t="s">
        <v>1158</v>
      </c>
      <c r="E93" s="79" t="s">
        <v>1017</v>
      </c>
      <c r="F93" s="79"/>
      <c r="G93" s="79" t="s">
        <v>43</v>
      </c>
      <c r="H93" s="79" t="s">
        <v>460</v>
      </c>
      <c r="I93" s="79">
        <v>156</v>
      </c>
      <c r="J93" s="79" t="s">
        <v>1376</v>
      </c>
      <c r="K93" s="80" t="s">
        <v>469</v>
      </c>
      <c r="L93" s="80">
        <v>600</v>
      </c>
      <c r="M93" s="79">
        <v>572</v>
      </c>
      <c r="N93" s="81">
        <f t="shared" si="23"/>
        <v>-28</v>
      </c>
      <c r="O93" s="78"/>
      <c r="P93" s="82">
        <f>R93-TIME(0,49,0)</f>
        <v>45664.342361111107</v>
      </c>
      <c r="Q93" s="82">
        <v>45664.3125</v>
      </c>
      <c r="R93" s="82">
        <v>45664.376388888886</v>
      </c>
      <c r="S93" s="81">
        <f t="shared" si="13"/>
        <v>91.574074070134273</v>
      </c>
      <c r="T93" s="81">
        <f t="shared" si="14"/>
        <v>48.77314815069743</v>
      </c>
      <c r="U93" s="79" t="s">
        <v>562</v>
      </c>
      <c r="V93" s="82">
        <v>45665.438888888886</v>
      </c>
      <c r="W93" s="82">
        <f>V93+TIME(0,175,0)</f>
        <v>45665.560416666667</v>
      </c>
      <c r="X93" s="103">
        <f t="shared" si="15"/>
        <v>171.35416667122627</v>
      </c>
      <c r="Y93" s="82"/>
      <c r="Z93" s="82">
        <v>45666.477222222224</v>
      </c>
      <c r="AA93" s="82">
        <f>Z93+TIME(0,57,0)</f>
        <v>45666.516805555555</v>
      </c>
      <c r="AB93" s="81">
        <f t="shared" si="16"/>
        <v>55.81249999726424</v>
      </c>
      <c r="AC93" s="80"/>
      <c r="AD93" s="83">
        <f t="shared" si="17"/>
        <v>2.1008333333375049</v>
      </c>
      <c r="AE93" s="80">
        <v>2</v>
      </c>
      <c r="AF93" s="84">
        <f t="shared" si="18"/>
        <v>-0.10083333333750488</v>
      </c>
      <c r="AG93" s="83">
        <f t="shared" si="19"/>
        <v>50.420000000100117</v>
      </c>
      <c r="AH93" s="83">
        <f t="shared" si="20"/>
        <v>24</v>
      </c>
      <c r="AI93" s="83">
        <f t="shared" si="21"/>
        <v>26.420000000100117</v>
      </c>
      <c r="AJ93" s="83">
        <f t="shared" si="22"/>
        <v>5.9046177138307661</v>
      </c>
      <c r="AK93" s="83"/>
      <c r="AL93" s="83"/>
      <c r="AM93" s="83"/>
      <c r="AN93" s="83"/>
      <c r="AO93" s="78"/>
    </row>
    <row r="94" spans="1:41" customFormat="1" ht="15" hidden="1" x14ac:dyDescent="0.25">
      <c r="A94" s="82">
        <v>45664.529606481483</v>
      </c>
      <c r="B94" s="94" t="str">
        <f t="shared" si="12"/>
        <v>January</v>
      </c>
      <c r="C94" s="78"/>
      <c r="D94" s="79" t="s">
        <v>1159</v>
      </c>
      <c r="E94" s="79" t="s">
        <v>1016</v>
      </c>
      <c r="F94" s="79" t="s">
        <v>1274</v>
      </c>
      <c r="G94" s="79" t="s">
        <v>1263</v>
      </c>
      <c r="H94" s="79" t="s">
        <v>452</v>
      </c>
      <c r="I94" s="79">
        <v>187.20000000000002</v>
      </c>
      <c r="J94" s="79" t="s">
        <v>1377</v>
      </c>
      <c r="K94" s="80" t="s">
        <v>469</v>
      </c>
      <c r="L94" s="79">
        <v>690</v>
      </c>
      <c r="M94" s="80">
        <f>L94+2</f>
        <v>692</v>
      </c>
      <c r="N94" s="81">
        <f t="shared" si="23"/>
        <v>2</v>
      </c>
      <c r="O94" s="78"/>
      <c r="P94" s="82">
        <f>R94-TIME(0,43,0)</f>
        <v>45664.500694444439</v>
      </c>
      <c r="Q94" s="82">
        <v>45664.565972222219</v>
      </c>
      <c r="R94" s="82">
        <v>45664.530555555553</v>
      </c>
      <c r="S94" s="81">
        <f t="shared" si="13"/>
        <v>-50.763888887498375</v>
      </c>
      <c r="T94" s="81">
        <f t="shared" si="14"/>
        <v>42.80092592986572</v>
      </c>
      <c r="U94" s="79"/>
      <c r="V94" s="82">
        <v>45665.538888888892</v>
      </c>
      <c r="W94" s="82">
        <f>V94+TIME(0,367,0)</f>
        <v>45665.793750000004</v>
      </c>
      <c r="X94" s="103">
        <f t="shared" si="15"/>
        <v>359.35416666849051</v>
      </c>
      <c r="Y94" s="82" t="s">
        <v>1044</v>
      </c>
      <c r="Z94" s="82">
        <v>45666.450694444444</v>
      </c>
      <c r="AA94" s="82">
        <v>45666.489583333336</v>
      </c>
      <c r="AB94" s="81">
        <f t="shared" si="16"/>
        <v>54.833333337664953</v>
      </c>
      <c r="AC94" s="80"/>
      <c r="AD94" s="83">
        <f t="shared" si="17"/>
        <v>1.9201388888905058</v>
      </c>
      <c r="AE94" s="80">
        <v>3</v>
      </c>
      <c r="AF94" s="84">
        <f t="shared" si="18"/>
        <v>1.0798611111094942</v>
      </c>
      <c r="AG94" s="83">
        <f t="shared" si="19"/>
        <v>46.083333333372138</v>
      </c>
      <c r="AH94" s="83">
        <f t="shared" si="20"/>
        <v>12</v>
      </c>
      <c r="AI94" s="83">
        <f t="shared" si="21"/>
        <v>34.083333333372138</v>
      </c>
      <c r="AJ94" s="83">
        <f t="shared" si="22"/>
        <v>5.492420537891058</v>
      </c>
      <c r="AK94" s="83"/>
      <c r="AL94" s="83"/>
      <c r="AM94" s="83"/>
      <c r="AN94" s="83"/>
      <c r="AO94" s="78"/>
    </row>
    <row r="95" spans="1:41" customFormat="1" ht="15" hidden="1" x14ac:dyDescent="0.25">
      <c r="A95" s="82">
        <v>45664.541145833333</v>
      </c>
      <c r="B95" s="94" t="str">
        <f t="shared" si="12"/>
        <v>January</v>
      </c>
      <c r="C95" s="78"/>
      <c r="D95" s="79" t="s">
        <v>1160</v>
      </c>
      <c r="E95" s="79" t="s">
        <v>1016</v>
      </c>
      <c r="F95" s="79" t="s">
        <v>954</v>
      </c>
      <c r="G95" s="79" t="s">
        <v>971</v>
      </c>
      <c r="H95" s="79" t="s">
        <v>468</v>
      </c>
      <c r="I95" s="79">
        <v>153.60000000000002</v>
      </c>
      <c r="J95" s="79" t="s">
        <v>1378</v>
      </c>
      <c r="K95" s="80" t="s">
        <v>469</v>
      </c>
      <c r="L95" s="79">
        <v>20</v>
      </c>
      <c r="M95" s="79">
        <v>12</v>
      </c>
      <c r="N95" s="81">
        <f t="shared" si="23"/>
        <v>-8</v>
      </c>
      <c r="O95" s="78"/>
      <c r="P95" s="82">
        <f>R95-TIME(0,41,0)</f>
        <v>45664.803472222222</v>
      </c>
      <c r="Q95" s="82">
        <v>45664.625</v>
      </c>
      <c r="R95" s="82">
        <v>45664.831944444442</v>
      </c>
      <c r="S95" s="81">
        <f t="shared" si="13"/>
        <v>296.62037036735757</v>
      </c>
      <c r="T95" s="81">
        <f t="shared" si="14"/>
        <v>40.810185182635905</v>
      </c>
      <c r="U95" s="79"/>
      <c r="V95" s="82">
        <v>45665.463194444441</v>
      </c>
      <c r="W95" s="82">
        <f>V95+TIME(0,153,0)</f>
        <v>45665.569444444438</v>
      </c>
      <c r="X95" s="103">
        <f t="shared" si="15"/>
        <v>149.81249999589636</v>
      </c>
      <c r="Y95" s="82"/>
      <c r="Z95" s="82">
        <v>45665.601388888892</v>
      </c>
      <c r="AA95" s="82">
        <f>Z95+TIME(0,58,0)</f>
        <v>45665.64166666667</v>
      </c>
      <c r="AB95" s="81">
        <f t="shared" si="16"/>
        <v>56.791666667122627</v>
      </c>
      <c r="AC95" s="80"/>
      <c r="AD95" s="83">
        <f t="shared" si="17"/>
        <v>0.76944444444961846</v>
      </c>
      <c r="AE95" s="80">
        <v>2</v>
      </c>
      <c r="AF95" s="84">
        <f t="shared" si="18"/>
        <v>1.2305555555503815</v>
      </c>
      <c r="AG95" s="83">
        <f t="shared" si="19"/>
        <v>18.466666666790843</v>
      </c>
      <c r="AH95" s="83">
        <f t="shared" si="20"/>
        <v>0</v>
      </c>
      <c r="AI95" s="83">
        <f t="shared" si="21"/>
        <v>18.466666666790843</v>
      </c>
      <c r="AJ95" s="83">
        <f t="shared" si="22"/>
        <v>8.3176895306299912</v>
      </c>
      <c r="AK95" s="83"/>
      <c r="AL95" s="83"/>
      <c r="AM95" s="83"/>
      <c r="AN95" s="83"/>
      <c r="AO95" s="78"/>
    </row>
    <row r="96" spans="1:41" customFormat="1" ht="15" hidden="1" x14ac:dyDescent="0.25">
      <c r="A96" s="82">
        <v>45664.787256944444</v>
      </c>
      <c r="B96" s="94" t="str">
        <f t="shared" si="12"/>
        <v>January</v>
      </c>
      <c r="C96" s="78"/>
      <c r="D96" s="79" t="s">
        <v>1161</v>
      </c>
      <c r="E96" s="79" t="s">
        <v>1016</v>
      </c>
      <c r="F96" s="79" t="s">
        <v>959</v>
      </c>
      <c r="G96" s="79" t="s">
        <v>976</v>
      </c>
      <c r="H96" s="79" t="s">
        <v>457</v>
      </c>
      <c r="I96" s="79">
        <v>153.60000000000002</v>
      </c>
      <c r="J96" s="79" t="s">
        <v>1379</v>
      </c>
      <c r="K96" s="80" t="s">
        <v>469</v>
      </c>
      <c r="L96" s="79">
        <v>320</v>
      </c>
      <c r="M96" s="79">
        <v>317</v>
      </c>
      <c r="N96" s="81">
        <f t="shared" si="23"/>
        <v>-3</v>
      </c>
      <c r="O96" s="78"/>
      <c r="P96" s="82">
        <f>R96-TIME(0,43,0)</f>
        <v>45664.784722222219</v>
      </c>
      <c r="Q96" s="82">
        <v>45665.098611111112</v>
      </c>
      <c r="R96" s="82">
        <v>45664.814583333333</v>
      </c>
      <c r="S96" s="81">
        <f t="shared" si="13"/>
        <v>-407.10648148403078</v>
      </c>
      <c r="T96" s="81">
        <f t="shared" si="14"/>
        <v>42.80092592986572</v>
      </c>
      <c r="U96" s="79"/>
      <c r="V96" s="82">
        <v>45665.456944444442</v>
      </c>
      <c r="W96" s="82">
        <f>V96+TIME(0,153,0)</f>
        <v>45665.563194444439</v>
      </c>
      <c r="X96" s="103">
        <f t="shared" si="15"/>
        <v>149.81249999589636</v>
      </c>
      <c r="Y96" s="82"/>
      <c r="Z96" s="82">
        <v>45667.32708333333</v>
      </c>
      <c r="AA96" s="82">
        <v>45667.365972222222</v>
      </c>
      <c r="AB96" s="81">
        <f t="shared" si="16"/>
        <v>54.833333337664953</v>
      </c>
      <c r="AC96" s="80"/>
      <c r="AD96" s="83">
        <f t="shared" si="17"/>
        <v>2.5124999999970896</v>
      </c>
      <c r="AE96" s="80">
        <v>2</v>
      </c>
      <c r="AF96" s="84">
        <f t="shared" si="18"/>
        <v>-0.51249999999708962</v>
      </c>
      <c r="AG96" s="83">
        <f t="shared" si="19"/>
        <v>60.299999999930151</v>
      </c>
      <c r="AH96" s="83">
        <f t="shared" si="20"/>
        <v>24</v>
      </c>
      <c r="AI96" s="83">
        <f t="shared" si="21"/>
        <v>36.299999999930151</v>
      </c>
      <c r="AJ96" s="83">
        <f t="shared" si="22"/>
        <v>4.2314049586858289</v>
      </c>
      <c r="AK96" s="83"/>
      <c r="AL96" s="83"/>
      <c r="AM96" s="83"/>
      <c r="AN96" s="83"/>
      <c r="AO96" s="78"/>
    </row>
    <row r="97" spans="1:41" customFormat="1" ht="15" hidden="1" x14ac:dyDescent="0.25">
      <c r="A97" s="82">
        <v>45664.788032407407</v>
      </c>
      <c r="B97" s="94" t="str">
        <f t="shared" si="12"/>
        <v>January</v>
      </c>
      <c r="C97" s="78"/>
      <c r="D97" s="79" t="s">
        <v>1162</v>
      </c>
      <c r="E97" s="79" t="s">
        <v>1016</v>
      </c>
      <c r="F97" s="79" t="s">
        <v>950</v>
      </c>
      <c r="G97" s="79" t="s">
        <v>967</v>
      </c>
      <c r="H97" s="79" t="s">
        <v>1283</v>
      </c>
      <c r="I97" s="79">
        <v>153.60000000000002</v>
      </c>
      <c r="J97" s="79" t="s">
        <v>1380</v>
      </c>
      <c r="K97" s="80" t="s">
        <v>469</v>
      </c>
      <c r="L97" s="79">
        <v>302</v>
      </c>
      <c r="M97" s="79">
        <v>294</v>
      </c>
      <c r="N97" s="81">
        <f t="shared" si="23"/>
        <v>-8</v>
      </c>
      <c r="O97" s="78"/>
      <c r="P97" s="82">
        <f>R97-TIME(0,39,0)</f>
        <v>45665.387499999997</v>
      </c>
      <c r="Q97" s="82">
        <v>45665.177083333336</v>
      </c>
      <c r="R97" s="82">
        <v>45665.414583333331</v>
      </c>
      <c r="S97" s="81">
        <f t="shared" si="13"/>
        <v>340.41666666040936</v>
      </c>
      <c r="T97" s="81">
        <f t="shared" si="14"/>
        <v>38.819444445834961</v>
      </c>
      <c r="U97" s="79"/>
      <c r="V97" s="82">
        <v>45665.645138888889</v>
      </c>
      <c r="W97" s="82">
        <f>V97+TIME(0,153,0)</f>
        <v>45665.751388888886</v>
      </c>
      <c r="X97" s="103">
        <f t="shared" si="15"/>
        <v>149.81249999589636</v>
      </c>
      <c r="Y97" s="82"/>
      <c r="Z97" s="82">
        <v>45666.373611111114</v>
      </c>
      <c r="AA97" s="82">
        <f>Z97+TIME(0,58,0)</f>
        <v>45666.413888888892</v>
      </c>
      <c r="AB97" s="81">
        <f t="shared" si="16"/>
        <v>56.791666667122627</v>
      </c>
      <c r="AC97" s="80"/>
      <c r="AD97" s="83">
        <f t="shared" si="17"/>
        <v>0.95902777778246673</v>
      </c>
      <c r="AE97" s="80">
        <v>2</v>
      </c>
      <c r="AF97" s="84">
        <f t="shared" si="18"/>
        <v>1.0409722222175333</v>
      </c>
      <c r="AG97" s="83">
        <f t="shared" si="19"/>
        <v>23.016666666779201</v>
      </c>
      <c r="AH97" s="83">
        <f t="shared" si="20"/>
        <v>0</v>
      </c>
      <c r="AI97" s="83">
        <f t="shared" si="21"/>
        <v>23.016666666779201</v>
      </c>
      <c r="AJ97" s="83">
        <f t="shared" si="22"/>
        <v>6.6734250542758451</v>
      </c>
      <c r="AK97" s="83"/>
      <c r="AL97" s="83"/>
      <c r="AM97" s="83"/>
      <c r="AN97" s="83"/>
      <c r="AO97" s="78"/>
    </row>
    <row r="98" spans="1:41" customFormat="1" ht="15" hidden="1" x14ac:dyDescent="0.25">
      <c r="A98" s="82">
        <v>45664.788657407407</v>
      </c>
      <c r="B98" s="94" t="str">
        <f t="shared" si="12"/>
        <v>January</v>
      </c>
      <c r="C98" s="78"/>
      <c r="D98" s="79" t="s">
        <v>1163</v>
      </c>
      <c r="E98" s="79" t="s">
        <v>1016</v>
      </c>
      <c r="F98" s="79" t="s">
        <v>965</v>
      </c>
      <c r="G98" s="79" t="s">
        <v>980</v>
      </c>
      <c r="H98" s="79" t="s">
        <v>468</v>
      </c>
      <c r="I98" s="79">
        <v>153.60000000000002</v>
      </c>
      <c r="J98" s="79" t="s">
        <v>1381</v>
      </c>
      <c r="K98" s="80" t="s">
        <v>469</v>
      </c>
      <c r="L98" s="79">
        <v>20</v>
      </c>
      <c r="M98" s="79">
        <v>14</v>
      </c>
      <c r="N98" s="81">
        <f t="shared" si="23"/>
        <v>-6</v>
      </c>
      <c r="O98" s="78"/>
      <c r="P98" s="82">
        <f>R98-TIME(0,40,0)</f>
        <v>45664.777083333327</v>
      </c>
      <c r="Q98" s="82">
        <v>45665.320833333331</v>
      </c>
      <c r="R98" s="82">
        <v>45664.804861111108</v>
      </c>
      <c r="S98" s="81">
        <f t="shared" si="13"/>
        <v>-739.56018518680742</v>
      </c>
      <c r="T98" s="81">
        <f t="shared" si="14"/>
        <v>39.814814819449872</v>
      </c>
      <c r="U98" s="79"/>
      <c r="V98" s="82">
        <v>45664.838888888888</v>
      </c>
      <c r="W98" s="82">
        <f>V98+TIME(0,153,0)</f>
        <v>45664.945138888885</v>
      </c>
      <c r="X98" s="103">
        <f t="shared" si="15"/>
        <v>149.81249999589636</v>
      </c>
      <c r="Y98" s="82"/>
      <c r="Z98" s="82">
        <v>45665.652083333334</v>
      </c>
      <c r="AA98" s="82">
        <f>Z98+TIME(0,59,0)</f>
        <v>45665.693055555559</v>
      </c>
      <c r="AB98" s="81">
        <f t="shared" si="16"/>
        <v>57.770833336981013</v>
      </c>
      <c r="AC98" s="80"/>
      <c r="AD98" s="83">
        <f t="shared" si="17"/>
        <v>0.84722222222626442</v>
      </c>
      <c r="AE98" s="80">
        <v>2</v>
      </c>
      <c r="AF98" s="84">
        <f t="shared" si="18"/>
        <v>1.1527777777737356</v>
      </c>
      <c r="AG98" s="83">
        <f t="shared" si="19"/>
        <v>20.333333333430346</v>
      </c>
      <c r="AH98" s="83">
        <f t="shared" si="20"/>
        <v>0</v>
      </c>
      <c r="AI98" s="83">
        <f t="shared" si="21"/>
        <v>20.333333333430346</v>
      </c>
      <c r="AJ98" s="83">
        <f t="shared" si="22"/>
        <v>7.5540983606196974</v>
      </c>
      <c r="AK98" s="83"/>
      <c r="AL98" s="83"/>
      <c r="AM98" s="83"/>
      <c r="AN98" s="83"/>
      <c r="AO98" s="78"/>
    </row>
    <row r="99" spans="1:41" customFormat="1" ht="15" hidden="1" x14ac:dyDescent="0.25">
      <c r="A99" s="82">
        <v>45664.794363425928</v>
      </c>
      <c r="B99" s="94" t="str">
        <f t="shared" si="12"/>
        <v>January</v>
      </c>
      <c r="C99" s="78"/>
      <c r="D99" s="79" t="s">
        <v>1164</v>
      </c>
      <c r="E99" s="79" t="s">
        <v>1016</v>
      </c>
      <c r="F99" s="79" t="s">
        <v>963</v>
      </c>
      <c r="G99" s="79" t="s">
        <v>60</v>
      </c>
      <c r="H99" s="79" t="s">
        <v>464</v>
      </c>
      <c r="I99" s="79">
        <v>156</v>
      </c>
      <c r="J99" s="79" t="s">
        <v>1382</v>
      </c>
      <c r="K99" s="80" t="s">
        <v>469</v>
      </c>
      <c r="L99" s="79">
        <v>256</v>
      </c>
      <c r="M99" s="80">
        <f>L99-1</f>
        <v>255</v>
      </c>
      <c r="N99" s="81">
        <f t="shared" si="23"/>
        <v>-1</v>
      </c>
      <c r="O99" s="78"/>
      <c r="P99" s="82">
        <f>R99-TIME(0,43,0)</f>
        <v>45665.40625</v>
      </c>
      <c r="Q99" s="82">
        <v>45665.169444444444</v>
      </c>
      <c r="R99" s="82">
        <v>45665.436111111114</v>
      </c>
      <c r="S99" s="81">
        <f t="shared" si="13"/>
        <v>382.22222222708905</v>
      </c>
      <c r="T99" s="81">
        <f t="shared" si="14"/>
        <v>42.80092592986572</v>
      </c>
      <c r="U99" s="79"/>
      <c r="V99" s="82">
        <v>45665.713888888888</v>
      </c>
      <c r="W99" s="82">
        <f>V99+TIME(0,161,0)</f>
        <v>45665.825694444444</v>
      </c>
      <c r="X99" s="103">
        <f t="shared" si="15"/>
        <v>157.64583333424525</v>
      </c>
      <c r="Y99" s="82"/>
      <c r="Z99" s="82">
        <v>45666.698611111111</v>
      </c>
      <c r="AA99" s="82">
        <f>Z99+TIME(0,58,0)</f>
        <v>45666.738888888889</v>
      </c>
      <c r="AB99" s="81">
        <f t="shared" si="16"/>
        <v>56.791666667122627</v>
      </c>
      <c r="AC99" s="80"/>
      <c r="AD99" s="83">
        <f t="shared" si="17"/>
        <v>1.2624999999970896</v>
      </c>
      <c r="AE99" s="80">
        <v>2</v>
      </c>
      <c r="AF99" s="84">
        <f t="shared" si="18"/>
        <v>0.73750000000291038</v>
      </c>
      <c r="AG99" s="83">
        <f t="shared" si="19"/>
        <v>30.299999999930151</v>
      </c>
      <c r="AH99" s="83">
        <f t="shared" si="20"/>
        <v>12</v>
      </c>
      <c r="AI99" s="83">
        <f t="shared" si="21"/>
        <v>18.299999999930151</v>
      </c>
      <c r="AJ99" s="83">
        <f t="shared" si="22"/>
        <v>8.5245901639669643</v>
      </c>
      <c r="AK99" s="83"/>
      <c r="AL99" s="83"/>
      <c r="AM99" s="83"/>
      <c r="AN99" s="83"/>
      <c r="AO99" s="78"/>
    </row>
    <row r="100" spans="1:41" customFormat="1" ht="15" hidden="1" x14ac:dyDescent="0.25">
      <c r="A100" s="82">
        <v>45664.826145833336</v>
      </c>
      <c r="B100" s="94" t="str">
        <f t="shared" si="12"/>
        <v>January</v>
      </c>
      <c r="C100" s="78"/>
      <c r="D100" s="79" t="s">
        <v>1165</v>
      </c>
      <c r="E100" s="79" t="s">
        <v>1016</v>
      </c>
      <c r="F100" s="79" t="s">
        <v>952</v>
      </c>
      <c r="G100" s="79" t="s">
        <v>969</v>
      </c>
      <c r="H100" s="79" t="s">
        <v>461</v>
      </c>
      <c r="I100" s="79">
        <v>153.60000000000002</v>
      </c>
      <c r="J100" s="79" t="s">
        <v>1383</v>
      </c>
      <c r="K100" s="80" t="s">
        <v>469</v>
      </c>
      <c r="L100" s="79">
        <v>340</v>
      </c>
      <c r="M100" s="79">
        <v>154</v>
      </c>
      <c r="N100" s="81">
        <f t="shared" si="23"/>
        <v>-186</v>
      </c>
      <c r="O100" s="78"/>
      <c r="P100" s="82">
        <f>R100-TIME(0,43,0)</f>
        <v>45665.286111111105</v>
      </c>
      <c r="Q100" s="82">
        <v>45665.176388888889</v>
      </c>
      <c r="R100" s="82">
        <v>45665.315972222219</v>
      </c>
      <c r="S100" s="81">
        <f t="shared" si="13"/>
        <v>200.06944443957764</v>
      </c>
      <c r="T100" s="81">
        <f t="shared" si="14"/>
        <v>42.80092592986572</v>
      </c>
      <c r="U100" s="79"/>
      <c r="V100" s="82">
        <v>45665.440972222219</v>
      </c>
      <c r="W100" s="82">
        <f>V100+TIME(0,167,0)</f>
        <v>45665.556944444441</v>
      </c>
      <c r="X100" s="103">
        <f t="shared" si="15"/>
        <v>163.52083333287737</v>
      </c>
      <c r="Y100" s="82"/>
      <c r="Z100" s="82">
        <v>45666.359027777777</v>
      </c>
      <c r="AA100" s="82">
        <v>45666.419444444444</v>
      </c>
      <c r="AB100" s="81">
        <f t="shared" si="16"/>
        <v>85.18750000068394</v>
      </c>
      <c r="AC100" s="80" t="s">
        <v>543</v>
      </c>
      <c r="AD100" s="83">
        <f t="shared" si="17"/>
        <v>1.0430555555576575</v>
      </c>
      <c r="AE100" s="80">
        <v>2</v>
      </c>
      <c r="AF100" s="84">
        <f t="shared" si="18"/>
        <v>0.9569444444423425</v>
      </c>
      <c r="AG100" s="83">
        <f t="shared" si="19"/>
        <v>25.03333333338378</v>
      </c>
      <c r="AH100" s="83">
        <f t="shared" si="20"/>
        <v>12</v>
      </c>
      <c r="AI100" s="83">
        <f t="shared" si="21"/>
        <v>13.03333333338378</v>
      </c>
      <c r="AJ100" s="83">
        <f t="shared" si="22"/>
        <v>11.785166240363594</v>
      </c>
      <c r="AK100" s="83"/>
      <c r="AL100" s="83"/>
      <c r="AM100" s="83"/>
      <c r="AN100" s="83"/>
      <c r="AO100" s="78"/>
    </row>
    <row r="101" spans="1:41" customFormat="1" ht="15" hidden="1" x14ac:dyDescent="0.25">
      <c r="A101" s="82">
        <v>45664.826643518521</v>
      </c>
      <c r="B101" s="94" t="str">
        <f t="shared" si="12"/>
        <v>January</v>
      </c>
      <c r="C101" s="78"/>
      <c r="D101" s="79" t="s">
        <v>1166</v>
      </c>
      <c r="E101" s="79" t="s">
        <v>1017</v>
      </c>
      <c r="F101" s="79"/>
      <c r="G101" s="79" t="s">
        <v>51</v>
      </c>
      <c r="H101" s="79" t="s">
        <v>454</v>
      </c>
      <c r="I101" s="79">
        <v>156</v>
      </c>
      <c r="J101" s="79" t="s">
        <v>1384</v>
      </c>
      <c r="K101" s="80" t="s">
        <v>469</v>
      </c>
      <c r="L101" s="79">
        <v>390</v>
      </c>
      <c r="M101" s="80">
        <f>L101+2</f>
        <v>392</v>
      </c>
      <c r="N101" s="81">
        <f t="shared" si="23"/>
        <v>2</v>
      </c>
      <c r="O101" s="78"/>
      <c r="P101" s="82">
        <v>45665.346087962964</v>
      </c>
      <c r="Q101" s="82">
        <v>45665.326643518521</v>
      </c>
      <c r="R101" s="82">
        <v>45665.373865740745</v>
      </c>
      <c r="S101" s="81">
        <f t="shared" si="13"/>
        <v>67.685185186807459</v>
      </c>
      <c r="T101" s="81">
        <f t="shared" si="14"/>
        <v>39.814814819449872</v>
      </c>
      <c r="U101" s="79"/>
      <c r="V101" s="82">
        <v>45666.436365740745</v>
      </c>
      <c r="W101" s="82">
        <f>V101+TIME(0,171,0)</f>
        <v>45666.555115740746</v>
      </c>
      <c r="X101" s="103">
        <f t="shared" si="15"/>
        <v>167.43750000205182</v>
      </c>
      <c r="Y101" s="82"/>
      <c r="Z101" s="82">
        <v>45667.509365740741</v>
      </c>
      <c r="AA101" s="82">
        <v>45667.543393518521</v>
      </c>
      <c r="AB101" s="81">
        <f t="shared" si="16"/>
        <v>47.979166669174447</v>
      </c>
      <c r="AC101" s="80"/>
      <c r="AD101" s="83">
        <f t="shared" si="17"/>
        <v>2.1354999999966822</v>
      </c>
      <c r="AE101" s="80">
        <v>2</v>
      </c>
      <c r="AF101" s="84">
        <f t="shared" si="18"/>
        <v>-0.13549999999668216</v>
      </c>
      <c r="AG101" s="83">
        <f t="shared" si="19"/>
        <v>51.251999999920372</v>
      </c>
      <c r="AH101" s="83">
        <f t="shared" si="20"/>
        <v>24</v>
      </c>
      <c r="AI101" s="83">
        <f t="shared" si="21"/>
        <v>27.251999999920372</v>
      </c>
      <c r="AJ101" s="83">
        <f t="shared" si="22"/>
        <v>5.7243505064015787</v>
      </c>
      <c r="AK101" s="83"/>
      <c r="AL101" s="83"/>
      <c r="AM101" s="83"/>
      <c r="AN101" s="83"/>
      <c r="AO101" s="78"/>
    </row>
    <row r="102" spans="1:41" customFormat="1" ht="15" hidden="1" x14ac:dyDescent="0.25">
      <c r="A102" s="82">
        <v>45664.828796296293</v>
      </c>
      <c r="B102" s="94" t="str">
        <f t="shared" si="12"/>
        <v>January</v>
      </c>
      <c r="C102" s="78"/>
      <c r="D102" s="79" t="s">
        <v>1167</v>
      </c>
      <c r="E102" s="79" t="s">
        <v>1017</v>
      </c>
      <c r="F102" s="79"/>
      <c r="G102" s="79" t="s">
        <v>977</v>
      </c>
      <c r="H102" s="79" t="s">
        <v>452</v>
      </c>
      <c r="I102" s="79">
        <v>156</v>
      </c>
      <c r="J102" s="79" t="s">
        <v>1385</v>
      </c>
      <c r="K102" s="80" t="s">
        <v>469</v>
      </c>
      <c r="L102" s="79">
        <v>690</v>
      </c>
      <c r="M102" s="80">
        <f>L102+2</f>
        <v>692</v>
      </c>
      <c r="N102" s="81">
        <f t="shared" si="23"/>
        <v>2</v>
      </c>
      <c r="O102" s="78"/>
      <c r="P102" s="82">
        <f>R102-TIME(0,43,0)</f>
        <v>45665.348935185175</v>
      </c>
      <c r="Q102" s="82">
        <v>45665.328796296293</v>
      </c>
      <c r="R102" s="82">
        <v>45665.378796296289</v>
      </c>
      <c r="S102" s="81">
        <f t="shared" si="13"/>
        <v>71.666666660409348</v>
      </c>
      <c r="T102" s="81">
        <f t="shared" si="14"/>
        <v>42.80092592986572</v>
      </c>
      <c r="U102" s="79"/>
      <c r="V102" s="82">
        <v>45666.462129629625</v>
      </c>
      <c r="W102" s="82">
        <f>V102+TIME(0,347,0)</f>
        <v>45666.703101851846</v>
      </c>
      <c r="X102" s="103">
        <f t="shared" si="15"/>
        <v>339.77083333287737</v>
      </c>
      <c r="Y102" s="82" t="s">
        <v>1045</v>
      </c>
      <c r="Z102" s="82">
        <v>45667.47346296296</v>
      </c>
      <c r="AA102" s="82">
        <f>Z102+TIME(0,49,0)</f>
        <v>45667.50749074074</v>
      </c>
      <c r="AB102" s="81">
        <f t="shared" si="16"/>
        <v>47.979166669174447</v>
      </c>
      <c r="AC102" s="80"/>
      <c r="AD102" s="83">
        <f t="shared" si="17"/>
        <v>2.0946666666714009</v>
      </c>
      <c r="AE102" s="80">
        <v>3</v>
      </c>
      <c r="AF102" s="84">
        <f t="shared" si="18"/>
        <v>0.90533333332859911</v>
      </c>
      <c r="AG102" s="83">
        <f t="shared" si="19"/>
        <v>50.272000000113621</v>
      </c>
      <c r="AH102" s="83">
        <f t="shared" si="20"/>
        <v>24</v>
      </c>
      <c r="AI102" s="83">
        <f t="shared" si="21"/>
        <v>26.272000000113621</v>
      </c>
      <c r="AJ102" s="83">
        <f t="shared" si="22"/>
        <v>5.9378806333482537</v>
      </c>
      <c r="AK102" s="83"/>
      <c r="AL102" s="83"/>
      <c r="AM102" s="83"/>
      <c r="AN102" s="83"/>
      <c r="AO102" s="78"/>
    </row>
    <row r="103" spans="1:41" customFormat="1" ht="15" hidden="1" x14ac:dyDescent="0.25">
      <c r="A103" s="82">
        <v>45664.83184027778</v>
      </c>
      <c r="B103" s="94" t="str">
        <f t="shared" si="12"/>
        <v>January</v>
      </c>
      <c r="C103" s="78"/>
      <c r="D103" s="79" t="s">
        <v>1168</v>
      </c>
      <c r="E103" s="79" t="s">
        <v>1017</v>
      </c>
      <c r="F103" s="79"/>
      <c r="G103" s="79" t="s">
        <v>61</v>
      </c>
      <c r="H103" s="79" t="s">
        <v>457</v>
      </c>
      <c r="I103" s="79">
        <v>156</v>
      </c>
      <c r="J103" s="79" t="s">
        <v>1386</v>
      </c>
      <c r="K103" s="80" t="s">
        <v>469</v>
      </c>
      <c r="L103" s="79">
        <v>320</v>
      </c>
      <c r="M103" s="79">
        <v>323</v>
      </c>
      <c r="N103" s="81">
        <f t="shared" si="23"/>
        <v>3</v>
      </c>
      <c r="O103" s="78"/>
      <c r="P103" s="82">
        <v>45664.83739583334</v>
      </c>
      <c r="Q103" s="82">
        <v>45665.33184027778</v>
      </c>
      <c r="R103" s="82">
        <v>45664.86586805556</v>
      </c>
      <c r="S103" s="81">
        <f t="shared" si="13"/>
        <v>-667.89351851596928</v>
      </c>
      <c r="T103" s="81">
        <f t="shared" si="14"/>
        <v>40.810185182635905</v>
      </c>
      <c r="U103" s="79"/>
      <c r="V103" s="82">
        <v>45665.615868055553</v>
      </c>
      <c r="W103" s="82">
        <f>V103+TIME(0,153,0)</f>
        <v>45665.72211805555</v>
      </c>
      <c r="X103" s="103">
        <f t="shared" si="15"/>
        <v>149.81249999589636</v>
      </c>
      <c r="Y103" s="82"/>
      <c r="Z103" s="82">
        <v>45666.522951388884</v>
      </c>
      <c r="AA103" s="82">
        <f>Z103+TIME(0,59,0)</f>
        <v>45666.563923611109</v>
      </c>
      <c r="AB103" s="81">
        <f t="shared" si="16"/>
        <v>57.770833336981013</v>
      </c>
      <c r="AC103" s="80"/>
      <c r="AD103" s="83">
        <f t="shared" si="17"/>
        <v>1.6570833333244082</v>
      </c>
      <c r="AE103" s="80">
        <v>2</v>
      </c>
      <c r="AF103" s="84">
        <f t="shared" si="18"/>
        <v>0.34291666667559184</v>
      </c>
      <c r="AG103" s="83">
        <f t="shared" si="19"/>
        <v>39.769999999785796</v>
      </c>
      <c r="AH103" s="83">
        <f t="shared" si="20"/>
        <v>12</v>
      </c>
      <c r="AI103" s="83">
        <f t="shared" si="21"/>
        <v>27.769999999785796</v>
      </c>
      <c r="AJ103" s="83">
        <f t="shared" si="22"/>
        <v>5.6175729204610478</v>
      </c>
      <c r="AK103" s="83"/>
      <c r="AL103" s="83"/>
      <c r="AM103" s="83"/>
      <c r="AN103" s="83"/>
      <c r="AO103" s="78"/>
    </row>
    <row r="104" spans="1:41" customFormat="1" ht="15" hidden="1" x14ac:dyDescent="0.25">
      <c r="A104" s="82">
        <v>45664.91611111111</v>
      </c>
      <c r="B104" s="94" t="str">
        <f t="shared" si="12"/>
        <v>January</v>
      </c>
      <c r="C104" s="78"/>
      <c r="D104" s="79" t="s">
        <v>1169</v>
      </c>
      <c r="E104" s="79" t="s">
        <v>1017</v>
      </c>
      <c r="F104" s="79"/>
      <c r="G104" s="79" t="s">
        <v>38</v>
      </c>
      <c r="H104" s="79" t="s">
        <v>456</v>
      </c>
      <c r="I104" s="79">
        <v>156</v>
      </c>
      <c r="J104" s="79" t="s">
        <v>1387</v>
      </c>
      <c r="K104" s="80" t="s">
        <v>469</v>
      </c>
      <c r="L104" s="80">
        <v>670</v>
      </c>
      <c r="M104" s="79">
        <v>607</v>
      </c>
      <c r="N104" s="81">
        <f t="shared" si="23"/>
        <v>-63</v>
      </c>
      <c r="O104" s="78"/>
      <c r="P104" s="82">
        <f>R104-TIME(0,42,0)</f>
        <v>45665.439027777771</v>
      </c>
      <c r="Q104" s="82">
        <v>45665.41611111111</v>
      </c>
      <c r="R104" s="82">
        <v>45665.468194444438</v>
      </c>
      <c r="S104" s="81">
        <f t="shared" si="13"/>
        <v>74.652777770825196</v>
      </c>
      <c r="T104" s="81">
        <f t="shared" si="14"/>
        <v>41.805555556250816</v>
      </c>
      <c r="U104" s="79"/>
      <c r="V104" s="82">
        <v>45666.530694444438</v>
      </c>
      <c r="W104" s="82">
        <f>V104+TIME(0,153,0)</f>
        <v>45666.636944444435</v>
      </c>
      <c r="X104" s="103">
        <f t="shared" si="15"/>
        <v>149.81249999589636</v>
      </c>
      <c r="Y104" s="82"/>
      <c r="Z104" s="82">
        <v>45667.497027777776</v>
      </c>
      <c r="AA104" s="82">
        <f>Z104+TIME(0,58,0)</f>
        <v>45667.537305555554</v>
      </c>
      <c r="AB104" s="81">
        <f t="shared" si="16"/>
        <v>56.791666667122627</v>
      </c>
      <c r="AC104" s="80"/>
      <c r="AD104" s="83">
        <f t="shared" si="17"/>
        <v>2.0288333333373885</v>
      </c>
      <c r="AE104" s="80">
        <v>2</v>
      </c>
      <c r="AF104" s="84">
        <f t="shared" si="18"/>
        <v>-2.8833333337388467E-2</v>
      </c>
      <c r="AG104" s="83">
        <f t="shared" si="19"/>
        <v>48.692000000097323</v>
      </c>
      <c r="AH104" s="83">
        <f t="shared" si="20"/>
        <v>24</v>
      </c>
      <c r="AI104" s="83">
        <f t="shared" si="21"/>
        <v>24.692000000097323</v>
      </c>
      <c r="AJ104" s="83">
        <f t="shared" si="22"/>
        <v>6.3178357362459554</v>
      </c>
      <c r="AK104" s="83"/>
      <c r="AL104" s="83"/>
      <c r="AM104" s="83"/>
      <c r="AN104" s="83"/>
      <c r="AO104" s="78"/>
    </row>
    <row r="105" spans="1:41" customFormat="1" ht="15" hidden="1" x14ac:dyDescent="0.25">
      <c r="A105" s="82">
        <v>45665</v>
      </c>
      <c r="B105" s="94" t="str">
        <f t="shared" si="12"/>
        <v>January</v>
      </c>
      <c r="C105" s="78"/>
      <c r="D105" s="79" t="s">
        <v>1170</v>
      </c>
      <c r="E105" s="79" t="s">
        <v>1017</v>
      </c>
      <c r="F105" s="79"/>
      <c r="G105" s="79" t="s">
        <v>50</v>
      </c>
      <c r="H105" s="79" t="s">
        <v>1284</v>
      </c>
      <c r="I105" s="79">
        <v>155.10000000000002</v>
      </c>
      <c r="J105" s="79" t="s">
        <v>1388</v>
      </c>
      <c r="K105" s="80" t="s">
        <v>469</v>
      </c>
      <c r="L105" s="79">
        <v>620</v>
      </c>
      <c r="M105" s="79">
        <v>602</v>
      </c>
      <c r="N105" s="81">
        <f t="shared" si="23"/>
        <v>-18</v>
      </c>
      <c r="O105" s="78"/>
      <c r="P105" s="82">
        <f>R105-TIME(0,40,0)</f>
        <v>45665.331944444442</v>
      </c>
      <c r="Q105" s="82">
        <v>45665.3125</v>
      </c>
      <c r="R105" s="82">
        <v>45665.359722222223</v>
      </c>
      <c r="S105" s="81">
        <f t="shared" si="13"/>
        <v>67.685185186807459</v>
      </c>
      <c r="T105" s="81">
        <f t="shared" si="14"/>
        <v>39.814814819449872</v>
      </c>
      <c r="U105" s="79"/>
      <c r="V105" s="82">
        <v>45665.880555555559</v>
      </c>
      <c r="W105" s="82">
        <f>V105+TIME(0,167,0)</f>
        <v>45665.996527777781</v>
      </c>
      <c r="X105" s="103">
        <f t="shared" si="15"/>
        <v>163.52083333287737</v>
      </c>
      <c r="Y105" s="82"/>
      <c r="Z105" s="82">
        <v>45667.465555555558</v>
      </c>
      <c r="AA105" s="82">
        <f>Z105+TIME(0,58,0)</f>
        <v>45667.505833333336</v>
      </c>
      <c r="AB105" s="81">
        <f t="shared" si="16"/>
        <v>56.791666667122627</v>
      </c>
      <c r="AC105" s="80"/>
      <c r="AD105" s="83">
        <f t="shared" si="17"/>
        <v>2.1058333333348855</v>
      </c>
      <c r="AE105" s="80">
        <v>3</v>
      </c>
      <c r="AF105" s="84">
        <f t="shared" si="18"/>
        <v>0.89416666666511446</v>
      </c>
      <c r="AG105" s="83">
        <f t="shared" si="19"/>
        <v>50.540000000037253</v>
      </c>
      <c r="AH105" s="83">
        <f t="shared" si="20"/>
        <v>24</v>
      </c>
      <c r="AI105" s="83">
        <f t="shared" si="21"/>
        <v>26.540000000037253</v>
      </c>
      <c r="AJ105" s="83">
        <f t="shared" si="22"/>
        <v>5.8440090429458298</v>
      </c>
      <c r="AK105" s="83"/>
      <c r="AL105" s="83"/>
      <c r="AM105" s="83"/>
      <c r="AN105" s="83"/>
      <c r="AO105" s="78"/>
    </row>
    <row r="106" spans="1:41" customFormat="1" ht="15" hidden="1" x14ac:dyDescent="0.25">
      <c r="A106" s="82">
        <v>45665</v>
      </c>
      <c r="B106" s="94" t="str">
        <f t="shared" si="12"/>
        <v>January</v>
      </c>
      <c r="C106" s="78"/>
      <c r="D106" s="79" t="s">
        <v>1171</v>
      </c>
      <c r="E106" s="79" t="s">
        <v>1017</v>
      </c>
      <c r="F106" s="79"/>
      <c r="G106" s="79" t="s">
        <v>63</v>
      </c>
      <c r="H106" s="79" t="s">
        <v>454</v>
      </c>
      <c r="I106" s="79">
        <v>156</v>
      </c>
      <c r="J106" s="79" t="s">
        <v>1389</v>
      </c>
      <c r="K106" s="80" t="s">
        <v>469</v>
      </c>
      <c r="L106" s="79">
        <v>390</v>
      </c>
      <c r="M106" s="80">
        <f>L106-2</f>
        <v>388</v>
      </c>
      <c r="N106" s="81">
        <f t="shared" si="23"/>
        <v>-2</v>
      </c>
      <c r="O106" s="78"/>
      <c r="P106" s="82">
        <f>R106-TIME(0,40,0)</f>
        <v>45665.334722222215</v>
      </c>
      <c r="Q106" s="82">
        <v>45665.3125</v>
      </c>
      <c r="R106" s="82">
        <v>45665.362499999996</v>
      </c>
      <c r="S106" s="81">
        <f t="shared" si="13"/>
        <v>71.666666660409348</v>
      </c>
      <c r="T106" s="81">
        <f t="shared" si="14"/>
        <v>39.814814819449872</v>
      </c>
      <c r="U106" s="79"/>
      <c r="V106" s="82">
        <v>45666.424999999996</v>
      </c>
      <c r="W106" s="82">
        <f>V106+TIME(0,350,0)</f>
        <v>45666.66805555555</v>
      </c>
      <c r="X106" s="103">
        <f t="shared" si="15"/>
        <v>342.70833333219343</v>
      </c>
      <c r="Y106" s="82" t="s">
        <v>1039</v>
      </c>
      <c r="Z106" s="82">
        <v>45667.398999999998</v>
      </c>
      <c r="AA106" s="82">
        <f>Z106+TIME(0,58,0)</f>
        <v>45667.439277777776</v>
      </c>
      <c r="AB106" s="81">
        <f t="shared" si="16"/>
        <v>56.791666667122627</v>
      </c>
      <c r="AC106" s="80"/>
      <c r="AD106" s="83">
        <f t="shared" si="17"/>
        <v>2.0365000000019791</v>
      </c>
      <c r="AE106" s="80">
        <v>2</v>
      </c>
      <c r="AF106" s="84">
        <f t="shared" si="18"/>
        <v>-3.650000000197906E-2</v>
      </c>
      <c r="AG106" s="83">
        <f t="shared" si="19"/>
        <v>48.876000000047497</v>
      </c>
      <c r="AH106" s="83">
        <f t="shared" si="20"/>
        <v>24</v>
      </c>
      <c r="AI106" s="83">
        <f t="shared" si="21"/>
        <v>24.876000000047497</v>
      </c>
      <c r="AJ106" s="83">
        <f t="shared" si="22"/>
        <v>6.2711046791969025</v>
      </c>
      <c r="AK106" s="83"/>
      <c r="AL106" s="83"/>
      <c r="AM106" s="83"/>
      <c r="AN106" s="83"/>
      <c r="AO106" s="78"/>
    </row>
    <row r="107" spans="1:41" customFormat="1" ht="15" hidden="1" x14ac:dyDescent="0.25">
      <c r="A107" s="82">
        <v>45665</v>
      </c>
      <c r="B107" s="94" t="str">
        <f t="shared" si="12"/>
        <v>January</v>
      </c>
      <c r="C107" s="78"/>
      <c r="D107" s="79" t="s">
        <v>1172</v>
      </c>
      <c r="E107" s="79" t="s">
        <v>1017</v>
      </c>
      <c r="F107" s="79" t="s">
        <v>1269</v>
      </c>
      <c r="G107" s="79" t="s">
        <v>50</v>
      </c>
      <c r="H107" s="79" t="s">
        <v>457</v>
      </c>
      <c r="I107" s="79">
        <v>156</v>
      </c>
      <c r="J107" s="79" t="s">
        <v>1390</v>
      </c>
      <c r="K107" s="80" t="s">
        <v>469</v>
      </c>
      <c r="L107" s="79">
        <v>320</v>
      </c>
      <c r="M107" s="79">
        <v>323</v>
      </c>
      <c r="N107" s="81">
        <f t="shared" si="23"/>
        <v>3</v>
      </c>
      <c r="O107" s="78"/>
      <c r="P107" s="82">
        <f>R107-TIME(0,40,0)</f>
        <v>45665.331944444442</v>
      </c>
      <c r="Q107" s="82">
        <v>45665.3125</v>
      </c>
      <c r="R107" s="82">
        <v>45665.359722222223</v>
      </c>
      <c r="S107" s="81">
        <f t="shared" si="13"/>
        <v>67.685185186807459</v>
      </c>
      <c r="T107" s="81">
        <f t="shared" si="14"/>
        <v>39.814814819449872</v>
      </c>
      <c r="U107" s="79"/>
      <c r="V107" s="82">
        <v>45665.609722222223</v>
      </c>
      <c r="W107" s="82">
        <v>45665.838194444448</v>
      </c>
      <c r="X107" s="103">
        <f t="shared" si="15"/>
        <v>322.14583333698101</v>
      </c>
      <c r="Y107" s="82" t="s">
        <v>1040</v>
      </c>
      <c r="Z107" s="82">
        <v>45666.518194444448</v>
      </c>
      <c r="AA107" s="82">
        <f>Z107+TIME(0,56,0)</f>
        <v>45666.55708333334</v>
      </c>
      <c r="AB107" s="81">
        <f t="shared" si="16"/>
        <v>54.833333337664953</v>
      </c>
      <c r="AC107" s="80"/>
      <c r="AD107" s="83">
        <f t="shared" si="17"/>
        <v>1.1584722222251003</v>
      </c>
      <c r="AE107" s="80">
        <v>2</v>
      </c>
      <c r="AF107" s="84">
        <f t="shared" si="18"/>
        <v>0.84152777777489973</v>
      </c>
      <c r="AG107" s="83">
        <f t="shared" si="19"/>
        <v>27.803333333402406</v>
      </c>
      <c r="AH107" s="83">
        <f t="shared" si="20"/>
        <v>12</v>
      </c>
      <c r="AI107" s="83">
        <f t="shared" si="21"/>
        <v>15.803333333402406</v>
      </c>
      <c r="AJ107" s="83">
        <f t="shared" si="22"/>
        <v>9.8713351613152174</v>
      </c>
      <c r="AK107" s="83"/>
      <c r="AL107" s="83"/>
      <c r="AM107" s="83"/>
      <c r="AN107" s="83"/>
      <c r="AO107" s="78"/>
    </row>
    <row r="108" spans="1:41" customFormat="1" ht="15" hidden="1" x14ac:dyDescent="0.25">
      <c r="A108" s="82">
        <v>45665</v>
      </c>
      <c r="B108" s="94" t="str">
        <f t="shared" si="12"/>
        <v>January</v>
      </c>
      <c r="C108" s="78"/>
      <c r="D108" s="79" t="s">
        <v>1173</v>
      </c>
      <c r="E108" s="79" t="s">
        <v>1017</v>
      </c>
      <c r="F108" s="79" t="s">
        <v>1269</v>
      </c>
      <c r="G108" s="79" t="s">
        <v>50</v>
      </c>
      <c r="H108" s="79" t="s">
        <v>450</v>
      </c>
      <c r="I108" s="79">
        <v>156</v>
      </c>
      <c r="J108" s="79" t="s">
        <v>1391</v>
      </c>
      <c r="K108" s="80" t="s">
        <v>469</v>
      </c>
      <c r="L108" s="79">
        <v>230</v>
      </c>
      <c r="M108" s="79">
        <v>234</v>
      </c>
      <c r="N108" s="81">
        <f t="shared" si="23"/>
        <v>4</v>
      </c>
      <c r="O108" s="78"/>
      <c r="P108" s="82">
        <f>R108-TIME(0,40,0)</f>
        <v>45665.345833333326</v>
      </c>
      <c r="Q108" s="82">
        <v>45665.3125</v>
      </c>
      <c r="R108" s="82">
        <v>45665.373611111107</v>
      </c>
      <c r="S108" s="81">
        <f t="shared" si="13"/>
        <v>87.592592586103521</v>
      </c>
      <c r="T108" s="81">
        <f t="shared" si="14"/>
        <v>39.814814819449872</v>
      </c>
      <c r="U108" s="79"/>
      <c r="V108" s="82">
        <v>45666.415277777771</v>
      </c>
      <c r="W108" s="82">
        <v>45666.809027777774</v>
      </c>
      <c r="X108" s="103">
        <f t="shared" si="15"/>
        <v>555.18750000410364</v>
      </c>
      <c r="Y108" s="82" t="s">
        <v>1044</v>
      </c>
      <c r="Z108" s="82">
        <v>45667.519027777773</v>
      </c>
      <c r="AA108" s="82">
        <f>Z108+TIME(0,50,0)</f>
        <v>45667.553749999992</v>
      </c>
      <c r="AB108" s="81">
        <f t="shared" si="16"/>
        <v>48.958333328773733</v>
      </c>
      <c r="AC108" s="80"/>
      <c r="AD108" s="83">
        <f t="shared" si="17"/>
        <v>2.1454166666662786</v>
      </c>
      <c r="AE108" s="80">
        <v>2</v>
      </c>
      <c r="AF108" s="84">
        <f t="shared" si="18"/>
        <v>-0.14541666666627862</v>
      </c>
      <c r="AG108" s="83">
        <f t="shared" si="19"/>
        <v>51.489999999990687</v>
      </c>
      <c r="AH108" s="83">
        <f t="shared" si="20"/>
        <v>24</v>
      </c>
      <c r="AI108" s="83">
        <f t="shared" si="21"/>
        <v>27.489999999990687</v>
      </c>
      <c r="AJ108" s="83">
        <f t="shared" si="22"/>
        <v>5.6747908330321151</v>
      </c>
      <c r="AK108" s="83"/>
      <c r="AL108" s="83"/>
      <c r="AM108" s="83"/>
      <c r="AN108" s="83"/>
      <c r="AO108" s="78"/>
    </row>
    <row r="109" spans="1:41" customFormat="1" ht="15" hidden="1" x14ac:dyDescent="0.25">
      <c r="A109" s="82">
        <v>45665</v>
      </c>
      <c r="B109" s="94" t="str">
        <f t="shared" si="12"/>
        <v>January</v>
      </c>
      <c r="C109" s="78"/>
      <c r="D109" s="79" t="s">
        <v>1174</v>
      </c>
      <c r="E109" s="79" t="s">
        <v>1017</v>
      </c>
      <c r="F109" s="79"/>
      <c r="G109" s="79" t="s">
        <v>50</v>
      </c>
      <c r="H109" s="79" t="s">
        <v>455</v>
      </c>
      <c r="I109" s="79">
        <v>156</v>
      </c>
      <c r="J109" s="79" t="s">
        <v>1392</v>
      </c>
      <c r="K109" s="80" t="s">
        <v>469</v>
      </c>
      <c r="L109" s="79">
        <v>480</v>
      </c>
      <c r="M109" s="80">
        <f>L109-1</f>
        <v>479</v>
      </c>
      <c r="N109" s="81">
        <f t="shared" si="23"/>
        <v>-1</v>
      </c>
      <c r="O109" s="78"/>
      <c r="P109" s="82">
        <v>45665.331944444442</v>
      </c>
      <c r="Q109" s="82">
        <v>45665.3125</v>
      </c>
      <c r="R109" s="82">
        <v>45665.359722222223</v>
      </c>
      <c r="S109" s="81">
        <f t="shared" si="13"/>
        <v>67.685185186807459</v>
      </c>
      <c r="T109" s="81">
        <f t="shared" si="14"/>
        <v>39.814814819449872</v>
      </c>
      <c r="U109" s="79"/>
      <c r="V109" s="82">
        <v>45666.432638888888</v>
      </c>
      <c r="W109" s="82">
        <v>45666.716666666667</v>
      </c>
      <c r="X109" s="103">
        <f t="shared" si="15"/>
        <v>400.47916666917445</v>
      </c>
      <c r="Y109" s="82" t="s">
        <v>1039</v>
      </c>
      <c r="Z109" s="82">
        <v>45667.818566666669</v>
      </c>
      <c r="AA109" s="82">
        <f>Z109+TIME(0,57,0)</f>
        <v>45667.85815</v>
      </c>
      <c r="AB109" s="81">
        <f t="shared" si="16"/>
        <v>55.81249999726424</v>
      </c>
      <c r="AC109" s="80"/>
      <c r="AD109" s="83">
        <f t="shared" si="17"/>
        <v>2.4588444444452762</v>
      </c>
      <c r="AE109" s="80">
        <v>2</v>
      </c>
      <c r="AF109" s="84">
        <f t="shared" si="18"/>
        <v>-0.45884444444527617</v>
      </c>
      <c r="AG109" s="83">
        <f t="shared" si="19"/>
        <v>59.012266666686628</v>
      </c>
      <c r="AH109" s="83">
        <f t="shared" si="20"/>
        <v>24</v>
      </c>
      <c r="AI109" s="83">
        <f t="shared" si="21"/>
        <v>35.012266666686628</v>
      </c>
      <c r="AJ109" s="83">
        <f t="shared" si="22"/>
        <v>4.4555812819862481</v>
      </c>
      <c r="AK109" s="83"/>
      <c r="AL109" s="83"/>
      <c r="AM109" s="83"/>
      <c r="AN109" s="83"/>
      <c r="AO109" s="78"/>
    </row>
    <row r="110" spans="1:41" customFormat="1" ht="15" hidden="1" x14ac:dyDescent="0.25">
      <c r="A110" s="82">
        <v>45665.505335648151</v>
      </c>
      <c r="B110" s="94" t="str">
        <f t="shared" si="12"/>
        <v>January</v>
      </c>
      <c r="C110" s="78"/>
      <c r="D110" s="79" t="s">
        <v>1175</v>
      </c>
      <c r="E110" s="79" t="s">
        <v>1017</v>
      </c>
      <c r="F110" s="79"/>
      <c r="G110" s="79" t="s">
        <v>53</v>
      </c>
      <c r="H110" s="79" t="s">
        <v>458</v>
      </c>
      <c r="I110" s="79">
        <v>156</v>
      </c>
      <c r="J110" s="79" t="s">
        <v>1393</v>
      </c>
      <c r="K110" s="80" t="s">
        <v>469</v>
      </c>
      <c r="L110" s="79">
        <v>470</v>
      </c>
      <c r="M110" s="79">
        <v>465</v>
      </c>
      <c r="N110" s="81">
        <f t="shared" si="23"/>
        <v>-5</v>
      </c>
      <c r="O110" s="78"/>
      <c r="P110" s="82">
        <f>R110-TIME(0,56,0)</f>
        <v>45666.030335648145</v>
      </c>
      <c r="Q110" s="82">
        <v>45666.005335648151</v>
      </c>
      <c r="R110" s="82">
        <v>45666.069224537037</v>
      </c>
      <c r="S110" s="81">
        <f t="shared" si="13"/>
        <v>91.574074070134273</v>
      </c>
      <c r="T110" s="81">
        <f t="shared" si="14"/>
        <v>55.740740745144045</v>
      </c>
      <c r="U110" s="79" t="s">
        <v>1682</v>
      </c>
      <c r="V110" s="82">
        <v>45667.069224537037</v>
      </c>
      <c r="W110" s="82">
        <v>45667.308807870373</v>
      </c>
      <c r="X110" s="103">
        <f t="shared" si="15"/>
        <v>337.8125000034197</v>
      </c>
      <c r="Y110" s="82" t="s">
        <v>1044</v>
      </c>
      <c r="Z110" s="82">
        <v>45668.303807870376</v>
      </c>
      <c r="AA110" s="82">
        <f>Z110+TIME(0,54,0)</f>
        <v>45668.341307870374</v>
      </c>
      <c r="AB110" s="81">
        <f t="shared" si="16"/>
        <v>52.87499999794818</v>
      </c>
      <c r="AC110" s="80"/>
      <c r="AD110" s="83">
        <f t="shared" si="17"/>
        <v>2.234583333338378</v>
      </c>
      <c r="AE110" s="80">
        <v>2</v>
      </c>
      <c r="AF110" s="84">
        <f t="shared" si="18"/>
        <v>-0.234583333338378</v>
      </c>
      <c r="AG110" s="83">
        <f t="shared" si="19"/>
        <v>53.630000000121072</v>
      </c>
      <c r="AH110" s="83">
        <f t="shared" si="20"/>
        <v>24</v>
      </c>
      <c r="AI110" s="83">
        <f t="shared" si="21"/>
        <v>29.630000000121072</v>
      </c>
      <c r="AJ110" s="83">
        <f t="shared" si="22"/>
        <v>5.2649341883011331</v>
      </c>
      <c r="AK110" s="83"/>
      <c r="AL110" s="83"/>
      <c r="AM110" s="83"/>
      <c r="AN110" s="83"/>
      <c r="AO110" s="78"/>
    </row>
    <row r="111" spans="1:41" customFormat="1" ht="15" hidden="1" x14ac:dyDescent="0.25">
      <c r="A111" s="82">
        <v>45665.540567129632</v>
      </c>
      <c r="B111" s="94" t="str">
        <f t="shared" si="12"/>
        <v>January</v>
      </c>
      <c r="C111" s="78"/>
      <c r="D111" s="79" t="s">
        <v>1176</v>
      </c>
      <c r="E111" s="79" t="s">
        <v>1016</v>
      </c>
      <c r="F111" s="79" t="s">
        <v>1278</v>
      </c>
      <c r="G111" s="79" t="s">
        <v>45</v>
      </c>
      <c r="H111" s="79" t="s">
        <v>460</v>
      </c>
      <c r="I111" s="79">
        <v>156</v>
      </c>
      <c r="J111" s="79" t="s">
        <v>1394</v>
      </c>
      <c r="K111" s="80" t="s">
        <v>469</v>
      </c>
      <c r="L111" s="80">
        <v>600</v>
      </c>
      <c r="M111" s="79">
        <v>603</v>
      </c>
      <c r="N111" s="81">
        <f t="shared" si="23"/>
        <v>3</v>
      </c>
      <c r="O111" s="78"/>
      <c r="P111" s="82">
        <f>R111-TIME(0,44,0)</f>
        <v>45665.56527777778</v>
      </c>
      <c r="Q111" s="82">
        <v>45665.85</v>
      </c>
      <c r="R111" s="82">
        <v>45665.595833333333</v>
      </c>
      <c r="S111" s="81">
        <f t="shared" si="13"/>
        <v>-364.30555555416504</v>
      </c>
      <c r="T111" s="81">
        <f t="shared" si="14"/>
        <v>43.796296293051761</v>
      </c>
      <c r="U111" s="79"/>
      <c r="V111" s="82">
        <v>45666.370833333334</v>
      </c>
      <c r="W111" s="82">
        <v>45666.495138888888</v>
      </c>
      <c r="X111" s="103">
        <f t="shared" si="15"/>
        <v>175.27083333014161</v>
      </c>
      <c r="Y111" s="82"/>
      <c r="Z111" s="82">
        <v>45666.852777777778</v>
      </c>
      <c r="AA111" s="82">
        <f>Z111+TIME(0,56,0)</f>
        <v>45666.89166666667</v>
      </c>
      <c r="AB111" s="81">
        <f t="shared" si="16"/>
        <v>54.833333337664953</v>
      </c>
      <c r="AC111" s="80"/>
      <c r="AD111" s="83">
        <f t="shared" si="17"/>
        <v>1.2569444444452529</v>
      </c>
      <c r="AE111" s="80">
        <v>2</v>
      </c>
      <c r="AF111" s="84">
        <f t="shared" si="18"/>
        <v>0.74305555555474712</v>
      </c>
      <c r="AG111" s="83">
        <f t="shared" si="19"/>
        <v>30.166666666686069</v>
      </c>
      <c r="AH111" s="83">
        <f t="shared" si="20"/>
        <v>12</v>
      </c>
      <c r="AI111" s="83">
        <f t="shared" si="21"/>
        <v>18.166666666686069</v>
      </c>
      <c r="AJ111" s="83">
        <f t="shared" si="22"/>
        <v>8.587155963293581</v>
      </c>
      <c r="AK111" s="83"/>
      <c r="AL111" s="83"/>
      <c r="AM111" s="83"/>
      <c r="AN111" s="83"/>
      <c r="AO111" s="78"/>
    </row>
    <row r="112" spans="1:41" customFormat="1" ht="15" hidden="1" x14ac:dyDescent="0.25">
      <c r="A112" s="82">
        <v>45665.552395833336</v>
      </c>
      <c r="B112" s="94" t="str">
        <f t="shared" si="12"/>
        <v>January</v>
      </c>
      <c r="C112" s="78"/>
      <c r="D112" s="79" t="s">
        <v>1177</v>
      </c>
      <c r="E112" s="79" t="s">
        <v>1017</v>
      </c>
      <c r="F112" s="79" t="s">
        <v>1270</v>
      </c>
      <c r="G112" s="79" t="s">
        <v>1262</v>
      </c>
      <c r="H112" s="79" t="s">
        <v>997</v>
      </c>
      <c r="I112" s="79">
        <v>153.60000000000002</v>
      </c>
      <c r="J112" s="79" t="s">
        <v>1395</v>
      </c>
      <c r="K112" s="80" t="s">
        <v>469</v>
      </c>
      <c r="L112" s="80">
        <v>414</v>
      </c>
      <c r="M112" s="80">
        <f>L112-1</f>
        <v>413</v>
      </c>
      <c r="N112" s="81">
        <f t="shared" si="23"/>
        <v>-1</v>
      </c>
      <c r="O112" s="78"/>
      <c r="P112" s="82">
        <f>R112-TIME(0,40,0)</f>
        <v>45666.578090277777</v>
      </c>
      <c r="Q112" s="82">
        <v>45666.052395833336</v>
      </c>
      <c r="R112" s="82">
        <v>45666.605868055558</v>
      </c>
      <c r="S112" s="81">
        <f t="shared" si="13"/>
        <v>793.31018518472172</v>
      </c>
      <c r="T112" s="81">
        <f t="shared" si="14"/>
        <v>39.814814819449872</v>
      </c>
      <c r="U112" s="79"/>
      <c r="V112" s="82">
        <v>45666.880173611113</v>
      </c>
      <c r="W112" s="82">
        <v>45667.570173611115</v>
      </c>
      <c r="X112" s="103">
        <f t="shared" si="15"/>
        <v>972.90000000328291</v>
      </c>
      <c r="Y112" s="82" t="s">
        <v>1044</v>
      </c>
      <c r="Z112" s="82">
        <v>45668.330173611117</v>
      </c>
      <c r="AA112" s="82">
        <v>45668.369062500009</v>
      </c>
      <c r="AB112" s="81">
        <f t="shared" si="16"/>
        <v>54.833333337664953</v>
      </c>
      <c r="AC112" s="80"/>
      <c r="AD112" s="83">
        <f t="shared" si="17"/>
        <v>1.7243055555591127</v>
      </c>
      <c r="AE112" s="80">
        <v>2</v>
      </c>
      <c r="AF112" s="84">
        <f t="shared" si="18"/>
        <v>0.27569444444088731</v>
      </c>
      <c r="AG112" s="83">
        <f t="shared" si="19"/>
        <v>41.383333333418705</v>
      </c>
      <c r="AH112" s="83">
        <f t="shared" si="20"/>
        <v>12</v>
      </c>
      <c r="AI112" s="83">
        <f t="shared" si="21"/>
        <v>29.383333333418705</v>
      </c>
      <c r="AJ112" s="83">
        <f t="shared" si="22"/>
        <v>5.2274532047494189</v>
      </c>
      <c r="AK112" s="83"/>
      <c r="AL112" s="83"/>
      <c r="AM112" s="83"/>
      <c r="AN112" s="83"/>
      <c r="AO112" s="78"/>
    </row>
    <row r="113" spans="1:41" customFormat="1" ht="15" hidden="1" x14ac:dyDescent="0.25">
      <c r="A113" s="82">
        <v>45665.667592592596</v>
      </c>
      <c r="B113" s="94" t="str">
        <f t="shared" si="12"/>
        <v>January</v>
      </c>
      <c r="C113" s="78"/>
      <c r="D113" s="79" t="s">
        <v>1178</v>
      </c>
      <c r="E113" s="79" t="s">
        <v>1016</v>
      </c>
      <c r="F113" s="79" t="s">
        <v>951</v>
      </c>
      <c r="G113" s="79" t="s">
        <v>968</v>
      </c>
      <c r="H113" s="79" t="s">
        <v>461</v>
      </c>
      <c r="I113" s="79">
        <v>153.60000000000002</v>
      </c>
      <c r="J113" s="79" t="s">
        <v>1396</v>
      </c>
      <c r="K113" s="80" t="s">
        <v>469</v>
      </c>
      <c r="L113" s="79">
        <v>340</v>
      </c>
      <c r="M113" s="79">
        <v>151</v>
      </c>
      <c r="N113" s="81">
        <f t="shared" si="23"/>
        <v>-189</v>
      </c>
      <c r="O113" s="78" t="s">
        <v>1686</v>
      </c>
      <c r="P113" s="82">
        <f>R113-TIME(0,43,0)</f>
        <v>45665.706944444442</v>
      </c>
      <c r="Q113" s="82">
        <v>45666.176388888889</v>
      </c>
      <c r="R113" s="82">
        <v>45665.736805555556</v>
      </c>
      <c r="S113" s="81">
        <f t="shared" si="13"/>
        <v>-630.06944444374915</v>
      </c>
      <c r="T113" s="81">
        <f t="shared" si="14"/>
        <v>42.80092592986572</v>
      </c>
      <c r="U113" s="79"/>
      <c r="V113" s="82">
        <v>45665.850694444445</v>
      </c>
      <c r="W113" s="82">
        <v>45666.542361111111</v>
      </c>
      <c r="X113" s="103">
        <f t="shared" si="15"/>
        <v>975.24999999863212</v>
      </c>
      <c r="Y113" s="82" t="s">
        <v>1044</v>
      </c>
      <c r="Z113" s="82">
        <v>45666.67291666667</v>
      </c>
      <c r="AA113" s="82">
        <f>Z113+TIME(0,56,0)</f>
        <v>45666.711805555562</v>
      </c>
      <c r="AB113" s="81">
        <f t="shared" si="16"/>
        <v>54.833333337664953</v>
      </c>
      <c r="AC113" s="80"/>
      <c r="AD113" s="83">
        <f t="shared" si="17"/>
        <v>0.93611111111385981</v>
      </c>
      <c r="AE113" s="80">
        <v>2</v>
      </c>
      <c r="AF113" s="84">
        <f t="shared" si="18"/>
        <v>1.0638888888861402</v>
      </c>
      <c r="AG113" s="83">
        <f t="shared" si="19"/>
        <v>22.466666666732635</v>
      </c>
      <c r="AH113" s="83">
        <f t="shared" si="20"/>
        <v>0</v>
      </c>
      <c r="AI113" s="83">
        <f t="shared" si="21"/>
        <v>22.466666666732635</v>
      </c>
      <c r="AJ113" s="83">
        <f t="shared" si="22"/>
        <v>6.8367952522054454</v>
      </c>
      <c r="AK113" s="83"/>
      <c r="AL113" s="83"/>
      <c r="AM113" s="83"/>
      <c r="AN113" s="83"/>
      <c r="AO113" s="78"/>
    </row>
    <row r="114" spans="1:41" customFormat="1" ht="15" hidden="1" x14ac:dyDescent="0.25">
      <c r="A114" s="82">
        <v>45665.785509259258</v>
      </c>
      <c r="B114" s="94" t="str">
        <f t="shared" si="12"/>
        <v>January</v>
      </c>
      <c r="C114" s="78"/>
      <c r="D114" s="79" t="s">
        <v>1179</v>
      </c>
      <c r="E114" s="79" t="s">
        <v>1016</v>
      </c>
      <c r="F114" s="79" t="s">
        <v>962</v>
      </c>
      <c r="G114" s="79" t="s">
        <v>978</v>
      </c>
      <c r="H114" s="79" t="s">
        <v>1282</v>
      </c>
      <c r="I114" s="79">
        <v>153.60000000000002</v>
      </c>
      <c r="J114" s="79" t="s">
        <v>1397</v>
      </c>
      <c r="K114" s="80" t="s">
        <v>469</v>
      </c>
      <c r="L114" s="79">
        <v>810</v>
      </c>
      <c r="M114" s="80">
        <f>L114-1</f>
        <v>809</v>
      </c>
      <c r="N114" s="81">
        <f t="shared" si="23"/>
        <v>-1</v>
      </c>
      <c r="O114" s="78"/>
      <c r="P114" s="82">
        <f>R114-TIME(0,40,0)</f>
        <v>45666.274305555555</v>
      </c>
      <c r="Q114" s="82">
        <v>45665.833333333336</v>
      </c>
      <c r="R114" s="82">
        <v>45666.302083333336</v>
      </c>
      <c r="S114" s="81">
        <f t="shared" si="13"/>
        <v>671.875</v>
      </c>
      <c r="T114" s="81">
        <f t="shared" si="14"/>
        <v>39.814814819449872</v>
      </c>
      <c r="U114" s="79"/>
      <c r="V114" s="82">
        <v>45666.775694444441</v>
      </c>
      <c r="W114" s="82">
        <v>45667.629861111112</v>
      </c>
      <c r="X114" s="103">
        <f t="shared" si="15"/>
        <v>1204.3750000068394</v>
      </c>
      <c r="Y114" s="82" t="s">
        <v>1049</v>
      </c>
      <c r="Z114" s="82">
        <v>45668.711805555555</v>
      </c>
      <c r="AA114" s="82">
        <f>Z114+TIME(0,48,0)</f>
        <v>45668.745138888888</v>
      </c>
      <c r="AB114" s="81">
        <f t="shared" si="16"/>
        <v>46.99999999931606</v>
      </c>
      <c r="AC114" s="80"/>
      <c r="AD114" s="83">
        <f t="shared" si="17"/>
        <v>2.4097222222189885</v>
      </c>
      <c r="AE114" s="80">
        <v>3</v>
      </c>
      <c r="AF114" s="84">
        <f t="shared" si="18"/>
        <v>0.59027777778101154</v>
      </c>
      <c r="AG114" s="83">
        <f t="shared" si="19"/>
        <v>57.833333333255723</v>
      </c>
      <c r="AH114" s="83">
        <f t="shared" si="20"/>
        <v>24</v>
      </c>
      <c r="AI114" s="83">
        <f t="shared" si="21"/>
        <v>33.833333333255723</v>
      </c>
      <c r="AJ114" s="83">
        <f t="shared" si="22"/>
        <v>4.5399014778429274</v>
      </c>
      <c r="AK114" s="83"/>
      <c r="AL114" s="83"/>
      <c r="AM114" s="83"/>
      <c r="AN114" s="83"/>
      <c r="AO114" s="78"/>
    </row>
    <row r="115" spans="1:41" customFormat="1" ht="15" hidden="1" x14ac:dyDescent="0.25">
      <c r="A115" s="82">
        <v>45665.786203703705</v>
      </c>
      <c r="B115" s="94" t="str">
        <f t="shared" si="12"/>
        <v>January</v>
      </c>
      <c r="C115" s="78"/>
      <c r="D115" s="79" t="s">
        <v>1180</v>
      </c>
      <c r="E115" s="79" t="s">
        <v>1017</v>
      </c>
      <c r="F115" s="79" t="s">
        <v>1275</v>
      </c>
      <c r="G115" s="79" t="s">
        <v>1264</v>
      </c>
      <c r="H115" s="79" t="s">
        <v>468</v>
      </c>
      <c r="I115" s="79">
        <v>152.02500000000001</v>
      </c>
      <c r="J115" s="79" t="s">
        <v>1398</v>
      </c>
      <c r="K115" s="80" t="s">
        <v>469</v>
      </c>
      <c r="L115" s="79">
        <v>20</v>
      </c>
      <c r="M115" s="79">
        <v>12</v>
      </c>
      <c r="N115" s="81">
        <f t="shared" si="23"/>
        <v>-8</v>
      </c>
      <c r="O115" s="78"/>
      <c r="P115" s="82">
        <v>45666.332037037035</v>
      </c>
      <c r="Q115" s="82">
        <v>45666.312592592592</v>
      </c>
      <c r="R115" s="82">
        <v>45666.359814814816</v>
      </c>
      <c r="S115" s="81">
        <f t="shared" si="13"/>
        <v>67.685185186807459</v>
      </c>
      <c r="T115" s="81">
        <f t="shared" si="14"/>
        <v>39.814814819449872</v>
      </c>
      <c r="U115" s="79"/>
      <c r="V115" s="82">
        <v>45666.388981481483</v>
      </c>
      <c r="W115" s="82">
        <v>45666.484814814816</v>
      </c>
      <c r="X115" s="103">
        <f t="shared" si="15"/>
        <v>135.12499999931606</v>
      </c>
      <c r="Y115" s="82"/>
      <c r="Z115" s="82">
        <v>45666.507037037038</v>
      </c>
      <c r="AA115" s="82">
        <f>Z115+TIME(0,58,0)</f>
        <v>45666.547314814816</v>
      </c>
      <c r="AB115" s="81">
        <f t="shared" si="16"/>
        <v>56.791666667122627</v>
      </c>
      <c r="AC115" s="80"/>
      <c r="AD115" s="83">
        <f t="shared" si="17"/>
        <v>0.14722222222189885</v>
      </c>
      <c r="AE115" s="80">
        <v>2</v>
      </c>
      <c r="AF115" s="84">
        <f t="shared" si="18"/>
        <v>1.8527777777781012</v>
      </c>
      <c r="AG115" s="83">
        <f t="shared" si="19"/>
        <v>3.5333333333255723</v>
      </c>
      <c r="AH115" s="83">
        <f t="shared" si="20"/>
        <v>0</v>
      </c>
      <c r="AI115" s="83">
        <f t="shared" si="21"/>
        <v>3.5333333333255723</v>
      </c>
      <c r="AJ115" s="83">
        <f t="shared" si="22"/>
        <v>43.025943396320926</v>
      </c>
      <c r="AK115" s="83"/>
      <c r="AL115" s="83"/>
      <c r="AM115" s="83"/>
      <c r="AN115" s="83"/>
      <c r="AO115" s="78"/>
    </row>
    <row r="116" spans="1:41" customFormat="1" ht="15" hidden="1" x14ac:dyDescent="0.25">
      <c r="A116" s="82">
        <v>45665.788773148146</v>
      </c>
      <c r="B116" s="94" t="str">
        <f t="shared" si="12"/>
        <v>January</v>
      </c>
      <c r="C116" s="78"/>
      <c r="D116" s="79" t="s">
        <v>1181</v>
      </c>
      <c r="E116" s="79" t="s">
        <v>1016</v>
      </c>
      <c r="F116" s="79" t="s">
        <v>1268</v>
      </c>
      <c r="G116" s="79" t="s">
        <v>52</v>
      </c>
      <c r="H116" s="79" t="s">
        <v>464</v>
      </c>
      <c r="I116" s="79">
        <v>156</v>
      </c>
      <c r="J116" s="79" t="s">
        <v>1399</v>
      </c>
      <c r="K116" s="80" t="s">
        <v>469</v>
      </c>
      <c r="L116" s="79">
        <v>256</v>
      </c>
      <c r="M116" s="79">
        <v>254</v>
      </c>
      <c r="N116" s="81">
        <f t="shared" si="23"/>
        <v>-2</v>
      </c>
      <c r="O116" s="78"/>
      <c r="P116" s="82">
        <f>R116-TIME(0,41,0)</f>
        <v>45665.844444444447</v>
      </c>
      <c r="Q116" s="82">
        <v>45666.169444444444</v>
      </c>
      <c r="R116" s="82">
        <v>45665.872916666667</v>
      </c>
      <c r="S116" s="81">
        <f t="shared" si="13"/>
        <v>-425.0231481465259</v>
      </c>
      <c r="T116" s="81">
        <f t="shared" si="14"/>
        <v>40.810185182635905</v>
      </c>
      <c r="U116" s="79"/>
      <c r="V116" s="82">
        <v>45666.359027777777</v>
      </c>
      <c r="W116" s="82">
        <v>45666.747916666667</v>
      </c>
      <c r="X116" s="103">
        <f t="shared" si="15"/>
        <v>548.33333333561313</v>
      </c>
      <c r="Y116" s="82" t="s">
        <v>1047</v>
      </c>
      <c r="Z116" s="82">
        <v>45667.375694444447</v>
      </c>
      <c r="AA116" s="82">
        <f>Z116+TIME(0,58,0)</f>
        <v>45667.415972222225</v>
      </c>
      <c r="AB116" s="81">
        <f t="shared" si="16"/>
        <v>56.791666667122627</v>
      </c>
      <c r="AC116" s="80"/>
      <c r="AD116" s="83">
        <f t="shared" si="17"/>
        <v>1.5027777777795563</v>
      </c>
      <c r="AE116" s="80">
        <v>2</v>
      </c>
      <c r="AF116" s="84">
        <f t="shared" si="18"/>
        <v>0.49722222222044365</v>
      </c>
      <c r="AG116" s="83">
        <f t="shared" si="19"/>
        <v>36.066666666709352</v>
      </c>
      <c r="AH116" s="83">
        <f t="shared" si="20"/>
        <v>12</v>
      </c>
      <c r="AI116" s="83">
        <f t="shared" si="21"/>
        <v>24.066666666709352</v>
      </c>
      <c r="AJ116" s="83">
        <f t="shared" si="22"/>
        <v>6.4819944598222987</v>
      </c>
      <c r="AK116" s="83"/>
      <c r="AL116" s="83"/>
      <c r="AM116" s="83"/>
      <c r="AN116" s="83"/>
      <c r="AO116" s="78"/>
    </row>
    <row r="117" spans="1:41" customFormat="1" ht="15" hidden="1" x14ac:dyDescent="0.25">
      <c r="A117" s="82">
        <v>45665.78943287037</v>
      </c>
      <c r="B117" s="94" t="str">
        <f t="shared" si="12"/>
        <v>January</v>
      </c>
      <c r="C117" s="78"/>
      <c r="D117" s="79" t="s">
        <v>1182</v>
      </c>
      <c r="E117" s="79" t="s">
        <v>1016</v>
      </c>
      <c r="F117" s="79" t="s">
        <v>954</v>
      </c>
      <c r="G117" s="79" t="s">
        <v>971</v>
      </c>
      <c r="H117" s="79" t="s">
        <v>1282</v>
      </c>
      <c r="I117" s="79">
        <v>153.60000000000002</v>
      </c>
      <c r="J117" s="79" t="s">
        <v>1400</v>
      </c>
      <c r="K117" s="80" t="s">
        <v>469</v>
      </c>
      <c r="L117" s="79">
        <v>810</v>
      </c>
      <c r="M117" s="79">
        <v>804</v>
      </c>
      <c r="N117" s="81">
        <f t="shared" si="23"/>
        <v>-6</v>
      </c>
      <c r="O117" s="78"/>
      <c r="P117" s="82">
        <f>R117-TIME(0,41,0)</f>
        <v>45665.799305555556</v>
      </c>
      <c r="Q117" s="82">
        <v>45665.833333333336</v>
      </c>
      <c r="R117" s="82">
        <v>45665.827777777777</v>
      </c>
      <c r="S117" s="81">
        <f t="shared" si="13"/>
        <v>-7.9629629680615226</v>
      </c>
      <c r="T117" s="81">
        <f t="shared" si="14"/>
        <v>40.810185182635905</v>
      </c>
      <c r="U117" s="79"/>
      <c r="V117" s="82">
        <v>45666.556250000001</v>
      </c>
      <c r="W117" s="82">
        <v>45667.5625</v>
      </c>
      <c r="X117" s="103">
        <f t="shared" si="15"/>
        <v>1418.8124999979482</v>
      </c>
      <c r="Y117" s="82" t="s">
        <v>1049</v>
      </c>
      <c r="Z117" s="82">
        <v>45669.524305555555</v>
      </c>
      <c r="AA117" s="82">
        <f>Z117+TIME(0,59,0)</f>
        <v>45669.56527777778</v>
      </c>
      <c r="AB117" s="81">
        <f t="shared" si="16"/>
        <v>57.770833336981013</v>
      </c>
      <c r="AC117" s="80"/>
      <c r="AD117" s="83">
        <f t="shared" si="17"/>
        <v>3.6965277777781012</v>
      </c>
      <c r="AE117" s="80">
        <v>3</v>
      </c>
      <c r="AF117" s="84">
        <f t="shared" si="18"/>
        <v>-0.69652777777810115</v>
      </c>
      <c r="AG117" s="83">
        <f t="shared" si="19"/>
        <v>88.716666666674428</v>
      </c>
      <c r="AH117" s="83">
        <f t="shared" si="20"/>
        <v>36</v>
      </c>
      <c r="AI117" s="83">
        <f t="shared" si="21"/>
        <v>52.716666666674428</v>
      </c>
      <c r="AJ117" s="83">
        <f t="shared" si="22"/>
        <v>2.9136895352509153</v>
      </c>
      <c r="AK117" s="83"/>
      <c r="AL117" s="83"/>
      <c r="AM117" s="83"/>
      <c r="AN117" s="83"/>
      <c r="AO117" s="78"/>
    </row>
    <row r="118" spans="1:41" customFormat="1" ht="15" hidden="1" x14ac:dyDescent="0.25">
      <c r="A118" s="82">
        <v>45665.790231481478</v>
      </c>
      <c r="B118" s="94" t="str">
        <f t="shared" si="12"/>
        <v>January</v>
      </c>
      <c r="C118" s="78"/>
      <c r="D118" s="79" t="s">
        <v>1183</v>
      </c>
      <c r="E118" s="79" t="s">
        <v>1016</v>
      </c>
      <c r="F118" s="79" t="s">
        <v>965</v>
      </c>
      <c r="G118" s="79" t="s">
        <v>980</v>
      </c>
      <c r="H118" s="79" t="s">
        <v>459</v>
      </c>
      <c r="I118" s="79">
        <v>153.60000000000002</v>
      </c>
      <c r="J118" s="79" t="s">
        <v>1401</v>
      </c>
      <c r="K118" s="80" t="s">
        <v>469</v>
      </c>
      <c r="L118" s="79">
        <v>560</v>
      </c>
      <c r="M118" s="80">
        <f>L118-1</f>
        <v>559</v>
      </c>
      <c r="N118" s="81">
        <f t="shared" si="23"/>
        <v>-1</v>
      </c>
      <c r="O118" s="78"/>
      <c r="P118" s="82">
        <f>R118-TIME(0,40,0)</f>
        <v>45665.785416666666</v>
      </c>
      <c r="Q118" s="82">
        <v>45665.842361111114</v>
      </c>
      <c r="R118" s="82">
        <v>45665.813194444447</v>
      </c>
      <c r="S118" s="81">
        <f t="shared" si="13"/>
        <v>-41.805555556250816</v>
      </c>
      <c r="T118" s="81">
        <f t="shared" si="14"/>
        <v>39.814814819449872</v>
      </c>
      <c r="U118" s="79"/>
      <c r="V118" s="82">
        <v>45666.59375</v>
      </c>
      <c r="W118" s="82">
        <v>45666.790277777778</v>
      </c>
      <c r="X118" s="103">
        <f t="shared" si="15"/>
        <v>277.10416666712263</v>
      </c>
      <c r="Y118" s="82" t="s">
        <v>1046</v>
      </c>
      <c r="Z118" s="82">
        <v>45667.724999999999</v>
      </c>
      <c r="AA118" s="82">
        <v>45667.761111111111</v>
      </c>
      <c r="AB118" s="81">
        <f t="shared" si="16"/>
        <v>50.916666668490507</v>
      </c>
      <c r="AC118" s="80"/>
      <c r="AD118" s="83">
        <f t="shared" si="17"/>
        <v>1.9118055555518367</v>
      </c>
      <c r="AE118" s="80">
        <v>3</v>
      </c>
      <c r="AF118" s="84">
        <f t="shared" si="18"/>
        <v>1.0881944444481633</v>
      </c>
      <c r="AG118" s="83">
        <f t="shared" si="19"/>
        <v>45.883333333244082</v>
      </c>
      <c r="AH118" s="83">
        <f t="shared" si="20"/>
        <v>12</v>
      </c>
      <c r="AI118" s="83">
        <f t="shared" si="21"/>
        <v>33.883333333244082</v>
      </c>
      <c r="AJ118" s="83">
        <f t="shared" si="22"/>
        <v>4.5332021643011693</v>
      </c>
      <c r="AK118" s="83"/>
      <c r="AL118" s="83"/>
      <c r="AM118" s="83"/>
      <c r="AN118" s="83"/>
      <c r="AO118" s="78"/>
    </row>
    <row r="119" spans="1:41" customFormat="1" ht="15" hidden="1" x14ac:dyDescent="0.25">
      <c r="A119" s="82">
        <v>45665.805324074077</v>
      </c>
      <c r="B119" s="94" t="str">
        <f t="shared" si="12"/>
        <v>January</v>
      </c>
      <c r="C119" s="78"/>
      <c r="D119" s="79" t="s">
        <v>1184</v>
      </c>
      <c r="E119" s="79" t="s">
        <v>1016</v>
      </c>
      <c r="F119" s="79" t="s">
        <v>958</v>
      </c>
      <c r="G119" s="79" t="s">
        <v>975</v>
      </c>
      <c r="H119" s="79" t="s">
        <v>461</v>
      </c>
      <c r="I119" s="79">
        <v>153.60000000000002</v>
      </c>
      <c r="J119" s="79" t="s">
        <v>1402</v>
      </c>
      <c r="K119" s="80" t="s">
        <v>469</v>
      </c>
      <c r="L119" s="79">
        <v>340</v>
      </c>
      <c r="M119" s="79">
        <v>300</v>
      </c>
      <c r="N119" s="81">
        <f t="shared" si="23"/>
        <v>-40</v>
      </c>
      <c r="O119" s="78"/>
      <c r="P119" s="82">
        <f>R119-TIME(0,43,0)</f>
        <v>45666.331944444442</v>
      </c>
      <c r="Q119" s="82">
        <v>45666.176388888889</v>
      </c>
      <c r="R119" s="82">
        <v>45666.361805555556</v>
      </c>
      <c r="S119" s="81">
        <f t="shared" si="13"/>
        <v>265.76388888958417</v>
      </c>
      <c r="T119" s="81">
        <f t="shared" si="14"/>
        <v>42.80092592986572</v>
      </c>
      <c r="U119" s="79"/>
      <c r="V119" s="82">
        <v>45666.456250000003</v>
      </c>
      <c r="W119" s="82">
        <v>45666.661805555559</v>
      </c>
      <c r="X119" s="103">
        <f t="shared" si="15"/>
        <v>289.83333333424525</v>
      </c>
      <c r="Y119" s="82" t="s">
        <v>1044</v>
      </c>
      <c r="Z119" s="82">
        <v>45667.502083333333</v>
      </c>
      <c r="AA119" s="82">
        <f>Z119+TIME(0,50,0)</f>
        <v>45667.536805555552</v>
      </c>
      <c r="AB119" s="81">
        <f t="shared" si="16"/>
        <v>48.958333328773733</v>
      </c>
      <c r="AC119" s="80"/>
      <c r="AD119" s="83">
        <f t="shared" si="17"/>
        <v>1.140277777776646</v>
      </c>
      <c r="AE119" s="80">
        <v>2</v>
      </c>
      <c r="AF119" s="84">
        <f t="shared" si="18"/>
        <v>0.85972222222335404</v>
      </c>
      <c r="AG119" s="83">
        <f t="shared" si="19"/>
        <v>27.366666666639503</v>
      </c>
      <c r="AH119" s="83">
        <f t="shared" si="20"/>
        <v>12</v>
      </c>
      <c r="AI119" s="83">
        <f t="shared" si="21"/>
        <v>15.366666666639503</v>
      </c>
      <c r="AJ119" s="83">
        <f t="shared" si="22"/>
        <v>9.995661605223745</v>
      </c>
      <c r="AK119" s="83"/>
      <c r="AL119" s="83"/>
      <c r="AM119" s="83"/>
      <c r="AN119" s="83"/>
      <c r="AO119" s="78"/>
    </row>
    <row r="120" spans="1:41" customFormat="1" ht="15" hidden="1" x14ac:dyDescent="0.25">
      <c r="A120" s="82">
        <v>45665.806064814817</v>
      </c>
      <c r="B120" s="94" t="str">
        <f t="shared" si="12"/>
        <v>January</v>
      </c>
      <c r="C120" s="78"/>
      <c r="D120" s="79" t="s">
        <v>1185</v>
      </c>
      <c r="E120" s="79" t="s">
        <v>1016</v>
      </c>
      <c r="F120" s="79" t="s">
        <v>1273</v>
      </c>
      <c r="G120" s="79" t="s">
        <v>41</v>
      </c>
      <c r="H120" s="79" t="s">
        <v>460</v>
      </c>
      <c r="I120" s="79">
        <v>156</v>
      </c>
      <c r="J120" s="79" t="s">
        <v>1403</v>
      </c>
      <c r="K120" s="80" t="s">
        <v>469</v>
      </c>
      <c r="L120" s="80">
        <v>600</v>
      </c>
      <c r="M120" s="79">
        <v>564</v>
      </c>
      <c r="N120" s="81">
        <f t="shared" si="23"/>
        <v>-36</v>
      </c>
      <c r="O120" s="78"/>
      <c r="P120" s="82">
        <f>R120-TIME(0,42,0)</f>
        <v>45665.824999999997</v>
      </c>
      <c r="Q120" s="82">
        <v>45665.85</v>
      </c>
      <c r="R120" s="82">
        <v>45665.854166666664</v>
      </c>
      <c r="S120" s="81">
        <f t="shared" si="13"/>
        <v>5.9722222208317062</v>
      </c>
      <c r="T120" s="81">
        <f t="shared" si="14"/>
        <v>41.805555556250816</v>
      </c>
      <c r="U120" s="79"/>
      <c r="V120" s="82">
        <v>45666.419444444444</v>
      </c>
      <c r="W120" s="82">
        <v>45666.676388888889</v>
      </c>
      <c r="X120" s="103">
        <f t="shared" si="15"/>
        <v>362.29166666780657</v>
      </c>
      <c r="Y120" s="82" t="s">
        <v>1050</v>
      </c>
      <c r="Z120" s="82">
        <v>45667.28402777778</v>
      </c>
      <c r="AA120" s="82">
        <f>Z120+TIME(0,56,0)</f>
        <v>45667.322916666672</v>
      </c>
      <c r="AB120" s="81">
        <f t="shared" si="16"/>
        <v>54.833333337664953</v>
      </c>
      <c r="AC120" s="80"/>
      <c r="AD120" s="83">
        <f t="shared" si="17"/>
        <v>1.429861111115315</v>
      </c>
      <c r="AE120" s="80">
        <v>2</v>
      </c>
      <c r="AF120" s="84">
        <f t="shared" si="18"/>
        <v>0.570138888884685</v>
      </c>
      <c r="AG120" s="83">
        <f t="shared" si="19"/>
        <v>34.31666666676756</v>
      </c>
      <c r="AH120" s="83">
        <f t="shared" si="20"/>
        <v>12</v>
      </c>
      <c r="AI120" s="83">
        <f t="shared" si="21"/>
        <v>22.31666666676756</v>
      </c>
      <c r="AJ120" s="83">
        <f t="shared" si="22"/>
        <v>6.9902912621043196</v>
      </c>
      <c r="AK120" s="83"/>
      <c r="AL120" s="83"/>
      <c r="AM120" s="83"/>
      <c r="AN120" s="83"/>
      <c r="AO120" s="78"/>
    </row>
    <row r="121" spans="1:41" customFormat="1" ht="15" hidden="1" x14ac:dyDescent="0.25">
      <c r="A121" s="82">
        <v>45665.808298611111</v>
      </c>
      <c r="B121" s="94" t="str">
        <f t="shared" si="12"/>
        <v>January</v>
      </c>
      <c r="C121" s="78"/>
      <c r="D121" s="79" t="s">
        <v>1186</v>
      </c>
      <c r="E121" s="79" t="s">
        <v>1017</v>
      </c>
      <c r="F121" s="79" t="s">
        <v>960</v>
      </c>
      <c r="G121" s="79" t="s">
        <v>62</v>
      </c>
      <c r="H121" s="79" t="s">
        <v>452</v>
      </c>
      <c r="I121" s="79">
        <v>156</v>
      </c>
      <c r="J121" s="79" t="s">
        <v>1404</v>
      </c>
      <c r="K121" s="80" t="s">
        <v>469</v>
      </c>
      <c r="L121" s="79">
        <v>690</v>
      </c>
      <c r="M121" s="80">
        <f>L121+2</f>
        <v>692</v>
      </c>
      <c r="N121" s="81">
        <f t="shared" si="23"/>
        <v>2</v>
      </c>
      <c r="O121" s="78"/>
      <c r="P121" s="82">
        <v>45666.327743055554</v>
      </c>
      <c r="Q121" s="82">
        <v>45666.308298611111</v>
      </c>
      <c r="R121" s="82">
        <v>45666.355520833335</v>
      </c>
      <c r="S121" s="81">
        <f t="shared" si="13"/>
        <v>67.685185186807459</v>
      </c>
      <c r="T121" s="81">
        <f t="shared" si="14"/>
        <v>39.814814819449872</v>
      </c>
      <c r="U121" s="79"/>
      <c r="V121" s="82">
        <v>45667.43885416667</v>
      </c>
      <c r="W121" s="82">
        <v>45667.640243055561</v>
      </c>
      <c r="X121" s="103">
        <f t="shared" si="15"/>
        <v>283.95833333561313</v>
      </c>
      <c r="Y121" s="82" t="s">
        <v>1045</v>
      </c>
      <c r="Z121" s="82">
        <v>45668.533243055557</v>
      </c>
      <c r="AA121" s="82">
        <f>Z121+TIME(0,59,0)</f>
        <v>45668.574215277782</v>
      </c>
      <c r="AB121" s="81">
        <f t="shared" si="16"/>
        <v>57.770833336981013</v>
      </c>
      <c r="AC121" s="80"/>
      <c r="AD121" s="83">
        <f t="shared" si="17"/>
        <v>2.1777222222226555</v>
      </c>
      <c r="AE121" s="80">
        <v>3</v>
      </c>
      <c r="AF121" s="84">
        <f t="shared" si="18"/>
        <v>0.82227777777734445</v>
      </c>
      <c r="AG121" s="83">
        <f t="shared" si="19"/>
        <v>52.265333333343733</v>
      </c>
      <c r="AH121" s="83">
        <f t="shared" si="20"/>
        <v>24</v>
      </c>
      <c r="AI121" s="83">
        <f t="shared" si="21"/>
        <v>28.265333333343733</v>
      </c>
      <c r="AJ121" s="83">
        <f t="shared" si="22"/>
        <v>5.5191282607649867</v>
      </c>
      <c r="AK121" s="83"/>
      <c r="AL121" s="83"/>
      <c r="AM121" s="83"/>
      <c r="AN121" s="83"/>
      <c r="AO121" s="78"/>
    </row>
    <row r="122" spans="1:41" customFormat="1" ht="15" hidden="1" x14ac:dyDescent="0.25">
      <c r="A122" s="82">
        <v>45667</v>
      </c>
      <c r="B122" s="94" t="str">
        <f t="shared" si="12"/>
        <v>January</v>
      </c>
      <c r="C122" s="78"/>
      <c r="D122" s="79" t="s">
        <v>1187</v>
      </c>
      <c r="E122" s="79" t="s">
        <v>1017</v>
      </c>
      <c r="F122" s="79" t="s">
        <v>956</v>
      </c>
      <c r="G122" s="79" t="s">
        <v>973</v>
      </c>
      <c r="H122" s="79" t="s">
        <v>459</v>
      </c>
      <c r="I122" s="79">
        <v>153.6</v>
      </c>
      <c r="J122" s="79" t="s">
        <v>1405</v>
      </c>
      <c r="K122" s="80" t="s">
        <v>469</v>
      </c>
      <c r="L122" s="79">
        <v>560</v>
      </c>
      <c r="M122" s="80">
        <f>L122-2</f>
        <v>558</v>
      </c>
      <c r="N122" s="81">
        <f t="shared" si="23"/>
        <v>-2</v>
      </c>
      <c r="O122" s="78"/>
      <c r="P122" s="82">
        <v>45668.331944444442</v>
      </c>
      <c r="Q122" s="82">
        <v>45668.3125</v>
      </c>
      <c r="R122" s="82">
        <v>45668.361805555556</v>
      </c>
      <c r="S122" s="81">
        <f t="shared" si="13"/>
        <v>70.671296297223307</v>
      </c>
      <c r="T122" s="81">
        <f t="shared" si="14"/>
        <v>42.80092592986572</v>
      </c>
      <c r="U122" s="79"/>
      <c r="V122" s="82">
        <v>45667.585416666661</v>
      </c>
      <c r="W122" s="82">
        <f>V122+TIME(0,174,0)</f>
        <v>45667.706249999996</v>
      </c>
      <c r="X122" s="103">
        <f t="shared" si="15"/>
        <v>170.37500000136788</v>
      </c>
      <c r="Y122" s="82"/>
      <c r="Z122" s="82">
        <v>45670.496527777781</v>
      </c>
      <c r="AA122" s="82">
        <f>Z122+TIME(0,58,0)</f>
        <v>45670.536805555559</v>
      </c>
      <c r="AB122" s="81">
        <f t="shared" si="16"/>
        <v>56.791666667122627</v>
      </c>
      <c r="AC122" s="80"/>
      <c r="AD122" s="83">
        <f t="shared" si="17"/>
        <v>2.1347222222248092</v>
      </c>
      <c r="AE122" s="80">
        <v>3</v>
      </c>
      <c r="AF122" s="84">
        <f t="shared" si="18"/>
        <v>0.86527777777519077</v>
      </c>
      <c r="AG122" s="83">
        <f t="shared" si="19"/>
        <v>51.233333333395422</v>
      </c>
      <c r="AH122" s="83">
        <f t="shared" si="20"/>
        <v>24</v>
      </c>
      <c r="AI122" s="83">
        <f t="shared" si="21"/>
        <v>27.233333333395422</v>
      </c>
      <c r="AJ122" s="83">
        <f t="shared" si="22"/>
        <v>5.6401468788121107</v>
      </c>
      <c r="AK122" s="83"/>
      <c r="AL122" s="83"/>
      <c r="AM122" s="83"/>
      <c r="AN122" s="83"/>
      <c r="AO122" s="78"/>
    </row>
    <row r="123" spans="1:41" customFormat="1" ht="15" hidden="1" x14ac:dyDescent="0.25">
      <c r="A123" s="82">
        <v>45667</v>
      </c>
      <c r="B123" s="94" t="str">
        <f t="shared" si="12"/>
        <v>January</v>
      </c>
      <c r="C123" s="78"/>
      <c r="D123" s="79" t="s">
        <v>1188</v>
      </c>
      <c r="E123" s="79" t="s">
        <v>1017</v>
      </c>
      <c r="F123" s="79" t="s">
        <v>1268</v>
      </c>
      <c r="G123" s="79" t="s">
        <v>52</v>
      </c>
      <c r="H123" s="79" t="s">
        <v>456</v>
      </c>
      <c r="I123" s="79">
        <v>156</v>
      </c>
      <c r="J123" s="79" t="s">
        <v>1406</v>
      </c>
      <c r="K123" s="80" t="s">
        <v>469</v>
      </c>
      <c r="L123" s="80">
        <v>670</v>
      </c>
      <c r="M123" s="80">
        <f>L123-1</f>
        <v>669</v>
      </c>
      <c r="N123" s="81">
        <f t="shared" si="23"/>
        <v>-1</v>
      </c>
      <c r="O123" s="78"/>
      <c r="P123" s="82">
        <v>45668.331944444442</v>
      </c>
      <c r="Q123" s="82">
        <v>45668.3125</v>
      </c>
      <c r="R123" s="82">
        <v>45668.361805555556</v>
      </c>
      <c r="S123" s="81">
        <f t="shared" si="13"/>
        <v>70.671296297223307</v>
      </c>
      <c r="T123" s="81">
        <f t="shared" si="14"/>
        <v>42.80092592986572</v>
      </c>
      <c r="U123" s="79"/>
      <c r="V123" s="82">
        <v>45669.496527777781</v>
      </c>
      <c r="W123" s="82">
        <f>V123+TIME(0,147,0)</f>
        <v>45669.598611111112</v>
      </c>
      <c r="X123" s="103">
        <f t="shared" si="15"/>
        <v>143.93749999726424</v>
      </c>
      <c r="Y123" s="82"/>
      <c r="Z123" s="82">
        <v>45670.353138888888</v>
      </c>
      <c r="AA123" s="82">
        <f>Z123+TIME(0,56,0)</f>
        <v>45670.39202777778</v>
      </c>
      <c r="AB123" s="81">
        <f t="shared" si="16"/>
        <v>54.833333337664953</v>
      </c>
      <c r="AC123" s="80"/>
      <c r="AD123" s="83">
        <f t="shared" si="17"/>
        <v>1.9913333333315677</v>
      </c>
      <c r="AE123" s="80">
        <v>2</v>
      </c>
      <c r="AF123" s="84">
        <f t="shared" si="18"/>
        <v>8.666666668432299E-3</v>
      </c>
      <c r="AG123" s="83">
        <f t="shared" si="19"/>
        <v>47.791999999957625</v>
      </c>
      <c r="AH123" s="83">
        <f t="shared" si="20"/>
        <v>12</v>
      </c>
      <c r="AI123" s="83">
        <f t="shared" si="21"/>
        <v>35.791999999957625</v>
      </c>
      <c r="AJ123" s="83">
        <f t="shared" si="22"/>
        <v>4.358515869473198</v>
      </c>
      <c r="AK123" s="83"/>
      <c r="AL123" s="83"/>
      <c r="AM123" s="83"/>
      <c r="AN123" s="83"/>
      <c r="AO123" s="78"/>
    </row>
    <row r="124" spans="1:41" customFormat="1" ht="15" hidden="1" x14ac:dyDescent="0.25">
      <c r="A124" s="82">
        <v>45667</v>
      </c>
      <c r="B124" s="94" t="str">
        <f t="shared" si="12"/>
        <v>January</v>
      </c>
      <c r="C124" s="78"/>
      <c r="D124" s="79" t="s">
        <v>1189</v>
      </c>
      <c r="E124" s="79" t="s">
        <v>1017</v>
      </c>
      <c r="F124" s="79" t="s">
        <v>1275</v>
      </c>
      <c r="G124" s="79" t="s">
        <v>1264</v>
      </c>
      <c r="H124" s="79" t="s">
        <v>461</v>
      </c>
      <c r="I124" s="79">
        <v>153.6</v>
      </c>
      <c r="J124" s="79" t="s">
        <v>1407</v>
      </c>
      <c r="K124" s="80" t="s">
        <v>469</v>
      </c>
      <c r="L124" s="80">
        <v>298</v>
      </c>
      <c r="M124" s="80">
        <f>L124-3</f>
        <v>295</v>
      </c>
      <c r="N124" s="81">
        <f t="shared" si="23"/>
        <v>-3</v>
      </c>
      <c r="O124" s="78"/>
      <c r="P124" s="82">
        <v>45668.34097222222</v>
      </c>
      <c r="Q124" s="82">
        <v>45668.3125</v>
      </c>
      <c r="R124" s="82">
        <v>45668.370833333334</v>
      </c>
      <c r="S124" s="81">
        <f t="shared" si="13"/>
        <v>83.611111112501632</v>
      </c>
      <c r="T124" s="81">
        <f t="shared" si="14"/>
        <v>42.80092592986572</v>
      </c>
      <c r="U124" s="79"/>
      <c r="V124" s="82">
        <v>45669.384027777778</v>
      </c>
      <c r="W124" s="82">
        <f>V124+TIME(0,174,0)</f>
        <v>45669.504861111112</v>
      </c>
      <c r="X124" s="103">
        <f t="shared" si="15"/>
        <v>170.37500000136788</v>
      </c>
      <c r="Y124" s="82"/>
      <c r="Z124" s="82">
        <v>45668.798611111109</v>
      </c>
      <c r="AA124" s="82">
        <f>Z124+TIME(0,57,0)</f>
        <v>45668.838194444441</v>
      </c>
      <c r="AB124" s="81">
        <f t="shared" si="16"/>
        <v>55.81249999726424</v>
      </c>
      <c r="AC124" s="80"/>
      <c r="AD124" s="83">
        <f t="shared" si="17"/>
        <v>0.42777777777519077</v>
      </c>
      <c r="AE124" s="80">
        <v>2</v>
      </c>
      <c r="AF124" s="84">
        <f t="shared" si="18"/>
        <v>1.5722222222248092</v>
      </c>
      <c r="AG124" s="83">
        <f t="shared" si="19"/>
        <v>10.266666666604578</v>
      </c>
      <c r="AH124" s="83">
        <f t="shared" si="20"/>
        <v>0</v>
      </c>
      <c r="AI124" s="83">
        <f t="shared" si="21"/>
        <v>10.266666666604578</v>
      </c>
      <c r="AJ124" s="83">
        <f t="shared" si="22"/>
        <v>14.961038961129438</v>
      </c>
      <c r="AK124" s="83"/>
      <c r="AL124" s="83"/>
      <c r="AM124" s="83"/>
      <c r="AN124" s="83"/>
      <c r="AO124" s="78"/>
    </row>
    <row r="125" spans="1:41" customFormat="1" ht="15" hidden="1" x14ac:dyDescent="0.25">
      <c r="A125" s="82">
        <v>45668</v>
      </c>
      <c r="B125" s="94" t="str">
        <f t="shared" si="12"/>
        <v>January</v>
      </c>
      <c r="C125" s="78"/>
      <c r="D125" s="79" t="s">
        <v>1190</v>
      </c>
      <c r="E125" s="79" t="s">
        <v>1017</v>
      </c>
      <c r="F125" s="79" t="s">
        <v>1279</v>
      </c>
      <c r="G125" s="79" t="s">
        <v>1267</v>
      </c>
      <c r="H125" s="79" t="s">
        <v>987</v>
      </c>
      <c r="I125" s="79">
        <v>156</v>
      </c>
      <c r="J125" s="79" t="s">
        <v>1408</v>
      </c>
      <c r="K125" s="80" t="s">
        <v>469</v>
      </c>
      <c r="L125" s="79">
        <v>320</v>
      </c>
      <c r="M125" s="80">
        <f>L125-3</f>
        <v>317</v>
      </c>
      <c r="N125" s="81">
        <f t="shared" si="23"/>
        <v>-3</v>
      </c>
      <c r="O125" s="78"/>
      <c r="P125" s="82">
        <f>R125-TIME(0,41,0)</f>
        <v>45668.286805555559</v>
      </c>
      <c r="Q125" s="82">
        <v>45668.3125</v>
      </c>
      <c r="R125" s="82">
        <v>45668.31527777778</v>
      </c>
      <c r="S125" s="81">
        <f t="shared" si="13"/>
        <v>3.9814814840307613</v>
      </c>
      <c r="T125" s="81">
        <f t="shared" si="14"/>
        <v>40.810185182635905</v>
      </c>
      <c r="U125" s="79"/>
      <c r="V125" s="82">
        <v>45668.504861111112</v>
      </c>
      <c r="W125" s="82">
        <f>V125+TIME(0,172,0)</f>
        <v>45668.624305555553</v>
      </c>
      <c r="X125" s="103">
        <f t="shared" si="15"/>
        <v>168.41666666165111</v>
      </c>
      <c r="Y125" s="82"/>
      <c r="Z125" s="82">
        <v>45669.473750000005</v>
      </c>
      <c r="AA125" s="82">
        <f>Z125+TIME(0,58,0)</f>
        <v>45669.514027777783</v>
      </c>
      <c r="AB125" s="81">
        <f t="shared" si="16"/>
        <v>56.791666667122627</v>
      </c>
      <c r="AC125" s="80"/>
      <c r="AD125" s="83">
        <f t="shared" si="17"/>
        <v>1.1584722222251003</v>
      </c>
      <c r="AE125" s="80">
        <v>2</v>
      </c>
      <c r="AF125" s="84">
        <f t="shared" si="18"/>
        <v>0.84152777777489973</v>
      </c>
      <c r="AG125" s="83">
        <f t="shared" si="19"/>
        <v>27.803333333402406</v>
      </c>
      <c r="AH125" s="83">
        <f t="shared" si="20"/>
        <v>12</v>
      </c>
      <c r="AI125" s="83">
        <f t="shared" si="21"/>
        <v>15.803333333402406</v>
      </c>
      <c r="AJ125" s="83">
        <f t="shared" si="22"/>
        <v>9.8713351613152174</v>
      </c>
      <c r="AK125" s="83"/>
      <c r="AL125" s="83"/>
      <c r="AM125" s="83"/>
      <c r="AN125" s="83"/>
      <c r="AO125" s="78"/>
    </row>
    <row r="126" spans="1:41" customFormat="1" ht="15" hidden="1" x14ac:dyDescent="0.25">
      <c r="A126" s="82">
        <v>45668</v>
      </c>
      <c r="B126" s="94" t="str">
        <f t="shared" si="12"/>
        <v>January</v>
      </c>
      <c r="C126" s="78"/>
      <c r="D126" s="79" t="s">
        <v>1191</v>
      </c>
      <c r="E126" s="79" t="s">
        <v>1017</v>
      </c>
      <c r="F126" s="79"/>
      <c r="G126" s="79" t="s">
        <v>43</v>
      </c>
      <c r="H126" s="79" t="s">
        <v>987</v>
      </c>
      <c r="I126" s="79">
        <v>156</v>
      </c>
      <c r="J126" s="79" t="s">
        <v>1409</v>
      </c>
      <c r="K126" s="80" t="s">
        <v>469</v>
      </c>
      <c r="L126" s="79">
        <v>320</v>
      </c>
      <c r="M126" s="80">
        <f>L126-1</f>
        <v>319</v>
      </c>
      <c r="N126" s="81">
        <f t="shared" si="23"/>
        <v>-1</v>
      </c>
      <c r="O126" s="78"/>
      <c r="P126" s="82">
        <v>45668.306250000001</v>
      </c>
      <c r="Q126" s="82">
        <v>45668.3125</v>
      </c>
      <c r="R126" s="82">
        <v>45668.336111111115</v>
      </c>
      <c r="S126" s="81">
        <f t="shared" si="13"/>
        <v>33.842592598618161</v>
      </c>
      <c r="T126" s="81">
        <f t="shared" si="14"/>
        <v>42.80092592986572</v>
      </c>
      <c r="U126" s="79"/>
      <c r="V126" s="82">
        <v>45668.56527777778</v>
      </c>
      <c r="W126" s="82">
        <f>V126+TIME(0,192,0)</f>
        <v>45668.698611111111</v>
      </c>
      <c r="X126" s="103">
        <f t="shared" si="15"/>
        <v>187.99999999726424</v>
      </c>
      <c r="Y126" s="82" t="s">
        <v>1044</v>
      </c>
      <c r="Z126" s="82">
        <v>45669.471666666672</v>
      </c>
      <c r="AA126" s="82">
        <f>Z126+TIME(0,59,0)</f>
        <v>45669.512638888897</v>
      </c>
      <c r="AB126" s="81">
        <f t="shared" si="16"/>
        <v>57.770833336981013</v>
      </c>
      <c r="AC126" s="80"/>
      <c r="AD126" s="83">
        <f t="shared" si="17"/>
        <v>1.1355555555564933</v>
      </c>
      <c r="AE126" s="80">
        <v>2</v>
      </c>
      <c r="AF126" s="84">
        <f t="shared" si="18"/>
        <v>0.86444444444350665</v>
      </c>
      <c r="AG126" s="83">
        <f t="shared" si="19"/>
        <v>27.25333333335584</v>
      </c>
      <c r="AH126" s="83">
        <f t="shared" si="20"/>
        <v>12</v>
      </c>
      <c r="AI126" s="83">
        <f t="shared" si="21"/>
        <v>15.25333333335584</v>
      </c>
      <c r="AJ126" s="83">
        <f t="shared" si="22"/>
        <v>10.227272727257636</v>
      </c>
      <c r="AK126" s="83"/>
      <c r="AL126" s="83"/>
      <c r="AM126" s="83"/>
      <c r="AN126" s="83"/>
      <c r="AO126" s="78"/>
    </row>
    <row r="127" spans="1:41" customFormat="1" ht="15" hidden="1" x14ac:dyDescent="0.25">
      <c r="A127" s="82">
        <v>45668</v>
      </c>
      <c r="B127" s="94" t="str">
        <f t="shared" si="12"/>
        <v>January</v>
      </c>
      <c r="C127" s="78"/>
      <c r="D127" s="79" t="s">
        <v>1192</v>
      </c>
      <c r="E127" s="79" t="s">
        <v>1017</v>
      </c>
      <c r="F127" s="79" t="s">
        <v>1279</v>
      </c>
      <c r="G127" s="79" t="s">
        <v>1267</v>
      </c>
      <c r="H127" s="79" t="s">
        <v>451</v>
      </c>
      <c r="I127" s="79">
        <v>156</v>
      </c>
      <c r="J127" s="79" t="s">
        <v>1410</v>
      </c>
      <c r="K127" s="80" t="s">
        <v>469</v>
      </c>
      <c r="L127" s="80">
        <v>790</v>
      </c>
      <c r="M127" s="80">
        <f>L127-3</f>
        <v>787</v>
      </c>
      <c r="N127" s="81">
        <f t="shared" si="23"/>
        <v>-3</v>
      </c>
      <c r="O127" s="78"/>
      <c r="P127" s="82">
        <f>R127-TIME(0,44,0)</f>
        <v>45668.294444444444</v>
      </c>
      <c r="Q127" s="82">
        <v>45668.3125</v>
      </c>
      <c r="R127" s="82">
        <v>45668.324999999997</v>
      </c>
      <c r="S127" s="81">
        <f t="shared" si="13"/>
        <v>17.916666662495118</v>
      </c>
      <c r="T127" s="81">
        <f t="shared" si="14"/>
        <v>43.796296293051761</v>
      </c>
      <c r="U127" s="79"/>
      <c r="V127" s="82">
        <v>45669.411111111112</v>
      </c>
      <c r="W127" s="82">
        <f>V127+TIME(0,174,0)</f>
        <v>45669.531944444447</v>
      </c>
      <c r="X127" s="103">
        <f t="shared" si="15"/>
        <v>170.37500000136788</v>
      </c>
      <c r="Y127" s="82"/>
      <c r="Z127" s="82">
        <v>45670.775694444441</v>
      </c>
      <c r="AA127" s="82">
        <f>Z127+TIME(0,58,0)</f>
        <v>45670.815972222219</v>
      </c>
      <c r="AB127" s="81">
        <f t="shared" si="16"/>
        <v>56.791666667122627</v>
      </c>
      <c r="AC127" s="80"/>
      <c r="AD127" s="83">
        <f t="shared" si="17"/>
        <v>2.4506944444437977</v>
      </c>
      <c r="AE127" s="80">
        <v>3</v>
      </c>
      <c r="AF127" s="84">
        <f t="shared" si="18"/>
        <v>0.54930555555620231</v>
      </c>
      <c r="AG127" s="83">
        <f t="shared" si="19"/>
        <v>58.816666666651145</v>
      </c>
      <c r="AH127" s="83">
        <f t="shared" si="20"/>
        <v>24</v>
      </c>
      <c r="AI127" s="83">
        <f t="shared" si="21"/>
        <v>34.816666666651145</v>
      </c>
      <c r="AJ127" s="83">
        <f t="shared" si="22"/>
        <v>4.4806127333672441</v>
      </c>
      <c r="AK127" s="83"/>
      <c r="AL127" s="83"/>
      <c r="AM127" s="83"/>
      <c r="AN127" s="83"/>
      <c r="AO127" s="78"/>
    </row>
    <row r="128" spans="1:41" customFormat="1" ht="15" hidden="1" x14ac:dyDescent="0.25">
      <c r="A128" s="82">
        <v>45668</v>
      </c>
      <c r="B128" s="94" t="str">
        <f t="shared" si="12"/>
        <v>January</v>
      </c>
      <c r="C128" s="78"/>
      <c r="D128" s="79" t="s">
        <v>1193</v>
      </c>
      <c r="E128" s="79" t="s">
        <v>1017</v>
      </c>
      <c r="F128" s="79" t="s">
        <v>952</v>
      </c>
      <c r="G128" s="79" t="s">
        <v>969</v>
      </c>
      <c r="H128" s="79" t="s">
        <v>996</v>
      </c>
      <c r="I128" s="79">
        <v>153.6</v>
      </c>
      <c r="J128" s="79" t="s">
        <v>1411</v>
      </c>
      <c r="K128" s="80" t="s">
        <v>469</v>
      </c>
      <c r="L128" s="79">
        <v>350</v>
      </c>
      <c r="M128" s="80">
        <f>L128-1</f>
        <v>349</v>
      </c>
      <c r="N128" s="81">
        <f t="shared" si="23"/>
        <v>-1</v>
      </c>
      <c r="O128" s="78"/>
      <c r="P128" s="82">
        <v>45668.686111111114</v>
      </c>
      <c r="Q128" s="82">
        <v>45668.677777777775</v>
      </c>
      <c r="R128" s="82">
        <v>45668.714583333334</v>
      </c>
      <c r="S128" s="81">
        <f t="shared" si="13"/>
        <v>52.75462963472819</v>
      </c>
      <c r="T128" s="81">
        <f t="shared" si="14"/>
        <v>40.810185182635905</v>
      </c>
      <c r="U128" s="79"/>
      <c r="V128" s="82">
        <v>45669.386111111111</v>
      </c>
      <c r="W128" s="82">
        <f>V128+TIME(0,179,0)</f>
        <v>45669.510416666664</v>
      </c>
      <c r="X128" s="103">
        <f t="shared" si="15"/>
        <v>175.27083333014161</v>
      </c>
      <c r="Y128" s="82"/>
      <c r="Z128" s="82">
        <v>45670.582638888889</v>
      </c>
      <c r="AA128" s="82">
        <f>Z128+TIME(0,57,0)</f>
        <v>45670.62222222222</v>
      </c>
      <c r="AB128" s="81">
        <f t="shared" si="16"/>
        <v>55.81249999726424</v>
      </c>
      <c r="AC128" s="80"/>
      <c r="AD128" s="83">
        <f t="shared" si="17"/>
        <v>1.8680555555547471</v>
      </c>
      <c r="AE128" s="80">
        <v>2</v>
      </c>
      <c r="AF128" s="84">
        <f t="shared" si="18"/>
        <v>0.13194444444525288</v>
      </c>
      <c r="AG128" s="83">
        <f t="shared" si="19"/>
        <v>44.833333333313931</v>
      </c>
      <c r="AH128" s="83">
        <f t="shared" si="20"/>
        <v>12</v>
      </c>
      <c r="AI128" s="83">
        <f t="shared" si="21"/>
        <v>32.833333333313931</v>
      </c>
      <c r="AJ128" s="83">
        <f t="shared" si="22"/>
        <v>4.6781725888352517</v>
      </c>
      <c r="AK128" s="83"/>
      <c r="AL128" s="83"/>
      <c r="AM128" s="83"/>
      <c r="AN128" s="83"/>
      <c r="AO128" s="78"/>
    </row>
    <row r="129" spans="1:41" customFormat="1" ht="15" hidden="1" x14ac:dyDescent="0.25">
      <c r="A129" s="82">
        <v>45668</v>
      </c>
      <c r="B129" s="94" t="str">
        <f t="shared" si="12"/>
        <v>January</v>
      </c>
      <c r="C129" s="78"/>
      <c r="D129" s="79" t="s">
        <v>1194</v>
      </c>
      <c r="E129" s="79" t="s">
        <v>1017</v>
      </c>
      <c r="F129" s="79" t="s">
        <v>955</v>
      </c>
      <c r="G129" s="79" t="s">
        <v>972</v>
      </c>
      <c r="H129" s="79" t="s">
        <v>459</v>
      </c>
      <c r="I129" s="79">
        <v>153.6</v>
      </c>
      <c r="J129" s="79" t="s">
        <v>1412</v>
      </c>
      <c r="K129" s="80" t="s">
        <v>469</v>
      </c>
      <c r="L129" s="79">
        <v>560</v>
      </c>
      <c r="M129" s="80">
        <f>L129+1</f>
        <v>561</v>
      </c>
      <c r="N129" s="81">
        <f t="shared" si="23"/>
        <v>1</v>
      </c>
      <c r="O129" s="78"/>
      <c r="P129" s="82">
        <f>R129-TIME(0,40,0)</f>
        <v>45669.340277777774</v>
      </c>
      <c r="Q129" s="82">
        <v>45669.3125</v>
      </c>
      <c r="R129" s="82">
        <v>45669.368055555555</v>
      </c>
      <c r="S129" s="81">
        <f t="shared" si="13"/>
        <v>79.629629628470866</v>
      </c>
      <c r="T129" s="81">
        <f t="shared" si="14"/>
        <v>39.814814819449872</v>
      </c>
      <c r="U129" s="79"/>
      <c r="V129" s="82">
        <v>45669.381249999999</v>
      </c>
      <c r="W129" s="82">
        <f>V129+TIME(0,172,0)</f>
        <v>45669.500694444439</v>
      </c>
      <c r="X129" s="103">
        <f t="shared" si="15"/>
        <v>168.41666666165111</v>
      </c>
      <c r="Y129" s="82"/>
      <c r="Z129" s="82">
        <v>45671.598055555558</v>
      </c>
      <c r="AA129" s="82">
        <f>Z129+TIME(0,59,0)</f>
        <v>45671.639027777783</v>
      </c>
      <c r="AB129" s="81">
        <f t="shared" si="16"/>
        <v>57.770833336981013</v>
      </c>
      <c r="AC129" s="80"/>
      <c r="AD129" s="83">
        <f t="shared" si="17"/>
        <v>2.2300000000032014</v>
      </c>
      <c r="AE129" s="80">
        <v>3</v>
      </c>
      <c r="AF129" s="84">
        <f t="shared" si="18"/>
        <v>0.76999999999679858</v>
      </c>
      <c r="AG129" s="83">
        <f t="shared" si="19"/>
        <v>53.520000000076834</v>
      </c>
      <c r="AH129" s="83">
        <f t="shared" si="20"/>
        <v>24</v>
      </c>
      <c r="AI129" s="83">
        <f t="shared" si="21"/>
        <v>29.520000000076834</v>
      </c>
      <c r="AJ129" s="83">
        <f t="shared" si="22"/>
        <v>5.2032520325067821</v>
      </c>
      <c r="AK129" s="83"/>
      <c r="AL129" s="83"/>
      <c r="AM129" s="83"/>
      <c r="AN129" s="83"/>
      <c r="AO129" s="78"/>
    </row>
    <row r="130" spans="1:41" customFormat="1" ht="15" hidden="1" x14ac:dyDescent="0.25">
      <c r="A130" s="82">
        <v>45668</v>
      </c>
      <c r="B130" s="94" t="str">
        <f t="shared" ref="B130:B193" si="24">TEXT(A130, "MMMM")</f>
        <v>January</v>
      </c>
      <c r="C130" s="78"/>
      <c r="D130" s="79" t="s">
        <v>1195</v>
      </c>
      <c r="E130" s="79" t="s">
        <v>1016</v>
      </c>
      <c r="F130" s="79" t="s">
        <v>962</v>
      </c>
      <c r="G130" s="79" t="s">
        <v>978</v>
      </c>
      <c r="H130" s="79" t="s">
        <v>991</v>
      </c>
      <c r="I130" s="79">
        <v>153.6</v>
      </c>
      <c r="J130" s="79" t="s">
        <v>1413</v>
      </c>
      <c r="K130" s="80" t="s">
        <v>469</v>
      </c>
      <c r="L130" s="79">
        <v>20</v>
      </c>
      <c r="M130" s="80">
        <f>L130-1</f>
        <v>19</v>
      </c>
      <c r="N130" s="81">
        <f t="shared" si="23"/>
        <v>-1</v>
      </c>
      <c r="O130" s="78"/>
      <c r="P130" s="82">
        <f>R130-TIME(0,41,0)</f>
        <v>45669.298611111109</v>
      </c>
      <c r="Q130" s="82">
        <v>45669.3125</v>
      </c>
      <c r="R130" s="82">
        <v>45669.32708333333</v>
      </c>
      <c r="S130" s="81">
        <f t="shared" ref="S130:S193" si="25">(R130-Q130)*86000/60</f>
        <v>20.902777772910969</v>
      </c>
      <c r="T130" s="81">
        <f t="shared" ref="T130:T193" si="26">(R130-P130)*86000/60</f>
        <v>40.810185182635905</v>
      </c>
      <c r="U130" s="79"/>
      <c r="V130" s="82">
        <v>45670.368055555555</v>
      </c>
      <c r="W130" s="82">
        <f>V130+TIME(0,190,0)</f>
        <v>45670.5</v>
      </c>
      <c r="X130" s="103">
        <f t="shared" ref="X130:X193" si="27">(W130-V130)*84600/60</f>
        <v>186.04166666780657</v>
      </c>
      <c r="Y130" s="82" t="s">
        <v>1045</v>
      </c>
      <c r="Z130" s="82">
        <v>45669.595833333333</v>
      </c>
      <c r="AA130" s="82">
        <f>Z130+TIME(0,54,0)</f>
        <v>45669.633333333331</v>
      </c>
      <c r="AB130" s="81">
        <f t="shared" ref="AB130:AB193" si="28">(AA130-Z130)*84600/60</f>
        <v>52.87499999794818</v>
      </c>
      <c r="AC130" s="80"/>
      <c r="AD130" s="83">
        <f t="shared" ref="AD130:AD193" si="29">Z130-R130</f>
        <v>0.26875000000291038</v>
      </c>
      <c r="AE130" s="80">
        <v>1</v>
      </c>
      <c r="AF130" s="84">
        <f t="shared" ref="AF130:AF193" si="30">AE130-AD130</f>
        <v>0.73124999999708962</v>
      </c>
      <c r="AG130" s="83">
        <f t="shared" ref="AG130:AG193" si="31">AD130*24</f>
        <v>6.4500000000698492</v>
      </c>
      <c r="AH130" s="83">
        <f t="shared" ref="AH130:AH193" si="32">AG130-AI130</f>
        <v>0</v>
      </c>
      <c r="AI130" s="83">
        <f t="shared" ref="AI130:AI193" si="33" xml:space="preserve"> ((Z130 - R130) * 24) - (INT(Z130 - R130) * 12)</f>
        <v>6.4500000000698492</v>
      </c>
      <c r="AJ130" s="83">
        <f t="shared" ref="AJ130:AJ193" si="34">I130/AI130</f>
        <v>23.813953488114201</v>
      </c>
      <c r="AK130" s="83"/>
      <c r="AL130" s="83"/>
      <c r="AM130" s="83"/>
      <c r="AN130" s="83"/>
      <c r="AO130" s="78"/>
    </row>
    <row r="131" spans="1:41" customFormat="1" ht="15" hidden="1" x14ac:dyDescent="0.25">
      <c r="A131" s="82">
        <v>45668</v>
      </c>
      <c r="B131" s="94" t="str">
        <f t="shared" si="24"/>
        <v>January</v>
      </c>
      <c r="C131" s="78"/>
      <c r="D131" s="79" t="s">
        <v>1196</v>
      </c>
      <c r="E131" s="79" t="s">
        <v>1017</v>
      </c>
      <c r="F131" s="79" t="s">
        <v>965</v>
      </c>
      <c r="G131" s="79" t="s">
        <v>980</v>
      </c>
      <c r="H131" s="79" t="s">
        <v>461</v>
      </c>
      <c r="I131" s="79">
        <v>153.6</v>
      </c>
      <c r="J131" s="79" t="s">
        <v>1414</v>
      </c>
      <c r="K131" s="80" t="s">
        <v>469</v>
      </c>
      <c r="L131" s="80">
        <v>298</v>
      </c>
      <c r="M131" s="80">
        <f>L131-1</f>
        <v>297</v>
      </c>
      <c r="N131" s="81">
        <f t="shared" si="23"/>
        <v>-1</v>
      </c>
      <c r="O131" s="78"/>
      <c r="P131" s="82">
        <f>R131-TIME(0,43,0)</f>
        <v>45669.339583333327</v>
      </c>
      <c r="Q131" s="82">
        <v>45669.3125</v>
      </c>
      <c r="R131" s="82">
        <v>45669.369444444441</v>
      </c>
      <c r="S131" s="81">
        <f t="shared" si="25"/>
        <v>81.62037036527181</v>
      </c>
      <c r="T131" s="81">
        <f t="shared" si="26"/>
        <v>42.80092592986572</v>
      </c>
      <c r="U131" s="79"/>
      <c r="V131" s="82">
        <v>45669.387083333328</v>
      </c>
      <c r="W131" s="82">
        <f>V131+TIME(0,172,0)</f>
        <v>45669.506527777768</v>
      </c>
      <c r="X131" s="103">
        <f t="shared" si="27"/>
        <v>168.41666666165111</v>
      </c>
      <c r="Y131" s="82"/>
      <c r="Z131" s="82">
        <v>45670.318055555552</v>
      </c>
      <c r="AA131" s="82">
        <f>Z131+TIME(0,58,0)</f>
        <v>45670.35833333333</v>
      </c>
      <c r="AB131" s="81">
        <f t="shared" si="28"/>
        <v>56.791666667122627</v>
      </c>
      <c r="AC131" s="80"/>
      <c r="AD131" s="83">
        <f t="shared" si="29"/>
        <v>0.94861111111094942</v>
      </c>
      <c r="AE131" s="80">
        <v>2</v>
      </c>
      <c r="AF131" s="84">
        <f t="shared" si="30"/>
        <v>1.0513888888890506</v>
      </c>
      <c r="AG131" s="83">
        <f t="shared" si="31"/>
        <v>22.766666666662786</v>
      </c>
      <c r="AH131" s="83">
        <f t="shared" si="32"/>
        <v>0</v>
      </c>
      <c r="AI131" s="83">
        <f t="shared" si="33"/>
        <v>22.766666666662786</v>
      </c>
      <c r="AJ131" s="83">
        <f t="shared" si="34"/>
        <v>6.7467057101036385</v>
      </c>
      <c r="AK131" s="83"/>
      <c r="AL131" s="83"/>
      <c r="AM131" s="83"/>
      <c r="AN131" s="83"/>
      <c r="AO131" s="78"/>
    </row>
    <row r="132" spans="1:41" customFormat="1" ht="15" hidden="1" x14ac:dyDescent="0.25">
      <c r="A132" s="82">
        <v>45668</v>
      </c>
      <c r="B132" s="94" t="str">
        <f t="shared" si="24"/>
        <v>January</v>
      </c>
      <c r="C132" s="78"/>
      <c r="D132" s="79" t="s">
        <v>1197</v>
      </c>
      <c r="E132" s="79" t="s">
        <v>1017</v>
      </c>
      <c r="F132" s="79" t="s">
        <v>1275</v>
      </c>
      <c r="G132" s="79" t="s">
        <v>1264</v>
      </c>
      <c r="H132" s="79" t="s">
        <v>461</v>
      </c>
      <c r="I132" s="79">
        <v>153.6</v>
      </c>
      <c r="J132" s="79" t="s">
        <v>1415</v>
      </c>
      <c r="K132" s="80" t="s">
        <v>469</v>
      </c>
      <c r="L132" s="80">
        <v>298</v>
      </c>
      <c r="M132" s="80">
        <f>L132-1</f>
        <v>297</v>
      </c>
      <c r="N132" s="81">
        <f t="shared" ref="N132:N195" si="35">M132-L132</f>
        <v>-1</v>
      </c>
      <c r="O132" s="78"/>
      <c r="P132" s="82">
        <f>R132-TIME(0,43,0)</f>
        <v>45669.327777777769</v>
      </c>
      <c r="Q132" s="82">
        <v>45669.3125</v>
      </c>
      <c r="R132" s="82">
        <v>45669.357638888883</v>
      </c>
      <c r="S132" s="81">
        <f t="shared" si="25"/>
        <v>64.699074065962733</v>
      </c>
      <c r="T132" s="81">
        <f t="shared" si="26"/>
        <v>42.80092592986572</v>
      </c>
      <c r="U132" s="79"/>
      <c r="V132" s="82">
        <v>45669.503472222219</v>
      </c>
      <c r="W132" s="82">
        <f>V132+TIME(0,172,0)</f>
        <v>45669.62291666666</v>
      </c>
      <c r="X132" s="103">
        <f t="shared" si="27"/>
        <v>168.41666666165111</v>
      </c>
      <c r="Y132" s="82"/>
      <c r="Z132" s="82">
        <v>45670.336111111101</v>
      </c>
      <c r="AA132" s="82">
        <f>Z132+TIME(0,56,0)</f>
        <v>45670.374999999993</v>
      </c>
      <c r="AB132" s="81">
        <f t="shared" si="28"/>
        <v>54.833333337664953</v>
      </c>
      <c r="AC132" s="80"/>
      <c r="AD132" s="83">
        <f t="shared" si="29"/>
        <v>0.97847222221753327</v>
      </c>
      <c r="AE132" s="80">
        <v>2</v>
      </c>
      <c r="AF132" s="84">
        <f t="shared" si="30"/>
        <v>1.0215277777824667</v>
      </c>
      <c r="AG132" s="83">
        <f t="shared" si="31"/>
        <v>23.483333333220799</v>
      </c>
      <c r="AH132" s="83">
        <f t="shared" si="32"/>
        <v>0</v>
      </c>
      <c r="AI132" s="83">
        <f t="shared" si="33"/>
        <v>23.483333333220799</v>
      </c>
      <c r="AJ132" s="83">
        <f t="shared" si="34"/>
        <v>6.5408090844884059</v>
      </c>
      <c r="AK132" s="83"/>
      <c r="AL132" s="83"/>
      <c r="AM132" s="83"/>
      <c r="AN132" s="83"/>
      <c r="AO132" s="78"/>
    </row>
    <row r="133" spans="1:41" customFormat="1" ht="15" hidden="1" x14ac:dyDescent="0.25">
      <c r="A133" s="82">
        <v>45669</v>
      </c>
      <c r="B133" s="94" t="str">
        <f t="shared" si="24"/>
        <v>January</v>
      </c>
      <c r="C133" s="78"/>
      <c r="D133" s="79" t="s">
        <v>1198</v>
      </c>
      <c r="E133" s="79" t="s">
        <v>1017</v>
      </c>
      <c r="F133" s="79"/>
      <c r="G133" s="79" t="s">
        <v>43</v>
      </c>
      <c r="H133" s="79" t="s">
        <v>450</v>
      </c>
      <c r="I133" s="79">
        <v>156</v>
      </c>
      <c r="J133" s="79" t="s">
        <v>1416</v>
      </c>
      <c r="K133" s="80" t="s">
        <v>469</v>
      </c>
      <c r="L133" s="80">
        <v>288</v>
      </c>
      <c r="M133" s="80">
        <f>L133+1</f>
        <v>289</v>
      </c>
      <c r="N133" s="81">
        <f t="shared" si="35"/>
        <v>1</v>
      </c>
      <c r="O133" s="78"/>
      <c r="P133" s="82">
        <f>R133-TIME(0,56,0)</f>
        <v>45669.331249999996</v>
      </c>
      <c r="Q133" s="82">
        <v>45669.3125</v>
      </c>
      <c r="R133" s="82">
        <v>45669.370138888888</v>
      </c>
      <c r="S133" s="81">
        <f t="shared" si="25"/>
        <v>82.615740738886714</v>
      </c>
      <c r="T133" s="81">
        <f t="shared" si="26"/>
        <v>55.740740745144045</v>
      </c>
      <c r="U133" s="79" t="s">
        <v>562</v>
      </c>
      <c r="V133" s="82">
        <v>45669.491666666661</v>
      </c>
      <c r="W133" s="82">
        <f>V133+TIME(0,172,0)</f>
        <v>45669.611111111102</v>
      </c>
      <c r="X133" s="103">
        <f t="shared" si="27"/>
        <v>168.41666666165111</v>
      </c>
      <c r="Y133" s="82"/>
      <c r="Z133" s="82">
        <v>45671.42527777778</v>
      </c>
      <c r="AA133" s="82">
        <f>Z133+TIME(0,54,0)</f>
        <v>45671.462777777779</v>
      </c>
      <c r="AB133" s="81">
        <f t="shared" si="28"/>
        <v>52.87499999794818</v>
      </c>
      <c r="AC133" s="80"/>
      <c r="AD133" s="83">
        <f t="shared" si="29"/>
        <v>2.055138888892543</v>
      </c>
      <c r="AE133" s="80">
        <v>2</v>
      </c>
      <c r="AF133" s="84">
        <f t="shared" si="30"/>
        <v>-5.5138888892543036E-2</v>
      </c>
      <c r="AG133" s="83">
        <f t="shared" si="31"/>
        <v>49.323333333421033</v>
      </c>
      <c r="AH133" s="83">
        <f t="shared" si="32"/>
        <v>24</v>
      </c>
      <c r="AI133" s="83">
        <f t="shared" si="33"/>
        <v>25.323333333421033</v>
      </c>
      <c r="AJ133" s="83">
        <f t="shared" si="34"/>
        <v>6.1603264446278692</v>
      </c>
      <c r="AK133" s="83"/>
      <c r="AL133" s="83"/>
      <c r="AM133" s="83"/>
      <c r="AN133" s="83"/>
      <c r="AO133" s="78"/>
    </row>
    <row r="134" spans="1:41" customFormat="1" ht="15" hidden="1" x14ac:dyDescent="0.25">
      <c r="A134" s="82">
        <v>45670</v>
      </c>
      <c r="B134" s="94" t="str">
        <f t="shared" si="24"/>
        <v>January</v>
      </c>
      <c r="C134" s="78"/>
      <c r="D134" s="79" t="s">
        <v>1199</v>
      </c>
      <c r="E134" s="79" t="s">
        <v>1017</v>
      </c>
      <c r="F134" s="79"/>
      <c r="G134" s="79" t="s">
        <v>63</v>
      </c>
      <c r="H134" s="79" t="s">
        <v>452</v>
      </c>
      <c r="I134" s="79">
        <v>157.5</v>
      </c>
      <c r="J134" s="79" t="s">
        <v>1417</v>
      </c>
      <c r="K134" s="80" t="s">
        <v>469</v>
      </c>
      <c r="L134" s="79">
        <v>690</v>
      </c>
      <c r="M134" s="80">
        <f>L134-1</f>
        <v>689</v>
      </c>
      <c r="N134" s="81">
        <f t="shared" si="35"/>
        <v>-1</v>
      </c>
      <c r="O134" s="78"/>
      <c r="P134" s="82">
        <v>45670.331944444442</v>
      </c>
      <c r="Q134" s="82">
        <v>45670.3125</v>
      </c>
      <c r="R134" s="82">
        <v>45670.359027777777</v>
      </c>
      <c r="S134" s="81">
        <f t="shared" si="25"/>
        <v>66.689814813192541</v>
      </c>
      <c r="T134" s="81">
        <f t="shared" si="26"/>
        <v>38.819444445834961</v>
      </c>
      <c r="U134" s="79"/>
      <c r="V134" s="82">
        <v>45670.390972222223</v>
      </c>
      <c r="W134" s="82">
        <f>V134+TIME(0,147,0)</f>
        <v>45670.493055555555</v>
      </c>
      <c r="X134" s="103">
        <f t="shared" si="27"/>
        <v>143.93749999726424</v>
      </c>
      <c r="Y134" s="82"/>
      <c r="Z134" s="82">
        <v>45672.415916666658</v>
      </c>
      <c r="AA134" s="82">
        <f>Z134+TIME(0,58,0)</f>
        <v>45672.456194444436</v>
      </c>
      <c r="AB134" s="81">
        <f t="shared" si="28"/>
        <v>56.791666667122627</v>
      </c>
      <c r="AC134" s="80"/>
      <c r="AD134" s="83">
        <f t="shared" si="29"/>
        <v>2.0568888888810761</v>
      </c>
      <c r="AE134" s="80">
        <v>3</v>
      </c>
      <c r="AF134" s="84">
        <f t="shared" si="30"/>
        <v>0.94311111111892387</v>
      </c>
      <c r="AG134" s="83">
        <f t="shared" si="31"/>
        <v>49.365333333145827</v>
      </c>
      <c r="AH134" s="83">
        <f t="shared" si="32"/>
        <v>24</v>
      </c>
      <c r="AI134" s="83">
        <f t="shared" si="33"/>
        <v>25.365333333145827</v>
      </c>
      <c r="AJ134" s="83">
        <f t="shared" si="34"/>
        <v>6.209261984907128</v>
      </c>
      <c r="AK134" s="83"/>
      <c r="AL134" s="83"/>
      <c r="AM134" s="83"/>
      <c r="AN134" s="83"/>
      <c r="AO134" s="78"/>
    </row>
    <row r="135" spans="1:41" customFormat="1" ht="15" hidden="1" x14ac:dyDescent="0.25">
      <c r="A135" s="82">
        <v>45670</v>
      </c>
      <c r="B135" s="94" t="str">
        <f t="shared" si="24"/>
        <v>January</v>
      </c>
      <c r="C135" s="78"/>
      <c r="D135" s="79" t="s">
        <v>1200</v>
      </c>
      <c r="E135" s="79" t="s">
        <v>1017</v>
      </c>
      <c r="F135" s="79" t="s">
        <v>951</v>
      </c>
      <c r="G135" s="79" t="s">
        <v>968</v>
      </c>
      <c r="H135" s="79" t="s">
        <v>991</v>
      </c>
      <c r="I135" s="79">
        <v>153.6</v>
      </c>
      <c r="J135" s="79" t="s">
        <v>1418</v>
      </c>
      <c r="K135" s="80" t="s">
        <v>469</v>
      </c>
      <c r="L135" s="79">
        <v>20</v>
      </c>
      <c r="M135" s="80">
        <f>L135+1</f>
        <v>21</v>
      </c>
      <c r="N135" s="81">
        <f t="shared" si="35"/>
        <v>1</v>
      </c>
      <c r="O135" s="78"/>
      <c r="P135" s="82">
        <f>R135-TIME(0,43,0)</f>
        <v>45670.529861111107</v>
      </c>
      <c r="Q135" s="82">
        <v>45670.504166666666</v>
      </c>
      <c r="R135" s="82">
        <v>45670.55972222222</v>
      </c>
      <c r="S135" s="81">
        <f t="shared" si="25"/>
        <v>79.629629628470866</v>
      </c>
      <c r="T135" s="81">
        <f t="shared" si="26"/>
        <v>42.80092592986572</v>
      </c>
      <c r="U135" s="79"/>
      <c r="V135" s="82">
        <v>45671.400694444441</v>
      </c>
      <c r="W135" s="82">
        <f>V135+TIME(0,170,0)</f>
        <v>45671.518749999996</v>
      </c>
      <c r="X135" s="103">
        <f t="shared" si="27"/>
        <v>166.45833333219343</v>
      </c>
      <c r="Y135" s="82"/>
      <c r="Z135" s="82">
        <v>45670.768750000003</v>
      </c>
      <c r="AA135" s="82">
        <f>Z135+TIME(0,58,0)</f>
        <v>45670.809027777781</v>
      </c>
      <c r="AB135" s="81">
        <f t="shared" si="28"/>
        <v>56.791666667122627</v>
      </c>
      <c r="AC135" s="80"/>
      <c r="AD135" s="83">
        <f t="shared" si="29"/>
        <v>0.20902777778246673</v>
      </c>
      <c r="AE135" s="80">
        <v>1</v>
      </c>
      <c r="AF135" s="84">
        <f t="shared" si="30"/>
        <v>0.79097222221753327</v>
      </c>
      <c r="AG135" s="83">
        <f t="shared" si="31"/>
        <v>5.0166666667792015</v>
      </c>
      <c r="AH135" s="83">
        <f t="shared" si="32"/>
        <v>0</v>
      </c>
      <c r="AI135" s="83">
        <f t="shared" si="33"/>
        <v>5.0166666667792015</v>
      </c>
      <c r="AJ135" s="83">
        <f t="shared" si="34"/>
        <v>30.617940198648721</v>
      </c>
      <c r="AK135" s="83"/>
      <c r="AL135" s="83"/>
      <c r="AM135" s="83"/>
      <c r="AN135" s="83"/>
      <c r="AO135" s="78"/>
    </row>
    <row r="136" spans="1:41" customFormat="1" ht="15" hidden="1" x14ac:dyDescent="0.25">
      <c r="A136" s="82">
        <v>45670</v>
      </c>
      <c r="B136" s="94" t="str">
        <f t="shared" si="24"/>
        <v>January</v>
      </c>
      <c r="C136" s="78"/>
      <c r="D136" s="79" t="s">
        <v>1201</v>
      </c>
      <c r="E136" s="79" t="s">
        <v>1017</v>
      </c>
      <c r="F136" s="79" t="s">
        <v>950</v>
      </c>
      <c r="G136" s="79" t="s">
        <v>967</v>
      </c>
      <c r="H136" s="79" t="s">
        <v>1282</v>
      </c>
      <c r="I136" s="79">
        <v>144</v>
      </c>
      <c r="J136" s="79" t="s">
        <v>1419</v>
      </c>
      <c r="K136" s="80" t="s">
        <v>469</v>
      </c>
      <c r="L136" s="79">
        <v>810</v>
      </c>
      <c r="M136" s="80">
        <f>L136+1</f>
        <v>811</v>
      </c>
      <c r="N136" s="81">
        <f t="shared" si="35"/>
        <v>1</v>
      </c>
      <c r="O136" s="78"/>
      <c r="P136" s="82">
        <f>R136-TIME(0,41,0)</f>
        <v>45670.520833333336</v>
      </c>
      <c r="Q136" s="82">
        <v>45670.504861111112</v>
      </c>
      <c r="R136" s="82">
        <v>45670.549305555556</v>
      </c>
      <c r="S136" s="81">
        <f t="shared" si="25"/>
        <v>63.703703702776693</v>
      </c>
      <c r="T136" s="81">
        <f t="shared" si="26"/>
        <v>40.810185182635905</v>
      </c>
      <c r="U136" s="79"/>
      <c r="V136" s="82">
        <v>45670.584722222222</v>
      </c>
      <c r="W136" s="82">
        <f>V136+TIME(0,160,0)</f>
        <v>45670.695833333331</v>
      </c>
      <c r="X136" s="103">
        <f t="shared" si="27"/>
        <v>156.66666666438687</v>
      </c>
      <c r="Y136" s="82"/>
      <c r="Z136" s="82">
        <v>45675.619305555556</v>
      </c>
      <c r="AA136" s="82">
        <v>45675.675555555557</v>
      </c>
      <c r="AB136" s="81">
        <f t="shared" si="28"/>
        <v>79.31250000205182</v>
      </c>
      <c r="AC136" s="80" t="s">
        <v>543</v>
      </c>
      <c r="AD136" s="83">
        <f t="shared" si="29"/>
        <v>5.069999999999709</v>
      </c>
      <c r="AE136" s="80">
        <v>3</v>
      </c>
      <c r="AF136" s="84">
        <f t="shared" si="30"/>
        <v>-2.069999999999709</v>
      </c>
      <c r="AG136" s="83">
        <f t="shared" si="31"/>
        <v>121.67999999999302</v>
      </c>
      <c r="AH136" s="83">
        <f t="shared" si="32"/>
        <v>60</v>
      </c>
      <c r="AI136" s="83">
        <f t="shared" si="33"/>
        <v>61.679999999993015</v>
      </c>
      <c r="AJ136" s="83">
        <f t="shared" si="34"/>
        <v>2.3346303501948169</v>
      </c>
      <c r="AK136" s="83"/>
      <c r="AL136" s="83"/>
      <c r="AM136" s="83"/>
      <c r="AN136" s="83"/>
      <c r="AO136" s="78"/>
    </row>
    <row r="137" spans="1:41" customFormat="1" ht="15" hidden="1" x14ac:dyDescent="0.25">
      <c r="A137" s="82">
        <v>45670</v>
      </c>
      <c r="B137" s="94" t="str">
        <f t="shared" si="24"/>
        <v>January</v>
      </c>
      <c r="C137" s="78"/>
      <c r="D137" s="79" t="s">
        <v>1202</v>
      </c>
      <c r="E137" s="79" t="s">
        <v>1017</v>
      </c>
      <c r="F137" s="79" t="s">
        <v>1270</v>
      </c>
      <c r="G137" s="79" t="s">
        <v>1262</v>
      </c>
      <c r="H137" s="79" t="s">
        <v>988</v>
      </c>
      <c r="I137" s="79">
        <v>153.6</v>
      </c>
      <c r="J137" s="79" t="s">
        <v>1420</v>
      </c>
      <c r="K137" s="80" t="s">
        <v>469</v>
      </c>
      <c r="L137" s="80">
        <v>150</v>
      </c>
      <c r="M137" s="80">
        <f>L137-1</f>
        <v>149</v>
      </c>
      <c r="N137" s="81">
        <f t="shared" si="35"/>
        <v>-1</v>
      </c>
      <c r="O137" s="78"/>
      <c r="P137" s="82">
        <v>45670.929166666669</v>
      </c>
      <c r="Q137" s="82">
        <v>45670.92083333333</v>
      </c>
      <c r="R137" s="82">
        <v>45670.956250000003</v>
      </c>
      <c r="S137" s="81">
        <f t="shared" si="25"/>
        <v>50.763888897927245</v>
      </c>
      <c r="T137" s="81">
        <f t="shared" si="26"/>
        <v>38.819444445834961</v>
      </c>
      <c r="U137" s="79"/>
      <c r="V137" s="82">
        <v>45671.799305555556</v>
      </c>
      <c r="W137" s="82">
        <f>V137+TIME(0,172,0)</f>
        <v>45671.918749999997</v>
      </c>
      <c r="X137" s="103">
        <f t="shared" si="27"/>
        <v>168.41666666165111</v>
      </c>
      <c r="Y137" s="82"/>
      <c r="Z137" s="82">
        <v>45671.775694444448</v>
      </c>
      <c r="AA137" s="82">
        <f>Z137+TIME(0,56,0)</f>
        <v>45671.81458333334</v>
      </c>
      <c r="AB137" s="81">
        <f t="shared" si="28"/>
        <v>54.833333337664953</v>
      </c>
      <c r="AC137" s="80"/>
      <c r="AD137" s="83">
        <f t="shared" si="29"/>
        <v>0.81944444444525288</v>
      </c>
      <c r="AE137" s="80">
        <v>1</v>
      </c>
      <c r="AF137" s="84">
        <f t="shared" si="30"/>
        <v>0.18055555555474712</v>
      </c>
      <c r="AG137" s="83">
        <f t="shared" si="31"/>
        <v>19.666666666686069</v>
      </c>
      <c r="AH137" s="83">
        <f t="shared" si="32"/>
        <v>0</v>
      </c>
      <c r="AI137" s="83">
        <f t="shared" si="33"/>
        <v>19.666666666686069</v>
      </c>
      <c r="AJ137" s="83">
        <f t="shared" si="34"/>
        <v>7.8101694915177182</v>
      </c>
      <c r="AK137" s="83"/>
      <c r="AL137" s="83"/>
      <c r="AM137" s="83"/>
      <c r="AN137" s="83"/>
      <c r="AO137" s="78"/>
    </row>
    <row r="138" spans="1:41" customFormat="1" ht="15" hidden="1" x14ac:dyDescent="0.25">
      <c r="A138" s="82">
        <v>45671</v>
      </c>
      <c r="B138" s="94" t="str">
        <f t="shared" si="24"/>
        <v>January</v>
      </c>
      <c r="C138" s="78"/>
      <c r="D138" s="79" t="s">
        <v>1203</v>
      </c>
      <c r="E138" s="79" t="s">
        <v>1017</v>
      </c>
      <c r="F138" s="79" t="s">
        <v>965</v>
      </c>
      <c r="G138" s="79" t="s">
        <v>980</v>
      </c>
      <c r="H138" s="79" t="s">
        <v>458</v>
      </c>
      <c r="I138" s="79">
        <v>153.6</v>
      </c>
      <c r="J138" s="79" t="s">
        <v>1421</v>
      </c>
      <c r="K138" s="80" t="s">
        <v>469</v>
      </c>
      <c r="L138" s="80">
        <v>448</v>
      </c>
      <c r="M138" s="80">
        <f>L138+1</f>
        <v>449</v>
      </c>
      <c r="N138" s="81">
        <f t="shared" si="35"/>
        <v>1</v>
      </c>
      <c r="O138" s="78"/>
      <c r="P138" s="82">
        <f>R138-TIME(0,40,0)</f>
        <v>45672.298611111109</v>
      </c>
      <c r="Q138" s="82">
        <v>45672.3125</v>
      </c>
      <c r="R138" s="82">
        <v>45672.326388888891</v>
      </c>
      <c r="S138" s="81">
        <f t="shared" si="25"/>
        <v>19.907407409724936</v>
      </c>
      <c r="T138" s="81">
        <f t="shared" si="26"/>
        <v>39.814814819449872</v>
      </c>
      <c r="U138" s="79"/>
      <c r="V138" s="82">
        <v>45671.477083333339</v>
      </c>
      <c r="W138" s="82">
        <f>V138+TIME(0,242,0)</f>
        <v>45671.645138888896</v>
      </c>
      <c r="X138" s="103">
        <f t="shared" si="27"/>
        <v>236.95833333629707</v>
      </c>
      <c r="Y138" s="82" t="s">
        <v>1044</v>
      </c>
      <c r="Z138" s="82">
        <v>45674.564583333333</v>
      </c>
      <c r="AA138" s="82">
        <f>Z138+TIME(0,57,0)</f>
        <v>45674.604166666664</v>
      </c>
      <c r="AB138" s="81">
        <f t="shared" si="28"/>
        <v>55.81249999726424</v>
      </c>
      <c r="AC138" s="80"/>
      <c r="AD138" s="83">
        <f t="shared" si="29"/>
        <v>2.2381944444423425</v>
      </c>
      <c r="AE138" s="80">
        <v>2</v>
      </c>
      <c r="AF138" s="84">
        <f t="shared" si="30"/>
        <v>-0.2381944444423425</v>
      </c>
      <c r="AG138" s="83">
        <f t="shared" si="31"/>
        <v>53.71666666661622</v>
      </c>
      <c r="AH138" s="83">
        <f t="shared" si="32"/>
        <v>24</v>
      </c>
      <c r="AI138" s="83">
        <f t="shared" si="33"/>
        <v>29.71666666661622</v>
      </c>
      <c r="AJ138" s="83">
        <f t="shared" si="34"/>
        <v>5.16881660124265</v>
      </c>
      <c r="AK138" s="83"/>
      <c r="AL138" s="83"/>
      <c r="AM138" s="83"/>
      <c r="AN138" s="83"/>
      <c r="AO138" s="78"/>
    </row>
    <row r="139" spans="1:41" customFormat="1" ht="15" hidden="1" x14ac:dyDescent="0.25">
      <c r="A139" s="82">
        <v>45671</v>
      </c>
      <c r="B139" s="94" t="str">
        <f t="shared" si="24"/>
        <v>January</v>
      </c>
      <c r="C139" s="78"/>
      <c r="D139" s="79" t="s">
        <v>1204</v>
      </c>
      <c r="E139" s="79" t="s">
        <v>1017</v>
      </c>
      <c r="F139" s="79" t="s">
        <v>952</v>
      </c>
      <c r="G139" s="79" t="s">
        <v>969</v>
      </c>
      <c r="H139" s="79" t="s">
        <v>987</v>
      </c>
      <c r="I139" s="79">
        <v>153.6</v>
      </c>
      <c r="J139" s="79" t="s">
        <v>1422</v>
      </c>
      <c r="K139" s="80" t="s">
        <v>469</v>
      </c>
      <c r="L139" s="79">
        <v>320</v>
      </c>
      <c r="M139" s="80">
        <f>L139-1</f>
        <v>319</v>
      </c>
      <c r="N139" s="81">
        <f t="shared" si="35"/>
        <v>-1</v>
      </c>
      <c r="O139" s="78"/>
      <c r="P139" s="82">
        <v>45672.289583333331</v>
      </c>
      <c r="Q139" s="82">
        <v>45672.3125</v>
      </c>
      <c r="R139" s="82">
        <v>45672.316666666666</v>
      </c>
      <c r="S139" s="81">
        <f t="shared" si="25"/>
        <v>5.9722222208317062</v>
      </c>
      <c r="T139" s="81">
        <f t="shared" si="26"/>
        <v>38.819444445834961</v>
      </c>
      <c r="U139" s="79"/>
      <c r="V139" s="82">
        <v>45673.409722222226</v>
      </c>
      <c r="W139" s="82">
        <f>V139+TIME(0,179,0)</f>
        <v>45673.53402777778</v>
      </c>
      <c r="X139" s="103">
        <f t="shared" si="27"/>
        <v>175.27083333014161</v>
      </c>
      <c r="Y139" s="82"/>
      <c r="Z139" s="82">
        <v>45673.473749999997</v>
      </c>
      <c r="AA139" s="82">
        <v>45673.507777777777</v>
      </c>
      <c r="AB139" s="81">
        <f t="shared" si="28"/>
        <v>47.979166669174447</v>
      </c>
      <c r="AC139" s="80"/>
      <c r="AD139" s="83">
        <f t="shared" si="29"/>
        <v>1.1570833333316841</v>
      </c>
      <c r="AE139" s="80">
        <v>2</v>
      </c>
      <c r="AF139" s="84">
        <f t="shared" si="30"/>
        <v>0.84291666666831588</v>
      </c>
      <c r="AG139" s="83">
        <f t="shared" si="31"/>
        <v>27.769999999960419</v>
      </c>
      <c r="AH139" s="83">
        <f t="shared" si="32"/>
        <v>12</v>
      </c>
      <c r="AI139" s="83">
        <f t="shared" si="33"/>
        <v>15.769999999960419</v>
      </c>
      <c r="AJ139" s="83">
        <f t="shared" si="34"/>
        <v>9.7400126823326261</v>
      </c>
      <c r="AK139" s="83"/>
      <c r="AL139" s="83"/>
      <c r="AM139" s="83"/>
      <c r="AN139" s="83"/>
      <c r="AO139" s="78"/>
    </row>
    <row r="140" spans="1:41" customFormat="1" ht="15" hidden="1" x14ac:dyDescent="0.25">
      <c r="A140" s="82">
        <v>45671</v>
      </c>
      <c r="B140" s="94" t="str">
        <f t="shared" si="24"/>
        <v>January</v>
      </c>
      <c r="C140" s="78"/>
      <c r="D140" s="79" t="s">
        <v>1205</v>
      </c>
      <c r="E140" s="79" t="s">
        <v>1017</v>
      </c>
      <c r="F140" s="79" t="s">
        <v>1275</v>
      </c>
      <c r="G140" s="79" t="s">
        <v>1264</v>
      </c>
      <c r="H140" s="79" t="s">
        <v>991</v>
      </c>
      <c r="I140" s="79">
        <v>155.625</v>
      </c>
      <c r="J140" s="79" t="s">
        <v>1423</v>
      </c>
      <c r="K140" s="80" t="s">
        <v>469</v>
      </c>
      <c r="L140" s="79">
        <v>20</v>
      </c>
      <c r="M140" s="80">
        <f>L140-3</f>
        <v>17</v>
      </c>
      <c r="N140" s="81">
        <f t="shared" si="35"/>
        <v>-3</v>
      </c>
      <c r="O140" s="78"/>
      <c r="P140" s="82">
        <v>45672.285416666666</v>
      </c>
      <c r="Q140" s="82">
        <v>45672.3125</v>
      </c>
      <c r="R140" s="82">
        <v>45672.3125</v>
      </c>
      <c r="S140" s="81">
        <f t="shared" si="25"/>
        <v>0</v>
      </c>
      <c r="T140" s="81">
        <f t="shared" si="26"/>
        <v>38.819444445834961</v>
      </c>
      <c r="U140" s="79"/>
      <c r="V140" s="82">
        <v>45672.566666666666</v>
      </c>
      <c r="W140" s="82">
        <f>V140+TIME(0,172,0)</f>
        <v>45672.686111111107</v>
      </c>
      <c r="X140" s="103">
        <f t="shared" si="27"/>
        <v>168.41666666165111</v>
      </c>
      <c r="Y140" s="82"/>
      <c r="Z140" s="82">
        <v>45672.498611111114</v>
      </c>
      <c r="AA140" s="82">
        <f>Z140+TIME(0,58,0)</f>
        <v>45672.538888888892</v>
      </c>
      <c r="AB140" s="81">
        <f t="shared" si="28"/>
        <v>56.791666667122627</v>
      </c>
      <c r="AC140" s="80"/>
      <c r="AD140" s="83">
        <f t="shared" si="29"/>
        <v>0.18611111111385981</v>
      </c>
      <c r="AE140" s="80">
        <v>1</v>
      </c>
      <c r="AF140" s="84">
        <f t="shared" si="30"/>
        <v>0.81388888888614019</v>
      </c>
      <c r="AG140" s="83">
        <f t="shared" si="31"/>
        <v>4.4666666667326353</v>
      </c>
      <c r="AH140" s="83">
        <f t="shared" si="32"/>
        <v>0</v>
      </c>
      <c r="AI140" s="83">
        <f t="shared" si="33"/>
        <v>4.4666666667326353</v>
      </c>
      <c r="AJ140" s="83">
        <f t="shared" si="34"/>
        <v>34.841417909933185</v>
      </c>
      <c r="AK140" s="83"/>
      <c r="AL140" s="83"/>
      <c r="AM140" s="83"/>
      <c r="AN140" s="83"/>
      <c r="AO140" s="78"/>
    </row>
    <row r="141" spans="1:41" customFormat="1" ht="15" hidden="1" x14ac:dyDescent="0.25">
      <c r="A141" s="82">
        <v>45672</v>
      </c>
      <c r="B141" s="94" t="str">
        <f t="shared" si="24"/>
        <v>January</v>
      </c>
      <c r="C141" s="78"/>
      <c r="D141" s="79" t="s">
        <v>1206</v>
      </c>
      <c r="E141" s="79" t="s">
        <v>1017</v>
      </c>
      <c r="F141" s="79" t="s">
        <v>1275</v>
      </c>
      <c r="G141" s="79" t="s">
        <v>1264</v>
      </c>
      <c r="H141" s="79" t="s">
        <v>996</v>
      </c>
      <c r="I141" s="79">
        <v>151.42500000000001</v>
      </c>
      <c r="J141" s="79" t="s">
        <v>1424</v>
      </c>
      <c r="K141" s="80" t="s">
        <v>469</v>
      </c>
      <c r="L141" s="79">
        <v>350</v>
      </c>
      <c r="M141" s="80">
        <f>L141-1</f>
        <v>349</v>
      </c>
      <c r="N141" s="81">
        <f t="shared" si="35"/>
        <v>-1</v>
      </c>
      <c r="O141" s="78"/>
      <c r="P141" s="82">
        <f>R141-TIME(0,43,0)</f>
        <v>45672.721527777772</v>
      </c>
      <c r="Q141" s="82">
        <v>45672.708333333336</v>
      </c>
      <c r="R141" s="82">
        <v>45672.751388888886</v>
      </c>
      <c r="S141" s="81">
        <f t="shared" si="25"/>
        <v>61.712962955546878</v>
      </c>
      <c r="T141" s="81">
        <f t="shared" si="26"/>
        <v>42.80092592986572</v>
      </c>
      <c r="U141" s="79"/>
      <c r="V141" s="82">
        <v>45672.341666666667</v>
      </c>
      <c r="W141" s="82">
        <f>V141+TIME(0,180,0)</f>
        <v>45672.466666666667</v>
      </c>
      <c r="X141" s="103">
        <f t="shared" si="27"/>
        <v>176.25</v>
      </c>
      <c r="Y141" s="82"/>
      <c r="Z141" s="82">
        <v>45674.482388888893</v>
      </c>
      <c r="AA141" s="82">
        <f>Z141+TIME(0,56,0)</f>
        <v>45674.521277777785</v>
      </c>
      <c r="AB141" s="81">
        <f t="shared" si="28"/>
        <v>54.833333337664953</v>
      </c>
      <c r="AC141" s="80"/>
      <c r="AD141" s="83">
        <f t="shared" si="29"/>
        <v>1.7310000000070431</v>
      </c>
      <c r="AE141" s="80">
        <v>2</v>
      </c>
      <c r="AF141" s="84">
        <f t="shared" si="30"/>
        <v>0.26899999999295687</v>
      </c>
      <c r="AG141" s="83">
        <f t="shared" si="31"/>
        <v>41.544000000169035</v>
      </c>
      <c r="AH141" s="83">
        <f t="shared" si="32"/>
        <v>12</v>
      </c>
      <c r="AI141" s="83">
        <f t="shared" si="33"/>
        <v>29.544000000169035</v>
      </c>
      <c r="AJ141" s="83">
        <f t="shared" si="34"/>
        <v>5.1254061738130803</v>
      </c>
      <c r="AK141" s="83"/>
      <c r="AL141" s="83"/>
      <c r="AM141" s="83"/>
      <c r="AN141" s="83"/>
      <c r="AO141" s="78"/>
    </row>
    <row r="142" spans="1:41" customFormat="1" ht="15" hidden="1" x14ac:dyDescent="0.25">
      <c r="A142" s="82">
        <v>45672</v>
      </c>
      <c r="B142" s="94" t="str">
        <f t="shared" si="24"/>
        <v>January</v>
      </c>
      <c r="C142" s="78"/>
      <c r="D142" s="79" t="s">
        <v>1207</v>
      </c>
      <c r="E142" s="79" t="s">
        <v>1017</v>
      </c>
      <c r="F142" s="79" t="s">
        <v>1273</v>
      </c>
      <c r="G142" s="79" t="s">
        <v>41</v>
      </c>
      <c r="H142" s="79" t="s">
        <v>1284</v>
      </c>
      <c r="I142" s="79">
        <v>156</v>
      </c>
      <c r="J142" s="79" t="s">
        <v>1425</v>
      </c>
      <c r="K142" s="80" t="s">
        <v>469</v>
      </c>
      <c r="L142" s="79">
        <v>620</v>
      </c>
      <c r="M142" s="80">
        <f>L142+1</f>
        <v>621</v>
      </c>
      <c r="N142" s="81">
        <f t="shared" si="35"/>
        <v>1</v>
      </c>
      <c r="O142" s="78"/>
      <c r="P142" s="82">
        <f>R142-TIME(0,41,0)</f>
        <v>45673.301388888889</v>
      </c>
      <c r="Q142" s="82">
        <v>45673.3125</v>
      </c>
      <c r="R142" s="82">
        <v>45673.329861111109</v>
      </c>
      <c r="S142" s="81">
        <f t="shared" si="25"/>
        <v>24.884259256941732</v>
      </c>
      <c r="T142" s="81">
        <f t="shared" si="26"/>
        <v>40.810185182635905</v>
      </c>
      <c r="U142" s="79"/>
      <c r="V142" s="82">
        <v>45673.293055555558</v>
      </c>
      <c r="W142" s="82">
        <f>V142+TIME(0,180,0)</f>
        <v>45673.418055555558</v>
      </c>
      <c r="X142" s="103">
        <f t="shared" si="27"/>
        <v>176.25</v>
      </c>
      <c r="Y142" s="82"/>
      <c r="Z142" s="82">
        <v>45675.435694444444</v>
      </c>
      <c r="AA142" s="82">
        <f>Z142+TIME(0,57,0)</f>
        <v>45675.475277777776</v>
      </c>
      <c r="AB142" s="81">
        <f t="shared" si="28"/>
        <v>55.81249999726424</v>
      </c>
      <c r="AC142" s="80"/>
      <c r="AD142" s="83">
        <f t="shared" si="29"/>
        <v>2.1058333333348855</v>
      </c>
      <c r="AE142" s="80">
        <v>3</v>
      </c>
      <c r="AF142" s="84">
        <f t="shared" si="30"/>
        <v>0.89416666666511446</v>
      </c>
      <c r="AG142" s="83">
        <f t="shared" si="31"/>
        <v>50.540000000037253</v>
      </c>
      <c r="AH142" s="83">
        <f t="shared" si="32"/>
        <v>24</v>
      </c>
      <c r="AI142" s="83">
        <f t="shared" si="33"/>
        <v>26.540000000037253</v>
      </c>
      <c r="AJ142" s="83">
        <f t="shared" si="34"/>
        <v>5.87792012056447</v>
      </c>
      <c r="AK142" s="83"/>
      <c r="AL142" s="83"/>
      <c r="AM142" s="83"/>
      <c r="AN142" s="83"/>
      <c r="AO142" s="78"/>
    </row>
    <row r="143" spans="1:41" customFormat="1" ht="15" hidden="1" x14ac:dyDescent="0.25">
      <c r="A143" s="82">
        <v>45673</v>
      </c>
      <c r="B143" s="94" t="str">
        <f t="shared" si="24"/>
        <v>January</v>
      </c>
      <c r="C143" s="78"/>
      <c r="D143" s="79" t="s">
        <v>1208</v>
      </c>
      <c r="E143" s="79" t="s">
        <v>1017</v>
      </c>
      <c r="F143" s="79"/>
      <c r="G143" s="79" t="s">
        <v>43</v>
      </c>
      <c r="H143" s="79" t="s">
        <v>462</v>
      </c>
      <c r="I143" s="79">
        <v>156</v>
      </c>
      <c r="J143" s="79" t="s">
        <v>1426</v>
      </c>
      <c r="K143" s="80" t="s">
        <v>469</v>
      </c>
      <c r="L143" s="79">
        <v>680</v>
      </c>
      <c r="M143" s="80">
        <f>L143-3</f>
        <v>677</v>
      </c>
      <c r="N143" s="81">
        <f t="shared" si="35"/>
        <v>-3</v>
      </c>
      <c r="O143" s="78"/>
      <c r="P143" s="82">
        <f>R143-TIME(0,41,0)</f>
        <v>45673.322916666664</v>
      </c>
      <c r="Q143" s="82">
        <v>45673.3125</v>
      </c>
      <c r="R143" s="82">
        <v>45673.351388888885</v>
      </c>
      <c r="S143" s="81">
        <f t="shared" si="25"/>
        <v>55.740740734715168</v>
      </c>
      <c r="T143" s="81">
        <f t="shared" si="26"/>
        <v>40.810185182635905</v>
      </c>
      <c r="U143" s="79"/>
      <c r="V143" s="82">
        <v>45673.850694444445</v>
      </c>
      <c r="W143" s="82">
        <f>V143+TIME(0,160,0)</f>
        <v>45673.961805555555</v>
      </c>
      <c r="X143" s="103">
        <f t="shared" si="27"/>
        <v>156.66666666438687</v>
      </c>
      <c r="Y143" s="82"/>
      <c r="Z143" s="82">
        <v>45675.668944444442</v>
      </c>
      <c r="AA143" s="82">
        <f>Z143+TIME(0,57,0)</f>
        <v>45675.708527777773</v>
      </c>
      <c r="AB143" s="81">
        <f t="shared" si="28"/>
        <v>55.81249999726424</v>
      </c>
      <c r="AC143" s="80"/>
      <c r="AD143" s="83">
        <f t="shared" si="29"/>
        <v>2.3175555555571918</v>
      </c>
      <c r="AE143" s="80">
        <v>3</v>
      </c>
      <c r="AF143" s="84">
        <f t="shared" si="30"/>
        <v>0.68244444444280816</v>
      </c>
      <c r="AG143" s="83">
        <f t="shared" si="31"/>
        <v>55.621333333372604</v>
      </c>
      <c r="AH143" s="83">
        <f t="shared" si="32"/>
        <v>24</v>
      </c>
      <c r="AI143" s="83">
        <f t="shared" si="33"/>
        <v>31.621333333372604</v>
      </c>
      <c r="AJ143" s="83">
        <f t="shared" si="34"/>
        <v>4.9333783099955602</v>
      </c>
      <c r="AK143" s="83"/>
      <c r="AL143" s="83"/>
      <c r="AM143" s="83"/>
      <c r="AN143" s="83"/>
      <c r="AO143" s="78"/>
    </row>
    <row r="144" spans="1:41" customFormat="1" ht="15" hidden="1" x14ac:dyDescent="0.25">
      <c r="A144" s="82">
        <v>45673</v>
      </c>
      <c r="B144" s="94" t="str">
        <f t="shared" si="24"/>
        <v>January</v>
      </c>
      <c r="C144" s="78"/>
      <c r="D144" s="79" t="s">
        <v>1209</v>
      </c>
      <c r="E144" s="79" t="s">
        <v>1017</v>
      </c>
      <c r="F144" s="79" t="s">
        <v>1277</v>
      </c>
      <c r="G144" s="79" t="s">
        <v>1266</v>
      </c>
      <c r="H144" s="79" t="s">
        <v>455</v>
      </c>
      <c r="I144" s="79">
        <v>156</v>
      </c>
      <c r="J144" s="79" t="s">
        <v>1427</v>
      </c>
      <c r="K144" s="80" t="s">
        <v>469</v>
      </c>
      <c r="L144" s="80">
        <v>580</v>
      </c>
      <c r="M144" s="80">
        <f>L144-3</f>
        <v>577</v>
      </c>
      <c r="N144" s="81">
        <f t="shared" si="35"/>
        <v>-3</v>
      </c>
      <c r="O144" s="78"/>
      <c r="P144" s="82">
        <f>R144-TIME(0,40,0)</f>
        <v>45673.298611111109</v>
      </c>
      <c r="Q144" s="82">
        <v>45673.3125</v>
      </c>
      <c r="R144" s="82">
        <v>45673.326388888891</v>
      </c>
      <c r="S144" s="81">
        <f t="shared" si="25"/>
        <v>19.907407409724936</v>
      </c>
      <c r="T144" s="81">
        <f t="shared" si="26"/>
        <v>39.814814819449872</v>
      </c>
      <c r="U144" s="79"/>
      <c r="V144" s="82">
        <v>45674.446527777771</v>
      </c>
      <c r="W144" s="82">
        <f>V144+TIME(0,180,0)</f>
        <v>45674.571527777771</v>
      </c>
      <c r="X144" s="103">
        <f t="shared" si="27"/>
        <v>176.25</v>
      </c>
      <c r="Y144" s="82"/>
      <c r="Z144" s="82">
        <v>45675.699972222224</v>
      </c>
      <c r="AA144" s="82">
        <f>Z144+TIME(0,58,0)</f>
        <v>45675.740250000003</v>
      </c>
      <c r="AB144" s="81">
        <f t="shared" si="28"/>
        <v>56.791666667122627</v>
      </c>
      <c r="AC144" s="80"/>
      <c r="AD144" s="83">
        <f t="shared" si="29"/>
        <v>2.3735833333339542</v>
      </c>
      <c r="AE144" s="80">
        <v>2</v>
      </c>
      <c r="AF144" s="84">
        <f t="shared" si="30"/>
        <v>-0.37358333333395422</v>
      </c>
      <c r="AG144" s="83">
        <f t="shared" si="31"/>
        <v>56.966000000014901</v>
      </c>
      <c r="AH144" s="83">
        <f t="shared" si="32"/>
        <v>24</v>
      </c>
      <c r="AI144" s="83">
        <f t="shared" si="33"/>
        <v>32.966000000014901</v>
      </c>
      <c r="AJ144" s="83">
        <f t="shared" si="34"/>
        <v>4.7321482739771126</v>
      </c>
      <c r="AK144" s="83"/>
      <c r="AL144" s="83"/>
      <c r="AM144" s="83"/>
      <c r="AN144" s="83"/>
      <c r="AO144" s="78"/>
    </row>
    <row r="145" spans="1:41" customFormat="1" ht="15" hidden="1" x14ac:dyDescent="0.25">
      <c r="A145" s="82">
        <v>45673</v>
      </c>
      <c r="B145" s="94" t="str">
        <f t="shared" si="24"/>
        <v>January</v>
      </c>
      <c r="C145" s="78"/>
      <c r="D145" s="79" t="s">
        <v>1210</v>
      </c>
      <c r="E145" s="79" t="s">
        <v>1017</v>
      </c>
      <c r="F145" s="79"/>
      <c r="G145" s="79" t="s">
        <v>43</v>
      </c>
      <c r="H145" s="79" t="s">
        <v>463</v>
      </c>
      <c r="I145" s="79">
        <v>156</v>
      </c>
      <c r="J145" s="79" t="s">
        <v>1428</v>
      </c>
      <c r="K145" s="80" t="s">
        <v>469</v>
      </c>
      <c r="L145" s="80">
        <v>464</v>
      </c>
      <c r="M145" s="80">
        <f>L145-3</f>
        <v>461</v>
      </c>
      <c r="N145" s="81">
        <f t="shared" si="35"/>
        <v>-3</v>
      </c>
      <c r="O145" s="78"/>
      <c r="P145" s="82">
        <f>R145-TIME(0,63,0)</f>
        <v>45673.275694444448</v>
      </c>
      <c r="Q145" s="82">
        <v>45673.3125</v>
      </c>
      <c r="R145" s="82">
        <v>45673.319444444445</v>
      </c>
      <c r="S145" s="81">
        <f t="shared" si="25"/>
        <v>9.9537037048624679</v>
      </c>
      <c r="T145" s="81">
        <f t="shared" si="26"/>
        <v>62.708333329161782</v>
      </c>
      <c r="U145" s="79" t="s">
        <v>1671</v>
      </c>
      <c r="V145" s="82">
        <v>45674.409722222226</v>
      </c>
      <c r="W145" s="82">
        <f>V145+TIME(0,163,0)</f>
        <v>45674.522916666669</v>
      </c>
      <c r="X145" s="103">
        <f t="shared" si="27"/>
        <v>159.60416666370293</v>
      </c>
      <c r="Y145" s="82"/>
      <c r="Z145" s="82">
        <v>45676.62777777778</v>
      </c>
      <c r="AA145" s="82">
        <f>Z145+TIME(0,56,0)</f>
        <v>45676.666666666672</v>
      </c>
      <c r="AB145" s="81">
        <f t="shared" si="28"/>
        <v>54.833333337664953</v>
      </c>
      <c r="AC145" s="80"/>
      <c r="AD145" s="83">
        <f t="shared" si="29"/>
        <v>3.3083333333343035</v>
      </c>
      <c r="AE145" s="80">
        <v>3</v>
      </c>
      <c r="AF145" s="84">
        <f t="shared" si="30"/>
        <v>-0.30833333333430346</v>
      </c>
      <c r="AG145" s="83">
        <f t="shared" si="31"/>
        <v>79.400000000023283</v>
      </c>
      <c r="AH145" s="83">
        <f t="shared" si="32"/>
        <v>36</v>
      </c>
      <c r="AI145" s="83">
        <f t="shared" si="33"/>
        <v>43.400000000023283</v>
      </c>
      <c r="AJ145" s="83">
        <f t="shared" si="34"/>
        <v>3.5944700460810211</v>
      </c>
      <c r="AK145" s="83"/>
      <c r="AL145" s="83"/>
      <c r="AM145" s="83"/>
      <c r="AN145" s="83"/>
      <c r="AO145" s="78"/>
    </row>
    <row r="146" spans="1:41" customFormat="1" ht="15" hidden="1" x14ac:dyDescent="0.25">
      <c r="A146" s="82">
        <v>45673</v>
      </c>
      <c r="B146" s="94" t="str">
        <f t="shared" si="24"/>
        <v>January</v>
      </c>
      <c r="C146" s="78"/>
      <c r="D146" s="79" t="s">
        <v>1211</v>
      </c>
      <c r="E146" s="79" t="s">
        <v>1017</v>
      </c>
      <c r="F146" s="79"/>
      <c r="G146" s="79" t="s">
        <v>43</v>
      </c>
      <c r="H146" s="79" t="s">
        <v>987</v>
      </c>
      <c r="I146" s="79">
        <v>156</v>
      </c>
      <c r="J146" s="79" t="s">
        <v>1429</v>
      </c>
      <c r="K146" s="80" t="s">
        <v>469</v>
      </c>
      <c r="L146" s="79">
        <v>320</v>
      </c>
      <c r="M146" s="80">
        <f>L146-2</f>
        <v>318</v>
      </c>
      <c r="N146" s="81">
        <f t="shared" si="35"/>
        <v>-2</v>
      </c>
      <c r="O146" s="78"/>
      <c r="P146" s="82">
        <f>R146-TIME(0,41,0)</f>
        <v>45673.306250000001</v>
      </c>
      <c r="Q146" s="82">
        <v>45673.3125</v>
      </c>
      <c r="R146" s="82">
        <v>45673.334722222222</v>
      </c>
      <c r="S146" s="81">
        <f t="shared" si="25"/>
        <v>31.851851851388346</v>
      </c>
      <c r="T146" s="81">
        <f t="shared" si="26"/>
        <v>40.810185182635905</v>
      </c>
      <c r="U146" s="79"/>
      <c r="V146" s="82">
        <v>45675.319444444445</v>
      </c>
      <c r="W146" s="82">
        <f>V146+TIME(0,180,0)</f>
        <v>45675.444444444445</v>
      </c>
      <c r="X146" s="103">
        <f t="shared" si="27"/>
        <v>176.25</v>
      </c>
      <c r="Y146" s="82"/>
      <c r="Z146" s="82">
        <v>45674.46402777778</v>
      </c>
      <c r="AA146" s="82">
        <f>Z146+TIME(0,57,0)</f>
        <v>45674.503611111111</v>
      </c>
      <c r="AB146" s="81">
        <f t="shared" si="28"/>
        <v>55.81249999726424</v>
      </c>
      <c r="AC146" s="80"/>
      <c r="AD146" s="83">
        <f t="shared" si="29"/>
        <v>1.1293055555579485</v>
      </c>
      <c r="AE146" s="80">
        <v>2</v>
      </c>
      <c r="AF146" s="84">
        <f t="shared" si="30"/>
        <v>0.87069444444205146</v>
      </c>
      <c r="AG146" s="83">
        <f t="shared" si="31"/>
        <v>27.103333333390765</v>
      </c>
      <c r="AH146" s="83">
        <f t="shared" si="32"/>
        <v>12</v>
      </c>
      <c r="AI146" s="83">
        <f t="shared" si="33"/>
        <v>15.103333333390765</v>
      </c>
      <c r="AJ146" s="83">
        <f t="shared" si="34"/>
        <v>10.328845729380278</v>
      </c>
      <c r="AK146" s="83"/>
      <c r="AL146" s="83"/>
      <c r="AM146" s="83"/>
      <c r="AN146" s="83"/>
      <c r="AO146" s="78"/>
    </row>
    <row r="147" spans="1:41" customFormat="1" ht="15" hidden="1" x14ac:dyDescent="0.25">
      <c r="A147" s="82">
        <v>45673</v>
      </c>
      <c r="B147" s="94" t="str">
        <f t="shared" si="24"/>
        <v>January</v>
      </c>
      <c r="C147" s="78"/>
      <c r="D147" s="79" t="s">
        <v>1212</v>
      </c>
      <c r="E147" s="79" t="s">
        <v>1017</v>
      </c>
      <c r="F147" s="79" t="s">
        <v>955</v>
      </c>
      <c r="G147" s="79" t="s">
        <v>972</v>
      </c>
      <c r="H147" s="79" t="s">
        <v>988</v>
      </c>
      <c r="I147" s="79">
        <v>153.6</v>
      </c>
      <c r="J147" s="79" t="s">
        <v>1430</v>
      </c>
      <c r="K147" s="80" t="s">
        <v>469</v>
      </c>
      <c r="L147" s="80">
        <v>150</v>
      </c>
      <c r="M147" s="80">
        <f>L147+1</f>
        <v>151</v>
      </c>
      <c r="N147" s="81">
        <f t="shared" si="35"/>
        <v>1</v>
      </c>
      <c r="O147" s="78"/>
      <c r="P147" s="82">
        <f>R147-TIME(0,40,0)</f>
        <v>45674.334722222215</v>
      </c>
      <c r="Q147" s="82">
        <v>45674.3125</v>
      </c>
      <c r="R147" s="82">
        <v>45674.362499999996</v>
      </c>
      <c r="S147" s="81">
        <f t="shared" si="25"/>
        <v>71.666666660409348</v>
      </c>
      <c r="T147" s="81">
        <f t="shared" si="26"/>
        <v>39.814814819449872</v>
      </c>
      <c r="U147" s="79"/>
      <c r="V147" s="82">
        <v>45673.584722222222</v>
      </c>
      <c r="W147" s="82">
        <f>V147+TIME(0,172,0)</f>
        <v>45673.704166666663</v>
      </c>
      <c r="X147" s="103">
        <f t="shared" si="27"/>
        <v>168.41666666165111</v>
      </c>
      <c r="Y147" s="82"/>
      <c r="Z147" s="82">
        <v>45674.797222222223</v>
      </c>
      <c r="AA147" s="82">
        <f>Z147+TIME(0,57,0)</f>
        <v>45674.836805555555</v>
      </c>
      <c r="AB147" s="81">
        <f t="shared" si="28"/>
        <v>55.81249999726424</v>
      </c>
      <c r="AC147" s="80"/>
      <c r="AD147" s="83">
        <f t="shared" si="29"/>
        <v>0.43472222222771961</v>
      </c>
      <c r="AE147" s="80">
        <v>1</v>
      </c>
      <c r="AF147" s="84">
        <f t="shared" si="30"/>
        <v>0.56527777777228039</v>
      </c>
      <c r="AG147" s="83">
        <f t="shared" si="31"/>
        <v>10.433333333465271</v>
      </c>
      <c r="AH147" s="83">
        <f t="shared" si="32"/>
        <v>0</v>
      </c>
      <c r="AI147" s="83">
        <f t="shared" si="33"/>
        <v>10.433333333465271</v>
      </c>
      <c r="AJ147" s="83">
        <f t="shared" si="34"/>
        <v>14.722044728248333</v>
      </c>
      <c r="AK147" s="83"/>
      <c r="AL147" s="83"/>
      <c r="AM147" s="83"/>
      <c r="AN147" s="83"/>
      <c r="AO147" s="78"/>
    </row>
    <row r="148" spans="1:41" customFormat="1" ht="15" hidden="1" x14ac:dyDescent="0.25">
      <c r="A148" s="82">
        <v>45673</v>
      </c>
      <c r="B148" s="94" t="str">
        <f t="shared" si="24"/>
        <v>January</v>
      </c>
      <c r="C148" s="78"/>
      <c r="D148" s="79" t="s">
        <v>1213</v>
      </c>
      <c r="E148" s="79" t="s">
        <v>1017</v>
      </c>
      <c r="F148" s="79"/>
      <c r="G148" s="79" t="s">
        <v>51</v>
      </c>
      <c r="H148" s="79" t="s">
        <v>987</v>
      </c>
      <c r="I148" s="79">
        <v>154.34399999999999</v>
      </c>
      <c r="J148" s="79" t="s">
        <v>1431</v>
      </c>
      <c r="K148" s="80" t="s">
        <v>469</v>
      </c>
      <c r="L148" s="79">
        <v>320</v>
      </c>
      <c r="M148" s="80">
        <f>L148-1</f>
        <v>319</v>
      </c>
      <c r="N148" s="81">
        <f t="shared" si="35"/>
        <v>-1</v>
      </c>
      <c r="O148" s="78"/>
      <c r="P148" s="82">
        <v>45674.34097222222</v>
      </c>
      <c r="Q148" s="82">
        <v>45674.3125</v>
      </c>
      <c r="R148" s="82">
        <v>45674.369444444441</v>
      </c>
      <c r="S148" s="81">
        <f t="shared" si="25"/>
        <v>81.62037036527181</v>
      </c>
      <c r="T148" s="81">
        <f t="shared" si="26"/>
        <v>40.810185182635905</v>
      </c>
      <c r="U148" s="79"/>
      <c r="V148" s="82">
        <v>45674.456944444442</v>
      </c>
      <c r="W148" s="82">
        <f>V148+TIME(0,180,0)</f>
        <v>45674.581944444442</v>
      </c>
      <c r="X148" s="103">
        <f t="shared" si="27"/>
        <v>176.25</v>
      </c>
      <c r="Y148" s="82"/>
      <c r="Z148" s="82">
        <v>45675.527916666666</v>
      </c>
      <c r="AA148" s="82">
        <f>Z148+TIME(0,56,0)</f>
        <v>45675.566805555558</v>
      </c>
      <c r="AB148" s="81">
        <f t="shared" si="28"/>
        <v>54.833333337664953</v>
      </c>
      <c r="AC148" s="80"/>
      <c r="AD148" s="83">
        <f t="shared" si="29"/>
        <v>1.1584722222251003</v>
      </c>
      <c r="AE148" s="80">
        <v>2</v>
      </c>
      <c r="AF148" s="84">
        <f t="shared" si="30"/>
        <v>0.84152777777489973</v>
      </c>
      <c r="AG148" s="83">
        <f t="shared" si="31"/>
        <v>27.803333333402406</v>
      </c>
      <c r="AH148" s="83">
        <f t="shared" si="32"/>
        <v>12</v>
      </c>
      <c r="AI148" s="83">
        <f t="shared" si="33"/>
        <v>15.803333333402406</v>
      </c>
      <c r="AJ148" s="83">
        <f t="shared" si="34"/>
        <v>9.7665471419104861</v>
      </c>
      <c r="AK148" s="83"/>
      <c r="AL148" s="83"/>
      <c r="AM148" s="83"/>
      <c r="AN148" s="83"/>
      <c r="AO148" s="78"/>
    </row>
    <row r="149" spans="1:41" customFormat="1" ht="15" hidden="1" x14ac:dyDescent="0.25">
      <c r="A149" s="82">
        <v>45673</v>
      </c>
      <c r="B149" s="94" t="str">
        <f t="shared" si="24"/>
        <v>January</v>
      </c>
      <c r="C149" s="78"/>
      <c r="D149" s="79" t="s">
        <v>1214</v>
      </c>
      <c r="E149" s="79" t="s">
        <v>1017</v>
      </c>
      <c r="F149" s="79"/>
      <c r="G149" s="79" t="s">
        <v>53</v>
      </c>
      <c r="H149" s="79" t="s">
        <v>451</v>
      </c>
      <c r="I149" s="79">
        <v>156</v>
      </c>
      <c r="J149" s="79" t="s">
        <v>1432</v>
      </c>
      <c r="K149" s="80" t="s">
        <v>469</v>
      </c>
      <c r="L149" s="80">
        <v>790</v>
      </c>
      <c r="M149" s="80">
        <f>L149-1</f>
        <v>789</v>
      </c>
      <c r="N149" s="81">
        <f t="shared" si="35"/>
        <v>-1</v>
      </c>
      <c r="O149" s="78"/>
      <c r="P149" s="82">
        <f>R149-TIME(0,65,0)</f>
        <v>45673.318749999999</v>
      </c>
      <c r="Q149" s="82">
        <v>45673.3125</v>
      </c>
      <c r="R149" s="82">
        <v>45673.363888888889</v>
      </c>
      <c r="S149" s="81">
        <f t="shared" si="25"/>
        <v>73.657407407639155</v>
      </c>
      <c r="T149" s="81">
        <f t="shared" si="26"/>
        <v>64.699074076391597</v>
      </c>
      <c r="U149" s="79" t="s">
        <v>1682</v>
      </c>
      <c r="V149" s="82">
        <v>45674.619444444441</v>
      </c>
      <c r="W149" s="82">
        <f>V149+TIME(0,163,0)</f>
        <v>45674.732638888883</v>
      </c>
      <c r="X149" s="103">
        <f t="shared" si="27"/>
        <v>159.60416666370293</v>
      </c>
      <c r="Y149" s="82"/>
      <c r="Z149" s="82">
        <v>45675.823611111111</v>
      </c>
      <c r="AA149" s="82">
        <f>Z149+TIME(0,59,0)</f>
        <v>45675.864583333336</v>
      </c>
      <c r="AB149" s="81">
        <f t="shared" si="28"/>
        <v>57.770833336981013</v>
      </c>
      <c r="AC149" s="80"/>
      <c r="AD149" s="83">
        <f t="shared" si="29"/>
        <v>2.4597222222218988</v>
      </c>
      <c r="AE149" s="80">
        <v>3</v>
      </c>
      <c r="AF149" s="84">
        <f t="shared" si="30"/>
        <v>0.54027777777810115</v>
      </c>
      <c r="AG149" s="83">
        <f t="shared" si="31"/>
        <v>59.033333333325572</v>
      </c>
      <c r="AH149" s="83">
        <f t="shared" si="32"/>
        <v>24</v>
      </c>
      <c r="AI149" s="83">
        <f t="shared" si="33"/>
        <v>35.033333333325572</v>
      </c>
      <c r="AJ149" s="83">
        <f t="shared" si="34"/>
        <v>4.4529019980980369</v>
      </c>
      <c r="AK149" s="83"/>
      <c r="AL149" s="83"/>
      <c r="AM149" s="83"/>
      <c r="AN149" s="83"/>
      <c r="AO149" s="78"/>
    </row>
    <row r="150" spans="1:41" customFormat="1" ht="15" hidden="1" x14ac:dyDescent="0.25">
      <c r="A150" s="82">
        <v>45674</v>
      </c>
      <c r="B150" s="94" t="str">
        <f t="shared" si="24"/>
        <v>January</v>
      </c>
      <c r="C150" s="78"/>
      <c r="D150" s="79" t="s">
        <v>1215</v>
      </c>
      <c r="E150" s="79" t="s">
        <v>1017</v>
      </c>
      <c r="F150" s="79" t="s">
        <v>1277</v>
      </c>
      <c r="G150" s="79" t="s">
        <v>1266</v>
      </c>
      <c r="H150" s="79" t="s">
        <v>463</v>
      </c>
      <c r="I150" s="79">
        <v>156</v>
      </c>
      <c r="J150" s="79" t="s">
        <v>1433</v>
      </c>
      <c r="K150" s="80" t="s">
        <v>469</v>
      </c>
      <c r="L150" s="80">
        <v>464</v>
      </c>
      <c r="M150" s="80">
        <f>L150+1</f>
        <v>465</v>
      </c>
      <c r="N150" s="81">
        <f t="shared" si="35"/>
        <v>1</v>
      </c>
      <c r="O150" s="78"/>
      <c r="P150" s="82">
        <f>R150-TIME(0,41,0)</f>
        <v>45674.334027777775</v>
      </c>
      <c r="Q150" s="82">
        <v>45674.3125</v>
      </c>
      <c r="R150" s="82">
        <v>45674.362499999996</v>
      </c>
      <c r="S150" s="81">
        <f t="shared" si="25"/>
        <v>71.666666660409348</v>
      </c>
      <c r="T150" s="81">
        <f t="shared" si="26"/>
        <v>40.810185182635905</v>
      </c>
      <c r="U150" s="79"/>
      <c r="V150" s="82">
        <v>45674.415972222225</v>
      </c>
      <c r="W150" s="82">
        <f>V150+TIME(0,179,0)</f>
        <v>45674.540277777778</v>
      </c>
      <c r="X150" s="103">
        <f t="shared" si="27"/>
        <v>175.27083333014161</v>
      </c>
      <c r="Y150" s="82"/>
      <c r="Z150" s="82">
        <v>45677.677777777775</v>
      </c>
      <c r="AA150" s="82">
        <f>Z150+TIME(0,59,0)</f>
        <v>45677.71875</v>
      </c>
      <c r="AB150" s="81">
        <f t="shared" si="28"/>
        <v>57.770833336981013</v>
      </c>
      <c r="AC150" s="80"/>
      <c r="AD150" s="83">
        <f t="shared" si="29"/>
        <v>3.3152777777795563</v>
      </c>
      <c r="AE150" s="80">
        <v>3</v>
      </c>
      <c r="AF150" s="84">
        <f t="shared" si="30"/>
        <v>-0.31527777777955635</v>
      </c>
      <c r="AG150" s="83">
        <f t="shared" si="31"/>
        <v>79.566666666709352</v>
      </c>
      <c r="AH150" s="83">
        <f t="shared" si="32"/>
        <v>36</v>
      </c>
      <c r="AI150" s="83">
        <f t="shared" si="33"/>
        <v>43.566666666709352</v>
      </c>
      <c r="AJ150" s="83">
        <f t="shared" si="34"/>
        <v>3.5807192042811131</v>
      </c>
      <c r="AK150" s="83"/>
      <c r="AL150" s="83"/>
      <c r="AM150" s="83"/>
      <c r="AN150" s="83"/>
      <c r="AO150" s="78"/>
    </row>
    <row r="151" spans="1:41" customFormat="1" ht="15" hidden="1" x14ac:dyDescent="0.25">
      <c r="A151" s="82">
        <v>45674</v>
      </c>
      <c r="B151" s="94" t="str">
        <f t="shared" si="24"/>
        <v>January</v>
      </c>
      <c r="C151" s="78"/>
      <c r="D151" s="79" t="s">
        <v>1216</v>
      </c>
      <c r="E151" s="79" t="s">
        <v>1017</v>
      </c>
      <c r="F151" s="79" t="s">
        <v>952</v>
      </c>
      <c r="G151" s="79" t="s">
        <v>969</v>
      </c>
      <c r="H151" s="79" t="s">
        <v>997</v>
      </c>
      <c r="I151" s="79">
        <v>153.6</v>
      </c>
      <c r="J151" s="79" t="s">
        <v>1434</v>
      </c>
      <c r="K151" s="80" t="s">
        <v>469</v>
      </c>
      <c r="L151" s="80">
        <v>414</v>
      </c>
      <c r="M151" s="80">
        <f>L151+1</f>
        <v>415</v>
      </c>
      <c r="N151" s="81">
        <f t="shared" si="35"/>
        <v>1</v>
      </c>
      <c r="O151" s="78"/>
      <c r="P151" s="82">
        <f>R151-TIME(0,41,0)</f>
        <v>45674.59652777778</v>
      </c>
      <c r="Q151" s="82">
        <v>45674.582638888889</v>
      </c>
      <c r="R151" s="82">
        <v>45674.625</v>
      </c>
      <c r="S151" s="81">
        <f t="shared" si="25"/>
        <v>60.717592592360838</v>
      </c>
      <c r="T151" s="81">
        <f t="shared" si="26"/>
        <v>40.810185182635905</v>
      </c>
      <c r="U151" s="79"/>
      <c r="V151" s="82">
        <v>45676.362499999996</v>
      </c>
      <c r="W151" s="82">
        <f>V151+TIME(0,292,0)</f>
        <v>45676.565277777772</v>
      </c>
      <c r="X151" s="103">
        <f t="shared" si="27"/>
        <v>285.91666666507081</v>
      </c>
      <c r="Y151" s="82" t="s">
        <v>1046</v>
      </c>
      <c r="Z151" s="82">
        <v>45675.798611111109</v>
      </c>
      <c r="AA151" s="82">
        <f>Z151+TIME(0,82,0)</f>
        <v>45675.85555555555</v>
      </c>
      <c r="AB151" s="81">
        <f t="shared" si="28"/>
        <v>80.291666661651107</v>
      </c>
      <c r="AC151" s="80" t="s">
        <v>1674</v>
      </c>
      <c r="AD151" s="83">
        <f t="shared" si="29"/>
        <v>1.1736111111094942</v>
      </c>
      <c r="AE151" s="80">
        <v>2</v>
      </c>
      <c r="AF151" s="84">
        <f t="shared" si="30"/>
        <v>0.82638888889050577</v>
      </c>
      <c r="AG151" s="83">
        <f t="shared" si="31"/>
        <v>28.166666666627862</v>
      </c>
      <c r="AH151" s="83">
        <f t="shared" si="32"/>
        <v>12</v>
      </c>
      <c r="AI151" s="83">
        <f t="shared" si="33"/>
        <v>16.166666666627862</v>
      </c>
      <c r="AJ151" s="83">
        <f t="shared" si="34"/>
        <v>9.5010309278578564</v>
      </c>
      <c r="AK151" s="83"/>
      <c r="AL151" s="83"/>
      <c r="AM151" s="83"/>
      <c r="AN151" s="83"/>
      <c r="AO151" s="78"/>
    </row>
    <row r="152" spans="1:41" customFormat="1" ht="15" hidden="1" x14ac:dyDescent="0.25">
      <c r="A152" s="82">
        <v>45674</v>
      </c>
      <c r="B152" s="94" t="str">
        <f t="shared" si="24"/>
        <v>January</v>
      </c>
      <c r="C152" s="78"/>
      <c r="D152" s="79" t="s">
        <v>1217</v>
      </c>
      <c r="E152" s="79" t="s">
        <v>1017</v>
      </c>
      <c r="F152" s="79" t="s">
        <v>951</v>
      </c>
      <c r="G152" s="79" t="s">
        <v>968</v>
      </c>
      <c r="H152" s="79" t="s">
        <v>461</v>
      </c>
      <c r="I152" s="79">
        <v>153.6</v>
      </c>
      <c r="J152" s="79" t="s">
        <v>1435</v>
      </c>
      <c r="K152" s="80" t="s">
        <v>469</v>
      </c>
      <c r="L152" s="80">
        <v>298</v>
      </c>
      <c r="M152" s="80">
        <f>L152-3</f>
        <v>295</v>
      </c>
      <c r="N152" s="81">
        <f t="shared" si="35"/>
        <v>-3</v>
      </c>
      <c r="O152" s="78"/>
      <c r="P152" s="82">
        <f>R152-TIME(0,41,0)</f>
        <v>45674.684027777781</v>
      </c>
      <c r="Q152" s="82">
        <v>45674.661805555559</v>
      </c>
      <c r="R152" s="82">
        <v>45674.712500000001</v>
      </c>
      <c r="S152" s="81">
        <f t="shared" si="25"/>
        <v>72.662037034024252</v>
      </c>
      <c r="T152" s="81">
        <f t="shared" si="26"/>
        <v>40.810185182635905</v>
      </c>
      <c r="U152" s="79"/>
      <c r="V152" s="82">
        <v>45675.315972222219</v>
      </c>
      <c r="W152" s="82">
        <f>V152+TIME(0,172,0)</f>
        <v>45675.43541666666</v>
      </c>
      <c r="X152" s="103">
        <f t="shared" si="27"/>
        <v>168.41666666165111</v>
      </c>
      <c r="Y152" s="82"/>
      <c r="Z152" s="82">
        <v>45675.640277777777</v>
      </c>
      <c r="AA152" s="82">
        <f>Z152+TIME(0,82,0)</f>
        <v>45675.697222222218</v>
      </c>
      <c r="AB152" s="81">
        <f t="shared" si="28"/>
        <v>80.291666661651107</v>
      </c>
      <c r="AC152" s="80" t="s">
        <v>1673</v>
      </c>
      <c r="AD152" s="83">
        <f t="shared" si="29"/>
        <v>0.92777777777519077</v>
      </c>
      <c r="AE152" s="80">
        <v>2</v>
      </c>
      <c r="AF152" s="84">
        <f t="shared" si="30"/>
        <v>1.0722222222248092</v>
      </c>
      <c r="AG152" s="83">
        <f t="shared" si="31"/>
        <v>22.266666666604578</v>
      </c>
      <c r="AH152" s="83">
        <f t="shared" si="32"/>
        <v>0</v>
      </c>
      <c r="AI152" s="83">
        <f t="shared" si="33"/>
        <v>22.266666666604578</v>
      </c>
      <c r="AJ152" s="83">
        <f t="shared" si="34"/>
        <v>6.8982035928336058</v>
      </c>
      <c r="AK152" s="83"/>
      <c r="AL152" s="83"/>
      <c r="AM152" s="83"/>
      <c r="AN152" s="83"/>
      <c r="AO152" s="78"/>
    </row>
    <row r="153" spans="1:41" customFormat="1" ht="15" hidden="1" x14ac:dyDescent="0.25">
      <c r="A153" s="82">
        <v>45674</v>
      </c>
      <c r="B153" s="94" t="str">
        <f t="shared" si="24"/>
        <v>January</v>
      </c>
      <c r="C153" s="78"/>
      <c r="D153" s="79" t="s">
        <v>1218</v>
      </c>
      <c r="E153" s="79" t="s">
        <v>1017</v>
      </c>
      <c r="F153" s="79" t="s">
        <v>963</v>
      </c>
      <c r="G153" s="79" t="s">
        <v>60</v>
      </c>
      <c r="H153" s="79" t="s">
        <v>456</v>
      </c>
      <c r="I153" s="79">
        <v>156</v>
      </c>
      <c r="J153" s="79" t="s">
        <v>1436</v>
      </c>
      <c r="K153" s="80" t="s">
        <v>469</v>
      </c>
      <c r="L153" s="80">
        <v>670</v>
      </c>
      <c r="M153" s="80">
        <f>L153-1</f>
        <v>669</v>
      </c>
      <c r="N153" s="81">
        <f t="shared" si="35"/>
        <v>-1</v>
      </c>
      <c r="O153" s="78"/>
      <c r="P153" s="82">
        <f>R153-TIME(0,41,0)</f>
        <v>45675.336805555555</v>
      </c>
      <c r="Q153" s="82">
        <v>45675.3125</v>
      </c>
      <c r="R153" s="82">
        <v>45675.365277777775</v>
      </c>
      <c r="S153" s="81">
        <f t="shared" si="25"/>
        <v>75.6481481444401</v>
      </c>
      <c r="T153" s="81">
        <f t="shared" si="26"/>
        <v>40.810185182635905</v>
      </c>
      <c r="U153" s="79"/>
      <c r="V153" s="82">
        <v>45675.34652777778</v>
      </c>
      <c r="W153" s="82">
        <f>V153+TIME(0,180,0)</f>
        <v>45675.47152777778</v>
      </c>
      <c r="X153" s="103">
        <f t="shared" si="27"/>
        <v>176.25</v>
      </c>
      <c r="Y153" s="82"/>
      <c r="Z153" s="82">
        <v>45677.398972222225</v>
      </c>
      <c r="AA153" s="82">
        <f>Z153+TIME(0,53,0)</f>
        <v>45677.435777777784</v>
      </c>
      <c r="AB153" s="81">
        <f t="shared" si="28"/>
        <v>51.895833338348893</v>
      </c>
      <c r="AC153" s="80"/>
      <c r="AD153" s="83">
        <f t="shared" si="29"/>
        <v>2.0336944444497931</v>
      </c>
      <c r="AE153" s="80">
        <v>2</v>
      </c>
      <c r="AF153" s="84">
        <f t="shared" si="30"/>
        <v>-3.3694444449793082E-2</v>
      </c>
      <c r="AG153" s="83">
        <f t="shared" si="31"/>
        <v>48.808666666795034</v>
      </c>
      <c r="AH153" s="83">
        <f t="shared" si="32"/>
        <v>24</v>
      </c>
      <c r="AI153" s="83">
        <f t="shared" si="33"/>
        <v>24.808666666795034</v>
      </c>
      <c r="AJ153" s="83">
        <f t="shared" si="34"/>
        <v>6.2881251175339052</v>
      </c>
      <c r="AK153" s="83"/>
      <c r="AL153" s="83"/>
      <c r="AM153" s="83"/>
      <c r="AN153" s="83"/>
      <c r="AO153" s="78"/>
    </row>
    <row r="154" spans="1:41" customFormat="1" ht="15" hidden="1" x14ac:dyDescent="0.25">
      <c r="A154" s="82">
        <v>45674</v>
      </c>
      <c r="B154" s="94" t="str">
        <f t="shared" si="24"/>
        <v>January</v>
      </c>
      <c r="C154" s="78"/>
      <c r="D154" s="79" t="s">
        <v>1219</v>
      </c>
      <c r="E154" s="79" t="s">
        <v>1017</v>
      </c>
      <c r="F154" s="79"/>
      <c r="G154" s="79" t="s">
        <v>36</v>
      </c>
      <c r="H154" s="79" t="s">
        <v>452</v>
      </c>
      <c r="I154" s="79">
        <v>156</v>
      </c>
      <c r="J154" s="79" t="s">
        <v>1437</v>
      </c>
      <c r="K154" s="80" t="s">
        <v>469</v>
      </c>
      <c r="L154" s="79">
        <v>690</v>
      </c>
      <c r="M154" s="80">
        <f>L154-3</f>
        <v>687</v>
      </c>
      <c r="N154" s="81">
        <f t="shared" si="35"/>
        <v>-3</v>
      </c>
      <c r="O154" s="78"/>
      <c r="P154" s="82">
        <f>R154-TIME(0,44,0)</f>
        <v>45674.34097222222</v>
      </c>
      <c r="Q154" s="82">
        <v>45674.3125</v>
      </c>
      <c r="R154" s="82">
        <v>45674.371527777774</v>
      </c>
      <c r="S154" s="81">
        <f t="shared" si="25"/>
        <v>84.606481475687659</v>
      </c>
      <c r="T154" s="81">
        <f t="shared" si="26"/>
        <v>43.796296293051761</v>
      </c>
      <c r="U154" s="79"/>
      <c r="V154" s="82">
        <v>45676.448611111111</v>
      </c>
      <c r="W154" s="82">
        <f>V154+TIME(0,172,0)</f>
        <v>45676.568055555552</v>
      </c>
      <c r="X154" s="103">
        <f t="shared" si="27"/>
        <v>168.41666666165111</v>
      </c>
      <c r="Y154" s="82"/>
      <c r="Z154" s="82">
        <v>45676.510222222219</v>
      </c>
      <c r="AA154" s="82">
        <f>Z154+TIME(0,57,0)</f>
        <v>45676.549805555551</v>
      </c>
      <c r="AB154" s="81">
        <f t="shared" si="28"/>
        <v>55.81249999726424</v>
      </c>
      <c r="AC154" s="80"/>
      <c r="AD154" s="83">
        <f t="shared" si="29"/>
        <v>2.1386944444457185</v>
      </c>
      <c r="AE154" s="80">
        <v>3</v>
      </c>
      <c r="AF154" s="84">
        <f t="shared" si="30"/>
        <v>0.86130555555428145</v>
      </c>
      <c r="AG154" s="83">
        <f t="shared" si="31"/>
        <v>51.328666666697245</v>
      </c>
      <c r="AH154" s="83">
        <f t="shared" si="32"/>
        <v>24</v>
      </c>
      <c r="AI154" s="83">
        <f t="shared" si="33"/>
        <v>27.328666666697245</v>
      </c>
      <c r="AJ154" s="83">
        <f t="shared" si="34"/>
        <v>5.7082916595452433</v>
      </c>
      <c r="AK154" s="83"/>
      <c r="AL154" s="83"/>
      <c r="AM154" s="83"/>
      <c r="AN154" s="83"/>
      <c r="AO154" s="78"/>
    </row>
    <row r="155" spans="1:41" customFormat="1" ht="15" hidden="1" x14ac:dyDescent="0.25">
      <c r="A155" s="82">
        <v>45675</v>
      </c>
      <c r="B155" s="94" t="str">
        <f t="shared" si="24"/>
        <v>January</v>
      </c>
      <c r="C155" s="78"/>
      <c r="D155" s="79" t="s">
        <v>1220</v>
      </c>
      <c r="E155" s="79" t="s">
        <v>1017</v>
      </c>
      <c r="F155" s="79" t="s">
        <v>957</v>
      </c>
      <c r="G155" s="79" t="s">
        <v>974</v>
      </c>
      <c r="H155" s="79" t="s">
        <v>988</v>
      </c>
      <c r="I155" s="79">
        <v>153.6</v>
      </c>
      <c r="J155" s="79" t="s">
        <v>1438</v>
      </c>
      <c r="K155" s="80" t="s">
        <v>469</v>
      </c>
      <c r="L155" s="80">
        <v>150</v>
      </c>
      <c r="M155" s="80">
        <f>L155+1</f>
        <v>151</v>
      </c>
      <c r="N155" s="81">
        <f t="shared" si="35"/>
        <v>1</v>
      </c>
      <c r="O155" s="78"/>
      <c r="P155" s="82">
        <f>R155-TIME(0,40,0)</f>
        <v>45676.334722222215</v>
      </c>
      <c r="Q155" s="82">
        <v>45676.3125</v>
      </c>
      <c r="R155" s="82">
        <v>45676.362499999996</v>
      </c>
      <c r="S155" s="81">
        <f t="shared" si="25"/>
        <v>71.666666660409348</v>
      </c>
      <c r="T155" s="81">
        <f t="shared" si="26"/>
        <v>39.814814819449872</v>
      </c>
      <c r="U155" s="79"/>
      <c r="V155" s="82">
        <v>45675.454861111109</v>
      </c>
      <c r="W155" s="82">
        <f>V155+TIME(0,160,0)</f>
        <v>45675.565972222219</v>
      </c>
      <c r="X155" s="103">
        <f t="shared" si="27"/>
        <v>156.66666666438687</v>
      </c>
      <c r="Y155" s="82"/>
      <c r="Z155" s="82">
        <v>45676.811111111114</v>
      </c>
      <c r="AA155" s="82">
        <f>Z155+TIME(0,56,0)</f>
        <v>45676.850000000006</v>
      </c>
      <c r="AB155" s="81">
        <f t="shared" si="28"/>
        <v>54.833333337664953</v>
      </c>
      <c r="AC155" s="80"/>
      <c r="AD155" s="83">
        <f t="shared" si="29"/>
        <v>0.44861111111822538</v>
      </c>
      <c r="AE155" s="80">
        <v>1</v>
      </c>
      <c r="AF155" s="84">
        <f t="shared" si="30"/>
        <v>0.55138888888177462</v>
      </c>
      <c r="AG155" s="83">
        <f t="shared" si="31"/>
        <v>10.766666666837409</v>
      </c>
      <c r="AH155" s="83">
        <f t="shared" si="32"/>
        <v>0</v>
      </c>
      <c r="AI155" s="83">
        <f t="shared" si="33"/>
        <v>10.766666666837409</v>
      </c>
      <c r="AJ155" s="83">
        <f t="shared" si="34"/>
        <v>14.266253869742799</v>
      </c>
      <c r="AK155" s="83"/>
      <c r="AL155" s="83"/>
      <c r="AM155" s="83"/>
      <c r="AN155" s="83"/>
      <c r="AO155" s="78"/>
    </row>
    <row r="156" spans="1:41" customFormat="1" ht="15" hidden="1" x14ac:dyDescent="0.25">
      <c r="A156" s="82">
        <v>45676</v>
      </c>
      <c r="B156" s="94" t="str">
        <f t="shared" si="24"/>
        <v>January</v>
      </c>
      <c r="C156" s="78"/>
      <c r="D156" s="79" t="s">
        <v>1221</v>
      </c>
      <c r="E156" s="79" t="s">
        <v>1017</v>
      </c>
      <c r="F156" s="79"/>
      <c r="G156" s="79" t="s">
        <v>50</v>
      </c>
      <c r="H156" s="79" t="s">
        <v>451</v>
      </c>
      <c r="I156" s="79">
        <v>156</v>
      </c>
      <c r="J156" s="79" t="s">
        <v>1439</v>
      </c>
      <c r="K156" s="80" t="s">
        <v>469</v>
      </c>
      <c r="L156" s="80">
        <v>790</v>
      </c>
      <c r="M156" s="80">
        <f>L156-3</f>
        <v>787</v>
      </c>
      <c r="N156" s="81">
        <f t="shared" si="35"/>
        <v>-3</v>
      </c>
      <c r="O156" s="78"/>
      <c r="P156" s="82">
        <f>R156-TIME(0,44,0)</f>
        <v>45676.290277777778</v>
      </c>
      <c r="Q156" s="82">
        <v>45676.3125</v>
      </c>
      <c r="R156" s="82">
        <v>45676.320833333331</v>
      </c>
      <c r="S156" s="81">
        <f t="shared" si="25"/>
        <v>11.944444441663412</v>
      </c>
      <c r="T156" s="81">
        <f t="shared" si="26"/>
        <v>43.796296293051761</v>
      </c>
      <c r="U156" s="79"/>
      <c r="V156" s="82">
        <v>45676.456944444442</v>
      </c>
      <c r="W156" s="82">
        <f>V156+TIME(0,163,0)</f>
        <v>45676.570138888885</v>
      </c>
      <c r="X156" s="103">
        <f t="shared" si="27"/>
        <v>159.60416666370293</v>
      </c>
      <c r="Y156" s="82"/>
      <c r="Z156" s="82">
        <v>45678.71597222222</v>
      </c>
      <c r="AA156" s="82">
        <f>Z156+TIME(0,56,0)</f>
        <v>45678.754861111112</v>
      </c>
      <c r="AB156" s="81">
        <f t="shared" si="28"/>
        <v>54.833333337664953</v>
      </c>
      <c r="AC156" s="80"/>
      <c r="AD156" s="83">
        <f t="shared" si="29"/>
        <v>2.3951388888890506</v>
      </c>
      <c r="AE156" s="80">
        <v>3</v>
      </c>
      <c r="AF156" s="84">
        <f t="shared" si="30"/>
        <v>0.60486111111094942</v>
      </c>
      <c r="AG156" s="83">
        <f t="shared" si="31"/>
        <v>57.483333333337214</v>
      </c>
      <c r="AH156" s="83">
        <f t="shared" si="32"/>
        <v>24</v>
      </c>
      <c r="AI156" s="83">
        <f t="shared" si="33"/>
        <v>33.483333333337214</v>
      </c>
      <c r="AJ156" s="83">
        <f t="shared" si="34"/>
        <v>4.6590343454449554</v>
      </c>
      <c r="AK156" s="83"/>
      <c r="AL156" s="83"/>
      <c r="AM156" s="83"/>
      <c r="AN156" s="83"/>
      <c r="AO156" s="78"/>
    </row>
    <row r="157" spans="1:41" customFormat="1" ht="15" hidden="1" x14ac:dyDescent="0.25">
      <c r="A157" s="82">
        <v>45676</v>
      </c>
      <c r="B157" s="94" t="str">
        <f t="shared" si="24"/>
        <v>January</v>
      </c>
      <c r="C157" s="78"/>
      <c r="D157" s="79" t="s">
        <v>1222</v>
      </c>
      <c r="E157" s="79" t="s">
        <v>1017</v>
      </c>
      <c r="F157" s="79" t="s">
        <v>952</v>
      </c>
      <c r="G157" s="79" t="s">
        <v>969</v>
      </c>
      <c r="H157" s="79" t="s">
        <v>991</v>
      </c>
      <c r="I157" s="79">
        <v>153.6</v>
      </c>
      <c r="J157" s="79" t="s">
        <v>1440</v>
      </c>
      <c r="K157" s="80" t="s">
        <v>469</v>
      </c>
      <c r="L157" s="79">
        <v>20</v>
      </c>
      <c r="M157" s="80">
        <f>L157-1</f>
        <v>19</v>
      </c>
      <c r="N157" s="81">
        <f t="shared" si="35"/>
        <v>-1</v>
      </c>
      <c r="O157" s="78"/>
      <c r="P157" s="82">
        <f>R157-TIME(0,61,0)</f>
        <v>45676.595833333333</v>
      </c>
      <c r="Q157" s="82">
        <v>45676.586805555555</v>
      </c>
      <c r="R157" s="82">
        <v>45676.638194444444</v>
      </c>
      <c r="S157" s="81">
        <f t="shared" si="25"/>
        <v>73.657407407639155</v>
      </c>
      <c r="T157" s="81">
        <f t="shared" si="26"/>
        <v>60.717592592360838</v>
      </c>
      <c r="U157" s="79" t="s">
        <v>1672</v>
      </c>
      <c r="V157" s="82">
        <v>45677.372916666667</v>
      </c>
      <c r="W157" s="82">
        <f>V157+TIME(0,168,0)</f>
        <v>45677.489583333336</v>
      </c>
      <c r="X157" s="103">
        <f t="shared" si="27"/>
        <v>164.50000000273576</v>
      </c>
      <c r="Y157" s="82"/>
      <c r="Z157" s="82">
        <v>45677.520083333337</v>
      </c>
      <c r="AA157" s="82">
        <v>45677.554111111116</v>
      </c>
      <c r="AB157" s="81">
        <f t="shared" si="28"/>
        <v>47.979166669174447</v>
      </c>
      <c r="AC157" s="80"/>
      <c r="AD157" s="83">
        <f t="shared" si="29"/>
        <v>0.88188888889271766</v>
      </c>
      <c r="AE157" s="80">
        <v>1</v>
      </c>
      <c r="AF157" s="84">
        <f t="shared" si="30"/>
        <v>0.11811111110728234</v>
      </c>
      <c r="AG157" s="83">
        <f t="shared" si="31"/>
        <v>21.165333333425224</v>
      </c>
      <c r="AH157" s="83">
        <f t="shared" si="32"/>
        <v>0</v>
      </c>
      <c r="AI157" s="83">
        <f t="shared" si="33"/>
        <v>21.165333333425224</v>
      </c>
      <c r="AJ157" s="83">
        <f t="shared" si="34"/>
        <v>7.2571500566649769</v>
      </c>
      <c r="AK157" s="83"/>
      <c r="AL157" s="83"/>
      <c r="AM157" s="83"/>
      <c r="AN157" s="83"/>
      <c r="AO157" s="78"/>
    </row>
    <row r="158" spans="1:41" customFormat="1" ht="15" hidden="1" x14ac:dyDescent="0.25">
      <c r="A158" s="82">
        <v>45676</v>
      </c>
      <c r="B158" s="94" t="str">
        <f t="shared" si="24"/>
        <v>January</v>
      </c>
      <c r="C158" s="78"/>
      <c r="D158" s="79" t="s">
        <v>1223</v>
      </c>
      <c r="E158" s="79" t="s">
        <v>1017</v>
      </c>
      <c r="F158" s="79" t="s">
        <v>964</v>
      </c>
      <c r="G158" s="79" t="s">
        <v>979</v>
      </c>
      <c r="H158" s="79" t="s">
        <v>997</v>
      </c>
      <c r="I158" s="79">
        <v>153.6</v>
      </c>
      <c r="J158" s="79" t="s">
        <v>1441</v>
      </c>
      <c r="K158" s="80" t="s">
        <v>469</v>
      </c>
      <c r="L158" s="80">
        <v>414</v>
      </c>
      <c r="M158" s="80">
        <f>L158-3</f>
        <v>411</v>
      </c>
      <c r="N158" s="81">
        <f t="shared" si="35"/>
        <v>-3</v>
      </c>
      <c r="O158" s="78"/>
      <c r="P158" s="82">
        <v>45676.607638888891</v>
      </c>
      <c r="Q158" s="82">
        <v>45676.588194444441</v>
      </c>
      <c r="R158" s="82">
        <v>45676.636111111111</v>
      </c>
      <c r="S158" s="81">
        <f t="shared" si="25"/>
        <v>68.680555560422363</v>
      </c>
      <c r="T158" s="81">
        <f t="shared" si="26"/>
        <v>40.810185182635905</v>
      </c>
      <c r="U158" s="79"/>
      <c r="V158" s="82">
        <v>45676.656944444447</v>
      </c>
      <c r="W158" s="82">
        <f>V158+TIME(0,147,0)</f>
        <v>45676.759027777778</v>
      </c>
      <c r="X158" s="103">
        <f t="shared" si="27"/>
        <v>143.93749999726424</v>
      </c>
      <c r="Y158" s="82"/>
      <c r="Z158" s="82">
        <v>45677.819444444445</v>
      </c>
      <c r="AA158" s="82">
        <v>45677.857638888891</v>
      </c>
      <c r="AB158" s="81">
        <f t="shared" si="28"/>
        <v>53.854166667806567</v>
      </c>
      <c r="AC158" s="80"/>
      <c r="AD158" s="83">
        <f t="shared" si="29"/>
        <v>1.1833333333343035</v>
      </c>
      <c r="AE158" s="80">
        <v>2</v>
      </c>
      <c r="AF158" s="84">
        <f t="shared" si="30"/>
        <v>0.81666666666569654</v>
      </c>
      <c r="AG158" s="83">
        <f t="shared" si="31"/>
        <v>28.400000000023283</v>
      </c>
      <c r="AH158" s="83">
        <f t="shared" si="32"/>
        <v>12</v>
      </c>
      <c r="AI158" s="83">
        <f t="shared" si="33"/>
        <v>16.400000000023283</v>
      </c>
      <c r="AJ158" s="83">
        <f t="shared" si="34"/>
        <v>9.3658536585232888</v>
      </c>
      <c r="AK158" s="83"/>
      <c r="AL158" s="83"/>
      <c r="AM158" s="83"/>
      <c r="AN158" s="83"/>
      <c r="AO158" s="78"/>
    </row>
    <row r="159" spans="1:41" customFormat="1" ht="15" hidden="1" x14ac:dyDescent="0.25">
      <c r="A159" s="82">
        <v>45676</v>
      </c>
      <c r="B159" s="94" t="str">
        <f t="shared" si="24"/>
        <v>January</v>
      </c>
      <c r="C159" s="78"/>
      <c r="D159" s="79" t="s">
        <v>1224</v>
      </c>
      <c r="E159" s="79" t="s">
        <v>1017</v>
      </c>
      <c r="F159" s="79" t="s">
        <v>965</v>
      </c>
      <c r="G159" s="79" t="s">
        <v>980</v>
      </c>
      <c r="H159" s="79" t="s">
        <v>461</v>
      </c>
      <c r="I159" s="79">
        <v>156</v>
      </c>
      <c r="J159" s="79" t="s">
        <v>1442</v>
      </c>
      <c r="K159" s="80" t="s">
        <v>469</v>
      </c>
      <c r="L159" s="80">
        <v>298</v>
      </c>
      <c r="M159" s="80">
        <f>L159-3</f>
        <v>295</v>
      </c>
      <c r="N159" s="81">
        <f t="shared" si="35"/>
        <v>-3</v>
      </c>
      <c r="O159" s="78"/>
      <c r="P159" s="82">
        <f>R159-TIME(0,41,0)</f>
        <v>45676.611805555556</v>
      </c>
      <c r="Q159" s="82">
        <v>45676.588888888888</v>
      </c>
      <c r="R159" s="82">
        <v>45676.640277777777</v>
      </c>
      <c r="S159" s="81">
        <f t="shared" si="25"/>
        <v>73.657407407639155</v>
      </c>
      <c r="T159" s="81">
        <f t="shared" si="26"/>
        <v>40.810185182635905</v>
      </c>
      <c r="U159" s="79"/>
      <c r="V159" s="82">
        <v>45677.34375</v>
      </c>
      <c r="W159" s="82">
        <f>V159+TIME(0,263,0)</f>
        <v>45677.526388888888</v>
      </c>
      <c r="X159" s="103">
        <f t="shared" si="27"/>
        <v>257.52083333150949</v>
      </c>
      <c r="Y159" s="82" t="s">
        <v>1045</v>
      </c>
      <c r="Z159" s="82">
        <v>45677.665416666663</v>
      </c>
      <c r="AA159" s="82">
        <f>Z159+TIME(0,57,0)</f>
        <v>45677.704999999994</v>
      </c>
      <c r="AB159" s="81">
        <f t="shared" si="28"/>
        <v>55.81249999726424</v>
      </c>
      <c r="AC159" s="80"/>
      <c r="AD159" s="83">
        <f t="shared" si="29"/>
        <v>1.0251388888864312</v>
      </c>
      <c r="AE159" s="80">
        <v>2</v>
      </c>
      <c r="AF159" s="84">
        <f t="shared" si="30"/>
        <v>0.97486111111356877</v>
      </c>
      <c r="AG159" s="83">
        <f t="shared" si="31"/>
        <v>24.60333333327435</v>
      </c>
      <c r="AH159" s="83">
        <f t="shared" si="32"/>
        <v>12</v>
      </c>
      <c r="AI159" s="83">
        <f t="shared" si="33"/>
        <v>12.60333333327435</v>
      </c>
      <c r="AJ159" s="83">
        <f t="shared" si="34"/>
        <v>12.377677863057134</v>
      </c>
      <c r="AK159" s="83"/>
      <c r="AL159" s="83"/>
      <c r="AM159" s="83"/>
      <c r="AN159" s="83"/>
      <c r="AO159" s="78"/>
    </row>
    <row r="160" spans="1:41" customFormat="1" ht="15" hidden="1" x14ac:dyDescent="0.25">
      <c r="A160" s="82">
        <v>45676</v>
      </c>
      <c r="B160" s="94" t="str">
        <f t="shared" si="24"/>
        <v>January</v>
      </c>
      <c r="C160" s="78"/>
      <c r="D160" s="79" t="s">
        <v>1225</v>
      </c>
      <c r="E160" s="79" t="s">
        <v>1017</v>
      </c>
      <c r="F160" s="79" t="s">
        <v>1275</v>
      </c>
      <c r="G160" s="79" t="s">
        <v>1264</v>
      </c>
      <c r="H160" s="79" t="s">
        <v>988</v>
      </c>
      <c r="I160" s="79">
        <v>153.6</v>
      </c>
      <c r="J160" s="79" t="s">
        <v>1443</v>
      </c>
      <c r="K160" s="80" t="s">
        <v>469</v>
      </c>
      <c r="L160" s="80">
        <v>150</v>
      </c>
      <c r="M160" s="80">
        <f>L160-2</f>
        <v>148</v>
      </c>
      <c r="N160" s="81">
        <f t="shared" si="35"/>
        <v>-2</v>
      </c>
      <c r="O160" s="78"/>
      <c r="P160" s="82">
        <f>R160-TIME(0,41,0)</f>
        <v>45676.615277777782</v>
      </c>
      <c r="Q160" s="82">
        <v>45676.590277777781</v>
      </c>
      <c r="R160" s="82">
        <v>45676.643750000003</v>
      </c>
      <c r="S160" s="81">
        <f t="shared" si="25"/>
        <v>76.643518518055018</v>
      </c>
      <c r="T160" s="81">
        <f t="shared" si="26"/>
        <v>40.810185182635905</v>
      </c>
      <c r="U160" s="79"/>
      <c r="V160" s="82">
        <v>45676.774305555555</v>
      </c>
      <c r="W160" s="82">
        <f>V160+TIME(0,180,0)</f>
        <v>45676.899305555555</v>
      </c>
      <c r="X160" s="103">
        <f t="shared" si="27"/>
        <v>176.25</v>
      </c>
      <c r="Y160" s="82"/>
      <c r="Z160" s="82">
        <v>45677.662916666675</v>
      </c>
      <c r="AA160" s="82">
        <f>Z160+TIME(0,57,0)</f>
        <v>45677.702500000007</v>
      </c>
      <c r="AB160" s="81">
        <f t="shared" si="28"/>
        <v>55.81249999726424</v>
      </c>
      <c r="AC160" s="80"/>
      <c r="AD160" s="83">
        <f t="shared" si="29"/>
        <v>1.0191666666723904</v>
      </c>
      <c r="AE160" s="80">
        <v>1</v>
      </c>
      <c r="AF160" s="84">
        <f t="shared" si="30"/>
        <v>-1.916666667239042E-2</v>
      </c>
      <c r="AG160" s="83">
        <f t="shared" si="31"/>
        <v>24.46000000013737</v>
      </c>
      <c r="AH160" s="83">
        <f t="shared" si="32"/>
        <v>12</v>
      </c>
      <c r="AI160" s="83">
        <f t="shared" si="33"/>
        <v>12.46000000013737</v>
      </c>
      <c r="AJ160" s="83">
        <f t="shared" si="34"/>
        <v>12.327447832929902</v>
      </c>
      <c r="AK160" s="83"/>
      <c r="AL160" s="83"/>
      <c r="AM160" s="83"/>
      <c r="AN160" s="83"/>
      <c r="AO160" s="78"/>
    </row>
    <row r="161" spans="1:41" customFormat="1" ht="15" hidden="1" x14ac:dyDescent="0.25">
      <c r="A161" s="82">
        <v>45676</v>
      </c>
      <c r="B161" s="94" t="str">
        <f t="shared" si="24"/>
        <v>January</v>
      </c>
      <c r="C161" s="78"/>
      <c r="D161" s="79" t="s">
        <v>1226</v>
      </c>
      <c r="E161" s="79" t="s">
        <v>1017</v>
      </c>
      <c r="F161" s="79" t="s">
        <v>954</v>
      </c>
      <c r="G161" s="79" t="s">
        <v>971</v>
      </c>
      <c r="H161" s="79" t="s">
        <v>996</v>
      </c>
      <c r="I161" s="79">
        <v>153.6</v>
      </c>
      <c r="J161" s="79" t="s">
        <v>1444</v>
      </c>
      <c r="K161" s="80" t="s">
        <v>469</v>
      </c>
      <c r="L161" s="79">
        <v>350</v>
      </c>
      <c r="M161" s="80">
        <f>L161-1</f>
        <v>349</v>
      </c>
      <c r="N161" s="81">
        <f t="shared" si="35"/>
        <v>-1</v>
      </c>
      <c r="O161" s="78"/>
      <c r="P161" s="82">
        <f>R161-TIME(0,43,0)</f>
        <v>45676.720833333333</v>
      </c>
      <c r="Q161" s="82">
        <v>45676.70208333333</v>
      </c>
      <c r="R161" s="82">
        <v>45676.750694444447</v>
      </c>
      <c r="S161" s="81">
        <f t="shared" si="25"/>
        <v>69.675925934037267</v>
      </c>
      <c r="T161" s="81">
        <f t="shared" si="26"/>
        <v>42.80092592986572</v>
      </c>
      <c r="U161" s="79"/>
      <c r="V161" s="82">
        <v>45676.727083333339</v>
      </c>
      <c r="W161" s="82">
        <f>V161+TIME(0,172,0)</f>
        <v>45676.84652777778</v>
      </c>
      <c r="X161" s="103">
        <f t="shared" si="27"/>
        <v>168.41666666165111</v>
      </c>
      <c r="Y161" s="82"/>
      <c r="Z161" s="82">
        <v>45679.363361111115</v>
      </c>
      <c r="AA161" s="82">
        <f>Z161+TIME(0,60,0)</f>
        <v>45679.405027777779</v>
      </c>
      <c r="AB161" s="81">
        <f t="shared" si="28"/>
        <v>58.7499999965803</v>
      </c>
      <c r="AC161" s="80"/>
      <c r="AD161" s="83">
        <f t="shared" si="29"/>
        <v>2.612666666667792</v>
      </c>
      <c r="AE161" s="80">
        <v>2</v>
      </c>
      <c r="AF161" s="84">
        <f t="shared" si="30"/>
        <v>-0.61266666666779201</v>
      </c>
      <c r="AG161" s="83">
        <f t="shared" si="31"/>
        <v>62.704000000027008</v>
      </c>
      <c r="AH161" s="83">
        <f t="shared" si="32"/>
        <v>24</v>
      </c>
      <c r="AI161" s="83">
        <f t="shared" si="33"/>
        <v>38.704000000027008</v>
      </c>
      <c r="AJ161" s="83">
        <f t="shared" si="34"/>
        <v>3.9685820586991736</v>
      </c>
      <c r="AK161" s="83"/>
      <c r="AL161" s="83"/>
      <c r="AM161" s="83"/>
      <c r="AN161" s="83"/>
      <c r="AO161" s="78"/>
    </row>
    <row r="162" spans="1:41" customFormat="1" ht="15" hidden="1" x14ac:dyDescent="0.25">
      <c r="A162" s="82">
        <v>45677</v>
      </c>
      <c r="B162" s="94" t="str">
        <f t="shared" si="24"/>
        <v>January</v>
      </c>
      <c r="C162" s="78"/>
      <c r="D162" s="79" t="s">
        <v>1227</v>
      </c>
      <c r="E162" s="79" t="s">
        <v>1017</v>
      </c>
      <c r="F162" s="79"/>
      <c r="G162" s="79" t="s">
        <v>54</v>
      </c>
      <c r="H162" s="79" t="s">
        <v>460</v>
      </c>
      <c r="I162" s="79">
        <v>156</v>
      </c>
      <c r="J162" s="79" t="s">
        <v>1445</v>
      </c>
      <c r="K162" s="80" t="s">
        <v>469</v>
      </c>
      <c r="L162" s="87">
        <v>600</v>
      </c>
      <c r="M162" s="80">
        <f>L162-1</f>
        <v>599</v>
      </c>
      <c r="N162" s="81">
        <f t="shared" si="35"/>
        <v>-1</v>
      </c>
      <c r="O162" s="78"/>
      <c r="P162" s="82">
        <v>45677.292361111111</v>
      </c>
      <c r="Q162" s="82">
        <v>45677.3125</v>
      </c>
      <c r="R162" s="82">
        <v>45677.320138888892</v>
      </c>
      <c r="S162" s="81">
        <f t="shared" si="25"/>
        <v>10.949074078477375</v>
      </c>
      <c r="T162" s="81">
        <f t="shared" si="26"/>
        <v>39.814814819449872</v>
      </c>
      <c r="U162" s="79"/>
      <c r="V162" s="82">
        <v>45678.334027777775</v>
      </c>
      <c r="W162" s="82">
        <f>V162+TIME(0,172,0)</f>
        <v>45678.453472222216</v>
      </c>
      <c r="X162" s="103">
        <f t="shared" si="27"/>
        <v>168.41666666165111</v>
      </c>
      <c r="Y162" s="82"/>
      <c r="Z162" s="82">
        <v>45679.33397222223</v>
      </c>
      <c r="AA162" s="82">
        <f>Z162+TIME(0,53,0)</f>
        <v>45679.370777777789</v>
      </c>
      <c r="AB162" s="81">
        <f t="shared" si="28"/>
        <v>51.895833338348893</v>
      </c>
      <c r="AC162" s="80"/>
      <c r="AD162" s="83">
        <f t="shared" si="29"/>
        <v>2.0138333333379705</v>
      </c>
      <c r="AE162" s="80">
        <v>2</v>
      </c>
      <c r="AF162" s="84">
        <f t="shared" si="30"/>
        <v>-1.3833333337970544E-2</v>
      </c>
      <c r="AG162" s="83">
        <f t="shared" si="31"/>
        <v>48.332000000111293</v>
      </c>
      <c r="AH162" s="83">
        <f t="shared" si="32"/>
        <v>24</v>
      </c>
      <c r="AI162" s="83">
        <f t="shared" si="33"/>
        <v>24.332000000111293</v>
      </c>
      <c r="AJ162" s="83">
        <f t="shared" si="34"/>
        <v>6.4113102087492386</v>
      </c>
      <c r="AK162" s="83"/>
      <c r="AL162" s="83"/>
      <c r="AM162" s="83"/>
      <c r="AN162" s="83"/>
      <c r="AO162" s="78"/>
    </row>
    <row r="163" spans="1:41" customFormat="1" ht="15" hidden="1" x14ac:dyDescent="0.25">
      <c r="A163" s="82">
        <v>45677</v>
      </c>
      <c r="B163" s="94" t="str">
        <f t="shared" si="24"/>
        <v>January</v>
      </c>
      <c r="C163" s="78"/>
      <c r="D163" s="79" t="s">
        <v>1228</v>
      </c>
      <c r="E163" s="79" t="s">
        <v>1017</v>
      </c>
      <c r="F163" s="79"/>
      <c r="G163" s="79" t="s">
        <v>51</v>
      </c>
      <c r="H163" s="79" t="s">
        <v>452</v>
      </c>
      <c r="I163" s="79">
        <v>156</v>
      </c>
      <c r="J163" s="79" t="s">
        <v>1446</v>
      </c>
      <c r="K163" s="80" t="s">
        <v>469</v>
      </c>
      <c r="L163" s="79">
        <v>690</v>
      </c>
      <c r="M163" s="80">
        <f>L163-3</f>
        <v>687</v>
      </c>
      <c r="N163" s="81">
        <f t="shared" si="35"/>
        <v>-3</v>
      </c>
      <c r="O163" s="78"/>
      <c r="P163" s="82">
        <f>R163-TIME(0,41,0)</f>
        <v>45677.303472222229</v>
      </c>
      <c r="Q163" s="82">
        <v>45677.3125</v>
      </c>
      <c r="R163" s="82">
        <v>45677.33194444445</v>
      </c>
      <c r="S163" s="81">
        <f t="shared" si="25"/>
        <v>27.870370377786458</v>
      </c>
      <c r="T163" s="81">
        <f t="shared" si="26"/>
        <v>40.810185182635905</v>
      </c>
      <c r="U163" s="79"/>
      <c r="V163" s="82">
        <v>45678.382638888892</v>
      </c>
      <c r="W163" s="82">
        <f>V163+TIME(0,147,0)</f>
        <v>45678.484722222223</v>
      </c>
      <c r="X163" s="103">
        <f t="shared" si="27"/>
        <v>143.93749999726424</v>
      </c>
      <c r="Y163" s="82"/>
      <c r="Z163" s="82">
        <v>45679.409666666674</v>
      </c>
      <c r="AA163" s="82">
        <v>45679.467305555561</v>
      </c>
      <c r="AB163" s="81">
        <f t="shared" si="28"/>
        <v>81.270833331509493</v>
      </c>
      <c r="AC163" s="80" t="s">
        <v>1479</v>
      </c>
      <c r="AD163" s="83">
        <f t="shared" si="29"/>
        <v>2.0777222222241107</v>
      </c>
      <c r="AE163" s="80">
        <v>3</v>
      </c>
      <c r="AF163" s="84">
        <f t="shared" si="30"/>
        <v>0.92227777777588926</v>
      </c>
      <c r="AG163" s="83">
        <f t="shared" si="31"/>
        <v>49.865333333378658</v>
      </c>
      <c r="AH163" s="83">
        <f t="shared" si="32"/>
        <v>24</v>
      </c>
      <c r="AI163" s="83">
        <f t="shared" si="33"/>
        <v>25.865333333378658</v>
      </c>
      <c r="AJ163" s="83">
        <f t="shared" si="34"/>
        <v>6.0312387236349805</v>
      </c>
      <c r="AK163" s="83"/>
      <c r="AL163" s="83"/>
      <c r="AM163" s="83"/>
      <c r="AN163" s="83"/>
      <c r="AO163" s="78"/>
    </row>
    <row r="164" spans="1:41" customFormat="1" ht="15" hidden="1" x14ac:dyDescent="0.25">
      <c r="A164" s="82">
        <v>45677</v>
      </c>
      <c r="B164" s="94" t="str">
        <f t="shared" si="24"/>
        <v>January</v>
      </c>
      <c r="C164" s="78"/>
      <c r="D164" s="79" t="s">
        <v>1229</v>
      </c>
      <c r="E164" s="79" t="s">
        <v>1017</v>
      </c>
      <c r="F164" s="79" t="s">
        <v>963</v>
      </c>
      <c r="G164" s="79" t="s">
        <v>60</v>
      </c>
      <c r="H164" s="79" t="s">
        <v>458</v>
      </c>
      <c r="I164" s="79">
        <v>156</v>
      </c>
      <c r="J164" s="79" t="s">
        <v>1447</v>
      </c>
      <c r="K164" s="80" t="s">
        <v>469</v>
      </c>
      <c r="L164" s="80">
        <v>448</v>
      </c>
      <c r="M164" s="80">
        <f>L164-3</f>
        <v>445</v>
      </c>
      <c r="N164" s="81">
        <f t="shared" si="35"/>
        <v>-3</v>
      </c>
      <c r="O164" s="78"/>
      <c r="P164" s="82">
        <f>R164-TIME(0,43,0)</f>
        <v>45678.343055555553</v>
      </c>
      <c r="Q164" s="82">
        <v>45678.3125</v>
      </c>
      <c r="R164" s="82">
        <v>45678.372916666667</v>
      </c>
      <c r="S164" s="81">
        <f t="shared" si="25"/>
        <v>86.59722222291748</v>
      </c>
      <c r="T164" s="81">
        <f t="shared" si="26"/>
        <v>42.80092592986572</v>
      </c>
      <c r="U164" s="79"/>
      <c r="V164" s="82">
        <v>45678.415277777785</v>
      </c>
      <c r="W164" s="82">
        <f>V164+TIME(0,180,0)</f>
        <v>45678.540277777785</v>
      </c>
      <c r="X164" s="103">
        <f t="shared" si="27"/>
        <v>176.25</v>
      </c>
      <c r="Y164" s="82"/>
      <c r="Z164" s="82">
        <v>45680.604166666664</v>
      </c>
      <c r="AA164" s="82">
        <f>Z164+TIME(0,52,0)</f>
        <v>45680.640277777777</v>
      </c>
      <c r="AB164" s="81">
        <f t="shared" si="28"/>
        <v>50.916666668490507</v>
      </c>
      <c r="AC164" s="80"/>
      <c r="AD164" s="83">
        <f t="shared" si="29"/>
        <v>2.2312499999970896</v>
      </c>
      <c r="AE164" s="80">
        <v>2</v>
      </c>
      <c r="AF164" s="84">
        <f t="shared" si="30"/>
        <v>-0.23124999999708962</v>
      </c>
      <c r="AG164" s="83">
        <f t="shared" si="31"/>
        <v>53.549999999930151</v>
      </c>
      <c r="AH164" s="83">
        <f t="shared" si="32"/>
        <v>24</v>
      </c>
      <c r="AI164" s="83">
        <f t="shared" si="33"/>
        <v>29.549999999930151</v>
      </c>
      <c r="AJ164" s="83">
        <f t="shared" si="34"/>
        <v>5.279187817271362</v>
      </c>
      <c r="AK164" s="83"/>
      <c r="AL164" s="83"/>
      <c r="AM164" s="83"/>
      <c r="AN164" s="83"/>
      <c r="AO164" s="78"/>
    </row>
    <row r="165" spans="1:41" customFormat="1" ht="15" hidden="1" x14ac:dyDescent="0.25">
      <c r="A165" s="82">
        <v>45677</v>
      </c>
      <c r="B165" s="94" t="str">
        <f t="shared" si="24"/>
        <v>January</v>
      </c>
      <c r="C165" s="78"/>
      <c r="D165" s="79" t="s">
        <v>1230</v>
      </c>
      <c r="E165" s="79" t="s">
        <v>1017</v>
      </c>
      <c r="F165" s="79" t="s">
        <v>1268</v>
      </c>
      <c r="G165" s="79" t="s">
        <v>52</v>
      </c>
      <c r="H165" s="79" t="s">
        <v>451</v>
      </c>
      <c r="I165" s="79">
        <v>154.34399999999999</v>
      </c>
      <c r="J165" s="79" t="s">
        <v>1448</v>
      </c>
      <c r="K165" s="80" t="s">
        <v>469</v>
      </c>
      <c r="L165" s="80">
        <v>790</v>
      </c>
      <c r="M165" s="80">
        <f>L165-2</f>
        <v>788</v>
      </c>
      <c r="N165" s="81">
        <f t="shared" si="35"/>
        <v>-2</v>
      </c>
      <c r="O165" s="78"/>
      <c r="P165" s="82">
        <v>45677.822916666664</v>
      </c>
      <c r="Q165" s="82">
        <v>45678.3125</v>
      </c>
      <c r="R165" s="82">
        <v>45677.852083333331</v>
      </c>
      <c r="S165" s="81">
        <f t="shared" si="25"/>
        <v>-659.93055555833655</v>
      </c>
      <c r="T165" s="81">
        <f t="shared" si="26"/>
        <v>41.805555556250816</v>
      </c>
      <c r="U165" s="79"/>
      <c r="V165" s="82">
        <v>45679.435416666667</v>
      </c>
      <c r="W165" s="82">
        <f>V165+TIME(0,241,0)</f>
        <v>45679.602777777778</v>
      </c>
      <c r="X165" s="103">
        <f t="shared" si="27"/>
        <v>235.97916666643869</v>
      </c>
      <c r="Y165" s="82" t="s">
        <v>1049</v>
      </c>
      <c r="Z165" s="82">
        <v>45680.316666666666</v>
      </c>
      <c r="AA165" s="82">
        <f>Z165+TIME(0,54,0)</f>
        <v>45680.354166666664</v>
      </c>
      <c r="AB165" s="81">
        <f t="shared" si="28"/>
        <v>52.87499999794818</v>
      </c>
      <c r="AC165" s="80"/>
      <c r="AD165" s="83">
        <f t="shared" si="29"/>
        <v>2.4645833333343035</v>
      </c>
      <c r="AE165" s="80">
        <v>3</v>
      </c>
      <c r="AF165" s="84">
        <f t="shared" si="30"/>
        <v>0.53541666666569654</v>
      </c>
      <c r="AG165" s="83">
        <f t="shared" si="31"/>
        <v>59.150000000023283</v>
      </c>
      <c r="AH165" s="83">
        <f t="shared" si="32"/>
        <v>24</v>
      </c>
      <c r="AI165" s="83">
        <f t="shared" si="33"/>
        <v>35.150000000023283</v>
      </c>
      <c r="AJ165" s="83">
        <f t="shared" si="34"/>
        <v>4.3910099573228383</v>
      </c>
      <c r="AK165" s="83"/>
      <c r="AL165" s="83"/>
      <c r="AM165" s="83"/>
      <c r="AN165" s="83"/>
      <c r="AO165" s="78"/>
    </row>
    <row r="166" spans="1:41" customFormat="1" ht="15" hidden="1" x14ac:dyDescent="0.25">
      <c r="A166" s="82">
        <v>45677</v>
      </c>
      <c r="B166" s="94" t="str">
        <f t="shared" si="24"/>
        <v>January</v>
      </c>
      <c r="C166" s="78"/>
      <c r="D166" s="79" t="s">
        <v>1231</v>
      </c>
      <c r="E166" s="79" t="s">
        <v>1017</v>
      </c>
      <c r="F166" s="79" t="s">
        <v>959</v>
      </c>
      <c r="G166" s="79" t="s">
        <v>976</v>
      </c>
      <c r="H166" s="79" t="s">
        <v>461</v>
      </c>
      <c r="I166" s="79">
        <v>148.80000000000001</v>
      </c>
      <c r="J166" s="79" t="s">
        <v>1449</v>
      </c>
      <c r="K166" s="80" t="s">
        <v>469</v>
      </c>
      <c r="L166" s="80">
        <v>298</v>
      </c>
      <c r="M166" s="80">
        <f>L166-1</f>
        <v>297</v>
      </c>
      <c r="N166" s="81">
        <f t="shared" si="35"/>
        <v>-1</v>
      </c>
      <c r="O166" s="78"/>
      <c r="P166" s="82">
        <f>R166-TIME(0,40,0)</f>
        <v>45678.29583333333</v>
      </c>
      <c r="Q166" s="82">
        <v>45678.3125</v>
      </c>
      <c r="R166" s="82">
        <v>45678.323611111111</v>
      </c>
      <c r="S166" s="81">
        <f t="shared" si="25"/>
        <v>15.925925925694173</v>
      </c>
      <c r="T166" s="81">
        <f t="shared" si="26"/>
        <v>39.814814819449872</v>
      </c>
      <c r="U166" s="79"/>
      <c r="V166" s="82">
        <v>45678.904166666667</v>
      </c>
      <c r="W166" s="82">
        <f>V166+TIME(0,172,0)</f>
        <v>45679.023611111108</v>
      </c>
      <c r="X166" s="103">
        <f t="shared" si="27"/>
        <v>168.41666666165111</v>
      </c>
      <c r="Y166" s="82"/>
      <c r="Z166" s="82">
        <v>45678.782638888886</v>
      </c>
      <c r="AA166" s="82">
        <f>Z166+TIME(0,57,0)</f>
        <v>45678.822222222218</v>
      </c>
      <c r="AB166" s="81">
        <f t="shared" si="28"/>
        <v>55.81249999726424</v>
      </c>
      <c r="AC166" s="80"/>
      <c r="AD166" s="83">
        <f t="shared" si="29"/>
        <v>0.45902777777519077</v>
      </c>
      <c r="AE166" s="80">
        <v>2</v>
      </c>
      <c r="AF166" s="84">
        <f t="shared" si="30"/>
        <v>1.5409722222248092</v>
      </c>
      <c r="AG166" s="83">
        <f t="shared" si="31"/>
        <v>11.016666666604578</v>
      </c>
      <c r="AH166" s="83">
        <f t="shared" si="32"/>
        <v>0</v>
      </c>
      <c r="AI166" s="83">
        <f t="shared" si="33"/>
        <v>11.016666666604578</v>
      </c>
      <c r="AJ166" s="83">
        <f t="shared" si="34"/>
        <v>13.506807866944504</v>
      </c>
      <c r="AK166" s="83"/>
      <c r="AL166" s="83"/>
      <c r="AM166" s="83"/>
      <c r="AN166" s="83"/>
      <c r="AO166" s="78"/>
    </row>
    <row r="167" spans="1:41" customFormat="1" ht="15" hidden="1" x14ac:dyDescent="0.25">
      <c r="A167" s="82">
        <v>45678</v>
      </c>
      <c r="B167" s="94" t="str">
        <f t="shared" si="24"/>
        <v>January</v>
      </c>
      <c r="C167" s="78"/>
      <c r="D167" s="79" t="s">
        <v>1232</v>
      </c>
      <c r="E167" s="79" t="s">
        <v>1017</v>
      </c>
      <c r="F167" s="79" t="s">
        <v>1277</v>
      </c>
      <c r="G167" s="79" t="s">
        <v>1266</v>
      </c>
      <c r="H167" s="79" t="s">
        <v>454</v>
      </c>
      <c r="I167" s="79">
        <v>156</v>
      </c>
      <c r="J167" s="79" t="s">
        <v>1450</v>
      </c>
      <c r="K167" s="80" t="s">
        <v>469</v>
      </c>
      <c r="L167" s="80">
        <v>304</v>
      </c>
      <c r="M167" s="80">
        <f>L167-1</f>
        <v>303</v>
      </c>
      <c r="N167" s="81">
        <f t="shared" si="35"/>
        <v>-1</v>
      </c>
      <c r="O167" s="78"/>
      <c r="P167" s="82">
        <f>R167-TIME(0,41,0)</f>
        <v>45678.306944444448</v>
      </c>
      <c r="Q167" s="82">
        <v>45678.3125</v>
      </c>
      <c r="R167" s="82">
        <v>45678.335416666669</v>
      </c>
      <c r="S167" s="81">
        <f t="shared" si="25"/>
        <v>32.847222225003257</v>
      </c>
      <c r="T167" s="81">
        <f t="shared" si="26"/>
        <v>40.810185182635905</v>
      </c>
      <c r="U167" s="79"/>
      <c r="V167" s="82">
        <v>45678.457638888889</v>
      </c>
      <c r="W167" s="82">
        <f>V167+TIME(0,160,0)</f>
        <v>45678.568749999999</v>
      </c>
      <c r="X167" s="103">
        <f t="shared" si="27"/>
        <v>156.66666666438687</v>
      </c>
      <c r="Y167" s="82"/>
      <c r="Z167" s="82">
        <v>45680.470916666665</v>
      </c>
      <c r="AA167" s="82">
        <f>Z167+TIME(0,56,0)</f>
        <v>45680.509805555557</v>
      </c>
      <c r="AB167" s="81">
        <f t="shared" si="28"/>
        <v>54.833333337664953</v>
      </c>
      <c r="AC167" s="80"/>
      <c r="AD167" s="83">
        <f t="shared" si="29"/>
        <v>2.1354999999966822</v>
      </c>
      <c r="AE167" s="80">
        <v>2</v>
      </c>
      <c r="AF167" s="84">
        <f t="shared" si="30"/>
        <v>-0.13549999999668216</v>
      </c>
      <c r="AG167" s="83">
        <f t="shared" si="31"/>
        <v>51.251999999920372</v>
      </c>
      <c r="AH167" s="83">
        <f t="shared" si="32"/>
        <v>24</v>
      </c>
      <c r="AI167" s="83">
        <f t="shared" si="33"/>
        <v>27.251999999920372</v>
      </c>
      <c r="AJ167" s="83">
        <f t="shared" si="34"/>
        <v>5.7243505064015787</v>
      </c>
      <c r="AK167" s="83"/>
      <c r="AL167" s="83"/>
      <c r="AM167" s="83"/>
      <c r="AN167" s="83"/>
      <c r="AO167" s="78"/>
    </row>
    <row r="168" spans="1:41" customFormat="1" ht="15" hidden="1" x14ac:dyDescent="0.25">
      <c r="A168" s="82">
        <v>45678</v>
      </c>
      <c r="B168" s="94" t="str">
        <f t="shared" si="24"/>
        <v>January</v>
      </c>
      <c r="C168" s="78"/>
      <c r="D168" s="79" t="s">
        <v>1233</v>
      </c>
      <c r="E168" s="79" t="s">
        <v>1017</v>
      </c>
      <c r="F168" s="79" t="s">
        <v>1273</v>
      </c>
      <c r="G168" s="79" t="s">
        <v>41</v>
      </c>
      <c r="H168" s="79" t="s">
        <v>454</v>
      </c>
      <c r="I168" s="79">
        <v>156</v>
      </c>
      <c r="J168" s="79" t="s">
        <v>1451</v>
      </c>
      <c r="K168" s="80" t="s">
        <v>469</v>
      </c>
      <c r="L168" s="80">
        <v>304</v>
      </c>
      <c r="M168" s="80">
        <f>L168-3</f>
        <v>301</v>
      </c>
      <c r="N168" s="81">
        <f t="shared" si="35"/>
        <v>-3</v>
      </c>
      <c r="O168" s="78"/>
      <c r="P168" s="82">
        <f>R168-TIME(0,41,0)</f>
        <v>45678.29791666667</v>
      </c>
      <c r="Q168" s="82">
        <v>45678.3125</v>
      </c>
      <c r="R168" s="82">
        <v>45678.326388888891</v>
      </c>
      <c r="S168" s="81">
        <f t="shared" si="25"/>
        <v>19.907407409724936</v>
      </c>
      <c r="T168" s="81">
        <f t="shared" si="26"/>
        <v>40.810185182635905</v>
      </c>
      <c r="U168" s="79"/>
      <c r="V168" s="82">
        <v>45679.397916666669</v>
      </c>
      <c r="W168" s="82">
        <f>V168+TIME(0,180,0)</f>
        <v>45679.522916666669</v>
      </c>
      <c r="X168" s="103">
        <f t="shared" si="27"/>
        <v>176.25</v>
      </c>
      <c r="Y168" s="82"/>
      <c r="Z168" s="82">
        <v>45680.332888888894</v>
      </c>
      <c r="AA168" s="82">
        <f>Z168+TIME(0,53,0)</f>
        <v>45680.369694444453</v>
      </c>
      <c r="AB168" s="81">
        <f t="shared" si="28"/>
        <v>51.895833338348893</v>
      </c>
      <c r="AC168" s="80"/>
      <c r="AD168" s="83">
        <f t="shared" si="29"/>
        <v>2.0065000000031432</v>
      </c>
      <c r="AE168" s="80">
        <v>2</v>
      </c>
      <c r="AF168" s="84">
        <f t="shared" si="30"/>
        <v>-6.5000000031432137E-3</v>
      </c>
      <c r="AG168" s="83">
        <f t="shared" si="31"/>
        <v>48.156000000075437</v>
      </c>
      <c r="AH168" s="83">
        <f t="shared" si="32"/>
        <v>24</v>
      </c>
      <c r="AI168" s="83">
        <f t="shared" si="33"/>
        <v>24.156000000075437</v>
      </c>
      <c r="AJ168" s="83">
        <f t="shared" si="34"/>
        <v>6.4580228514453069</v>
      </c>
      <c r="AK168" s="83"/>
      <c r="AL168" s="83"/>
      <c r="AM168" s="83"/>
      <c r="AN168" s="83"/>
      <c r="AO168" s="78"/>
    </row>
    <row r="169" spans="1:41" customFormat="1" ht="15" hidden="1" x14ac:dyDescent="0.25">
      <c r="A169" s="82">
        <v>45678</v>
      </c>
      <c r="B169" s="94" t="str">
        <f t="shared" si="24"/>
        <v>January</v>
      </c>
      <c r="C169" s="78"/>
      <c r="D169" s="79" t="s">
        <v>1234</v>
      </c>
      <c r="E169" s="79" t="s">
        <v>1017</v>
      </c>
      <c r="F169" s="79"/>
      <c r="G169" s="79" t="s">
        <v>50</v>
      </c>
      <c r="H169" s="79" t="s">
        <v>451</v>
      </c>
      <c r="I169" s="79">
        <v>154.34399999999999</v>
      </c>
      <c r="J169" s="79" t="s">
        <v>1452</v>
      </c>
      <c r="K169" s="80" t="s">
        <v>469</v>
      </c>
      <c r="L169" s="80">
        <v>790</v>
      </c>
      <c r="M169" s="80">
        <f>L169-1</f>
        <v>789</v>
      </c>
      <c r="N169" s="81">
        <f t="shared" si="35"/>
        <v>-1</v>
      </c>
      <c r="O169" s="78"/>
      <c r="P169" s="82">
        <f>R169-TIME(0,40,0)</f>
        <v>45678.299305555556</v>
      </c>
      <c r="Q169" s="82">
        <v>45678.3125</v>
      </c>
      <c r="R169" s="82">
        <v>45678.327083333337</v>
      </c>
      <c r="S169" s="81">
        <f t="shared" si="25"/>
        <v>20.902777783339843</v>
      </c>
      <c r="T169" s="81">
        <f t="shared" si="26"/>
        <v>39.814814819449872</v>
      </c>
      <c r="U169" s="79"/>
      <c r="V169" s="82">
        <v>45679.388888888891</v>
      </c>
      <c r="W169" s="82">
        <f>V169+TIME(0,208,0)</f>
        <v>45679.533333333333</v>
      </c>
      <c r="X169" s="103">
        <f t="shared" si="27"/>
        <v>203.66666666370293</v>
      </c>
      <c r="Y169" s="82" t="s">
        <v>1046</v>
      </c>
      <c r="Z169" s="82">
        <v>45680.71875</v>
      </c>
      <c r="AA169" s="82">
        <f>Z169+TIME(0,56,0)</f>
        <v>45680.757638888892</v>
      </c>
      <c r="AB169" s="81">
        <f t="shared" si="28"/>
        <v>54.833333337664953</v>
      </c>
      <c r="AC169" s="80"/>
      <c r="AD169" s="83">
        <f t="shared" si="29"/>
        <v>2.3916666666627862</v>
      </c>
      <c r="AE169" s="80">
        <v>3</v>
      </c>
      <c r="AF169" s="84">
        <f t="shared" si="30"/>
        <v>0.60833333333721384</v>
      </c>
      <c r="AG169" s="83">
        <f t="shared" si="31"/>
        <v>57.399999999906868</v>
      </c>
      <c r="AH169" s="83">
        <f t="shared" si="32"/>
        <v>24</v>
      </c>
      <c r="AI169" s="83">
        <f t="shared" si="33"/>
        <v>33.399999999906868</v>
      </c>
      <c r="AJ169" s="83">
        <f t="shared" si="34"/>
        <v>4.6210778443242626</v>
      </c>
      <c r="AK169" s="83"/>
      <c r="AL169" s="83"/>
      <c r="AM169" s="83"/>
      <c r="AN169" s="83"/>
      <c r="AO169" s="78"/>
    </row>
    <row r="170" spans="1:41" customFormat="1" ht="15" hidden="1" x14ac:dyDescent="0.25">
      <c r="A170" s="82">
        <v>45678</v>
      </c>
      <c r="B170" s="94" t="str">
        <f t="shared" si="24"/>
        <v>January</v>
      </c>
      <c r="C170" s="78"/>
      <c r="D170" s="79" t="s">
        <v>1235</v>
      </c>
      <c r="E170" s="79" t="s">
        <v>1017</v>
      </c>
      <c r="F170" s="79"/>
      <c r="G170" s="79" t="s">
        <v>50</v>
      </c>
      <c r="H170" s="79" t="s">
        <v>1284</v>
      </c>
      <c r="I170" s="79">
        <v>156</v>
      </c>
      <c r="J170" s="79" t="s">
        <v>1453</v>
      </c>
      <c r="K170" s="80" t="s">
        <v>469</v>
      </c>
      <c r="L170" s="79">
        <v>620</v>
      </c>
      <c r="M170" s="80">
        <f>L170+1</f>
        <v>621</v>
      </c>
      <c r="N170" s="81">
        <f t="shared" si="35"/>
        <v>1</v>
      </c>
      <c r="O170" s="78"/>
      <c r="P170" s="82">
        <v>45678.283333333333</v>
      </c>
      <c r="Q170" s="82">
        <v>45678.3125</v>
      </c>
      <c r="R170" s="82">
        <v>45678.3125</v>
      </c>
      <c r="S170" s="81">
        <f t="shared" si="25"/>
        <v>0</v>
      </c>
      <c r="T170" s="81">
        <f t="shared" si="26"/>
        <v>41.805555556250816</v>
      </c>
      <c r="U170" s="79"/>
      <c r="V170" s="82">
        <v>45679.379166666673</v>
      </c>
      <c r="W170" s="82">
        <f>V170+TIME(0,172,0)</f>
        <v>45679.498611111114</v>
      </c>
      <c r="X170" s="103">
        <f t="shared" si="27"/>
        <v>168.41666666165111</v>
      </c>
      <c r="Y170" s="82"/>
      <c r="Z170" s="82">
        <v>45680.508333333339</v>
      </c>
      <c r="AA170" s="82">
        <v>45680.548611111117</v>
      </c>
      <c r="AB170" s="81">
        <f t="shared" si="28"/>
        <v>56.791666667122627</v>
      </c>
      <c r="AC170" s="80"/>
      <c r="AD170" s="83">
        <f t="shared" si="29"/>
        <v>2.195833333338669</v>
      </c>
      <c r="AE170" s="80">
        <v>3</v>
      </c>
      <c r="AF170" s="84">
        <f t="shared" si="30"/>
        <v>0.80416666666133096</v>
      </c>
      <c r="AG170" s="83">
        <f t="shared" si="31"/>
        <v>52.700000000128057</v>
      </c>
      <c r="AH170" s="83">
        <f t="shared" si="32"/>
        <v>24</v>
      </c>
      <c r="AI170" s="83">
        <f t="shared" si="33"/>
        <v>28.700000000128057</v>
      </c>
      <c r="AJ170" s="83">
        <f t="shared" si="34"/>
        <v>5.4355400696621583</v>
      </c>
      <c r="AK170" s="83"/>
      <c r="AL170" s="83"/>
      <c r="AM170" s="83"/>
      <c r="AN170" s="83"/>
      <c r="AO170" s="78"/>
    </row>
    <row r="171" spans="1:41" customFormat="1" ht="15" hidden="1" x14ac:dyDescent="0.25">
      <c r="A171" s="82">
        <v>45679</v>
      </c>
      <c r="B171" s="94" t="str">
        <f t="shared" si="24"/>
        <v>January</v>
      </c>
      <c r="C171" s="78"/>
      <c r="D171" s="79" t="s">
        <v>1236</v>
      </c>
      <c r="E171" s="79" t="s">
        <v>1017</v>
      </c>
      <c r="F171" s="79" t="s">
        <v>954</v>
      </c>
      <c r="G171" s="79" t="s">
        <v>971</v>
      </c>
      <c r="H171" s="79" t="s">
        <v>459</v>
      </c>
      <c r="I171" s="79">
        <v>153.6</v>
      </c>
      <c r="J171" s="79" t="s">
        <v>1454</v>
      </c>
      <c r="K171" s="80" t="s">
        <v>469</v>
      </c>
      <c r="L171" s="79">
        <v>560</v>
      </c>
      <c r="M171" s="80">
        <f>L171-3</f>
        <v>557</v>
      </c>
      <c r="N171" s="81">
        <f t="shared" si="35"/>
        <v>-3</v>
      </c>
      <c r="O171" s="78"/>
      <c r="P171" s="82">
        <f>R171-TIME(0,41,0)</f>
        <v>45680.307638888895</v>
      </c>
      <c r="Q171" s="82">
        <v>45680.3125</v>
      </c>
      <c r="R171" s="82">
        <v>45680.336111111115</v>
      </c>
      <c r="S171" s="81">
        <f t="shared" si="25"/>
        <v>33.842592598618161</v>
      </c>
      <c r="T171" s="81">
        <f t="shared" si="26"/>
        <v>40.810185182635905</v>
      </c>
      <c r="U171" s="79"/>
      <c r="V171" s="82">
        <v>45679.373611111114</v>
      </c>
      <c r="W171" s="82">
        <f>V171+TIME(0,172,0)</f>
        <v>45679.493055555555</v>
      </c>
      <c r="X171" s="103">
        <f t="shared" si="27"/>
        <v>168.41666666165111</v>
      </c>
      <c r="Y171" s="82"/>
      <c r="Z171" s="82">
        <v>45682.336111111115</v>
      </c>
      <c r="AA171" s="82">
        <f>Z171+TIME(0,78,0)</f>
        <v>45682.390277777784</v>
      </c>
      <c r="AB171" s="81">
        <f t="shared" si="28"/>
        <v>76.37500000273576</v>
      </c>
      <c r="AC171" s="80" t="s">
        <v>1674</v>
      </c>
      <c r="AD171" s="83">
        <f t="shared" si="29"/>
        <v>2</v>
      </c>
      <c r="AE171" s="80">
        <v>3</v>
      </c>
      <c r="AF171" s="84">
        <f t="shared" si="30"/>
        <v>1</v>
      </c>
      <c r="AG171" s="83">
        <f t="shared" si="31"/>
        <v>48</v>
      </c>
      <c r="AH171" s="83">
        <f t="shared" si="32"/>
        <v>24</v>
      </c>
      <c r="AI171" s="83">
        <f t="shared" si="33"/>
        <v>24</v>
      </c>
      <c r="AJ171" s="83">
        <f t="shared" si="34"/>
        <v>6.3999999999999995</v>
      </c>
      <c r="AK171" s="83"/>
      <c r="AL171" s="83"/>
      <c r="AM171" s="83"/>
      <c r="AN171" s="83"/>
      <c r="AO171" s="78"/>
    </row>
    <row r="172" spans="1:41" customFormat="1" ht="15" hidden="1" x14ac:dyDescent="0.25">
      <c r="A172" s="82">
        <v>45680</v>
      </c>
      <c r="B172" s="94" t="str">
        <f t="shared" si="24"/>
        <v>January</v>
      </c>
      <c r="C172" s="78"/>
      <c r="D172" s="79" t="s">
        <v>1237</v>
      </c>
      <c r="E172" s="79" t="s">
        <v>1017</v>
      </c>
      <c r="F172" s="79"/>
      <c r="G172" s="79" t="s">
        <v>977</v>
      </c>
      <c r="H172" s="79" t="s">
        <v>1284</v>
      </c>
      <c r="I172" s="79">
        <v>156</v>
      </c>
      <c r="J172" s="79" t="s">
        <v>1455</v>
      </c>
      <c r="K172" s="80" t="s">
        <v>469</v>
      </c>
      <c r="L172" s="79">
        <v>620</v>
      </c>
      <c r="M172" s="80">
        <f>L172-3</f>
        <v>617</v>
      </c>
      <c r="N172" s="81">
        <f t="shared" si="35"/>
        <v>-3</v>
      </c>
      <c r="O172" s="78"/>
      <c r="P172" s="82">
        <v>45680.918055555558</v>
      </c>
      <c r="Q172" s="82">
        <v>45680.3125</v>
      </c>
      <c r="R172" s="82">
        <v>45680.947916666672</v>
      </c>
      <c r="S172" s="81">
        <f t="shared" si="25"/>
        <v>910.76388889584143</v>
      </c>
      <c r="T172" s="81">
        <f t="shared" si="26"/>
        <v>42.80092592986572</v>
      </c>
      <c r="U172" s="79"/>
      <c r="V172" s="82">
        <v>45681.336111111115</v>
      </c>
      <c r="W172" s="82">
        <f>V172+TIME(0,172,0)</f>
        <v>45681.455555555556</v>
      </c>
      <c r="X172" s="103">
        <f t="shared" si="27"/>
        <v>168.41666666165111</v>
      </c>
      <c r="Y172" s="82"/>
      <c r="Z172" s="82">
        <v>45683.409750000006</v>
      </c>
      <c r="AA172" s="82">
        <f>Z172+TIME(0,57,0)</f>
        <v>45683.449333333338</v>
      </c>
      <c r="AB172" s="81">
        <f t="shared" si="28"/>
        <v>55.81249999726424</v>
      </c>
      <c r="AC172" s="80"/>
      <c r="AD172" s="83">
        <f t="shared" si="29"/>
        <v>2.4618333333346527</v>
      </c>
      <c r="AE172" s="80">
        <v>3</v>
      </c>
      <c r="AF172" s="84">
        <f t="shared" si="30"/>
        <v>0.53816666666534729</v>
      </c>
      <c r="AG172" s="83">
        <f t="shared" si="31"/>
        <v>59.084000000031665</v>
      </c>
      <c r="AH172" s="83">
        <f t="shared" si="32"/>
        <v>24</v>
      </c>
      <c r="AI172" s="83">
        <f t="shared" si="33"/>
        <v>35.084000000031665</v>
      </c>
      <c r="AJ172" s="83">
        <f t="shared" si="34"/>
        <v>4.4464713259565389</v>
      </c>
      <c r="AK172" s="83"/>
      <c r="AL172" s="83"/>
      <c r="AM172" s="83"/>
      <c r="AN172" s="83"/>
      <c r="AO172" s="78"/>
    </row>
    <row r="173" spans="1:41" customFormat="1" ht="15" hidden="1" x14ac:dyDescent="0.25">
      <c r="A173" s="82">
        <v>45680</v>
      </c>
      <c r="B173" s="94" t="str">
        <f t="shared" si="24"/>
        <v>January</v>
      </c>
      <c r="C173" s="78"/>
      <c r="D173" s="79" t="s">
        <v>1238</v>
      </c>
      <c r="E173" s="79" t="s">
        <v>1017</v>
      </c>
      <c r="F173" s="79"/>
      <c r="G173" s="79" t="s">
        <v>57</v>
      </c>
      <c r="H173" s="79" t="s">
        <v>1284</v>
      </c>
      <c r="I173" s="79">
        <v>156</v>
      </c>
      <c r="J173" s="79" t="s">
        <v>1456</v>
      </c>
      <c r="K173" s="80" t="s">
        <v>469</v>
      </c>
      <c r="L173" s="79">
        <v>620</v>
      </c>
      <c r="M173" s="80">
        <f>L173+1</f>
        <v>621</v>
      </c>
      <c r="N173" s="81">
        <f t="shared" si="35"/>
        <v>1</v>
      </c>
      <c r="O173" s="78"/>
      <c r="P173" s="82">
        <f>R173-TIME(0,41,0)</f>
        <v>45680.825694444444</v>
      </c>
      <c r="Q173" s="82">
        <v>45680.3125</v>
      </c>
      <c r="R173" s="82">
        <v>45680.854166666664</v>
      </c>
      <c r="S173" s="81">
        <f t="shared" si="25"/>
        <v>776.3888888854126</v>
      </c>
      <c r="T173" s="81">
        <f t="shared" si="26"/>
        <v>40.810185182635905</v>
      </c>
      <c r="U173" s="79"/>
      <c r="V173" s="82">
        <v>45681.468750000007</v>
      </c>
      <c r="W173" s="82">
        <f>V173+TIME(0,172,0)</f>
        <v>45681.588194444448</v>
      </c>
      <c r="X173" s="103">
        <f t="shared" si="27"/>
        <v>168.41666666165111</v>
      </c>
      <c r="Y173" s="82"/>
      <c r="Z173" s="82">
        <v>45683.424999999996</v>
      </c>
      <c r="AA173" s="82">
        <f>Z173+TIME(0,57,0)</f>
        <v>45683.464583333327</v>
      </c>
      <c r="AB173" s="81">
        <f t="shared" si="28"/>
        <v>55.81249999726424</v>
      </c>
      <c r="AC173" s="80"/>
      <c r="AD173" s="83">
        <f t="shared" si="29"/>
        <v>2.5708333333313931</v>
      </c>
      <c r="AE173" s="80">
        <v>3</v>
      </c>
      <c r="AF173" s="84">
        <f t="shared" si="30"/>
        <v>0.42916666666860692</v>
      </c>
      <c r="AG173" s="83">
        <f t="shared" si="31"/>
        <v>61.699999999953434</v>
      </c>
      <c r="AH173" s="83">
        <f t="shared" si="32"/>
        <v>24</v>
      </c>
      <c r="AI173" s="83">
        <f t="shared" si="33"/>
        <v>37.699999999953434</v>
      </c>
      <c r="AJ173" s="83">
        <f t="shared" si="34"/>
        <v>4.1379310344878695</v>
      </c>
      <c r="AK173" s="83"/>
      <c r="AL173" s="83"/>
      <c r="AM173" s="83"/>
      <c r="AN173" s="83"/>
      <c r="AO173" s="78"/>
    </row>
    <row r="174" spans="1:41" customFormat="1" ht="15" hidden="1" x14ac:dyDescent="0.25">
      <c r="A174" s="82">
        <v>45680</v>
      </c>
      <c r="B174" s="94" t="str">
        <f t="shared" si="24"/>
        <v>January</v>
      </c>
      <c r="C174" s="78"/>
      <c r="D174" s="79" t="s">
        <v>1239</v>
      </c>
      <c r="E174" s="79" t="s">
        <v>1017</v>
      </c>
      <c r="F174" s="79"/>
      <c r="G174" s="79" t="s">
        <v>42</v>
      </c>
      <c r="H174" s="79" t="s">
        <v>451</v>
      </c>
      <c r="I174" s="79">
        <v>156</v>
      </c>
      <c r="J174" s="79" t="s">
        <v>1457</v>
      </c>
      <c r="K174" s="80" t="s">
        <v>469</v>
      </c>
      <c r="L174" s="80">
        <v>790</v>
      </c>
      <c r="M174" s="80">
        <f>L174-3</f>
        <v>787</v>
      </c>
      <c r="N174" s="81">
        <f t="shared" si="35"/>
        <v>-3</v>
      </c>
      <c r="O174" s="78"/>
      <c r="P174" s="82">
        <f>R174-TIME(0,40,0)</f>
        <v>45681.332638888882</v>
      </c>
      <c r="Q174" s="82">
        <v>45680.3125</v>
      </c>
      <c r="R174" s="82">
        <v>45681.360416666663</v>
      </c>
      <c r="S174" s="81">
        <f t="shared" si="25"/>
        <v>1502.0138888833269</v>
      </c>
      <c r="T174" s="81">
        <f t="shared" si="26"/>
        <v>39.814814819449872</v>
      </c>
      <c r="U174" s="79"/>
      <c r="V174" s="82">
        <v>45681.375</v>
      </c>
      <c r="W174" s="82">
        <f>V174+TIME(0,174,0)</f>
        <v>45681.495833333334</v>
      </c>
      <c r="X174" s="103">
        <f t="shared" si="27"/>
        <v>170.37500000136788</v>
      </c>
      <c r="Y174" s="82"/>
      <c r="Z174" s="82">
        <v>45683.831944444435</v>
      </c>
      <c r="AA174" s="82">
        <f>Z174+TIME(0,56,0)</f>
        <v>45683.870833333327</v>
      </c>
      <c r="AB174" s="81">
        <f t="shared" si="28"/>
        <v>54.833333337664953</v>
      </c>
      <c r="AC174" s="80"/>
      <c r="AD174" s="83">
        <f t="shared" si="29"/>
        <v>2.4715277777722804</v>
      </c>
      <c r="AE174" s="80">
        <v>3</v>
      </c>
      <c r="AF174" s="84">
        <f t="shared" si="30"/>
        <v>0.52847222222771961</v>
      </c>
      <c r="AG174" s="83">
        <f t="shared" si="31"/>
        <v>59.316666666534729</v>
      </c>
      <c r="AH174" s="83">
        <f t="shared" si="32"/>
        <v>24</v>
      </c>
      <c r="AI174" s="83">
        <f t="shared" si="33"/>
        <v>35.316666666534729</v>
      </c>
      <c r="AJ174" s="83">
        <f t="shared" si="34"/>
        <v>4.4171779141269312</v>
      </c>
      <c r="AK174" s="83"/>
      <c r="AL174" s="83"/>
      <c r="AM174" s="83"/>
      <c r="AN174" s="83"/>
      <c r="AO174" s="78"/>
    </row>
    <row r="175" spans="1:41" customFormat="1" ht="15" hidden="1" x14ac:dyDescent="0.25">
      <c r="A175" s="82">
        <v>45680</v>
      </c>
      <c r="B175" s="94" t="str">
        <f t="shared" si="24"/>
        <v>January</v>
      </c>
      <c r="C175" s="78"/>
      <c r="D175" s="79" t="s">
        <v>1240</v>
      </c>
      <c r="E175" s="79" t="s">
        <v>1017</v>
      </c>
      <c r="F175" s="79" t="s">
        <v>953</v>
      </c>
      <c r="G175" s="79" t="s">
        <v>970</v>
      </c>
      <c r="H175" s="79" t="s">
        <v>461</v>
      </c>
      <c r="I175" s="79">
        <v>153.6</v>
      </c>
      <c r="J175" s="79" t="s">
        <v>1458</v>
      </c>
      <c r="K175" s="80" t="s">
        <v>469</v>
      </c>
      <c r="L175" s="80">
        <v>298</v>
      </c>
      <c r="M175" s="80">
        <f>L175-3</f>
        <v>295</v>
      </c>
      <c r="N175" s="81">
        <f t="shared" si="35"/>
        <v>-3</v>
      </c>
      <c r="O175" s="78"/>
      <c r="P175" s="82">
        <v>45681.331944444442</v>
      </c>
      <c r="Q175" s="82">
        <v>45680.3125</v>
      </c>
      <c r="R175" s="82">
        <v>45681.360416666663</v>
      </c>
      <c r="S175" s="81">
        <f t="shared" si="25"/>
        <v>1502.0138888833269</v>
      </c>
      <c r="T175" s="81">
        <f t="shared" si="26"/>
        <v>40.810185182635905</v>
      </c>
      <c r="U175" s="79"/>
      <c r="V175" s="82">
        <v>45682.433333333327</v>
      </c>
      <c r="W175" s="82">
        <f>V175+TIME(0,172,0)</f>
        <v>45682.552777777768</v>
      </c>
      <c r="X175" s="103">
        <f t="shared" si="27"/>
        <v>168.41666666165111</v>
      </c>
      <c r="Y175" s="82"/>
      <c r="Z175" s="82">
        <v>45682.407638888886</v>
      </c>
      <c r="AA175" s="82">
        <f>Z175+TIME(0,52,0)</f>
        <v>45682.443749999999</v>
      </c>
      <c r="AB175" s="81">
        <f t="shared" si="28"/>
        <v>50.916666668490507</v>
      </c>
      <c r="AC175" s="80"/>
      <c r="AD175" s="83">
        <f t="shared" si="29"/>
        <v>1.047222222223354</v>
      </c>
      <c r="AE175" s="80">
        <v>2</v>
      </c>
      <c r="AF175" s="84">
        <f t="shared" si="30"/>
        <v>0.95277777777664596</v>
      </c>
      <c r="AG175" s="83">
        <f t="shared" si="31"/>
        <v>25.133333333360497</v>
      </c>
      <c r="AH175" s="83">
        <f t="shared" si="32"/>
        <v>12</v>
      </c>
      <c r="AI175" s="83">
        <f t="shared" si="33"/>
        <v>13.133333333360497</v>
      </c>
      <c r="AJ175" s="83">
        <f t="shared" si="34"/>
        <v>11.695431472057029</v>
      </c>
      <c r="AK175" s="83"/>
      <c r="AL175" s="83"/>
      <c r="AM175" s="83"/>
      <c r="AN175" s="83"/>
      <c r="AO175" s="78"/>
    </row>
    <row r="176" spans="1:41" customFormat="1" ht="15" hidden="1" x14ac:dyDescent="0.25">
      <c r="A176" s="82">
        <v>45680</v>
      </c>
      <c r="B176" s="94" t="str">
        <f t="shared" si="24"/>
        <v>January</v>
      </c>
      <c r="C176" s="78"/>
      <c r="D176" s="79" t="s">
        <v>1241</v>
      </c>
      <c r="E176" s="79" t="s">
        <v>1017</v>
      </c>
      <c r="F176" s="79" t="s">
        <v>965</v>
      </c>
      <c r="G176" s="79" t="s">
        <v>980</v>
      </c>
      <c r="H176" s="79" t="s">
        <v>459</v>
      </c>
      <c r="I176" s="79">
        <v>153.6</v>
      </c>
      <c r="J176" s="79" t="s">
        <v>1459</v>
      </c>
      <c r="K176" s="80" t="s">
        <v>469</v>
      </c>
      <c r="L176" s="79">
        <v>560</v>
      </c>
      <c r="M176" s="80">
        <f>L176-2</f>
        <v>558</v>
      </c>
      <c r="N176" s="81">
        <f t="shared" si="35"/>
        <v>-2</v>
      </c>
      <c r="O176" s="78"/>
      <c r="P176" s="82">
        <f>R176-TIME(0,43,0)</f>
        <v>45681.330555555549</v>
      </c>
      <c r="Q176" s="82">
        <v>45680.3125</v>
      </c>
      <c r="R176" s="82">
        <v>45681.360416666663</v>
      </c>
      <c r="S176" s="81">
        <f t="shared" si="25"/>
        <v>1502.0138888833269</v>
      </c>
      <c r="T176" s="81">
        <f t="shared" si="26"/>
        <v>42.80092592986572</v>
      </c>
      <c r="U176" s="79"/>
      <c r="V176" s="82">
        <v>45681.494444444441</v>
      </c>
      <c r="W176" s="82">
        <f>V176+TIME(0,170,0)</f>
        <v>45681.612499999996</v>
      </c>
      <c r="X176" s="103">
        <f t="shared" si="27"/>
        <v>166.45833333219343</v>
      </c>
      <c r="Y176" s="82"/>
      <c r="Z176" s="82">
        <v>45683.590416666666</v>
      </c>
      <c r="AA176" s="82">
        <v>45683.621666666666</v>
      </c>
      <c r="AB176" s="81">
        <f t="shared" si="28"/>
        <v>44.0625</v>
      </c>
      <c r="AC176" s="80"/>
      <c r="AD176" s="83">
        <f t="shared" si="29"/>
        <v>2.2300000000032014</v>
      </c>
      <c r="AE176" s="80">
        <v>3</v>
      </c>
      <c r="AF176" s="84">
        <f t="shared" si="30"/>
        <v>0.76999999999679858</v>
      </c>
      <c r="AG176" s="83">
        <f t="shared" si="31"/>
        <v>53.520000000076834</v>
      </c>
      <c r="AH176" s="83">
        <f t="shared" si="32"/>
        <v>24</v>
      </c>
      <c r="AI176" s="83">
        <f t="shared" si="33"/>
        <v>29.520000000076834</v>
      </c>
      <c r="AJ176" s="83">
        <f t="shared" si="34"/>
        <v>5.2032520325067821</v>
      </c>
      <c r="AK176" s="83"/>
      <c r="AL176" s="83"/>
      <c r="AM176" s="83"/>
      <c r="AN176" s="83"/>
      <c r="AO176" s="78"/>
    </row>
    <row r="177" spans="1:41" customFormat="1" ht="15" hidden="1" x14ac:dyDescent="0.25">
      <c r="A177" s="82">
        <v>45680</v>
      </c>
      <c r="B177" s="94" t="str">
        <f t="shared" si="24"/>
        <v>January</v>
      </c>
      <c r="C177" s="78"/>
      <c r="D177" s="79" t="s">
        <v>1242</v>
      </c>
      <c r="E177" s="79" t="s">
        <v>1017</v>
      </c>
      <c r="F177" s="79" t="s">
        <v>964</v>
      </c>
      <c r="G177" s="79" t="s">
        <v>979</v>
      </c>
      <c r="H177" s="79" t="s">
        <v>1282</v>
      </c>
      <c r="I177" s="79">
        <v>153.6</v>
      </c>
      <c r="J177" s="79" t="s">
        <v>1460</v>
      </c>
      <c r="K177" s="80" t="s">
        <v>469</v>
      </c>
      <c r="L177" s="79">
        <v>810</v>
      </c>
      <c r="M177" s="80">
        <f>L177-3</f>
        <v>807</v>
      </c>
      <c r="N177" s="81">
        <f t="shared" si="35"/>
        <v>-3</v>
      </c>
      <c r="O177" s="78"/>
      <c r="P177" s="82">
        <f>R177-TIME(0,43,0)</f>
        <v>45681.339583333327</v>
      </c>
      <c r="Q177" s="82">
        <v>45680.3125</v>
      </c>
      <c r="R177" s="82">
        <v>45681.369444444441</v>
      </c>
      <c r="S177" s="81">
        <f t="shared" si="25"/>
        <v>1514.9537036986051</v>
      </c>
      <c r="T177" s="81">
        <f t="shared" si="26"/>
        <v>42.80092592986572</v>
      </c>
      <c r="U177" s="79"/>
      <c r="V177" s="82">
        <v>45682.360416666663</v>
      </c>
      <c r="W177" s="82">
        <f>V177+TIME(0,174,0)</f>
        <v>45682.481249999997</v>
      </c>
      <c r="X177" s="103">
        <f t="shared" si="27"/>
        <v>170.37500000136788</v>
      </c>
      <c r="Y177" s="82"/>
      <c r="Z177" s="82">
        <v>45684.315277777772</v>
      </c>
      <c r="AA177" s="82">
        <f>Z177+TIME(0,57,0)</f>
        <v>45684.354861111104</v>
      </c>
      <c r="AB177" s="81">
        <f t="shared" si="28"/>
        <v>55.81249999726424</v>
      </c>
      <c r="AC177" s="80"/>
      <c r="AD177" s="83">
        <f t="shared" si="29"/>
        <v>2.9458333333313931</v>
      </c>
      <c r="AE177" s="80">
        <v>3</v>
      </c>
      <c r="AF177" s="84">
        <f t="shared" si="30"/>
        <v>5.4166666668606922E-2</v>
      </c>
      <c r="AG177" s="83">
        <f t="shared" si="31"/>
        <v>70.699999999953434</v>
      </c>
      <c r="AH177" s="83">
        <f t="shared" si="32"/>
        <v>24</v>
      </c>
      <c r="AI177" s="83">
        <f t="shared" si="33"/>
        <v>46.699999999953434</v>
      </c>
      <c r="AJ177" s="83">
        <f t="shared" si="34"/>
        <v>3.2890792291253352</v>
      </c>
      <c r="AK177" s="83"/>
      <c r="AL177" s="83"/>
      <c r="AM177" s="83"/>
      <c r="AN177" s="83"/>
      <c r="AO177" s="78"/>
    </row>
    <row r="178" spans="1:41" customFormat="1" ht="15" hidden="1" x14ac:dyDescent="0.25">
      <c r="A178" s="82">
        <v>45681</v>
      </c>
      <c r="B178" s="94" t="str">
        <f t="shared" si="24"/>
        <v>January</v>
      </c>
      <c r="C178" s="78"/>
      <c r="D178" s="79" t="s">
        <v>1243</v>
      </c>
      <c r="E178" s="79" t="s">
        <v>1017</v>
      </c>
      <c r="F178" s="79"/>
      <c r="G178" s="79" t="s">
        <v>44</v>
      </c>
      <c r="H178" s="79" t="s">
        <v>451</v>
      </c>
      <c r="I178" s="79">
        <v>156</v>
      </c>
      <c r="J178" s="79" t="s">
        <v>1461</v>
      </c>
      <c r="K178" s="80" t="s">
        <v>469</v>
      </c>
      <c r="L178" s="80">
        <v>790</v>
      </c>
      <c r="M178" s="80">
        <f>L178-3</f>
        <v>787</v>
      </c>
      <c r="N178" s="81">
        <f t="shared" si="35"/>
        <v>-3</v>
      </c>
      <c r="O178" s="78"/>
      <c r="P178" s="82">
        <v>45681.822916666664</v>
      </c>
      <c r="Q178" s="82">
        <v>45682.3125</v>
      </c>
      <c r="R178" s="82">
        <v>45681.852777777778</v>
      </c>
      <c r="S178" s="81">
        <f t="shared" si="25"/>
        <v>-658.93518518472172</v>
      </c>
      <c r="T178" s="81">
        <f t="shared" si="26"/>
        <v>42.80092592986572</v>
      </c>
      <c r="U178" s="79"/>
      <c r="V178" s="82">
        <v>45682.619444444441</v>
      </c>
      <c r="W178" s="82">
        <f>V178+TIME(0,170,0)</f>
        <v>45682.737499999996</v>
      </c>
      <c r="X178" s="103">
        <f t="shared" si="27"/>
        <v>166.45833333219343</v>
      </c>
      <c r="Y178" s="82"/>
      <c r="Z178" s="82">
        <v>45684.3125</v>
      </c>
      <c r="AA178" s="82">
        <f>Z178+TIME(0,56,0)</f>
        <v>45684.351388888892</v>
      </c>
      <c r="AB178" s="81">
        <f t="shared" si="28"/>
        <v>54.833333337664953</v>
      </c>
      <c r="AC178" s="80"/>
      <c r="AD178" s="83">
        <f t="shared" si="29"/>
        <v>2.4597222222218988</v>
      </c>
      <c r="AE178" s="80">
        <v>3</v>
      </c>
      <c r="AF178" s="84">
        <f t="shared" si="30"/>
        <v>0.54027777777810115</v>
      </c>
      <c r="AG178" s="83">
        <f t="shared" si="31"/>
        <v>59.033333333325572</v>
      </c>
      <c r="AH178" s="83">
        <f t="shared" si="32"/>
        <v>24</v>
      </c>
      <c r="AI178" s="83">
        <f t="shared" si="33"/>
        <v>35.033333333325572</v>
      </c>
      <c r="AJ178" s="83">
        <f t="shared" si="34"/>
        <v>4.4529019980980369</v>
      </c>
      <c r="AK178" s="83"/>
      <c r="AL178" s="83"/>
      <c r="AM178" s="83"/>
      <c r="AN178" s="83"/>
      <c r="AO178" s="78"/>
    </row>
    <row r="179" spans="1:41" customFormat="1" ht="15" hidden="1" x14ac:dyDescent="0.25">
      <c r="A179" s="82">
        <v>45681</v>
      </c>
      <c r="B179" s="94" t="str">
        <f t="shared" si="24"/>
        <v>January</v>
      </c>
      <c r="C179" s="78"/>
      <c r="D179" s="79" t="s">
        <v>1244</v>
      </c>
      <c r="E179" s="79" t="s">
        <v>1017</v>
      </c>
      <c r="F179" s="79" t="s">
        <v>960</v>
      </c>
      <c r="G179" s="79" t="s">
        <v>62</v>
      </c>
      <c r="H179" s="79" t="s">
        <v>462</v>
      </c>
      <c r="I179" s="79">
        <v>156</v>
      </c>
      <c r="J179" s="79" t="s">
        <v>1462</v>
      </c>
      <c r="K179" s="80" t="s">
        <v>469</v>
      </c>
      <c r="L179" s="79">
        <v>680</v>
      </c>
      <c r="M179" s="80">
        <f>L179-2</f>
        <v>678</v>
      </c>
      <c r="N179" s="81">
        <f t="shared" si="35"/>
        <v>-2</v>
      </c>
      <c r="O179" s="78"/>
      <c r="P179" s="82">
        <f>R179-TIME(0,40,0)</f>
        <v>45682.342361111107</v>
      </c>
      <c r="Q179" s="82">
        <v>45682.3125</v>
      </c>
      <c r="R179" s="82">
        <v>45682.370138888888</v>
      </c>
      <c r="S179" s="81">
        <f t="shared" si="25"/>
        <v>82.615740738886714</v>
      </c>
      <c r="T179" s="81">
        <f t="shared" si="26"/>
        <v>39.814814819449872</v>
      </c>
      <c r="U179" s="79"/>
      <c r="V179" s="82">
        <v>45682.904861111114</v>
      </c>
      <c r="W179" s="82">
        <f>V179+TIME(0,170,0)</f>
        <v>45683.022916666669</v>
      </c>
      <c r="X179" s="103">
        <f t="shared" si="27"/>
        <v>166.45833333219343</v>
      </c>
      <c r="Y179" s="82"/>
      <c r="Z179" s="82">
        <v>45684.783194444441</v>
      </c>
      <c r="AA179" s="82">
        <f>Z179+TIME(0,60,0)</f>
        <v>45684.824861111105</v>
      </c>
      <c r="AB179" s="81">
        <f t="shared" si="28"/>
        <v>58.7499999965803</v>
      </c>
      <c r="AC179" s="80"/>
      <c r="AD179" s="83">
        <f t="shared" si="29"/>
        <v>2.4130555555530009</v>
      </c>
      <c r="AE179" s="80">
        <v>3</v>
      </c>
      <c r="AF179" s="84">
        <f t="shared" si="30"/>
        <v>0.58694444444699911</v>
      </c>
      <c r="AG179" s="83">
        <f t="shared" si="31"/>
        <v>57.913333333272021</v>
      </c>
      <c r="AH179" s="83">
        <f t="shared" si="32"/>
        <v>24</v>
      </c>
      <c r="AI179" s="83">
        <f t="shared" si="33"/>
        <v>33.913333333272021</v>
      </c>
      <c r="AJ179" s="83">
        <f t="shared" si="34"/>
        <v>4.5999606841050333</v>
      </c>
      <c r="AK179" s="83"/>
      <c r="AL179" s="83"/>
      <c r="AM179" s="83"/>
      <c r="AN179" s="83"/>
      <c r="AO179" s="78"/>
    </row>
    <row r="180" spans="1:41" customFormat="1" ht="15" hidden="1" x14ac:dyDescent="0.25">
      <c r="A180" s="82">
        <v>45682</v>
      </c>
      <c r="B180" s="94" t="str">
        <f t="shared" si="24"/>
        <v>January</v>
      </c>
      <c r="C180" s="78"/>
      <c r="D180" s="79" t="s">
        <v>1245</v>
      </c>
      <c r="E180" s="79" t="s">
        <v>1017</v>
      </c>
      <c r="F180" s="79"/>
      <c r="G180" s="79" t="s">
        <v>50</v>
      </c>
      <c r="H180" s="79" t="s">
        <v>456</v>
      </c>
      <c r="I180" s="79">
        <v>156</v>
      </c>
      <c r="J180" s="79" t="s">
        <v>1463</v>
      </c>
      <c r="K180" s="80" t="s">
        <v>469</v>
      </c>
      <c r="L180" s="80">
        <v>670</v>
      </c>
      <c r="M180" s="80">
        <f>L180+1</f>
        <v>671</v>
      </c>
      <c r="N180" s="81">
        <f t="shared" si="35"/>
        <v>1</v>
      </c>
      <c r="O180" s="78"/>
      <c r="P180" s="82">
        <f>R180-TIME(0,41,0)</f>
        <v>45682.375000000007</v>
      </c>
      <c r="Q180" s="82">
        <v>45682.3125</v>
      </c>
      <c r="R180" s="82">
        <v>45682.403472222228</v>
      </c>
      <c r="S180" s="81">
        <f t="shared" si="25"/>
        <v>130.39351852639811</v>
      </c>
      <c r="T180" s="81">
        <f t="shared" si="26"/>
        <v>40.810185182635905</v>
      </c>
      <c r="U180" s="79"/>
      <c r="V180" s="82">
        <v>45683.465277777774</v>
      </c>
      <c r="W180" s="82">
        <f>V180+TIME(0,172,0)</f>
        <v>45683.584722222215</v>
      </c>
      <c r="X180" s="103">
        <f t="shared" si="27"/>
        <v>168.41666666165111</v>
      </c>
      <c r="Y180" s="82"/>
      <c r="Z180" s="82">
        <v>45684.444805555562</v>
      </c>
      <c r="AA180" s="82">
        <f>Z180+TIME(0,57,0)</f>
        <v>45684.484388888894</v>
      </c>
      <c r="AB180" s="81">
        <f t="shared" si="28"/>
        <v>55.81249999726424</v>
      </c>
      <c r="AC180" s="80"/>
      <c r="AD180" s="83">
        <f t="shared" si="29"/>
        <v>2.0413333333344781</v>
      </c>
      <c r="AE180" s="80">
        <v>2</v>
      </c>
      <c r="AF180" s="84">
        <f t="shared" si="30"/>
        <v>-4.1333333334478084E-2</v>
      </c>
      <c r="AG180" s="83">
        <f t="shared" si="31"/>
        <v>48.992000000027474</v>
      </c>
      <c r="AH180" s="83">
        <f t="shared" si="32"/>
        <v>24</v>
      </c>
      <c r="AI180" s="83">
        <f t="shared" si="33"/>
        <v>24.992000000027474</v>
      </c>
      <c r="AJ180" s="83">
        <f t="shared" si="34"/>
        <v>6.2419974391736757</v>
      </c>
      <c r="AK180" s="83"/>
      <c r="AL180" s="83"/>
      <c r="AM180" s="83"/>
      <c r="AN180" s="83"/>
      <c r="AO180" s="78"/>
    </row>
    <row r="181" spans="1:41" customFormat="1" ht="15" hidden="1" x14ac:dyDescent="0.25">
      <c r="A181" s="82">
        <v>45682</v>
      </c>
      <c r="B181" s="94" t="str">
        <f t="shared" si="24"/>
        <v>January</v>
      </c>
      <c r="C181" s="78"/>
      <c r="D181" s="79" t="s">
        <v>1246</v>
      </c>
      <c r="E181" s="79" t="s">
        <v>1017</v>
      </c>
      <c r="F181" s="79"/>
      <c r="G181" s="79" t="s">
        <v>63</v>
      </c>
      <c r="H181" s="79" t="s">
        <v>450</v>
      </c>
      <c r="I181" s="79">
        <v>156</v>
      </c>
      <c r="J181" s="79" t="s">
        <v>1464</v>
      </c>
      <c r="K181" s="80" t="s">
        <v>469</v>
      </c>
      <c r="L181" s="80">
        <v>288</v>
      </c>
      <c r="M181" s="80">
        <f>L181-2</f>
        <v>286</v>
      </c>
      <c r="N181" s="81">
        <f t="shared" si="35"/>
        <v>-2</v>
      </c>
      <c r="O181" s="78"/>
      <c r="P181" s="82">
        <f>R181-TIME(0,41,0)</f>
        <v>45682.301388888889</v>
      </c>
      <c r="Q181" s="82">
        <v>45682.3125</v>
      </c>
      <c r="R181" s="82">
        <v>45682.329861111109</v>
      </c>
      <c r="S181" s="81">
        <f t="shared" si="25"/>
        <v>24.884259256941732</v>
      </c>
      <c r="T181" s="81">
        <f t="shared" si="26"/>
        <v>40.810185182635905</v>
      </c>
      <c r="U181" s="79"/>
      <c r="V181" s="82">
        <v>45683.486805555563</v>
      </c>
      <c r="W181" s="82">
        <f>V181+TIME(0,180,0)</f>
        <v>45683.611805555563</v>
      </c>
      <c r="X181" s="103">
        <f t="shared" si="27"/>
        <v>176.25</v>
      </c>
      <c r="Y181" s="82"/>
      <c r="Z181" s="82">
        <v>45683.752777777772</v>
      </c>
      <c r="AA181" s="82">
        <v>45683.79305555555</v>
      </c>
      <c r="AB181" s="81">
        <f t="shared" si="28"/>
        <v>56.791666667122627</v>
      </c>
      <c r="AC181" s="80"/>
      <c r="AD181" s="83">
        <f t="shared" si="29"/>
        <v>1.4229166666627862</v>
      </c>
      <c r="AE181" s="80">
        <v>2</v>
      </c>
      <c r="AF181" s="84">
        <f t="shared" si="30"/>
        <v>0.57708333333721384</v>
      </c>
      <c r="AG181" s="83">
        <f t="shared" si="31"/>
        <v>34.149999999906868</v>
      </c>
      <c r="AH181" s="83">
        <f t="shared" si="32"/>
        <v>12</v>
      </c>
      <c r="AI181" s="83">
        <f t="shared" si="33"/>
        <v>22.149999999906868</v>
      </c>
      <c r="AJ181" s="83">
        <f t="shared" si="34"/>
        <v>7.0428893905488001</v>
      </c>
      <c r="AK181" s="83"/>
      <c r="AL181" s="83"/>
      <c r="AM181" s="83"/>
      <c r="AN181" s="83"/>
      <c r="AO181" s="78"/>
    </row>
    <row r="182" spans="1:41" customFormat="1" ht="15" hidden="1" x14ac:dyDescent="0.25">
      <c r="A182" s="82">
        <v>45682</v>
      </c>
      <c r="B182" s="94" t="str">
        <f t="shared" si="24"/>
        <v>January</v>
      </c>
      <c r="C182" s="78"/>
      <c r="D182" s="79" t="s">
        <v>1247</v>
      </c>
      <c r="E182" s="79" t="s">
        <v>1017</v>
      </c>
      <c r="F182" s="79"/>
      <c r="G182" s="79" t="s">
        <v>50</v>
      </c>
      <c r="H182" s="79" t="s">
        <v>450</v>
      </c>
      <c r="I182" s="79">
        <v>156</v>
      </c>
      <c r="J182" s="79" t="s">
        <v>1465</v>
      </c>
      <c r="K182" s="80" t="s">
        <v>469</v>
      </c>
      <c r="L182" s="80">
        <v>288</v>
      </c>
      <c r="M182" s="80">
        <f>L182-1</f>
        <v>287</v>
      </c>
      <c r="N182" s="81">
        <f t="shared" si="35"/>
        <v>-1</v>
      </c>
      <c r="O182" s="78"/>
      <c r="P182" s="82">
        <f>R182-TIME(0,43,0)</f>
        <v>45682.256249999991</v>
      </c>
      <c r="Q182" s="82">
        <v>45682.3125</v>
      </c>
      <c r="R182" s="82">
        <v>45682.286111111105</v>
      </c>
      <c r="S182" s="81">
        <f t="shared" si="25"/>
        <v>-37.824074082648927</v>
      </c>
      <c r="T182" s="81">
        <f t="shared" si="26"/>
        <v>42.80092592986572</v>
      </c>
      <c r="U182" s="79"/>
      <c r="V182" s="82">
        <v>45683.365972222222</v>
      </c>
      <c r="W182" s="82">
        <f>V182+TIME(0,170,0)</f>
        <v>45683.484027777777</v>
      </c>
      <c r="X182" s="103">
        <f t="shared" si="27"/>
        <v>166.45833333219343</v>
      </c>
      <c r="Y182" s="82"/>
      <c r="Z182" s="82">
        <v>45684.362083333333</v>
      </c>
      <c r="AA182" s="82">
        <f>Z182+TIME(0,59,0)</f>
        <v>45684.403055555558</v>
      </c>
      <c r="AB182" s="81">
        <f t="shared" si="28"/>
        <v>57.770833336981013</v>
      </c>
      <c r="AC182" s="80"/>
      <c r="AD182" s="83">
        <f t="shared" si="29"/>
        <v>2.0759722222283017</v>
      </c>
      <c r="AE182" s="80">
        <v>2</v>
      </c>
      <c r="AF182" s="84">
        <f t="shared" si="30"/>
        <v>-7.5972222228301689E-2</v>
      </c>
      <c r="AG182" s="83">
        <f t="shared" si="31"/>
        <v>49.823333333479241</v>
      </c>
      <c r="AH182" s="83">
        <f t="shared" si="32"/>
        <v>24</v>
      </c>
      <c r="AI182" s="83">
        <f t="shared" si="33"/>
        <v>25.823333333479241</v>
      </c>
      <c r="AJ182" s="83">
        <f t="shared" si="34"/>
        <v>6.0410481476359328</v>
      </c>
      <c r="AK182" s="83"/>
      <c r="AL182" s="83"/>
      <c r="AM182" s="83"/>
      <c r="AN182" s="83"/>
      <c r="AO182" s="78"/>
    </row>
    <row r="183" spans="1:41" customFormat="1" ht="15" hidden="1" x14ac:dyDescent="0.25">
      <c r="A183" s="82">
        <v>45682</v>
      </c>
      <c r="B183" s="94" t="str">
        <f t="shared" si="24"/>
        <v>January</v>
      </c>
      <c r="C183" s="78"/>
      <c r="D183" s="79" t="s">
        <v>1248</v>
      </c>
      <c r="E183" s="79" t="s">
        <v>1017</v>
      </c>
      <c r="F183" s="79"/>
      <c r="G183" s="79" t="s">
        <v>50</v>
      </c>
      <c r="H183" s="79" t="s">
        <v>454</v>
      </c>
      <c r="I183" s="79">
        <v>156</v>
      </c>
      <c r="J183" s="79" t="s">
        <v>1466</v>
      </c>
      <c r="K183" s="80" t="s">
        <v>469</v>
      </c>
      <c r="L183" s="80">
        <v>304</v>
      </c>
      <c r="M183" s="80">
        <f>L183-3</f>
        <v>301</v>
      </c>
      <c r="N183" s="81">
        <f t="shared" si="35"/>
        <v>-3</v>
      </c>
      <c r="O183" s="78"/>
      <c r="P183" s="82">
        <v>45682.331944444442</v>
      </c>
      <c r="Q183" s="82">
        <v>45682.3125</v>
      </c>
      <c r="R183" s="82">
        <v>45682.359722222223</v>
      </c>
      <c r="S183" s="81">
        <f t="shared" si="25"/>
        <v>67.685185186807459</v>
      </c>
      <c r="T183" s="81">
        <f t="shared" si="26"/>
        <v>39.814814819449872</v>
      </c>
      <c r="U183" s="79"/>
      <c r="V183" s="82">
        <v>45683.306944444441</v>
      </c>
      <c r="W183" s="82">
        <f>V183+TIME(0,172,0)</f>
        <v>45683.426388888882</v>
      </c>
      <c r="X183" s="103">
        <f t="shared" si="27"/>
        <v>168.41666666165111</v>
      </c>
      <c r="Y183" s="82"/>
      <c r="Z183" s="82">
        <v>45684.552222222221</v>
      </c>
      <c r="AA183" s="82">
        <f>Z183+TIME(0,53,0)</f>
        <v>45684.58902777778</v>
      </c>
      <c r="AB183" s="81">
        <f t="shared" si="28"/>
        <v>51.895833338348893</v>
      </c>
      <c r="AC183" s="80"/>
      <c r="AD183" s="83">
        <f t="shared" si="29"/>
        <v>2.1924999999973807</v>
      </c>
      <c r="AE183" s="80">
        <v>2</v>
      </c>
      <c r="AF183" s="84">
        <f t="shared" si="30"/>
        <v>-0.19249999999738066</v>
      </c>
      <c r="AG183" s="83">
        <f t="shared" si="31"/>
        <v>52.619999999937136</v>
      </c>
      <c r="AH183" s="83">
        <f t="shared" si="32"/>
        <v>24</v>
      </c>
      <c r="AI183" s="83">
        <f t="shared" si="33"/>
        <v>28.619999999937136</v>
      </c>
      <c r="AJ183" s="83">
        <f t="shared" si="34"/>
        <v>5.4507337526325177</v>
      </c>
      <c r="AK183" s="83"/>
      <c r="AL183" s="83"/>
      <c r="AM183" s="83"/>
      <c r="AN183" s="83"/>
      <c r="AO183" s="78"/>
    </row>
    <row r="184" spans="1:41" customFormat="1" ht="15" hidden="1" x14ac:dyDescent="0.25">
      <c r="A184" s="82">
        <v>45682</v>
      </c>
      <c r="B184" s="94" t="str">
        <f t="shared" si="24"/>
        <v>January</v>
      </c>
      <c r="C184" s="78"/>
      <c r="D184" s="79" t="s">
        <v>1249</v>
      </c>
      <c r="E184" s="79" t="s">
        <v>1017</v>
      </c>
      <c r="F184" s="79" t="s">
        <v>954</v>
      </c>
      <c r="G184" s="79" t="s">
        <v>971</v>
      </c>
      <c r="H184" s="79" t="s">
        <v>459</v>
      </c>
      <c r="I184" s="79">
        <v>153.6</v>
      </c>
      <c r="J184" s="79" t="s">
        <v>1467</v>
      </c>
      <c r="K184" s="80" t="s">
        <v>469</v>
      </c>
      <c r="L184" s="79">
        <v>560</v>
      </c>
      <c r="M184" s="80">
        <f>L184-1</f>
        <v>559</v>
      </c>
      <c r="N184" s="81">
        <f t="shared" si="35"/>
        <v>-1</v>
      </c>
      <c r="O184" s="78"/>
      <c r="P184" s="82">
        <v>45682.620833333334</v>
      </c>
      <c r="Q184" s="82">
        <v>45682.601388888892</v>
      </c>
      <c r="R184" s="82">
        <v>45682.647916666669</v>
      </c>
      <c r="S184" s="81">
        <f t="shared" si="25"/>
        <v>66.689814813192541</v>
      </c>
      <c r="T184" s="81">
        <f t="shared" si="26"/>
        <v>38.819444445834961</v>
      </c>
      <c r="U184" s="79"/>
      <c r="V184" s="82">
        <v>45683.422222222223</v>
      </c>
      <c r="W184" s="82">
        <f>V184+TIME(0,172,0)</f>
        <v>45683.541666666664</v>
      </c>
      <c r="X184" s="103">
        <f t="shared" si="27"/>
        <v>168.41666666165111</v>
      </c>
      <c r="Y184" s="82"/>
      <c r="Z184" s="82">
        <v>45684.697916666672</v>
      </c>
      <c r="AA184" s="82">
        <v>45684.73819444445</v>
      </c>
      <c r="AB184" s="81">
        <f t="shared" si="28"/>
        <v>56.791666667122627</v>
      </c>
      <c r="AC184" s="80"/>
      <c r="AD184" s="83">
        <f t="shared" si="29"/>
        <v>2.0500000000029104</v>
      </c>
      <c r="AE184" s="80">
        <v>3</v>
      </c>
      <c r="AF184" s="84">
        <f t="shared" si="30"/>
        <v>0.94999999999708962</v>
      </c>
      <c r="AG184" s="83">
        <f t="shared" si="31"/>
        <v>49.200000000069849</v>
      </c>
      <c r="AH184" s="83">
        <f t="shared" si="32"/>
        <v>24</v>
      </c>
      <c r="AI184" s="83">
        <f t="shared" si="33"/>
        <v>25.200000000069849</v>
      </c>
      <c r="AJ184" s="83">
        <f t="shared" si="34"/>
        <v>6.0952380952212</v>
      </c>
      <c r="AK184" s="83"/>
      <c r="AL184" s="83"/>
      <c r="AM184" s="83"/>
      <c r="AN184" s="83"/>
      <c r="AO184" s="78"/>
    </row>
    <row r="185" spans="1:41" customFormat="1" ht="15" hidden="1" x14ac:dyDescent="0.25">
      <c r="A185" s="82">
        <v>45682</v>
      </c>
      <c r="B185" s="94" t="str">
        <f t="shared" si="24"/>
        <v>January</v>
      </c>
      <c r="C185" s="78"/>
      <c r="D185" s="79" t="s">
        <v>1250</v>
      </c>
      <c r="E185" s="79" t="s">
        <v>1017</v>
      </c>
      <c r="F185" s="79"/>
      <c r="G185" s="79" t="s">
        <v>61</v>
      </c>
      <c r="H185" s="79" t="s">
        <v>455</v>
      </c>
      <c r="I185" s="79">
        <v>156</v>
      </c>
      <c r="J185" s="79" t="s">
        <v>1468</v>
      </c>
      <c r="K185" s="80" t="s">
        <v>469</v>
      </c>
      <c r="L185" s="80">
        <v>580</v>
      </c>
      <c r="M185" s="80">
        <f>L185-3</f>
        <v>577</v>
      </c>
      <c r="N185" s="81">
        <f t="shared" si="35"/>
        <v>-3</v>
      </c>
      <c r="O185" s="78"/>
      <c r="P185" s="82">
        <v>45682.618055555555</v>
      </c>
      <c r="Q185" s="82">
        <v>45682.598611111112</v>
      </c>
      <c r="R185" s="82">
        <v>45682.645138888889</v>
      </c>
      <c r="S185" s="81">
        <f t="shared" si="25"/>
        <v>66.689814813192541</v>
      </c>
      <c r="T185" s="81">
        <f t="shared" si="26"/>
        <v>38.819444445834961</v>
      </c>
      <c r="U185" s="79"/>
      <c r="V185" s="82">
        <v>45683.647916666669</v>
      </c>
      <c r="W185" s="82">
        <f>V185+TIME(0,180,0)</f>
        <v>45683.772916666669</v>
      </c>
      <c r="X185" s="103">
        <f t="shared" si="27"/>
        <v>176.25</v>
      </c>
      <c r="Y185" s="82"/>
      <c r="Z185" s="82">
        <v>45685.765833333338</v>
      </c>
      <c r="AA185" s="82">
        <f>Z185+TIME(0,57,0)</f>
        <v>45685.80541666667</v>
      </c>
      <c r="AB185" s="81">
        <f t="shared" si="28"/>
        <v>55.81249999726424</v>
      </c>
      <c r="AC185" s="80"/>
      <c r="AD185" s="83">
        <f t="shared" si="29"/>
        <v>3.1206944444493274</v>
      </c>
      <c r="AE185" s="80">
        <v>2</v>
      </c>
      <c r="AF185" s="84">
        <f t="shared" si="30"/>
        <v>-1.1206944444493274</v>
      </c>
      <c r="AG185" s="83">
        <f t="shared" si="31"/>
        <v>74.896666666783858</v>
      </c>
      <c r="AH185" s="83">
        <f t="shared" si="32"/>
        <v>36</v>
      </c>
      <c r="AI185" s="83">
        <f t="shared" si="33"/>
        <v>38.896666666783858</v>
      </c>
      <c r="AJ185" s="83">
        <f t="shared" si="34"/>
        <v>4.0106264461272598</v>
      </c>
      <c r="AK185" s="83"/>
      <c r="AL185" s="83"/>
      <c r="AM185" s="83"/>
      <c r="AN185" s="83"/>
      <c r="AO185" s="78"/>
    </row>
    <row r="186" spans="1:41" customFormat="1" ht="15" hidden="1" x14ac:dyDescent="0.25">
      <c r="A186" s="82">
        <v>45682</v>
      </c>
      <c r="B186" s="94" t="str">
        <f t="shared" si="24"/>
        <v>January</v>
      </c>
      <c r="C186" s="78"/>
      <c r="D186" s="79" t="s">
        <v>1251</v>
      </c>
      <c r="E186" s="79" t="s">
        <v>1017</v>
      </c>
      <c r="F186" s="79" t="s">
        <v>1280</v>
      </c>
      <c r="G186" s="79" t="s">
        <v>57</v>
      </c>
      <c r="H186" s="79" t="s">
        <v>451</v>
      </c>
      <c r="I186" s="79">
        <v>156</v>
      </c>
      <c r="J186" s="79" t="s">
        <v>1469</v>
      </c>
      <c r="K186" s="80" t="s">
        <v>469</v>
      </c>
      <c r="L186" s="80">
        <v>790</v>
      </c>
      <c r="M186" s="80">
        <f>L186+1</f>
        <v>791</v>
      </c>
      <c r="N186" s="81">
        <f t="shared" si="35"/>
        <v>1</v>
      </c>
      <c r="O186" s="78"/>
      <c r="P186" s="82">
        <f>R186-TIME(0,44,0)</f>
        <v>45682.642361111117</v>
      </c>
      <c r="Q186" s="82">
        <v>45682.604166666664</v>
      </c>
      <c r="R186" s="82">
        <v>45682.67291666667</v>
      </c>
      <c r="S186" s="81">
        <f t="shared" si="25"/>
        <v>98.541666675009765</v>
      </c>
      <c r="T186" s="81">
        <f t="shared" si="26"/>
        <v>43.796296293051761</v>
      </c>
      <c r="U186" s="79"/>
      <c r="V186" s="82">
        <v>45683.745833333334</v>
      </c>
      <c r="W186" s="82">
        <f>V186+TIME(0,172,0)</f>
        <v>45683.865277777775</v>
      </c>
      <c r="X186" s="103">
        <f t="shared" si="27"/>
        <v>168.41666666165111</v>
      </c>
      <c r="Y186" s="82"/>
      <c r="Z186" s="82">
        <v>45685.20694444445</v>
      </c>
      <c r="AA186" s="82">
        <f>Z186+TIME(0,60,0)</f>
        <v>45685.248611111114</v>
      </c>
      <c r="AB186" s="81">
        <f t="shared" si="28"/>
        <v>58.7499999965803</v>
      </c>
      <c r="AC186" s="80"/>
      <c r="AD186" s="83">
        <f t="shared" si="29"/>
        <v>2.5340277777795563</v>
      </c>
      <c r="AE186" s="80">
        <v>3</v>
      </c>
      <c r="AF186" s="84">
        <f t="shared" si="30"/>
        <v>0.46597222222044365</v>
      </c>
      <c r="AG186" s="83">
        <f t="shared" si="31"/>
        <v>60.816666666709352</v>
      </c>
      <c r="AH186" s="83">
        <f t="shared" si="32"/>
        <v>24</v>
      </c>
      <c r="AI186" s="83">
        <f t="shared" si="33"/>
        <v>36.816666666709352</v>
      </c>
      <c r="AJ186" s="83">
        <f t="shared" si="34"/>
        <v>4.2372114078719543</v>
      </c>
      <c r="AK186" s="83"/>
      <c r="AL186" s="83"/>
      <c r="AM186" s="83"/>
      <c r="AN186" s="83"/>
      <c r="AO186" s="78"/>
    </row>
    <row r="187" spans="1:41" customFormat="1" ht="15" hidden="1" x14ac:dyDescent="0.25">
      <c r="A187" s="82">
        <v>45682</v>
      </c>
      <c r="B187" s="94" t="str">
        <f t="shared" si="24"/>
        <v>January</v>
      </c>
      <c r="C187" s="78"/>
      <c r="D187" s="79" t="s">
        <v>1252</v>
      </c>
      <c r="E187" s="79" t="s">
        <v>1017</v>
      </c>
      <c r="F187" s="79"/>
      <c r="G187" s="79" t="s">
        <v>51</v>
      </c>
      <c r="H187" s="79" t="s">
        <v>458</v>
      </c>
      <c r="I187" s="79">
        <v>156</v>
      </c>
      <c r="J187" s="79" t="s">
        <v>1470</v>
      </c>
      <c r="K187" s="80" t="s">
        <v>469</v>
      </c>
      <c r="L187" s="80">
        <v>448</v>
      </c>
      <c r="M187" s="80">
        <f>L187-2</f>
        <v>446</v>
      </c>
      <c r="N187" s="81">
        <f t="shared" si="35"/>
        <v>-2</v>
      </c>
      <c r="O187" s="78"/>
      <c r="P187" s="82">
        <f>R187-TIME(0,43,0)</f>
        <v>45682.648611111115</v>
      </c>
      <c r="Q187" s="82">
        <v>45682.611111111109</v>
      </c>
      <c r="R187" s="82">
        <v>45682.678472222229</v>
      </c>
      <c r="S187" s="81">
        <f t="shared" si="25"/>
        <v>96.55092593820882</v>
      </c>
      <c r="T187" s="81">
        <f t="shared" si="26"/>
        <v>42.80092592986572</v>
      </c>
      <c r="U187" s="79"/>
      <c r="V187" s="82">
        <v>45683.725000000006</v>
      </c>
      <c r="W187" s="82">
        <f>V187+TIME(0,170,0)</f>
        <v>45683.843055555561</v>
      </c>
      <c r="X187" s="103">
        <f t="shared" si="27"/>
        <v>166.45833333219343</v>
      </c>
      <c r="Y187" s="82"/>
      <c r="Z187" s="82">
        <v>45684.692222222227</v>
      </c>
      <c r="AA187" s="82">
        <v>45684.730416666673</v>
      </c>
      <c r="AB187" s="81">
        <f t="shared" si="28"/>
        <v>53.854166667806567</v>
      </c>
      <c r="AC187" s="80"/>
      <c r="AD187" s="83">
        <f t="shared" si="29"/>
        <v>2.0137499999982538</v>
      </c>
      <c r="AE187" s="80">
        <v>2</v>
      </c>
      <c r="AF187" s="84">
        <f t="shared" si="30"/>
        <v>-1.374999999825377E-2</v>
      </c>
      <c r="AG187" s="83">
        <f t="shared" si="31"/>
        <v>48.32999999995809</v>
      </c>
      <c r="AH187" s="83">
        <f t="shared" si="32"/>
        <v>24</v>
      </c>
      <c r="AI187" s="83">
        <f t="shared" si="33"/>
        <v>24.32999999995809</v>
      </c>
      <c r="AJ187" s="83">
        <f t="shared" si="34"/>
        <v>6.4118372379888502</v>
      </c>
      <c r="AK187" s="83"/>
      <c r="AL187" s="83"/>
      <c r="AM187" s="83"/>
      <c r="AN187" s="83"/>
      <c r="AO187" s="78"/>
    </row>
    <row r="188" spans="1:41" customFormat="1" ht="15" hidden="1" x14ac:dyDescent="0.25">
      <c r="A188" s="82">
        <v>45683</v>
      </c>
      <c r="B188" s="94" t="str">
        <f t="shared" si="24"/>
        <v>January</v>
      </c>
      <c r="C188" s="78"/>
      <c r="D188" s="79" t="s">
        <v>1253</v>
      </c>
      <c r="E188" s="79" t="s">
        <v>1017</v>
      </c>
      <c r="F188" s="79"/>
      <c r="G188" s="79" t="s">
        <v>43</v>
      </c>
      <c r="H188" s="79" t="s">
        <v>457</v>
      </c>
      <c r="I188" s="79">
        <v>156</v>
      </c>
      <c r="J188" s="79" t="s">
        <v>1471</v>
      </c>
      <c r="K188" s="80" t="s">
        <v>469</v>
      </c>
      <c r="L188" s="79">
        <v>320</v>
      </c>
      <c r="M188" s="80">
        <f>L188-1</f>
        <v>319</v>
      </c>
      <c r="N188" s="81">
        <f t="shared" si="35"/>
        <v>-1</v>
      </c>
      <c r="O188" s="78"/>
      <c r="P188" s="82">
        <v>45683.331944444442</v>
      </c>
      <c r="Q188" s="82">
        <v>45683.3125</v>
      </c>
      <c r="R188" s="82">
        <v>45683.359027777777</v>
      </c>
      <c r="S188" s="81">
        <f t="shared" si="25"/>
        <v>66.689814813192541</v>
      </c>
      <c r="T188" s="81">
        <f t="shared" si="26"/>
        <v>38.819444445834961</v>
      </c>
      <c r="U188" s="79"/>
      <c r="V188" s="82">
        <v>45683.678472222229</v>
      </c>
      <c r="W188" s="82">
        <f>V188+TIME(0,163,0)</f>
        <v>45683.791666666672</v>
      </c>
      <c r="X188" s="103">
        <f t="shared" si="27"/>
        <v>159.60416666370293</v>
      </c>
      <c r="Y188" s="82"/>
      <c r="Z188" s="82">
        <v>45684.488333333335</v>
      </c>
      <c r="AA188" s="82">
        <f>Z188+TIME(0,59,0)</f>
        <v>45684.529305555559</v>
      </c>
      <c r="AB188" s="81">
        <f t="shared" si="28"/>
        <v>57.770833336981013</v>
      </c>
      <c r="AC188" s="80"/>
      <c r="AD188" s="83">
        <f t="shared" si="29"/>
        <v>1.1293055555579485</v>
      </c>
      <c r="AE188" s="80">
        <v>2</v>
      </c>
      <c r="AF188" s="84">
        <f t="shared" si="30"/>
        <v>0.87069444444205146</v>
      </c>
      <c r="AG188" s="83">
        <f t="shared" si="31"/>
        <v>27.103333333390765</v>
      </c>
      <c r="AH188" s="83">
        <f t="shared" si="32"/>
        <v>12</v>
      </c>
      <c r="AI188" s="83">
        <f t="shared" si="33"/>
        <v>15.103333333390765</v>
      </c>
      <c r="AJ188" s="83">
        <f t="shared" si="34"/>
        <v>10.328845729380278</v>
      </c>
      <c r="AK188" s="83"/>
      <c r="AL188" s="83"/>
      <c r="AM188" s="83"/>
      <c r="AN188" s="83"/>
      <c r="AO188" s="78"/>
    </row>
    <row r="189" spans="1:41" customFormat="1" ht="15" hidden="1" x14ac:dyDescent="0.25">
      <c r="A189" s="82">
        <v>45683</v>
      </c>
      <c r="B189" s="94" t="str">
        <f t="shared" si="24"/>
        <v>January</v>
      </c>
      <c r="C189" s="78"/>
      <c r="D189" s="79" t="s">
        <v>1254</v>
      </c>
      <c r="E189" s="79" t="s">
        <v>1017</v>
      </c>
      <c r="F189" s="79"/>
      <c r="G189" s="79" t="s">
        <v>35</v>
      </c>
      <c r="H189" s="79" t="s">
        <v>457</v>
      </c>
      <c r="I189" s="79">
        <v>156</v>
      </c>
      <c r="J189" s="79" t="s">
        <v>1472</v>
      </c>
      <c r="K189" s="80" t="s">
        <v>469</v>
      </c>
      <c r="L189" s="79">
        <v>320</v>
      </c>
      <c r="M189" s="80">
        <f>L189-1</f>
        <v>319</v>
      </c>
      <c r="N189" s="81">
        <f t="shared" si="35"/>
        <v>-1</v>
      </c>
      <c r="O189" s="78"/>
      <c r="P189" s="82">
        <v>45683.554166666669</v>
      </c>
      <c r="Q189" s="82">
        <v>45683.534722222219</v>
      </c>
      <c r="R189" s="82">
        <v>45683.581250000003</v>
      </c>
      <c r="S189" s="81">
        <f t="shared" si="25"/>
        <v>66.689814823621418</v>
      </c>
      <c r="T189" s="81">
        <f t="shared" si="26"/>
        <v>38.819444445834961</v>
      </c>
      <c r="U189" s="79"/>
      <c r="V189" s="82">
        <v>45683.609027777777</v>
      </c>
      <c r="W189" s="82">
        <f>V189+TIME(0,250,0)</f>
        <v>45683.782638888886</v>
      </c>
      <c r="X189" s="103">
        <f t="shared" si="27"/>
        <v>244.79166666438687</v>
      </c>
      <c r="Y189" s="82" t="s">
        <v>1044</v>
      </c>
      <c r="Z189" s="82">
        <v>45684.716805555559</v>
      </c>
      <c r="AA189" s="82">
        <f>Z189+TIME(0,57,0)</f>
        <v>45684.756388888891</v>
      </c>
      <c r="AB189" s="81">
        <f t="shared" si="28"/>
        <v>55.81249999726424</v>
      </c>
      <c r="AC189" s="80"/>
      <c r="AD189" s="83">
        <f t="shared" si="29"/>
        <v>1.1355555555564933</v>
      </c>
      <c r="AE189" s="80">
        <v>2</v>
      </c>
      <c r="AF189" s="84">
        <f t="shared" si="30"/>
        <v>0.86444444444350665</v>
      </c>
      <c r="AG189" s="83">
        <f t="shared" si="31"/>
        <v>27.25333333335584</v>
      </c>
      <c r="AH189" s="83">
        <f t="shared" si="32"/>
        <v>12</v>
      </c>
      <c r="AI189" s="83">
        <f t="shared" si="33"/>
        <v>15.25333333335584</v>
      </c>
      <c r="AJ189" s="83">
        <f t="shared" si="34"/>
        <v>10.227272727257636</v>
      </c>
      <c r="AK189" s="83"/>
      <c r="AL189" s="83"/>
      <c r="AM189" s="83"/>
      <c r="AN189" s="83"/>
      <c r="AO189" s="78"/>
    </row>
    <row r="190" spans="1:41" customFormat="1" ht="15" hidden="1" x14ac:dyDescent="0.25">
      <c r="A190" s="82">
        <v>45684</v>
      </c>
      <c r="B190" s="94" t="str">
        <f t="shared" si="24"/>
        <v>January</v>
      </c>
      <c r="C190" s="78"/>
      <c r="D190" s="79" t="s">
        <v>1255</v>
      </c>
      <c r="E190" s="79" t="s">
        <v>1017</v>
      </c>
      <c r="F190" s="79"/>
      <c r="G190" s="79" t="s">
        <v>50</v>
      </c>
      <c r="H190" s="79" t="s">
        <v>450</v>
      </c>
      <c r="I190" s="79">
        <v>156</v>
      </c>
      <c r="J190" s="79" t="s">
        <v>1473</v>
      </c>
      <c r="K190" s="80" t="s">
        <v>469</v>
      </c>
      <c r="L190" s="80">
        <v>288</v>
      </c>
      <c r="M190" s="80">
        <f>L190+1</f>
        <v>289</v>
      </c>
      <c r="N190" s="81">
        <f t="shared" si="35"/>
        <v>1</v>
      </c>
      <c r="O190" s="78"/>
      <c r="P190" s="82">
        <f>R190-TIME(0,61,0)</f>
        <v>45684.277777777781</v>
      </c>
      <c r="Q190" s="82">
        <v>45684.3125</v>
      </c>
      <c r="R190" s="82">
        <v>45684.320138888892</v>
      </c>
      <c r="S190" s="81">
        <f t="shared" si="25"/>
        <v>10.949074078477375</v>
      </c>
      <c r="T190" s="81">
        <f t="shared" si="26"/>
        <v>60.717592592360838</v>
      </c>
      <c r="U190" s="79" t="s">
        <v>562</v>
      </c>
      <c r="V190" s="82">
        <v>45683.831250000003</v>
      </c>
      <c r="W190" s="82">
        <f>V190+TIME(0,172,0)</f>
        <v>45683.950694444444</v>
      </c>
      <c r="X190" s="103">
        <f t="shared" si="27"/>
        <v>168.41666666165111</v>
      </c>
      <c r="Y190" s="82"/>
      <c r="Z190" s="82">
        <v>45685.811805555561</v>
      </c>
      <c r="AA190" s="82">
        <f>Z190+TIME(0,57,0)</f>
        <v>45685.851388888892</v>
      </c>
      <c r="AB190" s="81">
        <f t="shared" si="28"/>
        <v>55.81249999726424</v>
      </c>
      <c r="AC190" s="80"/>
      <c r="AD190" s="83">
        <f t="shared" si="29"/>
        <v>1.4916666666686069</v>
      </c>
      <c r="AE190" s="80">
        <v>2</v>
      </c>
      <c r="AF190" s="84">
        <f t="shared" si="30"/>
        <v>0.50833333333139308</v>
      </c>
      <c r="AG190" s="83">
        <f t="shared" si="31"/>
        <v>35.800000000046566</v>
      </c>
      <c r="AH190" s="83">
        <f t="shared" si="32"/>
        <v>12</v>
      </c>
      <c r="AI190" s="83">
        <f t="shared" si="33"/>
        <v>23.800000000046566</v>
      </c>
      <c r="AJ190" s="83">
        <f t="shared" si="34"/>
        <v>6.5546218487266712</v>
      </c>
      <c r="AK190" s="83"/>
      <c r="AL190" s="83"/>
      <c r="AM190" s="83"/>
      <c r="AN190" s="83"/>
      <c r="AO190" s="78"/>
    </row>
    <row r="191" spans="1:41" customFormat="1" ht="15" hidden="1" x14ac:dyDescent="0.25">
      <c r="A191" s="82">
        <v>45684</v>
      </c>
      <c r="B191" s="94" t="str">
        <f t="shared" si="24"/>
        <v>January</v>
      </c>
      <c r="C191" s="78"/>
      <c r="D191" s="79" t="s">
        <v>1256</v>
      </c>
      <c r="E191" s="79" t="s">
        <v>1017</v>
      </c>
      <c r="F191" s="79" t="s">
        <v>1275</v>
      </c>
      <c r="G191" s="79" t="s">
        <v>1264</v>
      </c>
      <c r="H191" s="79" t="s">
        <v>461</v>
      </c>
      <c r="I191" s="79">
        <v>153.6</v>
      </c>
      <c r="J191" s="79" t="s">
        <v>1474</v>
      </c>
      <c r="K191" s="80" t="s">
        <v>469</v>
      </c>
      <c r="L191" s="80">
        <v>298</v>
      </c>
      <c r="M191" s="80">
        <f>L191-1</f>
        <v>297</v>
      </c>
      <c r="N191" s="81">
        <f t="shared" si="35"/>
        <v>-1</v>
      </c>
      <c r="O191" s="78"/>
      <c r="P191" s="82">
        <f>R191-TIME(0,41,0)</f>
        <v>45684.674305555556</v>
      </c>
      <c r="Q191" s="82">
        <v>45684.636805555558</v>
      </c>
      <c r="R191" s="82">
        <v>45684.702777777777</v>
      </c>
      <c r="S191" s="81">
        <f t="shared" si="25"/>
        <v>94.560185180550135</v>
      </c>
      <c r="T191" s="81">
        <f t="shared" si="26"/>
        <v>40.810185182635905</v>
      </c>
      <c r="U191" s="79"/>
      <c r="V191" s="82">
        <v>45685.356250000004</v>
      </c>
      <c r="W191" s="82">
        <f>V191+TIME(0,170,0)</f>
        <v>45685.474305555559</v>
      </c>
      <c r="X191" s="103">
        <f t="shared" si="27"/>
        <v>166.45833333219343</v>
      </c>
      <c r="Y191" s="82"/>
      <c r="Z191" s="82">
        <v>45685.654861111107</v>
      </c>
      <c r="AA191" s="82">
        <f>Z191+TIME(0,58,0)</f>
        <v>45685.695138888885</v>
      </c>
      <c r="AB191" s="81">
        <f t="shared" si="28"/>
        <v>56.791666667122627</v>
      </c>
      <c r="AC191" s="80"/>
      <c r="AD191" s="83">
        <f t="shared" si="29"/>
        <v>0.95208333332993789</v>
      </c>
      <c r="AE191" s="80">
        <v>2</v>
      </c>
      <c r="AF191" s="84">
        <f t="shared" si="30"/>
        <v>1.0479166666700621</v>
      </c>
      <c r="AG191" s="83">
        <f t="shared" si="31"/>
        <v>22.849999999918509</v>
      </c>
      <c r="AH191" s="83">
        <f t="shared" si="32"/>
        <v>0</v>
      </c>
      <c r="AI191" s="83">
        <f t="shared" si="33"/>
        <v>22.849999999918509</v>
      </c>
      <c r="AJ191" s="83">
        <f t="shared" si="34"/>
        <v>6.7221006564791148</v>
      </c>
      <c r="AK191" s="83"/>
      <c r="AL191" s="83"/>
      <c r="AM191" s="83"/>
      <c r="AN191" s="83"/>
      <c r="AO191" s="78"/>
    </row>
    <row r="192" spans="1:41" customFormat="1" ht="15" hidden="1" x14ac:dyDescent="0.25">
      <c r="A192" s="82">
        <v>45684</v>
      </c>
      <c r="B192" s="94" t="str">
        <f t="shared" si="24"/>
        <v>January</v>
      </c>
      <c r="C192" s="78"/>
      <c r="D192" s="79" t="s">
        <v>1257</v>
      </c>
      <c r="E192" s="79" t="s">
        <v>1017</v>
      </c>
      <c r="F192" s="79" t="s">
        <v>1281</v>
      </c>
      <c r="G192" s="79" t="s">
        <v>58</v>
      </c>
      <c r="H192" s="79" t="s">
        <v>454</v>
      </c>
      <c r="I192" s="79">
        <v>156</v>
      </c>
      <c r="J192" s="79" t="s">
        <v>1475</v>
      </c>
      <c r="K192" s="80" t="s">
        <v>469</v>
      </c>
      <c r="L192" s="80">
        <v>304</v>
      </c>
      <c r="M192" s="80">
        <f>L192-2</f>
        <v>302</v>
      </c>
      <c r="N192" s="81">
        <f t="shared" si="35"/>
        <v>-2</v>
      </c>
      <c r="O192" s="78"/>
      <c r="P192" s="82">
        <f>R192-TIME(0,41,0)</f>
        <v>45684.672222222223</v>
      </c>
      <c r="Q192" s="82">
        <v>45684.647222222222</v>
      </c>
      <c r="R192" s="82">
        <v>45684.700694444444</v>
      </c>
      <c r="S192" s="81">
        <f t="shared" si="25"/>
        <v>76.643518518055018</v>
      </c>
      <c r="T192" s="81">
        <f t="shared" si="26"/>
        <v>40.810185182635905</v>
      </c>
      <c r="U192" s="79"/>
      <c r="V192" s="82">
        <v>45685.336805555555</v>
      </c>
      <c r="W192" s="82">
        <f>V192+TIME(0,172,0)</f>
        <v>45685.456249999996</v>
      </c>
      <c r="X192" s="103">
        <f t="shared" si="27"/>
        <v>168.41666666165111</v>
      </c>
      <c r="Y192" s="82"/>
      <c r="Z192" s="82">
        <v>45686.582194444447</v>
      </c>
      <c r="AA192" s="82">
        <f>Z192+TIME(0,59,0)</f>
        <v>45686.623166666672</v>
      </c>
      <c r="AB192" s="81">
        <f t="shared" si="28"/>
        <v>57.770833336981013</v>
      </c>
      <c r="AC192" s="80"/>
      <c r="AD192" s="83">
        <f t="shared" si="29"/>
        <v>1.8815000000031432</v>
      </c>
      <c r="AE192" s="80">
        <v>2</v>
      </c>
      <c r="AF192" s="84">
        <f t="shared" si="30"/>
        <v>0.11849999999685679</v>
      </c>
      <c r="AG192" s="83">
        <f t="shared" si="31"/>
        <v>45.156000000075437</v>
      </c>
      <c r="AH192" s="83">
        <f t="shared" si="32"/>
        <v>12</v>
      </c>
      <c r="AI192" s="83">
        <f t="shared" si="33"/>
        <v>33.156000000075437</v>
      </c>
      <c r="AJ192" s="83">
        <f t="shared" si="34"/>
        <v>4.7050307636519806</v>
      </c>
      <c r="AK192" s="83"/>
      <c r="AL192" s="83"/>
      <c r="AM192" s="83"/>
      <c r="AN192" s="83"/>
      <c r="AO192" s="78"/>
    </row>
    <row r="193" spans="1:41" customFormat="1" ht="15" hidden="1" x14ac:dyDescent="0.25">
      <c r="A193" s="82">
        <v>45684</v>
      </c>
      <c r="B193" s="94" t="str">
        <f t="shared" si="24"/>
        <v>January</v>
      </c>
      <c r="C193" s="78"/>
      <c r="D193" s="79" t="s">
        <v>1258</v>
      </c>
      <c r="E193" s="79" t="s">
        <v>1017</v>
      </c>
      <c r="F193" s="79"/>
      <c r="G193" s="79" t="s">
        <v>61</v>
      </c>
      <c r="H193" s="79" t="s">
        <v>455</v>
      </c>
      <c r="I193" s="79">
        <v>156</v>
      </c>
      <c r="J193" s="79" t="s">
        <v>1476</v>
      </c>
      <c r="K193" s="80" t="s">
        <v>469</v>
      </c>
      <c r="L193" s="80">
        <v>580</v>
      </c>
      <c r="M193" s="80">
        <f>L193-1</f>
        <v>579</v>
      </c>
      <c r="N193" s="81">
        <f t="shared" si="35"/>
        <v>-1</v>
      </c>
      <c r="O193" s="78"/>
      <c r="P193" s="82">
        <f>R193-TIME(0,40,0)</f>
        <v>45684.675694444442</v>
      </c>
      <c r="Q193" s="82">
        <v>45684.65</v>
      </c>
      <c r="R193" s="82">
        <v>45684.703472222223</v>
      </c>
      <c r="S193" s="81">
        <f t="shared" si="25"/>
        <v>76.643518518055018</v>
      </c>
      <c r="T193" s="81">
        <f t="shared" si="26"/>
        <v>39.814814819449872</v>
      </c>
      <c r="U193" s="79"/>
      <c r="V193" s="82">
        <v>45685.638194444444</v>
      </c>
      <c r="W193" s="82">
        <f>V193+TIME(0,168,0)</f>
        <v>45685.754861111112</v>
      </c>
      <c r="X193" s="103">
        <f t="shared" si="27"/>
        <v>164.50000000273576</v>
      </c>
      <c r="Y193" s="82"/>
      <c r="Z193" s="82">
        <v>45687.696388888893</v>
      </c>
      <c r="AA193" s="82">
        <f>Z193+TIME(0,57,0)</f>
        <v>45687.735972222225</v>
      </c>
      <c r="AB193" s="81">
        <f t="shared" si="28"/>
        <v>55.81249999726424</v>
      </c>
      <c r="AC193" s="80"/>
      <c r="AD193" s="83">
        <f t="shared" si="29"/>
        <v>2.9929166666697711</v>
      </c>
      <c r="AE193" s="80">
        <v>2</v>
      </c>
      <c r="AF193" s="84">
        <f t="shared" si="30"/>
        <v>-0.99291666666977108</v>
      </c>
      <c r="AG193" s="83">
        <f t="shared" si="31"/>
        <v>71.830000000074506</v>
      </c>
      <c r="AH193" s="83">
        <f t="shared" si="32"/>
        <v>24</v>
      </c>
      <c r="AI193" s="83">
        <f t="shared" si="33"/>
        <v>47.830000000074506</v>
      </c>
      <c r="AJ193" s="83">
        <f t="shared" si="34"/>
        <v>3.2615513276135686</v>
      </c>
      <c r="AK193" s="83"/>
      <c r="AL193" s="83"/>
      <c r="AM193" s="83"/>
      <c r="AN193" s="83"/>
      <c r="AO193" s="78"/>
    </row>
    <row r="194" spans="1:41" customFormat="1" ht="15" hidden="1" x14ac:dyDescent="0.25">
      <c r="A194" s="82">
        <v>45684</v>
      </c>
      <c r="B194" s="94" t="str">
        <f t="shared" ref="B194:B257" si="36">TEXT(A194, "MMMM")</f>
        <v>January</v>
      </c>
      <c r="C194" s="78"/>
      <c r="D194" s="79" t="s">
        <v>1259</v>
      </c>
      <c r="E194" s="79" t="s">
        <v>1017</v>
      </c>
      <c r="F194" s="79" t="s">
        <v>960</v>
      </c>
      <c r="G194" s="79" t="s">
        <v>62</v>
      </c>
      <c r="H194" s="79" t="s">
        <v>457</v>
      </c>
      <c r="I194" s="79">
        <v>156</v>
      </c>
      <c r="J194" s="79" t="s">
        <v>1477</v>
      </c>
      <c r="K194" s="80" t="s">
        <v>469</v>
      </c>
      <c r="L194" s="79">
        <v>320</v>
      </c>
      <c r="M194" s="80">
        <f>L194-3</f>
        <v>317</v>
      </c>
      <c r="N194" s="81">
        <f t="shared" si="35"/>
        <v>-3</v>
      </c>
      <c r="O194" s="78"/>
      <c r="P194" s="82">
        <f>R194-TIME(0,41,0)</f>
        <v>45684.696527777778</v>
      </c>
      <c r="Q194" s="82">
        <v>45684.675000000003</v>
      </c>
      <c r="R194" s="82">
        <v>45684.724999999999</v>
      </c>
      <c r="S194" s="81">
        <f t="shared" ref="S194:S257" si="37">(R194-Q194)*86000/60</f>
        <v>71.666666660409348</v>
      </c>
      <c r="T194" s="81">
        <f t="shared" ref="T194:T257" si="38">(R194-P194)*86000/60</f>
        <v>40.810185182635905</v>
      </c>
      <c r="U194" s="79"/>
      <c r="V194" s="82">
        <v>45685.776388888888</v>
      </c>
      <c r="W194" s="82">
        <f>V194+TIME(0,172,0)</f>
        <v>45685.895833333328</v>
      </c>
      <c r="X194" s="103">
        <f t="shared" ref="X194:X257" si="39">(W194-V194)*84600/60</f>
        <v>168.41666666165111</v>
      </c>
      <c r="Y194" s="82"/>
      <c r="Z194" s="82">
        <v>45685.819444444438</v>
      </c>
      <c r="AA194" s="82">
        <f>Z194+TIME(0,56,0)</f>
        <v>45685.85833333333</v>
      </c>
      <c r="AB194" s="81">
        <f t="shared" ref="AB194:AB257" si="40">(AA194-Z194)*84600/60</f>
        <v>54.833333337664953</v>
      </c>
      <c r="AC194" s="80"/>
      <c r="AD194" s="83">
        <f t="shared" ref="AD194:AD257" si="41">Z194-R194</f>
        <v>1.0944444444394321</v>
      </c>
      <c r="AE194" s="80">
        <v>2</v>
      </c>
      <c r="AF194" s="84">
        <f t="shared" ref="AF194:AF257" si="42">AE194-AD194</f>
        <v>0.90555555556056788</v>
      </c>
      <c r="AG194" s="83">
        <f t="shared" ref="AG194:AG257" si="43">AD194*24</f>
        <v>26.266666666546371</v>
      </c>
      <c r="AH194" s="83">
        <f t="shared" ref="AH194:AH257" si="44">AG194-AI194</f>
        <v>12</v>
      </c>
      <c r="AI194" s="83">
        <f t="shared" ref="AI194:AI257" si="45" xml:space="preserve"> ((Z194 - R194) * 24) - (INT(Z194 - R194) * 12)</f>
        <v>14.266666666546371</v>
      </c>
      <c r="AJ194" s="83">
        <f t="shared" ref="AJ194:AJ257" si="46">I194/AI194</f>
        <v>10.934579439344537</v>
      </c>
      <c r="AK194" s="83"/>
      <c r="AL194" s="83"/>
      <c r="AM194" s="83"/>
      <c r="AN194" s="83"/>
      <c r="AO194" s="78"/>
    </row>
    <row r="195" spans="1:41" customFormat="1" ht="15" hidden="1" x14ac:dyDescent="0.25">
      <c r="A195" s="82">
        <v>45684</v>
      </c>
      <c r="B195" s="95" t="str">
        <f t="shared" si="36"/>
        <v>January</v>
      </c>
      <c r="C195" s="86"/>
      <c r="D195" s="79" t="s">
        <v>1260</v>
      </c>
      <c r="E195" s="79" t="s">
        <v>1017</v>
      </c>
      <c r="F195" s="79"/>
      <c r="G195" s="79" t="s">
        <v>59</v>
      </c>
      <c r="H195" s="79" t="s">
        <v>457</v>
      </c>
      <c r="I195" s="79">
        <v>156</v>
      </c>
      <c r="J195" s="79" t="s">
        <v>1478</v>
      </c>
      <c r="K195" s="80" t="s">
        <v>469</v>
      </c>
      <c r="L195" s="79">
        <v>320</v>
      </c>
      <c r="M195" s="87">
        <f>L195-3</f>
        <v>317</v>
      </c>
      <c r="N195" s="81">
        <f t="shared" si="35"/>
        <v>-3</v>
      </c>
      <c r="O195" s="86"/>
      <c r="P195" s="82">
        <f>R195-TIME(0,41,0)</f>
        <v>45684.700694444444</v>
      </c>
      <c r="Q195" s="82">
        <v>45684.679166666669</v>
      </c>
      <c r="R195" s="82">
        <v>45684.729166666664</v>
      </c>
      <c r="S195" s="81">
        <f t="shared" si="37"/>
        <v>71.666666660409348</v>
      </c>
      <c r="T195" s="81">
        <f t="shared" si="38"/>
        <v>40.810185182635905</v>
      </c>
      <c r="U195" s="79"/>
      <c r="V195" s="82">
        <v>45685.391666666663</v>
      </c>
      <c r="W195" s="82">
        <f>V195+TIME(0,174,0)</f>
        <v>45685.512499999997</v>
      </c>
      <c r="X195" s="103">
        <f t="shared" si="39"/>
        <v>170.37500000136788</v>
      </c>
      <c r="Y195" s="82"/>
      <c r="Z195" s="82">
        <v>45685.747222222213</v>
      </c>
      <c r="AA195" s="82">
        <f>Z195+TIME(0,57,0)</f>
        <v>45685.786805555545</v>
      </c>
      <c r="AB195" s="81">
        <f t="shared" si="40"/>
        <v>55.81249999726424</v>
      </c>
      <c r="AC195" s="80"/>
      <c r="AD195" s="83">
        <f t="shared" si="41"/>
        <v>1.0180555555489263</v>
      </c>
      <c r="AE195" s="80">
        <v>2</v>
      </c>
      <c r="AF195" s="92">
        <f t="shared" si="42"/>
        <v>0.98194444445107365</v>
      </c>
      <c r="AG195" s="83">
        <f t="shared" si="43"/>
        <v>24.433333333174232</v>
      </c>
      <c r="AH195" s="83">
        <f t="shared" si="44"/>
        <v>12</v>
      </c>
      <c r="AI195" s="83">
        <f t="shared" si="45"/>
        <v>12.433333333174232</v>
      </c>
      <c r="AJ195" s="83">
        <f t="shared" si="46"/>
        <v>12.546916890240983</v>
      </c>
      <c r="AK195" s="83"/>
      <c r="AL195" s="83"/>
      <c r="AM195" s="83"/>
      <c r="AN195" s="83"/>
      <c r="AO195" s="86"/>
    </row>
    <row r="196" spans="1:41" customFormat="1" ht="15" hidden="1" x14ac:dyDescent="0.25">
      <c r="A196" s="82">
        <v>45689</v>
      </c>
      <c r="B196" s="94" t="str">
        <f t="shared" si="36"/>
        <v>February</v>
      </c>
      <c r="C196" s="78"/>
      <c r="D196" s="79" t="s">
        <v>83</v>
      </c>
      <c r="E196" s="80" t="s">
        <v>1017</v>
      </c>
      <c r="F196" s="79" t="s">
        <v>1027</v>
      </c>
      <c r="G196" s="79" t="s">
        <v>34</v>
      </c>
      <c r="H196" s="79" t="s">
        <v>448</v>
      </c>
      <c r="I196" s="79">
        <v>156</v>
      </c>
      <c r="J196" s="79" t="s">
        <v>83</v>
      </c>
      <c r="K196" s="80" t="s">
        <v>469</v>
      </c>
      <c r="L196" s="80">
        <v>560</v>
      </c>
      <c r="M196" s="80">
        <f>L196-2</f>
        <v>558</v>
      </c>
      <c r="N196" s="81">
        <f t="shared" ref="N196:N259" si="47">M196-L196</f>
        <v>-2</v>
      </c>
      <c r="O196" s="78"/>
      <c r="P196" s="82">
        <v>45688.62222222222</v>
      </c>
      <c r="Q196" s="82">
        <v>45688.642361111109</v>
      </c>
      <c r="R196" s="82">
        <v>45688.65</v>
      </c>
      <c r="S196" s="81">
        <f t="shared" si="37"/>
        <v>10.949074078477375</v>
      </c>
      <c r="T196" s="81">
        <f t="shared" si="38"/>
        <v>39.814814819449872</v>
      </c>
      <c r="U196" s="79"/>
      <c r="V196" s="82">
        <v>45691.537499999999</v>
      </c>
      <c r="W196" s="82">
        <v>45691.637499999997</v>
      </c>
      <c r="X196" s="103">
        <f t="shared" si="39"/>
        <v>140.99999999794818</v>
      </c>
      <c r="Y196" s="82"/>
      <c r="Z196" s="82">
        <v>45691.422222222223</v>
      </c>
      <c r="AA196" s="82">
        <f>Z196+TIME(0,48,0)</f>
        <v>45691.455555555556</v>
      </c>
      <c r="AB196" s="81">
        <f t="shared" si="40"/>
        <v>46.99999999931606</v>
      </c>
      <c r="AC196" s="80"/>
      <c r="AD196" s="83">
        <f t="shared" si="41"/>
        <v>2.7722222222218988</v>
      </c>
      <c r="AE196" s="80">
        <v>2</v>
      </c>
      <c r="AF196" s="84">
        <f t="shared" si="42"/>
        <v>-0.77222222222189885</v>
      </c>
      <c r="AG196" s="83">
        <f t="shared" si="43"/>
        <v>66.533333333325572</v>
      </c>
      <c r="AH196" s="83">
        <f t="shared" si="44"/>
        <v>24</v>
      </c>
      <c r="AI196" s="83">
        <f t="shared" si="45"/>
        <v>42.533333333325572</v>
      </c>
      <c r="AJ196" s="83">
        <f t="shared" si="46"/>
        <v>3.6677115987467506</v>
      </c>
      <c r="AK196" s="83"/>
      <c r="AL196" s="83"/>
      <c r="AM196" s="83"/>
      <c r="AN196" s="83"/>
      <c r="AO196" s="78"/>
    </row>
    <row r="197" spans="1:41" customFormat="1" ht="15" hidden="1" x14ac:dyDescent="0.25">
      <c r="A197" s="82">
        <v>45689</v>
      </c>
      <c r="B197" s="94" t="str">
        <f t="shared" si="36"/>
        <v>February</v>
      </c>
      <c r="C197" s="78"/>
      <c r="D197" s="79" t="s">
        <v>84</v>
      </c>
      <c r="E197" s="80" t="s">
        <v>1017</v>
      </c>
      <c r="F197" s="79"/>
      <c r="G197" s="79" t="s">
        <v>35</v>
      </c>
      <c r="H197" s="79" t="s">
        <v>449</v>
      </c>
      <c r="I197" s="79">
        <v>156</v>
      </c>
      <c r="J197" s="79" t="s">
        <v>84</v>
      </c>
      <c r="K197" s="80" t="s">
        <v>469</v>
      </c>
      <c r="L197" s="80">
        <v>790</v>
      </c>
      <c r="M197" s="80">
        <f>L197-2</f>
        <v>788</v>
      </c>
      <c r="N197" s="81">
        <f t="shared" si="47"/>
        <v>-2</v>
      </c>
      <c r="O197" s="78"/>
      <c r="P197" s="82">
        <v>45688.566666666666</v>
      </c>
      <c r="Q197" s="82">
        <v>45688.592361111114</v>
      </c>
      <c r="R197" s="82">
        <v>45688.595138888886</v>
      </c>
      <c r="S197" s="81">
        <f t="shared" si="37"/>
        <v>3.9814814736018889</v>
      </c>
      <c r="T197" s="81">
        <f t="shared" si="38"/>
        <v>40.810185182635905</v>
      </c>
      <c r="U197" s="79"/>
      <c r="V197" s="82">
        <v>45690.408333333333</v>
      </c>
      <c r="W197" s="82">
        <v>45690.518750000003</v>
      </c>
      <c r="X197" s="103">
        <f t="shared" si="39"/>
        <v>155.68750000478758</v>
      </c>
      <c r="Y197" s="82"/>
      <c r="Z197" s="82">
        <v>45691.422222222223</v>
      </c>
      <c r="AA197" s="82">
        <f>Z197+TIME(0,84,0)</f>
        <v>45691.480555555558</v>
      </c>
      <c r="AB197" s="81">
        <f t="shared" si="40"/>
        <v>82.25000000136788</v>
      </c>
      <c r="AC197" s="80" t="s">
        <v>1674</v>
      </c>
      <c r="AD197" s="83">
        <f t="shared" si="41"/>
        <v>2.8270833333372138</v>
      </c>
      <c r="AE197" s="80">
        <v>2</v>
      </c>
      <c r="AF197" s="84">
        <f t="shared" si="42"/>
        <v>-0.82708333333721384</v>
      </c>
      <c r="AG197" s="83">
        <f t="shared" si="43"/>
        <v>67.850000000093132</v>
      </c>
      <c r="AH197" s="83">
        <f t="shared" si="44"/>
        <v>24</v>
      </c>
      <c r="AI197" s="83">
        <f t="shared" si="45"/>
        <v>43.850000000093132</v>
      </c>
      <c r="AJ197" s="83">
        <f t="shared" si="46"/>
        <v>3.5575826681794451</v>
      </c>
      <c r="AK197" s="83"/>
      <c r="AL197" s="83"/>
      <c r="AM197" s="83"/>
      <c r="AN197" s="83"/>
      <c r="AO197" s="78"/>
    </row>
    <row r="198" spans="1:41" customFormat="1" ht="15" hidden="1" x14ac:dyDescent="0.25">
      <c r="A198" s="82">
        <v>45689</v>
      </c>
      <c r="B198" s="94" t="str">
        <f t="shared" si="36"/>
        <v>February</v>
      </c>
      <c r="C198" s="78"/>
      <c r="D198" s="79" t="s">
        <v>85</v>
      </c>
      <c r="E198" s="80" t="s">
        <v>1017</v>
      </c>
      <c r="F198" s="79" t="s">
        <v>1036</v>
      </c>
      <c r="G198" s="79" t="s">
        <v>36</v>
      </c>
      <c r="H198" s="79" t="s">
        <v>450</v>
      </c>
      <c r="I198" s="79">
        <v>156</v>
      </c>
      <c r="J198" s="79" t="s">
        <v>85</v>
      </c>
      <c r="K198" s="80" t="s">
        <v>469</v>
      </c>
      <c r="L198" s="80">
        <v>288</v>
      </c>
      <c r="M198" s="80">
        <f>L198-3</f>
        <v>285</v>
      </c>
      <c r="N198" s="81">
        <f t="shared" si="47"/>
        <v>-3</v>
      </c>
      <c r="O198" s="78"/>
      <c r="P198" s="82">
        <f>R198-TIME(0,34,0)</f>
        <v>45688.868750000001</v>
      </c>
      <c r="Q198" s="82">
        <v>45688.863888888889</v>
      </c>
      <c r="R198" s="82">
        <v>45688.892361111109</v>
      </c>
      <c r="S198" s="81">
        <f t="shared" si="37"/>
        <v>40.810185182635905</v>
      </c>
      <c r="T198" s="81">
        <f t="shared" si="38"/>
        <v>33.842592588189291</v>
      </c>
      <c r="U198" s="79"/>
      <c r="V198" s="82">
        <v>45689.726388888892</v>
      </c>
      <c r="W198" s="82">
        <v>45690.386805555558</v>
      </c>
      <c r="X198" s="103">
        <f t="shared" si="39"/>
        <v>931.18749999863212</v>
      </c>
      <c r="Y198" s="82" t="s">
        <v>1038</v>
      </c>
      <c r="Z198" s="82">
        <v>45691.527777777781</v>
      </c>
      <c r="AA198" s="82">
        <f>Z198+TIME(0,60,0)</f>
        <v>45691.569444444445</v>
      </c>
      <c r="AB198" s="81">
        <f t="shared" si="40"/>
        <v>58.7499999965803</v>
      </c>
      <c r="AC198" s="80"/>
      <c r="AD198" s="83">
        <f t="shared" si="41"/>
        <v>2.6354166666715173</v>
      </c>
      <c r="AE198" s="80">
        <v>2</v>
      </c>
      <c r="AF198" s="84">
        <f t="shared" si="42"/>
        <v>-0.63541666667151731</v>
      </c>
      <c r="AG198" s="83">
        <f t="shared" si="43"/>
        <v>63.250000000116415</v>
      </c>
      <c r="AH198" s="83">
        <f t="shared" si="44"/>
        <v>24</v>
      </c>
      <c r="AI198" s="83">
        <f t="shared" si="45"/>
        <v>39.250000000116415</v>
      </c>
      <c r="AJ198" s="83">
        <f t="shared" si="46"/>
        <v>3.9745222929818422</v>
      </c>
      <c r="AK198" s="83"/>
      <c r="AL198" s="83"/>
      <c r="AM198" s="83"/>
      <c r="AN198" s="83"/>
      <c r="AO198" s="78"/>
    </row>
    <row r="199" spans="1:41" customFormat="1" ht="15" hidden="1" x14ac:dyDescent="0.25">
      <c r="A199" s="82">
        <v>45689</v>
      </c>
      <c r="B199" s="94" t="str">
        <f t="shared" si="36"/>
        <v>February</v>
      </c>
      <c r="C199" s="78"/>
      <c r="D199" s="79" t="s">
        <v>86</v>
      </c>
      <c r="E199" s="80" t="s">
        <v>1017</v>
      </c>
      <c r="F199" s="79" t="s">
        <v>1019</v>
      </c>
      <c r="G199" s="79" t="s">
        <v>37</v>
      </c>
      <c r="H199" s="79" t="s">
        <v>451</v>
      </c>
      <c r="I199" s="79">
        <v>156</v>
      </c>
      <c r="J199" s="79" t="s">
        <v>86</v>
      </c>
      <c r="K199" s="80" t="s">
        <v>469</v>
      </c>
      <c r="L199" s="80">
        <v>790</v>
      </c>
      <c r="M199" s="80">
        <f>L199-2</f>
        <v>788</v>
      </c>
      <c r="N199" s="81">
        <f t="shared" si="47"/>
        <v>-2</v>
      </c>
      <c r="O199" s="78"/>
      <c r="P199" s="82">
        <v>45688.546527777777</v>
      </c>
      <c r="Q199" s="82">
        <v>45688.558333333334</v>
      </c>
      <c r="R199" s="82">
        <v>45688.574305555558</v>
      </c>
      <c r="S199" s="81">
        <f t="shared" si="37"/>
        <v>22.893518520140788</v>
      </c>
      <c r="T199" s="81">
        <f t="shared" si="38"/>
        <v>39.814814819449872</v>
      </c>
      <c r="U199" s="79"/>
      <c r="V199" s="82">
        <v>45689.439583333333</v>
      </c>
      <c r="W199" s="82">
        <v>45689.552083333336</v>
      </c>
      <c r="X199" s="103">
        <f t="shared" si="39"/>
        <v>158.62500000410364</v>
      </c>
      <c r="Y199" s="82"/>
      <c r="Z199" s="82">
        <v>45691.527777777781</v>
      </c>
      <c r="AA199" s="82">
        <v>45691.568055555559</v>
      </c>
      <c r="AB199" s="81">
        <f t="shared" si="40"/>
        <v>56.791666667122627</v>
      </c>
      <c r="AC199" s="80"/>
      <c r="AD199" s="83">
        <f t="shared" si="41"/>
        <v>2.953472222223354</v>
      </c>
      <c r="AE199" s="80">
        <v>2</v>
      </c>
      <c r="AF199" s="84">
        <f t="shared" si="42"/>
        <v>-0.95347222222335404</v>
      </c>
      <c r="AG199" s="83">
        <f t="shared" si="43"/>
        <v>70.883333333360497</v>
      </c>
      <c r="AH199" s="83">
        <f t="shared" si="44"/>
        <v>24</v>
      </c>
      <c r="AI199" s="83">
        <f t="shared" si="45"/>
        <v>46.883333333360497</v>
      </c>
      <c r="AJ199" s="83">
        <f t="shared" si="46"/>
        <v>3.3274084607161667</v>
      </c>
      <c r="AK199" s="83"/>
      <c r="AL199" s="83"/>
      <c r="AM199" s="83"/>
      <c r="AN199" s="83"/>
      <c r="AO199" s="78"/>
    </row>
    <row r="200" spans="1:41" customFormat="1" ht="15" hidden="1" x14ac:dyDescent="0.25">
      <c r="A200" s="82">
        <v>45689</v>
      </c>
      <c r="B200" s="94" t="str">
        <f t="shared" si="36"/>
        <v>February</v>
      </c>
      <c r="C200" s="78"/>
      <c r="D200" s="79" t="s">
        <v>87</v>
      </c>
      <c r="E200" s="80" t="s">
        <v>1017</v>
      </c>
      <c r="F200" s="79" t="s">
        <v>1029</v>
      </c>
      <c r="G200" s="79" t="s">
        <v>38</v>
      </c>
      <c r="H200" s="79" t="s">
        <v>452</v>
      </c>
      <c r="I200" s="79">
        <v>156</v>
      </c>
      <c r="J200" s="79" t="s">
        <v>87</v>
      </c>
      <c r="K200" s="80" t="s">
        <v>469</v>
      </c>
      <c r="L200" s="80">
        <v>690</v>
      </c>
      <c r="M200" s="80">
        <f>L200+2</f>
        <v>692</v>
      </c>
      <c r="N200" s="81">
        <f t="shared" si="47"/>
        <v>2</v>
      </c>
      <c r="O200" s="78"/>
      <c r="P200" s="82">
        <v>45688.635416666672</v>
      </c>
      <c r="Q200" s="82">
        <v>45688.628472222226</v>
      </c>
      <c r="R200" s="82">
        <v>45688.663888888892</v>
      </c>
      <c r="S200" s="81">
        <f t="shared" si="37"/>
        <v>50.763888887498375</v>
      </c>
      <c r="T200" s="81">
        <f t="shared" si="38"/>
        <v>40.810185182635905</v>
      </c>
      <c r="U200" s="79"/>
      <c r="V200" s="82">
        <v>45690.730555555558</v>
      </c>
      <c r="W200" s="82">
        <v>45690.856944444444</v>
      </c>
      <c r="X200" s="103">
        <f t="shared" si="39"/>
        <v>178.20833332945767</v>
      </c>
      <c r="Y200" s="82"/>
      <c r="Z200" s="82">
        <v>45691.633333333331</v>
      </c>
      <c r="AA200" s="82">
        <v>45691.670138888891</v>
      </c>
      <c r="AB200" s="81">
        <f t="shared" si="40"/>
        <v>51.895833338348893</v>
      </c>
      <c r="AC200" s="80"/>
      <c r="AD200" s="83">
        <f t="shared" si="41"/>
        <v>2.9694444444394321</v>
      </c>
      <c r="AE200" s="80">
        <v>3</v>
      </c>
      <c r="AF200" s="84">
        <f t="shared" si="42"/>
        <v>3.0555555560567882E-2</v>
      </c>
      <c r="AG200" s="83">
        <f t="shared" si="43"/>
        <v>71.266666666546371</v>
      </c>
      <c r="AH200" s="83">
        <f t="shared" si="44"/>
        <v>24</v>
      </c>
      <c r="AI200" s="83">
        <f t="shared" si="45"/>
        <v>47.266666666546371</v>
      </c>
      <c r="AJ200" s="83">
        <f t="shared" si="46"/>
        <v>3.3004231311790626</v>
      </c>
      <c r="AK200" s="83"/>
      <c r="AL200" s="83"/>
      <c r="AM200" s="83"/>
      <c r="AN200" s="83"/>
      <c r="AO200" s="78"/>
    </row>
    <row r="201" spans="1:41" customFormat="1" ht="15" hidden="1" x14ac:dyDescent="0.25">
      <c r="A201" s="82">
        <v>45689</v>
      </c>
      <c r="B201" s="94" t="str">
        <f t="shared" si="36"/>
        <v>February</v>
      </c>
      <c r="C201" s="78"/>
      <c r="D201" s="79" t="s">
        <v>88</v>
      </c>
      <c r="E201" s="80" t="s">
        <v>1017</v>
      </c>
      <c r="F201" s="79" t="s">
        <v>1018</v>
      </c>
      <c r="G201" s="79" t="s">
        <v>39</v>
      </c>
      <c r="H201" s="79" t="s">
        <v>453</v>
      </c>
      <c r="I201" s="79">
        <v>156</v>
      </c>
      <c r="J201" s="79" t="s">
        <v>88</v>
      </c>
      <c r="K201" s="80" t="s">
        <v>469</v>
      </c>
      <c r="L201" s="80">
        <v>464</v>
      </c>
      <c r="M201" s="80">
        <f>L201-1</f>
        <v>463</v>
      </c>
      <c r="N201" s="81">
        <f t="shared" si="47"/>
        <v>-1</v>
      </c>
      <c r="O201" s="78"/>
      <c r="P201" s="82">
        <v>45688.62291666666</v>
      </c>
      <c r="Q201" s="82">
        <v>45688.640972222216</v>
      </c>
      <c r="R201" s="82">
        <v>45688.650694444441</v>
      </c>
      <c r="S201" s="81">
        <f t="shared" si="37"/>
        <v>13.935185188893229</v>
      </c>
      <c r="T201" s="81">
        <f t="shared" si="38"/>
        <v>39.814814819449872</v>
      </c>
      <c r="U201" s="79"/>
      <c r="V201" s="82">
        <v>45691.634027777778</v>
      </c>
      <c r="W201" s="82">
        <v>45691.737500000003</v>
      </c>
      <c r="X201" s="103">
        <f t="shared" si="39"/>
        <v>145.89583333698101</v>
      </c>
      <c r="Y201" s="82"/>
      <c r="Z201" s="82">
        <v>45691.633333333331</v>
      </c>
      <c r="AA201" s="82">
        <f>Z201+TIME(0,57,0)</f>
        <v>45691.672916666663</v>
      </c>
      <c r="AB201" s="81">
        <f t="shared" si="40"/>
        <v>55.81249999726424</v>
      </c>
      <c r="AC201" s="80"/>
      <c r="AD201" s="83">
        <f t="shared" si="41"/>
        <v>2.9826388888905058</v>
      </c>
      <c r="AE201" s="80">
        <v>3</v>
      </c>
      <c r="AF201" s="84">
        <f t="shared" si="42"/>
        <v>1.7361111109494232E-2</v>
      </c>
      <c r="AG201" s="83">
        <f t="shared" si="43"/>
        <v>71.583333333372138</v>
      </c>
      <c r="AH201" s="83">
        <f t="shared" si="44"/>
        <v>24</v>
      </c>
      <c r="AI201" s="83">
        <f t="shared" si="45"/>
        <v>47.583333333372138</v>
      </c>
      <c r="AJ201" s="83">
        <f t="shared" si="46"/>
        <v>3.2784588441304261</v>
      </c>
      <c r="AK201" s="83"/>
      <c r="AL201" s="83"/>
      <c r="AM201" s="83"/>
      <c r="AN201" s="83"/>
      <c r="AO201" s="78"/>
    </row>
    <row r="202" spans="1:41" customFormat="1" ht="15" hidden="1" x14ac:dyDescent="0.25">
      <c r="A202" s="82">
        <v>45689</v>
      </c>
      <c r="B202" s="94" t="str">
        <f t="shared" si="36"/>
        <v>February</v>
      </c>
      <c r="C202" s="78"/>
      <c r="D202" s="79" t="s">
        <v>89</v>
      </c>
      <c r="E202" s="80" t="s">
        <v>1017</v>
      </c>
      <c r="F202" s="79"/>
      <c r="G202" s="79" t="s">
        <v>40</v>
      </c>
      <c r="H202" s="79" t="s">
        <v>454</v>
      </c>
      <c r="I202" s="79">
        <v>156</v>
      </c>
      <c r="J202" s="79" t="s">
        <v>89</v>
      </c>
      <c r="K202" s="80" t="s">
        <v>469</v>
      </c>
      <c r="L202" s="80">
        <v>304</v>
      </c>
      <c r="M202" s="80">
        <f>L202-2</f>
        <v>302</v>
      </c>
      <c r="N202" s="81">
        <f t="shared" si="47"/>
        <v>-2</v>
      </c>
      <c r="O202" s="78"/>
      <c r="P202" s="82">
        <f>R202-TIME(0,43,0)</f>
        <v>45688.904166666667</v>
      </c>
      <c r="Q202" s="82">
        <v>45688.905555555561</v>
      </c>
      <c r="R202" s="82">
        <v>45688.934027777781</v>
      </c>
      <c r="S202" s="81">
        <f t="shared" si="37"/>
        <v>40.810185182635905</v>
      </c>
      <c r="T202" s="81">
        <f t="shared" si="38"/>
        <v>42.80092592986572</v>
      </c>
      <c r="U202" s="79"/>
      <c r="V202" s="82">
        <v>45691.452777777777</v>
      </c>
      <c r="W202" s="82">
        <v>45691.797222222223</v>
      </c>
      <c r="X202" s="103">
        <f t="shared" si="39"/>
        <v>485.66666666985839</v>
      </c>
      <c r="Y202" s="82" t="s">
        <v>1039</v>
      </c>
      <c r="Z202" s="82">
        <v>45691.444444444445</v>
      </c>
      <c r="AA202" s="82">
        <v>45691.484722222223</v>
      </c>
      <c r="AB202" s="81">
        <f t="shared" si="40"/>
        <v>56.791666667122627</v>
      </c>
      <c r="AC202" s="80"/>
      <c r="AD202" s="83">
        <f t="shared" si="41"/>
        <v>2.5104166666642413</v>
      </c>
      <c r="AE202" s="80">
        <v>2</v>
      </c>
      <c r="AF202" s="84">
        <f t="shared" si="42"/>
        <v>-0.51041666666424135</v>
      </c>
      <c r="AG202" s="83">
        <f t="shared" si="43"/>
        <v>60.249999999941792</v>
      </c>
      <c r="AH202" s="83">
        <f t="shared" si="44"/>
        <v>24</v>
      </c>
      <c r="AI202" s="83">
        <f t="shared" si="45"/>
        <v>36.249999999941792</v>
      </c>
      <c r="AJ202" s="83">
        <f t="shared" si="46"/>
        <v>4.3034482758689787</v>
      </c>
      <c r="AK202" s="83"/>
      <c r="AL202" s="83"/>
      <c r="AM202" s="83"/>
      <c r="AN202" s="83"/>
      <c r="AO202" s="78"/>
    </row>
    <row r="203" spans="1:41" customFormat="1" ht="15" hidden="1" x14ac:dyDescent="0.25">
      <c r="A203" s="82">
        <v>45689</v>
      </c>
      <c r="B203" s="94" t="str">
        <f t="shared" si="36"/>
        <v>February</v>
      </c>
      <c r="C203" s="78"/>
      <c r="D203" s="79" t="s">
        <v>90</v>
      </c>
      <c r="E203" s="80" t="s">
        <v>1017</v>
      </c>
      <c r="F203" s="79" t="s">
        <v>1033</v>
      </c>
      <c r="G203" s="79" t="s">
        <v>41</v>
      </c>
      <c r="H203" s="79" t="s">
        <v>455</v>
      </c>
      <c r="I203" s="79">
        <v>156</v>
      </c>
      <c r="J203" s="79" t="s">
        <v>90</v>
      </c>
      <c r="K203" s="80" t="s">
        <v>469</v>
      </c>
      <c r="L203" s="80">
        <v>580</v>
      </c>
      <c r="M203" s="80">
        <f>L203-1</f>
        <v>579</v>
      </c>
      <c r="N203" s="81">
        <f t="shared" si="47"/>
        <v>-1</v>
      </c>
      <c r="O203" s="78"/>
      <c r="P203" s="82">
        <v>45688.629166666666</v>
      </c>
      <c r="Q203" s="82">
        <v>45688.594444444439</v>
      </c>
      <c r="R203" s="82">
        <v>45688.657638888886</v>
      </c>
      <c r="S203" s="81">
        <f t="shared" si="37"/>
        <v>90.578703706948247</v>
      </c>
      <c r="T203" s="81">
        <f t="shared" si="38"/>
        <v>40.810185182635905</v>
      </c>
      <c r="U203" s="79"/>
      <c r="V203" s="82">
        <v>45689.456250000003</v>
      </c>
      <c r="W203" s="82">
        <v>45690.568749999999</v>
      </c>
      <c r="X203" s="103">
        <f t="shared" si="39"/>
        <v>1568.6249999938445</v>
      </c>
      <c r="Y203" s="82" t="s">
        <v>1040</v>
      </c>
      <c r="Z203" s="82">
        <v>45691.633333333331</v>
      </c>
      <c r="AA203" s="82">
        <f>Z203+TIME(0,48,0)</f>
        <v>45691.666666666664</v>
      </c>
      <c r="AB203" s="81">
        <f t="shared" si="40"/>
        <v>46.99999999931606</v>
      </c>
      <c r="AC203" s="80"/>
      <c r="AD203" s="83">
        <f t="shared" si="41"/>
        <v>2.9756944444452529</v>
      </c>
      <c r="AE203" s="80">
        <v>2</v>
      </c>
      <c r="AF203" s="84">
        <f t="shared" si="42"/>
        <v>-0.97569444444525288</v>
      </c>
      <c r="AG203" s="83">
        <f t="shared" si="43"/>
        <v>71.416666666686069</v>
      </c>
      <c r="AH203" s="83">
        <f t="shared" si="44"/>
        <v>24</v>
      </c>
      <c r="AI203" s="83">
        <f t="shared" si="45"/>
        <v>47.416666666686069</v>
      </c>
      <c r="AJ203" s="83">
        <f t="shared" si="46"/>
        <v>3.2899824253062109</v>
      </c>
      <c r="AK203" s="83"/>
      <c r="AL203" s="83"/>
      <c r="AM203" s="83"/>
      <c r="AN203" s="83"/>
      <c r="AO203" s="78"/>
    </row>
    <row r="204" spans="1:41" customFormat="1" ht="15" hidden="1" x14ac:dyDescent="0.25">
      <c r="A204" s="82">
        <v>45690</v>
      </c>
      <c r="B204" s="94" t="str">
        <f t="shared" si="36"/>
        <v>February</v>
      </c>
      <c r="C204" s="78"/>
      <c r="D204" s="79" t="s">
        <v>91</v>
      </c>
      <c r="E204" s="80" t="s">
        <v>1017</v>
      </c>
      <c r="F204" s="79"/>
      <c r="G204" s="79" t="s">
        <v>42</v>
      </c>
      <c r="H204" s="79" t="s">
        <v>456</v>
      </c>
      <c r="I204" s="79">
        <v>156</v>
      </c>
      <c r="J204" s="79" t="s">
        <v>91</v>
      </c>
      <c r="K204" s="80" t="s">
        <v>469</v>
      </c>
      <c r="L204" s="80">
        <v>670</v>
      </c>
      <c r="M204" s="80">
        <f>L204+1</f>
        <v>671</v>
      </c>
      <c r="N204" s="81">
        <f t="shared" si="47"/>
        <v>1</v>
      </c>
      <c r="O204" s="78"/>
      <c r="P204" s="82">
        <v>45688.663888888885</v>
      </c>
      <c r="Q204" s="82">
        <v>45688.663194444445</v>
      </c>
      <c r="R204" s="82">
        <v>45688.691666666666</v>
      </c>
      <c r="S204" s="81">
        <f t="shared" si="37"/>
        <v>40.810185182635905</v>
      </c>
      <c r="T204" s="81">
        <f t="shared" si="38"/>
        <v>39.814814819449872</v>
      </c>
      <c r="U204" s="79"/>
      <c r="V204" s="82">
        <v>45691.634027777778</v>
      </c>
      <c r="W204" s="82">
        <v>45691.737500000003</v>
      </c>
      <c r="X204" s="103">
        <f t="shared" si="39"/>
        <v>145.89583333698101</v>
      </c>
      <c r="Y204" s="82"/>
      <c r="Z204" s="82">
        <v>45691.633333333331</v>
      </c>
      <c r="AA204" s="82">
        <v>45691.670138888891</v>
      </c>
      <c r="AB204" s="81">
        <f t="shared" si="40"/>
        <v>51.895833338348893</v>
      </c>
      <c r="AC204" s="80"/>
      <c r="AD204" s="83">
        <f t="shared" si="41"/>
        <v>2.9416666666656965</v>
      </c>
      <c r="AE204" s="80">
        <v>2</v>
      </c>
      <c r="AF204" s="84">
        <f t="shared" si="42"/>
        <v>-0.94166666666569654</v>
      </c>
      <c r="AG204" s="83">
        <f t="shared" si="43"/>
        <v>70.599999999976717</v>
      </c>
      <c r="AH204" s="83">
        <f t="shared" si="44"/>
        <v>24</v>
      </c>
      <c r="AI204" s="83">
        <f t="shared" si="45"/>
        <v>46.599999999976717</v>
      </c>
      <c r="AJ204" s="83">
        <f t="shared" si="46"/>
        <v>3.3476394849802134</v>
      </c>
      <c r="AK204" s="83"/>
      <c r="AL204" s="83"/>
      <c r="AM204" s="83"/>
      <c r="AN204" s="83"/>
      <c r="AO204" s="78"/>
    </row>
    <row r="205" spans="1:41" customFormat="1" ht="15" hidden="1" x14ac:dyDescent="0.25">
      <c r="A205" s="82">
        <v>45690</v>
      </c>
      <c r="B205" s="94" t="str">
        <f t="shared" si="36"/>
        <v>February</v>
      </c>
      <c r="C205" s="78"/>
      <c r="D205" s="79" t="s">
        <v>92</v>
      </c>
      <c r="E205" s="80" t="s">
        <v>1017</v>
      </c>
      <c r="F205" s="79" t="s">
        <v>1015</v>
      </c>
      <c r="G205" s="79" t="s">
        <v>43</v>
      </c>
      <c r="H205" s="79" t="s">
        <v>451</v>
      </c>
      <c r="I205" s="79">
        <v>156</v>
      </c>
      <c r="J205" s="79" t="s">
        <v>92</v>
      </c>
      <c r="K205" s="80" t="s">
        <v>469</v>
      </c>
      <c r="L205" s="80">
        <v>790</v>
      </c>
      <c r="M205" s="80">
        <f>L205-2</f>
        <v>788</v>
      </c>
      <c r="N205" s="81">
        <f t="shared" si="47"/>
        <v>-2</v>
      </c>
      <c r="O205" s="78"/>
      <c r="P205" s="82">
        <v>45688.706249999996</v>
      </c>
      <c r="Q205" s="82">
        <v>45688.722222222219</v>
      </c>
      <c r="R205" s="82">
        <v>45688.734027777777</v>
      </c>
      <c r="S205" s="81">
        <f t="shared" si="37"/>
        <v>16.921296299309081</v>
      </c>
      <c r="T205" s="81">
        <f t="shared" si="38"/>
        <v>39.814814819449872</v>
      </c>
      <c r="U205" s="79"/>
      <c r="V205" s="82">
        <v>45691.452777777777</v>
      </c>
      <c r="W205" s="82">
        <v>45691.797222222223</v>
      </c>
      <c r="X205" s="103">
        <f t="shared" si="39"/>
        <v>485.66666666985839</v>
      </c>
      <c r="Y205" s="82" t="s">
        <v>1044</v>
      </c>
      <c r="Z205" s="82">
        <v>45691.422222222223</v>
      </c>
      <c r="AA205" s="82">
        <f>Z205+TIME(0,49,0)</f>
        <v>45691.456250000003</v>
      </c>
      <c r="AB205" s="81">
        <f t="shared" si="40"/>
        <v>47.979166669174447</v>
      </c>
      <c r="AC205" s="80"/>
      <c r="AD205" s="83">
        <f t="shared" si="41"/>
        <v>2.6881944444467081</v>
      </c>
      <c r="AE205" s="80">
        <v>2</v>
      </c>
      <c r="AF205" s="84">
        <f t="shared" si="42"/>
        <v>-0.68819444444670808</v>
      </c>
      <c r="AG205" s="83">
        <f t="shared" si="43"/>
        <v>64.516666666720994</v>
      </c>
      <c r="AH205" s="83">
        <f t="shared" si="44"/>
        <v>24</v>
      </c>
      <c r="AI205" s="83">
        <f t="shared" si="45"/>
        <v>40.516666666720994</v>
      </c>
      <c r="AJ205" s="83">
        <f t="shared" si="46"/>
        <v>3.8502673796739817</v>
      </c>
      <c r="AK205" s="83"/>
      <c r="AL205" s="83"/>
      <c r="AM205" s="83"/>
      <c r="AN205" s="83"/>
      <c r="AO205" s="78"/>
    </row>
    <row r="206" spans="1:41" customFormat="1" ht="15" hidden="1" x14ac:dyDescent="0.25">
      <c r="A206" s="82">
        <v>45690</v>
      </c>
      <c r="B206" s="94" t="str">
        <f t="shared" si="36"/>
        <v>February</v>
      </c>
      <c r="C206" s="78"/>
      <c r="D206" s="79" t="s">
        <v>93</v>
      </c>
      <c r="E206" s="80" t="s">
        <v>1017</v>
      </c>
      <c r="F206" s="79" t="s">
        <v>1035</v>
      </c>
      <c r="G206" s="79" t="s">
        <v>44</v>
      </c>
      <c r="H206" s="79" t="s">
        <v>452</v>
      </c>
      <c r="I206" s="79">
        <v>156</v>
      </c>
      <c r="J206" s="79" t="s">
        <v>93</v>
      </c>
      <c r="K206" s="80" t="s">
        <v>469</v>
      </c>
      <c r="L206" s="80">
        <v>690</v>
      </c>
      <c r="M206" s="80">
        <f>L206+2</f>
        <v>692</v>
      </c>
      <c r="N206" s="81">
        <f t="shared" si="47"/>
        <v>2</v>
      </c>
      <c r="O206" s="78"/>
      <c r="P206" s="82">
        <v>45691.30069444445</v>
      </c>
      <c r="Q206" s="82">
        <v>45691.323611111111</v>
      </c>
      <c r="R206" s="82">
        <v>45691.32916666667</v>
      </c>
      <c r="S206" s="81">
        <f t="shared" si="37"/>
        <v>7.9629629680615226</v>
      </c>
      <c r="T206" s="81">
        <f t="shared" si="38"/>
        <v>40.810185182635905</v>
      </c>
      <c r="U206" s="79"/>
      <c r="V206" s="82">
        <v>45689.456250000003</v>
      </c>
      <c r="W206" s="82">
        <v>45690.568749999999</v>
      </c>
      <c r="X206" s="103">
        <f t="shared" si="39"/>
        <v>1568.6249999938445</v>
      </c>
      <c r="Y206" s="82" t="s">
        <v>1039</v>
      </c>
      <c r="Z206" s="82">
        <v>45691.530555555553</v>
      </c>
      <c r="AA206" s="82">
        <f>Z206+TIME(0,56,0)</f>
        <v>45691.569444444445</v>
      </c>
      <c r="AB206" s="81">
        <f t="shared" si="40"/>
        <v>54.833333337664953</v>
      </c>
      <c r="AC206" s="80"/>
      <c r="AD206" s="83">
        <f t="shared" si="41"/>
        <v>0.20138888888322981</v>
      </c>
      <c r="AE206" s="80">
        <v>2</v>
      </c>
      <c r="AF206" s="84">
        <f t="shared" si="42"/>
        <v>1.7986111111167702</v>
      </c>
      <c r="AG206" s="83">
        <f t="shared" si="43"/>
        <v>4.8333333331975155</v>
      </c>
      <c r="AH206" s="83">
        <f t="shared" si="44"/>
        <v>0</v>
      </c>
      <c r="AI206" s="83">
        <f t="shared" si="45"/>
        <v>4.8333333331975155</v>
      </c>
      <c r="AJ206" s="83">
        <f t="shared" si="46"/>
        <v>32.275862069872474</v>
      </c>
      <c r="AK206" s="83"/>
      <c r="AL206" s="83"/>
      <c r="AM206" s="83"/>
      <c r="AN206" s="83"/>
      <c r="AO206" s="78"/>
    </row>
    <row r="207" spans="1:41" customFormat="1" ht="15" hidden="1" x14ac:dyDescent="0.25">
      <c r="A207" s="82">
        <v>45690</v>
      </c>
      <c r="B207" s="94" t="str">
        <f t="shared" si="36"/>
        <v>February</v>
      </c>
      <c r="C207" s="78"/>
      <c r="D207" s="79" t="s">
        <v>94</v>
      </c>
      <c r="E207" s="80" t="s">
        <v>1017</v>
      </c>
      <c r="F207" s="79" t="s">
        <v>1028</v>
      </c>
      <c r="G207" s="79" t="s">
        <v>45</v>
      </c>
      <c r="H207" s="79" t="s">
        <v>456</v>
      </c>
      <c r="I207" s="79">
        <v>156</v>
      </c>
      <c r="J207" s="79" t="s">
        <v>94</v>
      </c>
      <c r="K207" s="80" t="s">
        <v>469</v>
      </c>
      <c r="L207" s="80">
        <v>670</v>
      </c>
      <c r="M207" s="80">
        <f>L207+2</f>
        <v>672</v>
      </c>
      <c r="N207" s="81">
        <f t="shared" si="47"/>
        <v>2</v>
      </c>
      <c r="O207" s="78"/>
      <c r="P207" s="82">
        <v>45690.468055555553</v>
      </c>
      <c r="Q207" s="82">
        <v>45690.458333333336</v>
      </c>
      <c r="R207" s="82">
        <v>45690.495833333334</v>
      </c>
      <c r="S207" s="81">
        <f t="shared" si="37"/>
        <v>53.749999997914223</v>
      </c>
      <c r="T207" s="81">
        <f t="shared" si="38"/>
        <v>39.814814819449872</v>
      </c>
      <c r="U207" s="79"/>
      <c r="V207" s="82">
        <v>45690.594444444447</v>
      </c>
      <c r="W207" s="82">
        <v>45690.713194444441</v>
      </c>
      <c r="X207" s="103">
        <f t="shared" si="39"/>
        <v>167.43749999179272</v>
      </c>
      <c r="Y207" s="82"/>
      <c r="Z207" s="82">
        <v>45691.624305555553</v>
      </c>
      <c r="AA207" s="82">
        <f>Z207+TIME(0,49,0)</f>
        <v>45691.658333333333</v>
      </c>
      <c r="AB207" s="81">
        <f t="shared" si="40"/>
        <v>47.979166669174447</v>
      </c>
      <c r="AC207" s="80"/>
      <c r="AD207" s="83">
        <f t="shared" si="41"/>
        <v>1.1284722222189885</v>
      </c>
      <c r="AE207" s="80">
        <v>2</v>
      </c>
      <c r="AF207" s="84">
        <f t="shared" si="42"/>
        <v>0.87152777778101154</v>
      </c>
      <c r="AG207" s="83">
        <f t="shared" si="43"/>
        <v>27.083333333255723</v>
      </c>
      <c r="AH207" s="83">
        <f t="shared" si="44"/>
        <v>12</v>
      </c>
      <c r="AI207" s="83">
        <f t="shared" si="45"/>
        <v>15.083333333255723</v>
      </c>
      <c r="AJ207" s="83">
        <f t="shared" si="46"/>
        <v>10.342541436517305</v>
      </c>
      <c r="AK207" s="83"/>
      <c r="AL207" s="83"/>
      <c r="AM207" s="83"/>
      <c r="AN207" s="83"/>
      <c r="AO207" s="78"/>
    </row>
    <row r="208" spans="1:41" customFormat="1" ht="15" hidden="1" x14ac:dyDescent="0.25">
      <c r="A208" s="82">
        <v>45691</v>
      </c>
      <c r="B208" s="94" t="str">
        <f t="shared" si="36"/>
        <v>February</v>
      </c>
      <c r="C208" s="78"/>
      <c r="D208" s="79" t="s">
        <v>811</v>
      </c>
      <c r="E208" s="80" t="s">
        <v>1016</v>
      </c>
      <c r="F208" s="79" t="s">
        <v>953</v>
      </c>
      <c r="G208" s="79" t="s">
        <v>970</v>
      </c>
      <c r="H208" s="79" t="s">
        <v>983</v>
      </c>
      <c r="I208" s="79">
        <v>153.6</v>
      </c>
      <c r="J208" s="79" t="s">
        <v>811</v>
      </c>
      <c r="K208" s="80" t="s">
        <v>469</v>
      </c>
      <c r="L208" s="80">
        <v>150</v>
      </c>
      <c r="M208" s="80">
        <f>L208-1</f>
        <v>149</v>
      </c>
      <c r="N208" s="81">
        <f t="shared" si="47"/>
        <v>-1</v>
      </c>
      <c r="O208" s="78"/>
      <c r="P208" s="82">
        <v>45690.620833333327</v>
      </c>
      <c r="Q208" s="82">
        <v>45690.595138888886</v>
      </c>
      <c r="R208" s="82">
        <v>45690.648611111108</v>
      </c>
      <c r="S208" s="81">
        <f t="shared" si="37"/>
        <v>76.643518518055018</v>
      </c>
      <c r="T208" s="81">
        <f t="shared" si="38"/>
        <v>39.814814819449872</v>
      </c>
      <c r="U208" s="79"/>
      <c r="V208" s="82">
        <v>45690.463888888888</v>
      </c>
      <c r="W208" s="82">
        <v>45690.584722222222</v>
      </c>
      <c r="X208" s="103">
        <f t="shared" si="39"/>
        <v>170.37500000136788</v>
      </c>
      <c r="Y208" s="82"/>
      <c r="Z208" s="82">
        <v>45692.325694444444</v>
      </c>
      <c r="AA208" s="82">
        <v>45692.365972222222</v>
      </c>
      <c r="AB208" s="81">
        <f t="shared" si="40"/>
        <v>56.791666667122627</v>
      </c>
      <c r="AC208" s="80"/>
      <c r="AD208" s="83">
        <f t="shared" si="41"/>
        <v>1.6770833333357587</v>
      </c>
      <c r="AE208" s="80">
        <v>1</v>
      </c>
      <c r="AF208" s="84">
        <f t="shared" si="42"/>
        <v>-0.67708333333575865</v>
      </c>
      <c r="AG208" s="83">
        <f t="shared" si="43"/>
        <v>40.250000000058208</v>
      </c>
      <c r="AH208" s="83">
        <f t="shared" si="44"/>
        <v>12</v>
      </c>
      <c r="AI208" s="83">
        <f t="shared" si="45"/>
        <v>28.250000000058208</v>
      </c>
      <c r="AJ208" s="83">
        <f t="shared" si="46"/>
        <v>5.4371681415817168</v>
      </c>
      <c r="AK208" s="83"/>
      <c r="AL208" s="83"/>
      <c r="AM208" s="83"/>
      <c r="AN208" s="83"/>
      <c r="AO208" s="78"/>
    </row>
    <row r="209" spans="1:41" customFormat="1" ht="15" hidden="1" x14ac:dyDescent="0.25">
      <c r="A209" s="82">
        <v>45691</v>
      </c>
      <c r="B209" s="94" t="str">
        <f t="shared" si="36"/>
        <v>February</v>
      </c>
      <c r="C209" s="78"/>
      <c r="D209" s="79" t="s">
        <v>811</v>
      </c>
      <c r="E209" s="80" t="s">
        <v>1016</v>
      </c>
      <c r="F209" s="79" t="s">
        <v>953</v>
      </c>
      <c r="G209" s="79" t="s">
        <v>970</v>
      </c>
      <c r="H209" s="79" t="s">
        <v>982</v>
      </c>
      <c r="I209" s="79">
        <v>153.6</v>
      </c>
      <c r="J209" s="78"/>
      <c r="K209" s="80" t="s">
        <v>469</v>
      </c>
      <c r="L209" s="80">
        <v>298</v>
      </c>
      <c r="M209" s="80">
        <f>L209+1</f>
        <v>299</v>
      </c>
      <c r="N209" s="81">
        <f t="shared" si="47"/>
        <v>1</v>
      </c>
      <c r="O209" s="78"/>
      <c r="P209" s="82">
        <v>45689.652777777781</v>
      </c>
      <c r="Q209" s="82">
        <v>45689.665277777778</v>
      </c>
      <c r="R209" s="82">
        <v>45689.681250000001</v>
      </c>
      <c r="S209" s="81">
        <f t="shared" si="37"/>
        <v>22.893518520140788</v>
      </c>
      <c r="T209" s="81">
        <f t="shared" si="38"/>
        <v>40.810185182635905</v>
      </c>
      <c r="U209" s="79"/>
      <c r="V209" s="82">
        <v>45689.419444444444</v>
      </c>
      <c r="W209" s="82">
        <v>45689.626388888886</v>
      </c>
      <c r="X209" s="103">
        <f t="shared" si="39"/>
        <v>291.79166666370293</v>
      </c>
      <c r="Y209" s="82" t="s">
        <v>1044</v>
      </c>
      <c r="Z209" s="82">
        <v>45692.449305555558</v>
      </c>
      <c r="AA209" s="82">
        <f>Z209+TIME(0,82,0)</f>
        <v>45692.506249999999</v>
      </c>
      <c r="AB209" s="81">
        <f t="shared" si="40"/>
        <v>80.291666661651107</v>
      </c>
      <c r="AC209" s="80" t="s">
        <v>1674</v>
      </c>
      <c r="AD209" s="83">
        <f t="shared" si="41"/>
        <v>2.7680555555562023</v>
      </c>
      <c r="AE209" s="80">
        <v>2</v>
      </c>
      <c r="AF209" s="84">
        <f t="shared" si="42"/>
        <v>-0.76805555555620231</v>
      </c>
      <c r="AG209" s="83">
        <f t="shared" si="43"/>
        <v>66.433333333348855</v>
      </c>
      <c r="AH209" s="83">
        <f t="shared" si="44"/>
        <v>24</v>
      </c>
      <c r="AI209" s="83">
        <f t="shared" si="45"/>
        <v>42.433333333348855</v>
      </c>
      <c r="AJ209" s="83">
        <f t="shared" si="46"/>
        <v>3.6197957580505218</v>
      </c>
      <c r="AK209" s="83"/>
      <c r="AL209" s="83"/>
      <c r="AM209" s="83"/>
      <c r="AN209" s="83"/>
      <c r="AO209" s="78"/>
    </row>
    <row r="210" spans="1:41" customFormat="1" ht="15" hidden="1" x14ac:dyDescent="0.25">
      <c r="A210" s="82">
        <v>45691</v>
      </c>
      <c r="B210" s="94" t="str">
        <f t="shared" si="36"/>
        <v>February</v>
      </c>
      <c r="C210" s="78"/>
      <c r="D210" s="79" t="s">
        <v>809</v>
      </c>
      <c r="E210" s="80" t="s">
        <v>1016</v>
      </c>
      <c r="F210" s="79" t="s">
        <v>950</v>
      </c>
      <c r="G210" s="79" t="s">
        <v>967</v>
      </c>
      <c r="H210" s="79" t="s">
        <v>468</v>
      </c>
      <c r="I210" s="79">
        <v>153.6</v>
      </c>
      <c r="J210" s="79" t="s">
        <v>809</v>
      </c>
      <c r="K210" s="80" t="s">
        <v>469</v>
      </c>
      <c r="L210" s="79">
        <v>20</v>
      </c>
      <c r="M210" s="80">
        <f>L210+1</f>
        <v>21</v>
      </c>
      <c r="N210" s="81">
        <f t="shared" si="47"/>
        <v>1</v>
      </c>
      <c r="O210" s="78"/>
      <c r="P210" s="82">
        <v>45691.720138888886</v>
      </c>
      <c r="Q210" s="82">
        <v>45691.260416666664</v>
      </c>
      <c r="R210" s="82">
        <v>45691.747916666667</v>
      </c>
      <c r="S210" s="81">
        <f t="shared" si="37"/>
        <v>698.75000000417151</v>
      </c>
      <c r="T210" s="81">
        <f t="shared" si="38"/>
        <v>39.814814819449872</v>
      </c>
      <c r="U210" s="79"/>
      <c r="V210" s="82">
        <v>45692.372916666667</v>
      </c>
      <c r="W210" s="82">
        <v>45692.652083333334</v>
      </c>
      <c r="X210" s="103">
        <f t="shared" si="39"/>
        <v>393.62500000068394</v>
      </c>
      <c r="Y210" s="82" t="s">
        <v>1044</v>
      </c>
      <c r="Z210" s="82">
        <v>45692.73541666667</v>
      </c>
      <c r="AA210" s="82">
        <v>45692.774305555562</v>
      </c>
      <c r="AB210" s="81">
        <f t="shared" si="40"/>
        <v>54.833333337664953</v>
      </c>
      <c r="AC210" s="80"/>
      <c r="AD210" s="83">
        <f t="shared" si="41"/>
        <v>0.98750000000291038</v>
      </c>
      <c r="AE210" s="80">
        <v>2</v>
      </c>
      <c r="AF210" s="84">
        <f t="shared" si="42"/>
        <v>1.0124999999970896</v>
      </c>
      <c r="AG210" s="83">
        <f t="shared" si="43"/>
        <v>23.700000000069849</v>
      </c>
      <c r="AH210" s="83">
        <f t="shared" si="44"/>
        <v>0</v>
      </c>
      <c r="AI210" s="83">
        <f t="shared" si="45"/>
        <v>23.700000000069849</v>
      </c>
      <c r="AJ210" s="83">
        <f t="shared" si="46"/>
        <v>6.4810126582087468</v>
      </c>
      <c r="AK210" s="83"/>
      <c r="AL210" s="83"/>
      <c r="AM210" s="83"/>
      <c r="AN210" s="83"/>
      <c r="AO210" s="78"/>
    </row>
    <row r="211" spans="1:41" customFormat="1" ht="15" hidden="1" x14ac:dyDescent="0.25">
      <c r="A211" s="82">
        <v>45691</v>
      </c>
      <c r="B211" s="94" t="str">
        <f t="shared" si="36"/>
        <v>February</v>
      </c>
      <c r="C211" s="78"/>
      <c r="D211" s="79" t="s">
        <v>810</v>
      </c>
      <c r="E211" s="80" t="s">
        <v>1016</v>
      </c>
      <c r="F211" s="79" t="s">
        <v>952</v>
      </c>
      <c r="G211" s="79" t="s">
        <v>969</v>
      </c>
      <c r="H211" s="79" t="s">
        <v>983</v>
      </c>
      <c r="I211" s="79">
        <v>153.6</v>
      </c>
      <c r="J211" s="79" t="s">
        <v>810</v>
      </c>
      <c r="K211" s="80" t="s">
        <v>469</v>
      </c>
      <c r="L211" s="80">
        <v>150</v>
      </c>
      <c r="M211" s="80">
        <f>L211-1</f>
        <v>149</v>
      </c>
      <c r="N211" s="81">
        <f t="shared" si="47"/>
        <v>-1</v>
      </c>
      <c r="O211" s="78"/>
      <c r="P211" s="82">
        <f>R211-TIME(0,44,0)</f>
        <v>45691.823611111111</v>
      </c>
      <c r="Q211" s="82">
        <v>45691.104166666664</v>
      </c>
      <c r="R211" s="82">
        <v>45691.854166666664</v>
      </c>
      <c r="S211" s="81">
        <f t="shared" si="37"/>
        <v>1075</v>
      </c>
      <c r="T211" s="81">
        <f t="shared" si="38"/>
        <v>43.796296293051761</v>
      </c>
      <c r="U211" s="79"/>
      <c r="V211" s="82">
        <v>45691.667361111111</v>
      </c>
      <c r="W211" s="82">
        <v>45692.459027777775</v>
      </c>
      <c r="X211" s="103">
        <f t="shared" si="39"/>
        <v>1116.2499999965803</v>
      </c>
      <c r="Y211" s="82" t="s">
        <v>1049</v>
      </c>
      <c r="Z211" s="82">
        <v>45693.509722222225</v>
      </c>
      <c r="AA211" s="82">
        <f>Z211+TIME(0,78,0)</f>
        <v>45693.563888888893</v>
      </c>
      <c r="AB211" s="81">
        <f t="shared" si="40"/>
        <v>76.37500000273576</v>
      </c>
      <c r="AC211" s="80" t="s">
        <v>1676</v>
      </c>
      <c r="AD211" s="83">
        <f t="shared" si="41"/>
        <v>1.6555555555605679</v>
      </c>
      <c r="AE211" s="80">
        <v>1</v>
      </c>
      <c r="AF211" s="84">
        <f t="shared" si="42"/>
        <v>-0.65555555556056788</v>
      </c>
      <c r="AG211" s="83">
        <f t="shared" si="43"/>
        <v>39.733333333453629</v>
      </c>
      <c r="AH211" s="83">
        <f t="shared" si="44"/>
        <v>12</v>
      </c>
      <c r="AI211" s="83">
        <f t="shared" si="45"/>
        <v>27.733333333453629</v>
      </c>
      <c r="AJ211" s="83">
        <f t="shared" si="46"/>
        <v>5.5384615384375149</v>
      </c>
      <c r="AK211" s="83"/>
      <c r="AL211" s="83"/>
      <c r="AM211" s="83"/>
      <c r="AN211" s="83"/>
      <c r="AO211" s="78"/>
    </row>
    <row r="212" spans="1:41" customFormat="1" ht="15" hidden="1" x14ac:dyDescent="0.25">
      <c r="A212" s="82">
        <v>45692</v>
      </c>
      <c r="B212" s="94" t="str">
        <f t="shared" si="36"/>
        <v>February</v>
      </c>
      <c r="C212" s="78"/>
      <c r="D212" s="79" t="s">
        <v>95</v>
      </c>
      <c r="E212" s="80" t="s">
        <v>1017</v>
      </c>
      <c r="F212" s="79"/>
      <c r="G212" s="79" t="s">
        <v>46</v>
      </c>
      <c r="H212" s="79" t="s">
        <v>987</v>
      </c>
      <c r="I212" s="79">
        <v>156</v>
      </c>
      <c r="J212" s="79" t="s">
        <v>95</v>
      </c>
      <c r="K212" s="80" t="s">
        <v>469</v>
      </c>
      <c r="L212" s="79">
        <v>320</v>
      </c>
      <c r="M212" s="80">
        <f>L212-3</f>
        <v>317</v>
      </c>
      <c r="N212" s="81">
        <f t="shared" si="47"/>
        <v>-3</v>
      </c>
      <c r="O212" s="78"/>
      <c r="P212" s="82">
        <v>45691.768749999996</v>
      </c>
      <c r="Q212" s="82">
        <v>45691.176388888889</v>
      </c>
      <c r="R212" s="82">
        <v>45691.793749999997</v>
      </c>
      <c r="S212" s="81">
        <f t="shared" si="37"/>
        <v>884.88425925485592</v>
      </c>
      <c r="T212" s="81">
        <f t="shared" si="38"/>
        <v>35.833333335419105</v>
      </c>
      <c r="U212" s="79"/>
      <c r="V212" s="82">
        <v>45691.354166666664</v>
      </c>
      <c r="W212" s="82">
        <v>45691.508333333331</v>
      </c>
      <c r="X212" s="103">
        <f t="shared" si="39"/>
        <v>217.37500000068394</v>
      </c>
      <c r="Y212" s="82" t="s">
        <v>1044</v>
      </c>
      <c r="Z212" s="82">
        <v>45691.85</v>
      </c>
      <c r="AA212" s="82">
        <v>45691.886111111111</v>
      </c>
      <c r="AB212" s="81">
        <f t="shared" si="40"/>
        <v>50.916666668490507</v>
      </c>
      <c r="AC212" s="80"/>
      <c r="AD212" s="83">
        <f t="shared" si="41"/>
        <v>5.6250000001455192E-2</v>
      </c>
      <c r="AE212" s="80">
        <v>2</v>
      </c>
      <c r="AF212" s="84">
        <f t="shared" si="42"/>
        <v>1.9437499999985448</v>
      </c>
      <c r="AG212" s="83">
        <f t="shared" si="43"/>
        <v>1.3500000000349246</v>
      </c>
      <c r="AH212" s="83">
        <f t="shared" si="44"/>
        <v>0</v>
      </c>
      <c r="AI212" s="83">
        <f t="shared" si="45"/>
        <v>1.3500000000349246</v>
      </c>
      <c r="AJ212" s="83">
        <f t="shared" si="46"/>
        <v>115.55555555256612</v>
      </c>
      <c r="AK212" s="83"/>
      <c r="AL212" s="83"/>
      <c r="AM212" s="83"/>
      <c r="AN212" s="83"/>
      <c r="AO212" s="78"/>
    </row>
    <row r="213" spans="1:41" customFormat="1" ht="15" hidden="1" x14ac:dyDescent="0.25">
      <c r="A213" s="82">
        <v>45692</v>
      </c>
      <c r="B213" s="94" t="str">
        <f t="shared" si="36"/>
        <v>February</v>
      </c>
      <c r="C213" s="78"/>
      <c r="D213" s="79" t="s">
        <v>96</v>
      </c>
      <c r="E213" s="80" t="s">
        <v>1017</v>
      </c>
      <c r="F213" s="79"/>
      <c r="G213" s="79" t="s">
        <v>47</v>
      </c>
      <c r="H213" s="79" t="s">
        <v>987</v>
      </c>
      <c r="I213" s="79">
        <v>156</v>
      </c>
      <c r="J213" s="79" t="s">
        <v>96</v>
      </c>
      <c r="K213" s="80" t="s">
        <v>469</v>
      </c>
      <c r="L213" s="79">
        <v>320</v>
      </c>
      <c r="M213" s="80">
        <f>L213-262</f>
        <v>58</v>
      </c>
      <c r="N213" s="81">
        <f t="shared" si="47"/>
        <v>-262</v>
      </c>
      <c r="O213" s="78"/>
      <c r="P213" s="85">
        <v>45691.804166666669</v>
      </c>
      <c r="Q213" s="82">
        <v>45691.320833333331</v>
      </c>
      <c r="R213" s="82">
        <v>45691.82916666667</v>
      </c>
      <c r="S213" s="81">
        <f t="shared" si="37"/>
        <v>728.61111111875891</v>
      </c>
      <c r="T213" s="81">
        <f t="shared" si="38"/>
        <v>35.833333335419105</v>
      </c>
      <c r="U213" s="79"/>
      <c r="V213" s="82">
        <v>45692.506944444445</v>
      </c>
      <c r="W213" s="82">
        <v>45692.594444444447</v>
      </c>
      <c r="X213" s="103">
        <f t="shared" si="39"/>
        <v>123.37500000205182</v>
      </c>
      <c r="Y213" s="82"/>
      <c r="Z213" s="82">
        <v>45692.543749999997</v>
      </c>
      <c r="AA213" s="82">
        <f>Z213+TIME(0,55,0)</f>
        <v>45692.581944444442</v>
      </c>
      <c r="AB213" s="81">
        <f t="shared" si="40"/>
        <v>53.854166667806567</v>
      </c>
      <c r="AC213" s="80"/>
      <c r="AD213" s="83">
        <f t="shared" si="41"/>
        <v>0.7145833333270275</v>
      </c>
      <c r="AE213" s="80">
        <v>2</v>
      </c>
      <c r="AF213" s="84">
        <f t="shared" si="42"/>
        <v>1.2854166666729725</v>
      </c>
      <c r="AG213" s="83">
        <f t="shared" si="43"/>
        <v>17.14999999984866</v>
      </c>
      <c r="AH213" s="83">
        <f t="shared" si="44"/>
        <v>0</v>
      </c>
      <c r="AI213" s="83">
        <f t="shared" si="45"/>
        <v>17.14999999984866</v>
      </c>
      <c r="AJ213" s="83">
        <f t="shared" si="46"/>
        <v>9.0962099126167129</v>
      </c>
      <c r="AK213" s="83"/>
      <c r="AL213" s="83"/>
      <c r="AM213" s="83"/>
      <c r="AN213" s="83"/>
      <c r="AO213" s="78"/>
    </row>
    <row r="214" spans="1:41" customFormat="1" ht="15" hidden="1" x14ac:dyDescent="0.25">
      <c r="A214" s="82">
        <v>45692</v>
      </c>
      <c r="B214" s="94" t="str">
        <f t="shared" si="36"/>
        <v>February</v>
      </c>
      <c r="C214" s="78"/>
      <c r="D214" s="79" t="s">
        <v>97</v>
      </c>
      <c r="E214" s="80" t="s">
        <v>1017</v>
      </c>
      <c r="F214" s="79"/>
      <c r="G214" s="79" t="s">
        <v>48</v>
      </c>
      <c r="H214" s="79" t="s">
        <v>458</v>
      </c>
      <c r="I214" s="79">
        <v>156</v>
      </c>
      <c r="J214" s="79" t="s">
        <v>97</v>
      </c>
      <c r="K214" s="80" t="s">
        <v>469</v>
      </c>
      <c r="L214" s="80">
        <v>448</v>
      </c>
      <c r="M214" s="80">
        <f>L214+2</f>
        <v>450</v>
      </c>
      <c r="N214" s="81">
        <f t="shared" si="47"/>
        <v>2</v>
      </c>
      <c r="O214" s="78"/>
      <c r="P214" s="82">
        <v>45689.841666666667</v>
      </c>
      <c r="Q214" s="82">
        <v>45689.835416666669</v>
      </c>
      <c r="R214" s="82">
        <v>45689.863888888889</v>
      </c>
      <c r="S214" s="81">
        <f t="shared" si="37"/>
        <v>40.810185182635905</v>
      </c>
      <c r="T214" s="81">
        <f t="shared" si="38"/>
        <v>31.851851851388346</v>
      </c>
      <c r="U214" s="79"/>
      <c r="V214" s="82">
        <v>45692.831250000003</v>
      </c>
      <c r="W214" s="82">
        <v>45693.839583333334</v>
      </c>
      <c r="X214" s="103">
        <f t="shared" si="39"/>
        <v>1421.7499999972642</v>
      </c>
      <c r="Y214" s="82" t="s">
        <v>1047</v>
      </c>
      <c r="Z214" s="82">
        <v>45694.621527777781</v>
      </c>
      <c r="AA214" s="82">
        <v>45694.652777777781</v>
      </c>
      <c r="AB214" s="81">
        <f t="shared" si="40"/>
        <v>44.0625</v>
      </c>
      <c r="AC214" s="80"/>
      <c r="AD214" s="83">
        <f t="shared" si="41"/>
        <v>4.757638888891961</v>
      </c>
      <c r="AE214" s="80">
        <v>2</v>
      </c>
      <c r="AF214" s="84">
        <f t="shared" si="42"/>
        <v>-2.757638888891961</v>
      </c>
      <c r="AG214" s="83">
        <f t="shared" si="43"/>
        <v>114.18333333340706</v>
      </c>
      <c r="AH214" s="83">
        <f t="shared" si="44"/>
        <v>48</v>
      </c>
      <c r="AI214" s="83">
        <f t="shared" si="45"/>
        <v>66.183333333407063</v>
      </c>
      <c r="AJ214" s="83">
        <f t="shared" si="46"/>
        <v>2.3570888944823905</v>
      </c>
      <c r="AK214" s="83"/>
      <c r="AL214" s="83"/>
      <c r="AM214" s="83"/>
      <c r="AN214" s="83"/>
      <c r="AO214" s="78"/>
    </row>
    <row r="215" spans="1:41" customFormat="1" ht="15" hidden="1" x14ac:dyDescent="0.25">
      <c r="A215" s="82">
        <v>45692</v>
      </c>
      <c r="B215" s="94" t="str">
        <f t="shared" si="36"/>
        <v>February</v>
      </c>
      <c r="C215" s="78"/>
      <c r="D215" s="79" t="s">
        <v>812</v>
      </c>
      <c r="E215" s="80" t="s">
        <v>1016</v>
      </c>
      <c r="F215" s="79" t="s">
        <v>954</v>
      </c>
      <c r="G215" s="79" t="s">
        <v>971</v>
      </c>
      <c r="H215" s="79" t="s">
        <v>984</v>
      </c>
      <c r="I215" s="79">
        <v>153.6</v>
      </c>
      <c r="J215" s="79" t="s">
        <v>812</v>
      </c>
      <c r="K215" s="80" t="s">
        <v>469</v>
      </c>
      <c r="L215" s="80">
        <v>382</v>
      </c>
      <c r="M215" s="80">
        <f>L215+2</f>
        <v>384</v>
      </c>
      <c r="N215" s="81">
        <f t="shared" si="47"/>
        <v>2</v>
      </c>
      <c r="O215" s="78"/>
      <c r="P215" s="82">
        <v>45691.384722222218</v>
      </c>
      <c r="Q215" s="82">
        <v>45691.350694444445</v>
      </c>
      <c r="R215" s="82">
        <v>45691.412499999999</v>
      </c>
      <c r="S215" s="81">
        <f t="shared" si="37"/>
        <v>88.587962959718425</v>
      </c>
      <c r="T215" s="81">
        <f t="shared" si="38"/>
        <v>39.814814819449872</v>
      </c>
      <c r="U215" s="79"/>
      <c r="V215" s="82">
        <v>45692.720138888886</v>
      </c>
      <c r="W215" s="82">
        <v>45692.808333333334</v>
      </c>
      <c r="X215" s="103">
        <f t="shared" si="39"/>
        <v>124.35416667191021</v>
      </c>
      <c r="Y215" s="82"/>
      <c r="Z215" s="82">
        <v>45693.530555555553</v>
      </c>
      <c r="AA215" s="82">
        <f>Z215+TIME(0,80,0)</f>
        <v>45693.586111111108</v>
      </c>
      <c r="AB215" s="81">
        <f t="shared" si="40"/>
        <v>78.333333332193433</v>
      </c>
      <c r="AC215" s="80" t="s">
        <v>1673</v>
      </c>
      <c r="AD215" s="83">
        <f t="shared" si="41"/>
        <v>2.1180555555547471</v>
      </c>
      <c r="AE215" s="80">
        <v>2</v>
      </c>
      <c r="AF215" s="84">
        <f t="shared" si="42"/>
        <v>-0.11805555555474712</v>
      </c>
      <c r="AG215" s="83">
        <f t="shared" si="43"/>
        <v>50.833333333313931</v>
      </c>
      <c r="AH215" s="83">
        <f t="shared" si="44"/>
        <v>24</v>
      </c>
      <c r="AI215" s="83">
        <f t="shared" si="45"/>
        <v>26.833333333313931</v>
      </c>
      <c r="AJ215" s="83">
        <f t="shared" si="46"/>
        <v>5.7242236024886113</v>
      </c>
      <c r="AK215" s="83"/>
      <c r="AL215" s="83"/>
      <c r="AM215" s="83"/>
      <c r="AN215" s="83"/>
      <c r="AO215" s="78"/>
    </row>
    <row r="216" spans="1:41" customFormat="1" ht="15" hidden="1" x14ac:dyDescent="0.25">
      <c r="A216" s="82">
        <v>45692</v>
      </c>
      <c r="B216" s="94" t="str">
        <f t="shared" si="36"/>
        <v>February</v>
      </c>
      <c r="C216" s="78"/>
      <c r="D216" s="79" t="s">
        <v>813</v>
      </c>
      <c r="E216" s="80" t="s">
        <v>1016</v>
      </c>
      <c r="F216" s="79" t="s">
        <v>952</v>
      </c>
      <c r="G216" s="79" t="s">
        <v>969</v>
      </c>
      <c r="H216" s="79" t="s">
        <v>984</v>
      </c>
      <c r="I216" s="79">
        <v>153.6</v>
      </c>
      <c r="J216" s="79" t="s">
        <v>813</v>
      </c>
      <c r="K216" s="80" t="s">
        <v>469</v>
      </c>
      <c r="L216" s="80">
        <v>382</v>
      </c>
      <c r="M216" s="80">
        <f>L216-3</f>
        <v>379</v>
      </c>
      <c r="N216" s="81">
        <f t="shared" si="47"/>
        <v>-3</v>
      </c>
      <c r="O216" s="78"/>
      <c r="P216" s="82">
        <v>45690.466666666667</v>
      </c>
      <c r="Q216" s="82">
        <v>45690.488194444442</v>
      </c>
      <c r="R216" s="82">
        <v>45690.495833333334</v>
      </c>
      <c r="S216" s="81">
        <f t="shared" si="37"/>
        <v>10.949074078477375</v>
      </c>
      <c r="T216" s="81">
        <f t="shared" si="38"/>
        <v>41.805555556250816</v>
      </c>
      <c r="U216" s="79"/>
      <c r="V216" s="82">
        <v>45692.49722222222</v>
      </c>
      <c r="W216" s="82">
        <v>45692.609722222223</v>
      </c>
      <c r="X216" s="103">
        <f t="shared" si="39"/>
        <v>158.62500000410364</v>
      </c>
      <c r="Y216" s="82"/>
      <c r="Z216" s="82">
        <v>45693.599999999999</v>
      </c>
      <c r="AA216" s="82">
        <v>45693.631944444445</v>
      </c>
      <c r="AB216" s="81">
        <f t="shared" si="40"/>
        <v>45.041666669858387</v>
      </c>
      <c r="AC216" s="80"/>
      <c r="AD216" s="83">
        <f t="shared" si="41"/>
        <v>3.1041666666642413</v>
      </c>
      <c r="AE216" s="80">
        <v>2</v>
      </c>
      <c r="AF216" s="84">
        <f t="shared" si="42"/>
        <v>-1.1041666666642413</v>
      </c>
      <c r="AG216" s="83">
        <f t="shared" si="43"/>
        <v>74.499999999941792</v>
      </c>
      <c r="AH216" s="83">
        <f t="shared" si="44"/>
        <v>36</v>
      </c>
      <c r="AI216" s="83">
        <f t="shared" si="45"/>
        <v>38.499999999941792</v>
      </c>
      <c r="AJ216" s="83">
        <f t="shared" si="46"/>
        <v>3.9896103896164212</v>
      </c>
      <c r="AK216" s="83"/>
      <c r="AL216" s="83"/>
      <c r="AM216" s="83"/>
      <c r="AN216" s="83"/>
      <c r="AO216" s="78"/>
    </row>
    <row r="217" spans="1:41" customFormat="1" ht="15" hidden="1" x14ac:dyDescent="0.25">
      <c r="A217" s="82">
        <v>45693</v>
      </c>
      <c r="B217" s="94" t="str">
        <f t="shared" si="36"/>
        <v>February</v>
      </c>
      <c r="C217" s="78"/>
      <c r="D217" s="79" t="s">
        <v>98</v>
      </c>
      <c r="E217" s="80" t="s">
        <v>1017</v>
      </c>
      <c r="F217" s="79"/>
      <c r="G217" s="79" t="s">
        <v>49</v>
      </c>
      <c r="H217" s="79" t="s">
        <v>452</v>
      </c>
      <c r="I217" s="79">
        <v>156</v>
      </c>
      <c r="J217" s="79" t="s">
        <v>98</v>
      </c>
      <c r="K217" s="80" t="s">
        <v>469</v>
      </c>
      <c r="L217" s="80">
        <v>690</v>
      </c>
      <c r="M217" s="80">
        <f>L217-1</f>
        <v>689</v>
      </c>
      <c r="N217" s="81">
        <f t="shared" si="47"/>
        <v>-1</v>
      </c>
      <c r="O217" s="78"/>
      <c r="P217" s="82">
        <v>45692.790277777778</v>
      </c>
      <c r="Q217" s="82">
        <v>45692.104166666664</v>
      </c>
      <c r="R217" s="82">
        <v>45692.816666666666</v>
      </c>
      <c r="S217" s="81">
        <f t="shared" si="37"/>
        <v>1021.2500000020858</v>
      </c>
      <c r="T217" s="81">
        <f t="shared" si="38"/>
        <v>37.82407407222005</v>
      </c>
      <c r="U217" s="79"/>
      <c r="V217" s="82">
        <v>45692.49722222222</v>
      </c>
      <c r="W217" s="82">
        <v>45692.609722222223</v>
      </c>
      <c r="X217" s="103">
        <f t="shared" si="39"/>
        <v>158.62500000410364</v>
      </c>
      <c r="Y217" s="82"/>
      <c r="Z217" s="82">
        <v>45693.599999999999</v>
      </c>
      <c r="AA217" s="82">
        <f>Z217+TIME(0,79,0)</f>
        <v>45693.654861111107</v>
      </c>
      <c r="AB217" s="81">
        <f t="shared" si="40"/>
        <v>77.354166662335047</v>
      </c>
      <c r="AC217" s="80" t="s">
        <v>1674</v>
      </c>
      <c r="AD217" s="83">
        <f t="shared" si="41"/>
        <v>0.78333333333284827</v>
      </c>
      <c r="AE217" s="80">
        <v>3</v>
      </c>
      <c r="AF217" s="84">
        <f t="shared" si="42"/>
        <v>2.2166666666671517</v>
      </c>
      <c r="AG217" s="83">
        <f t="shared" si="43"/>
        <v>18.799999999988358</v>
      </c>
      <c r="AH217" s="83">
        <f t="shared" si="44"/>
        <v>0</v>
      </c>
      <c r="AI217" s="83">
        <f t="shared" si="45"/>
        <v>18.799999999988358</v>
      </c>
      <c r="AJ217" s="83">
        <f t="shared" si="46"/>
        <v>8.2978723404306702</v>
      </c>
      <c r="AK217" s="83"/>
      <c r="AL217" s="83"/>
      <c r="AM217" s="83"/>
      <c r="AN217" s="83"/>
      <c r="AO217" s="78"/>
    </row>
    <row r="218" spans="1:41" customFormat="1" ht="15" hidden="1" x14ac:dyDescent="0.25">
      <c r="A218" s="82">
        <v>45693</v>
      </c>
      <c r="B218" s="94" t="str">
        <f t="shared" si="36"/>
        <v>February</v>
      </c>
      <c r="C218" s="78"/>
      <c r="D218" s="79" t="s">
        <v>99</v>
      </c>
      <c r="E218" s="80" t="s">
        <v>1017</v>
      </c>
      <c r="F218" s="79" t="s">
        <v>1031</v>
      </c>
      <c r="G218" s="79" t="s">
        <v>50</v>
      </c>
      <c r="H218" s="79" t="s">
        <v>987</v>
      </c>
      <c r="I218" s="79">
        <v>156</v>
      </c>
      <c r="J218" s="79" t="s">
        <v>99</v>
      </c>
      <c r="K218" s="80" t="s">
        <v>469</v>
      </c>
      <c r="L218" s="79">
        <v>320</v>
      </c>
      <c r="M218" s="80">
        <f>L218-1</f>
        <v>319</v>
      </c>
      <c r="N218" s="81">
        <f t="shared" si="47"/>
        <v>-1</v>
      </c>
      <c r="O218" s="78"/>
      <c r="P218" s="82">
        <v>45692.728472222225</v>
      </c>
      <c r="Q218" s="82">
        <v>45692.179861111108</v>
      </c>
      <c r="R218" s="82">
        <v>45692.756944444445</v>
      </c>
      <c r="S218" s="81">
        <f t="shared" si="37"/>
        <v>827.15277778333984</v>
      </c>
      <c r="T218" s="81">
        <f t="shared" si="38"/>
        <v>40.810185182635905</v>
      </c>
      <c r="U218" s="79"/>
      <c r="V218" s="82">
        <v>45692.720138888886</v>
      </c>
      <c r="W218" s="82">
        <v>45692.82916666667</v>
      </c>
      <c r="X218" s="103">
        <f t="shared" si="39"/>
        <v>153.72916667532991</v>
      </c>
      <c r="Y218" s="82"/>
      <c r="Z218" s="82">
        <v>45693.530555555553</v>
      </c>
      <c r="AA218" s="82">
        <v>45693.569444444445</v>
      </c>
      <c r="AB218" s="81">
        <f t="shared" si="40"/>
        <v>54.833333337664953</v>
      </c>
      <c r="AC218" s="80"/>
      <c r="AD218" s="83">
        <f t="shared" si="41"/>
        <v>0.77361111110803904</v>
      </c>
      <c r="AE218" s="80">
        <v>2</v>
      </c>
      <c r="AF218" s="84">
        <f t="shared" si="42"/>
        <v>1.226388888891961</v>
      </c>
      <c r="AG218" s="83">
        <f t="shared" si="43"/>
        <v>18.566666666592937</v>
      </c>
      <c r="AH218" s="83">
        <f t="shared" si="44"/>
        <v>0</v>
      </c>
      <c r="AI218" s="83">
        <f t="shared" si="45"/>
        <v>18.566666666592937</v>
      </c>
      <c r="AJ218" s="83">
        <f t="shared" si="46"/>
        <v>8.4021543985970997</v>
      </c>
      <c r="AK218" s="83"/>
      <c r="AL218" s="83"/>
      <c r="AM218" s="83"/>
      <c r="AN218" s="83"/>
      <c r="AO218" s="78"/>
    </row>
    <row r="219" spans="1:41" customFormat="1" ht="15" hidden="1" x14ac:dyDescent="0.25">
      <c r="A219" s="82">
        <v>45693</v>
      </c>
      <c r="B219" s="94" t="str">
        <f t="shared" si="36"/>
        <v>February</v>
      </c>
      <c r="C219" s="78"/>
      <c r="D219" s="79" t="s">
        <v>100</v>
      </c>
      <c r="E219" s="80" t="s">
        <v>1017</v>
      </c>
      <c r="F219" s="79" t="s">
        <v>1026</v>
      </c>
      <c r="G219" s="79" t="s">
        <v>51</v>
      </c>
      <c r="H219" s="79" t="s">
        <v>459</v>
      </c>
      <c r="I219" s="79">
        <v>156</v>
      </c>
      <c r="J219" s="79" t="s">
        <v>100</v>
      </c>
      <c r="K219" s="80" t="s">
        <v>469</v>
      </c>
      <c r="L219" s="80">
        <v>560</v>
      </c>
      <c r="M219" s="80">
        <f>L219-1</f>
        <v>559</v>
      </c>
      <c r="N219" s="81">
        <f t="shared" si="47"/>
        <v>-1</v>
      </c>
      <c r="O219" s="78"/>
      <c r="P219" s="82">
        <f>R219-TIME(0,43,0)</f>
        <v>45693.579166666663</v>
      </c>
      <c r="Q219" s="82">
        <v>45693.543055555558</v>
      </c>
      <c r="R219" s="82">
        <v>45693.609027777777</v>
      </c>
      <c r="S219" s="81">
        <f t="shared" si="37"/>
        <v>94.560185180550135</v>
      </c>
      <c r="T219" s="81">
        <f t="shared" si="38"/>
        <v>42.80092592986572</v>
      </c>
      <c r="U219" s="79"/>
      <c r="V219" s="82">
        <v>45694.379861111112</v>
      </c>
      <c r="W219" s="82">
        <v>45694.475694444445</v>
      </c>
      <c r="X219" s="103">
        <f t="shared" si="39"/>
        <v>135.12499999931606</v>
      </c>
      <c r="Y219" s="82"/>
      <c r="Z219" s="82">
        <v>45695.646527777775</v>
      </c>
      <c r="AA219" s="82">
        <f>Z219+TIME(0,53,0)</f>
        <v>45695.683333333334</v>
      </c>
      <c r="AB219" s="81">
        <f t="shared" si="40"/>
        <v>51.895833338348893</v>
      </c>
      <c r="AC219" s="80"/>
      <c r="AD219" s="83">
        <f t="shared" si="41"/>
        <v>2.0374999999985448</v>
      </c>
      <c r="AE219" s="80">
        <v>3</v>
      </c>
      <c r="AF219" s="84">
        <f t="shared" si="42"/>
        <v>0.96250000000145519</v>
      </c>
      <c r="AG219" s="83">
        <f t="shared" si="43"/>
        <v>48.899999999965075</v>
      </c>
      <c r="AH219" s="83">
        <f t="shared" si="44"/>
        <v>24</v>
      </c>
      <c r="AI219" s="83">
        <f t="shared" si="45"/>
        <v>24.899999999965075</v>
      </c>
      <c r="AJ219" s="83">
        <f t="shared" si="46"/>
        <v>6.2650602409726428</v>
      </c>
      <c r="AK219" s="83"/>
      <c r="AL219" s="83"/>
      <c r="AM219" s="83"/>
      <c r="AN219" s="83"/>
      <c r="AO219" s="78"/>
    </row>
    <row r="220" spans="1:41" customFormat="1" ht="15" hidden="1" x14ac:dyDescent="0.25">
      <c r="A220" s="82">
        <v>45693</v>
      </c>
      <c r="B220" s="94" t="str">
        <f t="shared" si="36"/>
        <v>February</v>
      </c>
      <c r="C220" s="78"/>
      <c r="D220" s="79" t="s">
        <v>101</v>
      </c>
      <c r="E220" s="80" t="s">
        <v>1017</v>
      </c>
      <c r="F220" s="79" t="s">
        <v>1014</v>
      </c>
      <c r="G220" s="79" t="s">
        <v>52</v>
      </c>
      <c r="H220" s="79" t="s">
        <v>450</v>
      </c>
      <c r="I220" s="79">
        <v>156</v>
      </c>
      <c r="J220" s="79" t="s">
        <v>101</v>
      </c>
      <c r="K220" s="80" t="s">
        <v>469</v>
      </c>
      <c r="L220" s="80">
        <v>288</v>
      </c>
      <c r="M220" s="80">
        <f>L220+2</f>
        <v>290</v>
      </c>
      <c r="N220" s="81">
        <f t="shared" si="47"/>
        <v>2</v>
      </c>
      <c r="O220" s="78"/>
      <c r="P220" s="82">
        <f>R220-TIME(0,37,0)</f>
        <v>45693.545138888891</v>
      </c>
      <c r="Q220" s="82">
        <v>45693.540972222218</v>
      </c>
      <c r="R220" s="82">
        <v>45693.570833333331</v>
      </c>
      <c r="S220" s="81">
        <f t="shared" si="37"/>
        <v>42.80092592986572</v>
      </c>
      <c r="T220" s="81">
        <f t="shared" si="38"/>
        <v>36.828703698605146</v>
      </c>
      <c r="U220" s="79"/>
      <c r="V220" s="82">
        <v>45693.923611111109</v>
      </c>
      <c r="W220" s="82">
        <v>45694.43472222222</v>
      </c>
      <c r="X220" s="103">
        <f t="shared" si="39"/>
        <v>720.66666666643869</v>
      </c>
      <c r="Y220" s="82" t="s">
        <v>1049</v>
      </c>
      <c r="Z220" s="82">
        <v>45695.524305555555</v>
      </c>
      <c r="AA220" s="82">
        <v>45695.561111111114</v>
      </c>
      <c r="AB220" s="81">
        <f t="shared" si="40"/>
        <v>51.895833338348893</v>
      </c>
      <c r="AC220" s="80"/>
      <c r="AD220" s="83">
        <f t="shared" si="41"/>
        <v>1.953472222223354</v>
      </c>
      <c r="AE220" s="80">
        <v>2</v>
      </c>
      <c r="AF220" s="84">
        <f t="shared" si="42"/>
        <v>4.6527777776645962E-2</v>
      </c>
      <c r="AG220" s="83">
        <f t="shared" si="43"/>
        <v>46.883333333360497</v>
      </c>
      <c r="AH220" s="83">
        <f t="shared" si="44"/>
        <v>12</v>
      </c>
      <c r="AI220" s="83">
        <f t="shared" si="45"/>
        <v>34.883333333360497</v>
      </c>
      <c r="AJ220" s="83">
        <f t="shared" si="46"/>
        <v>4.4720496894375117</v>
      </c>
      <c r="AK220" s="83"/>
      <c r="AL220" s="83"/>
      <c r="AM220" s="83"/>
      <c r="AN220" s="83"/>
      <c r="AO220" s="78"/>
    </row>
    <row r="221" spans="1:41" customFormat="1" ht="15" hidden="1" x14ac:dyDescent="0.25">
      <c r="A221" s="82">
        <v>45693</v>
      </c>
      <c r="B221" s="94" t="str">
        <f t="shared" si="36"/>
        <v>February</v>
      </c>
      <c r="C221" s="78"/>
      <c r="D221" s="79" t="s">
        <v>102</v>
      </c>
      <c r="E221" s="80" t="s">
        <v>1017</v>
      </c>
      <c r="F221" s="79" t="s">
        <v>1034</v>
      </c>
      <c r="G221" s="79" t="s">
        <v>53</v>
      </c>
      <c r="H221" s="79" t="s">
        <v>987</v>
      </c>
      <c r="I221" s="79">
        <v>156</v>
      </c>
      <c r="J221" s="79" t="s">
        <v>102</v>
      </c>
      <c r="K221" s="80" t="s">
        <v>469</v>
      </c>
      <c r="L221" s="79">
        <v>320</v>
      </c>
      <c r="M221" s="80">
        <f>L221+1</f>
        <v>321</v>
      </c>
      <c r="N221" s="81">
        <f t="shared" si="47"/>
        <v>1</v>
      </c>
      <c r="O221" s="78"/>
      <c r="P221" s="82">
        <v>45693.529166666667</v>
      </c>
      <c r="Q221" s="82">
        <v>45693.529861111114</v>
      </c>
      <c r="R221" s="82">
        <v>45693.558333333334</v>
      </c>
      <c r="S221" s="81">
        <f t="shared" si="37"/>
        <v>40.810185182635905</v>
      </c>
      <c r="T221" s="81">
        <f t="shared" si="38"/>
        <v>41.805555556250816</v>
      </c>
      <c r="U221" s="79"/>
      <c r="V221" s="82">
        <v>45693.790277777778</v>
      </c>
      <c r="W221" s="82">
        <v>45694.540277777778</v>
      </c>
      <c r="X221" s="103">
        <f t="shared" si="39"/>
        <v>1057.5</v>
      </c>
      <c r="Y221" s="82" t="s">
        <v>1046</v>
      </c>
      <c r="Z221" s="82">
        <v>45695.524305555555</v>
      </c>
      <c r="AA221" s="82">
        <f>Z221+TIME(0,48,0)</f>
        <v>45695.557638888888</v>
      </c>
      <c r="AB221" s="81">
        <f t="shared" si="40"/>
        <v>46.99999999931606</v>
      </c>
      <c r="AC221" s="80"/>
      <c r="AD221" s="83">
        <f t="shared" si="41"/>
        <v>1.9659722222204437</v>
      </c>
      <c r="AE221" s="80">
        <v>2</v>
      </c>
      <c r="AF221" s="84">
        <f t="shared" si="42"/>
        <v>3.4027777779556345E-2</v>
      </c>
      <c r="AG221" s="83">
        <f t="shared" si="43"/>
        <v>47.183333333290648</v>
      </c>
      <c r="AH221" s="83">
        <f t="shared" si="44"/>
        <v>12</v>
      </c>
      <c r="AI221" s="83">
        <f t="shared" si="45"/>
        <v>35.183333333290648</v>
      </c>
      <c r="AJ221" s="83">
        <f t="shared" si="46"/>
        <v>4.4339175746145694</v>
      </c>
      <c r="AK221" s="83"/>
      <c r="AL221" s="83"/>
      <c r="AM221" s="83"/>
      <c r="AN221" s="83"/>
      <c r="AO221" s="78"/>
    </row>
    <row r="222" spans="1:41" customFormat="1" ht="15" hidden="1" x14ac:dyDescent="0.25">
      <c r="A222" s="82">
        <v>45693</v>
      </c>
      <c r="B222" s="94" t="str">
        <f t="shared" si="36"/>
        <v>February</v>
      </c>
      <c r="C222" s="78"/>
      <c r="D222" s="79" t="s">
        <v>103</v>
      </c>
      <c r="E222" s="80" t="s">
        <v>1017</v>
      </c>
      <c r="F222" s="79" t="s">
        <v>1025</v>
      </c>
      <c r="G222" s="79" t="s">
        <v>54</v>
      </c>
      <c r="H222" s="79" t="s">
        <v>458</v>
      </c>
      <c r="I222" s="79">
        <v>156</v>
      </c>
      <c r="J222" s="79" t="s">
        <v>103</v>
      </c>
      <c r="K222" s="80" t="s">
        <v>469</v>
      </c>
      <c r="L222" s="80">
        <v>448</v>
      </c>
      <c r="M222" s="80">
        <f>L222-3</f>
        <v>445</v>
      </c>
      <c r="N222" s="81">
        <f t="shared" si="47"/>
        <v>-3</v>
      </c>
      <c r="O222" s="78"/>
      <c r="P222" s="82">
        <v>45693.512499999997</v>
      </c>
      <c r="Q222" s="82">
        <v>45693.504166666666</v>
      </c>
      <c r="R222" s="82">
        <v>45693.541666666664</v>
      </c>
      <c r="S222" s="81">
        <f t="shared" si="37"/>
        <v>53.749999997914223</v>
      </c>
      <c r="T222" s="81">
        <f t="shared" si="38"/>
        <v>41.805555556250816</v>
      </c>
      <c r="U222" s="79"/>
      <c r="V222" s="82">
        <v>45693.69027777778</v>
      </c>
      <c r="W222" s="82">
        <v>45693.818749999999</v>
      </c>
      <c r="X222" s="103">
        <f t="shared" si="39"/>
        <v>181.14583332877373</v>
      </c>
      <c r="Y222" s="82" t="s">
        <v>1044</v>
      </c>
      <c r="Z222" s="82">
        <v>45693.907638888886</v>
      </c>
      <c r="AA222" s="82">
        <f>Z222+TIME(0,56,0)</f>
        <v>45693.946527777778</v>
      </c>
      <c r="AB222" s="81">
        <f t="shared" si="40"/>
        <v>54.833333337664953</v>
      </c>
      <c r="AC222" s="80"/>
      <c r="AD222" s="83">
        <f t="shared" si="41"/>
        <v>0.36597222222189885</v>
      </c>
      <c r="AE222" s="80">
        <v>2</v>
      </c>
      <c r="AF222" s="84">
        <f t="shared" si="42"/>
        <v>1.6340277777781012</v>
      </c>
      <c r="AG222" s="83">
        <f t="shared" si="43"/>
        <v>8.7833333333255723</v>
      </c>
      <c r="AH222" s="83">
        <f t="shared" si="44"/>
        <v>0</v>
      </c>
      <c r="AI222" s="83">
        <f t="shared" si="45"/>
        <v>8.7833333333255723</v>
      </c>
      <c r="AJ222" s="83">
        <f t="shared" si="46"/>
        <v>17.760910815954972</v>
      </c>
      <c r="AK222" s="83"/>
      <c r="AL222" s="83"/>
      <c r="AM222" s="83"/>
      <c r="AN222" s="83"/>
      <c r="AO222" s="78"/>
    </row>
    <row r="223" spans="1:41" customFormat="1" ht="15" hidden="1" x14ac:dyDescent="0.25">
      <c r="A223" s="82">
        <v>45693</v>
      </c>
      <c r="B223" s="94" t="str">
        <f t="shared" si="36"/>
        <v>February</v>
      </c>
      <c r="C223" s="78"/>
      <c r="D223" s="79" t="s">
        <v>104</v>
      </c>
      <c r="E223" s="80" t="s">
        <v>1017</v>
      </c>
      <c r="F223" s="79" t="s">
        <v>1030</v>
      </c>
      <c r="G223" s="79" t="s">
        <v>55</v>
      </c>
      <c r="H223" s="79" t="s">
        <v>455</v>
      </c>
      <c r="I223" s="79">
        <v>156</v>
      </c>
      <c r="J223" s="79" t="s">
        <v>104</v>
      </c>
      <c r="K223" s="80" t="s">
        <v>469</v>
      </c>
      <c r="L223" s="80">
        <v>580</v>
      </c>
      <c r="M223" s="80">
        <f>L223+2</f>
        <v>582</v>
      </c>
      <c r="N223" s="81">
        <f t="shared" si="47"/>
        <v>2</v>
      </c>
      <c r="O223" s="78"/>
      <c r="P223" s="82">
        <v>45693.726388888892</v>
      </c>
      <c r="Q223" s="82">
        <v>45693.699305555558</v>
      </c>
      <c r="R223" s="82">
        <v>45693.75277777778</v>
      </c>
      <c r="S223" s="81">
        <f t="shared" si="37"/>
        <v>76.643518518055018</v>
      </c>
      <c r="T223" s="81">
        <f t="shared" si="38"/>
        <v>37.82407407222005</v>
      </c>
      <c r="U223" s="79"/>
      <c r="V223" s="82">
        <v>45694.456250000003</v>
      </c>
      <c r="W223" s="82">
        <v>45694.771527777775</v>
      </c>
      <c r="X223" s="103">
        <f t="shared" si="39"/>
        <v>444.54166665891535</v>
      </c>
      <c r="Y223" s="82" t="s">
        <v>1050</v>
      </c>
      <c r="Z223" s="82">
        <v>45695.656944444447</v>
      </c>
      <c r="AA223" s="82">
        <f>Z223+TIME(0,60,0)</f>
        <v>45695.698611111111</v>
      </c>
      <c r="AB223" s="81">
        <f t="shared" si="40"/>
        <v>58.7499999965803</v>
      </c>
      <c r="AC223" s="80"/>
      <c r="AD223" s="83">
        <f t="shared" si="41"/>
        <v>1.9041666666671517</v>
      </c>
      <c r="AE223" s="80">
        <v>2</v>
      </c>
      <c r="AF223" s="84">
        <f t="shared" si="42"/>
        <v>9.5833333332848269E-2</v>
      </c>
      <c r="AG223" s="83">
        <f t="shared" si="43"/>
        <v>45.700000000011642</v>
      </c>
      <c r="AH223" s="83">
        <f t="shared" si="44"/>
        <v>12</v>
      </c>
      <c r="AI223" s="83">
        <f t="shared" si="45"/>
        <v>33.700000000011642</v>
      </c>
      <c r="AJ223" s="83">
        <f t="shared" si="46"/>
        <v>4.6290801186927633</v>
      </c>
      <c r="AK223" s="83"/>
      <c r="AL223" s="83"/>
      <c r="AM223" s="83"/>
      <c r="AN223" s="83"/>
      <c r="AO223" s="78"/>
    </row>
    <row r="224" spans="1:41" customFormat="1" ht="15" hidden="1" x14ac:dyDescent="0.25">
      <c r="A224" s="82">
        <v>45693</v>
      </c>
      <c r="B224" s="94" t="str">
        <f t="shared" si="36"/>
        <v>February</v>
      </c>
      <c r="C224" s="78"/>
      <c r="D224" s="79" t="s">
        <v>814</v>
      </c>
      <c r="E224" s="80" t="s">
        <v>1016</v>
      </c>
      <c r="F224" s="79" t="s">
        <v>950</v>
      </c>
      <c r="G224" s="79" t="s">
        <v>967</v>
      </c>
      <c r="H224" s="79" t="s">
        <v>985</v>
      </c>
      <c r="I224" s="79">
        <v>153.6</v>
      </c>
      <c r="J224" s="79" t="s">
        <v>814</v>
      </c>
      <c r="K224" s="80" t="s">
        <v>469</v>
      </c>
      <c r="L224" s="80">
        <v>690</v>
      </c>
      <c r="M224" s="80">
        <f>L224-1</f>
        <v>689</v>
      </c>
      <c r="N224" s="81">
        <f t="shared" si="47"/>
        <v>-1</v>
      </c>
      <c r="O224" s="78"/>
      <c r="P224" s="82">
        <f>R224-TIME(0,43,0)</f>
        <v>45693.497916666667</v>
      </c>
      <c r="Q224" s="82">
        <v>45693.499305555561</v>
      </c>
      <c r="R224" s="82">
        <v>45693.527777777781</v>
      </c>
      <c r="S224" s="81">
        <f t="shared" si="37"/>
        <v>40.810185182635905</v>
      </c>
      <c r="T224" s="81">
        <f t="shared" si="38"/>
        <v>42.80092592986572</v>
      </c>
      <c r="U224" s="79"/>
      <c r="V224" s="82">
        <v>45694.470138888886</v>
      </c>
      <c r="W224" s="82">
        <v>45694.709027777775</v>
      </c>
      <c r="X224" s="103">
        <f t="shared" si="39"/>
        <v>336.83333333356131</v>
      </c>
      <c r="Y224" s="82" t="s">
        <v>1045</v>
      </c>
      <c r="Z224" s="82">
        <v>45696.45416666667</v>
      </c>
      <c r="AA224" s="82">
        <v>45696.494444444448</v>
      </c>
      <c r="AB224" s="81">
        <f t="shared" si="40"/>
        <v>56.791666667122627</v>
      </c>
      <c r="AC224" s="80"/>
      <c r="AD224" s="83">
        <f t="shared" si="41"/>
        <v>2.9263888888890506</v>
      </c>
      <c r="AE224" s="80">
        <v>2</v>
      </c>
      <c r="AF224" s="84">
        <f t="shared" si="42"/>
        <v>-0.92638888888905058</v>
      </c>
      <c r="AG224" s="83">
        <f t="shared" si="43"/>
        <v>70.233333333337214</v>
      </c>
      <c r="AH224" s="83">
        <f t="shared" si="44"/>
        <v>24</v>
      </c>
      <c r="AI224" s="83">
        <f t="shared" si="45"/>
        <v>46.233333333337214</v>
      </c>
      <c r="AJ224" s="83">
        <f t="shared" si="46"/>
        <v>3.3222782984856618</v>
      </c>
      <c r="AK224" s="83"/>
      <c r="AL224" s="83"/>
      <c r="AM224" s="83"/>
      <c r="AN224" s="83"/>
      <c r="AO224" s="78"/>
    </row>
    <row r="225" spans="1:41" customFormat="1" ht="15" hidden="1" x14ac:dyDescent="0.25">
      <c r="A225" s="82">
        <v>45693</v>
      </c>
      <c r="B225" s="94" t="str">
        <f t="shared" si="36"/>
        <v>February</v>
      </c>
      <c r="C225" s="78"/>
      <c r="D225" s="79" t="s">
        <v>815</v>
      </c>
      <c r="E225" s="80" t="s">
        <v>1016</v>
      </c>
      <c r="F225" s="79" t="s">
        <v>955</v>
      </c>
      <c r="G225" s="79" t="s">
        <v>972</v>
      </c>
      <c r="H225" s="79" t="s">
        <v>459</v>
      </c>
      <c r="I225" s="79">
        <v>153.6</v>
      </c>
      <c r="J225" s="79" t="s">
        <v>815</v>
      </c>
      <c r="K225" s="80" t="s">
        <v>469</v>
      </c>
      <c r="L225" s="80">
        <v>560</v>
      </c>
      <c r="M225" s="80">
        <f>L225+1</f>
        <v>561</v>
      </c>
      <c r="N225" s="81">
        <f t="shared" si="47"/>
        <v>1</v>
      </c>
      <c r="O225" s="78"/>
      <c r="P225" s="82">
        <v>45692.571527777778</v>
      </c>
      <c r="Q225" s="82">
        <v>45692.588888888888</v>
      </c>
      <c r="R225" s="82">
        <v>45692.600694444445</v>
      </c>
      <c r="S225" s="81">
        <f t="shared" si="37"/>
        <v>16.921296299309081</v>
      </c>
      <c r="T225" s="81">
        <f t="shared" si="38"/>
        <v>41.805555556250816</v>
      </c>
      <c r="U225" s="79"/>
      <c r="V225" s="82">
        <v>45694.481944444444</v>
      </c>
      <c r="W225" s="82">
        <v>45694.69027777778</v>
      </c>
      <c r="X225" s="103">
        <f t="shared" si="39"/>
        <v>293.7500000034197</v>
      </c>
      <c r="Y225" s="82" t="s">
        <v>1044</v>
      </c>
      <c r="Z225" s="82">
        <v>45695.609722222223</v>
      </c>
      <c r="AA225" s="82">
        <v>45695.646527777782</v>
      </c>
      <c r="AB225" s="81">
        <f t="shared" si="40"/>
        <v>51.895833338348893</v>
      </c>
      <c r="AC225" s="80"/>
      <c r="AD225" s="83">
        <f t="shared" si="41"/>
        <v>3.0090277777781012</v>
      </c>
      <c r="AE225" s="80">
        <v>2</v>
      </c>
      <c r="AF225" s="84">
        <f t="shared" si="42"/>
        <v>-1.0090277777781012</v>
      </c>
      <c r="AG225" s="83">
        <f t="shared" si="43"/>
        <v>72.216666666674428</v>
      </c>
      <c r="AH225" s="83">
        <f t="shared" si="44"/>
        <v>36</v>
      </c>
      <c r="AI225" s="83">
        <f t="shared" si="45"/>
        <v>36.216666666674428</v>
      </c>
      <c r="AJ225" s="83">
        <f t="shared" si="46"/>
        <v>4.2411412793364125</v>
      </c>
      <c r="AK225" s="83"/>
      <c r="AL225" s="83"/>
      <c r="AM225" s="83"/>
      <c r="AN225" s="83"/>
      <c r="AO225" s="78"/>
    </row>
    <row r="226" spans="1:41" customFormat="1" ht="15" hidden="1" x14ac:dyDescent="0.25">
      <c r="A226" s="82">
        <v>45693</v>
      </c>
      <c r="B226" s="94" t="str">
        <f t="shared" si="36"/>
        <v>February</v>
      </c>
      <c r="C226" s="78"/>
      <c r="D226" s="79" t="s">
        <v>816</v>
      </c>
      <c r="E226" s="80" t="s">
        <v>1016</v>
      </c>
      <c r="F226" s="79" t="s">
        <v>956</v>
      </c>
      <c r="G226" s="79" t="s">
        <v>973</v>
      </c>
      <c r="H226" s="79" t="s">
        <v>985</v>
      </c>
      <c r="I226" s="79">
        <v>153.6</v>
      </c>
      <c r="J226" s="79" t="s">
        <v>816</v>
      </c>
      <c r="K226" s="80" t="s">
        <v>469</v>
      </c>
      <c r="L226" s="80">
        <v>690</v>
      </c>
      <c r="M226" s="80">
        <f>L226+2</f>
        <v>692</v>
      </c>
      <c r="N226" s="81">
        <f t="shared" si="47"/>
        <v>2</v>
      </c>
      <c r="O226" s="78"/>
      <c r="P226" s="82">
        <f>R226-TIME(0,41,0)</f>
        <v>45693.336805555555</v>
      </c>
      <c r="Q226" s="82">
        <v>45693.303472222222</v>
      </c>
      <c r="R226" s="82">
        <v>45693.365277777775</v>
      </c>
      <c r="S226" s="81">
        <f t="shared" si="37"/>
        <v>88.587962959718425</v>
      </c>
      <c r="T226" s="81">
        <f t="shared" si="38"/>
        <v>40.810185182635905</v>
      </c>
      <c r="U226" s="79"/>
      <c r="V226" s="82">
        <v>45694.648611111108</v>
      </c>
      <c r="W226" s="82">
        <v>45695.356249999997</v>
      </c>
      <c r="X226" s="103">
        <f t="shared" si="39"/>
        <v>997.77083333356131</v>
      </c>
      <c r="Y226" s="82" t="s">
        <v>1051</v>
      </c>
      <c r="Z226" s="82">
        <v>45696.620833333334</v>
      </c>
      <c r="AA226" s="82">
        <f>Z226+TIME(0,52,0)</f>
        <v>45696.656944444447</v>
      </c>
      <c r="AB226" s="81">
        <f t="shared" si="40"/>
        <v>50.916666668490507</v>
      </c>
      <c r="AC226" s="80"/>
      <c r="AD226" s="83">
        <f t="shared" si="41"/>
        <v>3.2555555555591127</v>
      </c>
      <c r="AE226" s="80">
        <v>2</v>
      </c>
      <c r="AF226" s="84">
        <f t="shared" si="42"/>
        <v>-1.2555555555591127</v>
      </c>
      <c r="AG226" s="83">
        <f t="shared" si="43"/>
        <v>78.133333333418705</v>
      </c>
      <c r="AH226" s="83">
        <f t="shared" si="44"/>
        <v>36</v>
      </c>
      <c r="AI226" s="83">
        <f t="shared" si="45"/>
        <v>42.133333333418705</v>
      </c>
      <c r="AJ226" s="83">
        <f t="shared" si="46"/>
        <v>3.6455696202457779</v>
      </c>
      <c r="AK226" s="83"/>
      <c r="AL226" s="83"/>
      <c r="AM226" s="83"/>
      <c r="AN226" s="83"/>
      <c r="AO226" s="78"/>
    </row>
    <row r="227" spans="1:41" customFormat="1" ht="15" hidden="1" x14ac:dyDescent="0.25">
      <c r="A227" s="82">
        <v>45693</v>
      </c>
      <c r="B227" s="94" t="str">
        <f t="shared" si="36"/>
        <v>February</v>
      </c>
      <c r="C227" s="78"/>
      <c r="D227" s="79" t="s">
        <v>817</v>
      </c>
      <c r="E227" s="80" t="s">
        <v>1016</v>
      </c>
      <c r="F227" s="79" t="s">
        <v>957</v>
      </c>
      <c r="G227" s="79" t="s">
        <v>974</v>
      </c>
      <c r="H227" s="79" t="s">
        <v>986</v>
      </c>
      <c r="I227" s="79">
        <v>153.6</v>
      </c>
      <c r="J227" s="79" t="s">
        <v>817</v>
      </c>
      <c r="K227" s="80" t="s">
        <v>469</v>
      </c>
      <c r="L227" s="79">
        <v>350</v>
      </c>
      <c r="M227" s="80">
        <f>L227+2</f>
        <v>352</v>
      </c>
      <c r="N227" s="81">
        <f t="shared" si="47"/>
        <v>2</v>
      </c>
      <c r="O227" s="78"/>
      <c r="P227" s="82">
        <v>45693.579861111109</v>
      </c>
      <c r="Q227" s="82">
        <v>45692.833333333336</v>
      </c>
      <c r="R227" s="82">
        <v>45693.609027777777</v>
      </c>
      <c r="S227" s="81">
        <f t="shared" si="37"/>
        <v>1111.8287036986051</v>
      </c>
      <c r="T227" s="81">
        <f t="shared" si="38"/>
        <v>41.805555556250816</v>
      </c>
      <c r="U227" s="79"/>
      <c r="V227" s="82">
        <v>45699.414583333331</v>
      </c>
      <c r="W227" s="82">
        <v>45699.549305555556</v>
      </c>
      <c r="X227" s="103">
        <f t="shared" si="39"/>
        <v>189.95833333698101</v>
      </c>
      <c r="Y227" s="82" t="s">
        <v>1066</v>
      </c>
      <c r="Z227" s="82">
        <v>45693.907638888886</v>
      </c>
      <c r="AA227" s="82">
        <f>Z227+TIME(0,57,0)</f>
        <v>45693.947222222218</v>
      </c>
      <c r="AB227" s="81">
        <f t="shared" si="40"/>
        <v>55.81249999726424</v>
      </c>
      <c r="AC227" s="80"/>
      <c r="AD227" s="83">
        <f t="shared" si="41"/>
        <v>0.29861111110949423</v>
      </c>
      <c r="AE227" s="80">
        <v>2</v>
      </c>
      <c r="AF227" s="84">
        <f t="shared" si="42"/>
        <v>1.7013888888905058</v>
      </c>
      <c r="AG227" s="83">
        <f t="shared" si="43"/>
        <v>7.1666666666278616</v>
      </c>
      <c r="AH227" s="83">
        <f t="shared" si="44"/>
        <v>0</v>
      </c>
      <c r="AI227" s="83">
        <f t="shared" si="45"/>
        <v>7.1666666666278616</v>
      </c>
      <c r="AJ227" s="83">
        <f t="shared" si="46"/>
        <v>21.432558139650933</v>
      </c>
      <c r="AK227" s="83"/>
      <c r="AL227" s="83"/>
      <c r="AM227" s="83"/>
      <c r="AN227" s="83"/>
      <c r="AO227" s="78"/>
    </row>
    <row r="228" spans="1:41" customFormat="1" ht="15" hidden="1" x14ac:dyDescent="0.25">
      <c r="A228" s="82">
        <v>45693</v>
      </c>
      <c r="B228" s="94" t="str">
        <f t="shared" si="36"/>
        <v>February</v>
      </c>
      <c r="C228" s="78"/>
      <c r="D228" s="79" t="s">
        <v>818</v>
      </c>
      <c r="E228" s="80" t="s">
        <v>1016</v>
      </c>
      <c r="F228" s="79" t="s">
        <v>958</v>
      </c>
      <c r="G228" s="79" t="s">
        <v>975</v>
      </c>
      <c r="H228" s="79" t="s">
        <v>1282</v>
      </c>
      <c r="I228" s="79">
        <v>153.6</v>
      </c>
      <c r="J228" s="79" t="s">
        <v>818</v>
      </c>
      <c r="K228" s="80" t="s">
        <v>469</v>
      </c>
      <c r="L228" s="79">
        <v>810</v>
      </c>
      <c r="M228" s="80">
        <f>L228+2</f>
        <v>812</v>
      </c>
      <c r="N228" s="81">
        <f t="shared" si="47"/>
        <v>2</v>
      </c>
      <c r="O228" s="78"/>
      <c r="P228" s="82">
        <f>R228-TIME(0,41,0)</f>
        <v>45693.529861111114</v>
      </c>
      <c r="Q228" s="82">
        <v>45692.842361111114</v>
      </c>
      <c r="R228" s="82">
        <v>45693.558333333334</v>
      </c>
      <c r="S228" s="81">
        <f t="shared" si="37"/>
        <v>1026.2268518493026</v>
      </c>
      <c r="T228" s="81">
        <f t="shared" si="38"/>
        <v>40.810185182635905</v>
      </c>
      <c r="U228" s="79"/>
      <c r="V228" s="82">
        <v>45698.775694444441</v>
      </c>
      <c r="W228" s="82">
        <v>45699.390972222223</v>
      </c>
      <c r="X228" s="103">
        <f t="shared" si="39"/>
        <v>867.54166667327809</v>
      </c>
      <c r="Y228" s="82" t="s">
        <v>1038</v>
      </c>
      <c r="Z228" s="82">
        <v>45696.45416666667</v>
      </c>
      <c r="AA228" s="82">
        <f>Z228+TIME(0,50,0)</f>
        <v>45696.488888888889</v>
      </c>
      <c r="AB228" s="81">
        <f t="shared" si="40"/>
        <v>48.958333328773733</v>
      </c>
      <c r="AC228" s="80"/>
      <c r="AD228" s="83">
        <f t="shared" si="41"/>
        <v>2.8958333333357587</v>
      </c>
      <c r="AE228" s="80">
        <v>3</v>
      </c>
      <c r="AF228" s="84">
        <f t="shared" si="42"/>
        <v>0.10416666666424135</v>
      </c>
      <c r="AG228" s="83">
        <f t="shared" si="43"/>
        <v>69.500000000058208</v>
      </c>
      <c r="AH228" s="83">
        <f t="shared" si="44"/>
        <v>24</v>
      </c>
      <c r="AI228" s="83">
        <f t="shared" si="45"/>
        <v>45.500000000058208</v>
      </c>
      <c r="AJ228" s="83">
        <f t="shared" si="46"/>
        <v>3.3758241758198571</v>
      </c>
      <c r="AK228" s="83"/>
      <c r="AL228" s="83"/>
      <c r="AM228" s="83"/>
      <c r="AN228" s="83"/>
      <c r="AO228" s="78"/>
    </row>
    <row r="229" spans="1:41" customFormat="1" ht="15" hidden="1" x14ac:dyDescent="0.25">
      <c r="A229" s="82">
        <v>45694</v>
      </c>
      <c r="B229" s="94" t="str">
        <f t="shared" si="36"/>
        <v>February</v>
      </c>
      <c r="C229" s="78"/>
      <c r="D229" s="79" t="s">
        <v>819</v>
      </c>
      <c r="E229" s="80" t="s">
        <v>1016</v>
      </c>
      <c r="F229" s="79" t="s">
        <v>954</v>
      </c>
      <c r="G229" s="79" t="s">
        <v>971</v>
      </c>
      <c r="H229" s="79" t="s">
        <v>987</v>
      </c>
      <c r="I229" s="79">
        <v>153.6</v>
      </c>
      <c r="J229" s="79" t="s">
        <v>819</v>
      </c>
      <c r="K229" s="80" t="s">
        <v>469</v>
      </c>
      <c r="L229" s="79">
        <v>320</v>
      </c>
      <c r="M229" s="80">
        <f>L229+2</f>
        <v>322</v>
      </c>
      <c r="N229" s="81">
        <f t="shared" si="47"/>
        <v>2</v>
      </c>
      <c r="O229" s="78"/>
      <c r="P229" s="82">
        <f>R229-TIME(0,44,0)</f>
        <v>45693.527777777781</v>
      </c>
      <c r="Q229" s="82">
        <v>45692.842361111114</v>
      </c>
      <c r="R229" s="82">
        <v>45693.558333333334</v>
      </c>
      <c r="S229" s="81">
        <f t="shared" si="37"/>
        <v>1026.2268518493026</v>
      </c>
      <c r="T229" s="81">
        <f t="shared" si="38"/>
        <v>43.796296293051761</v>
      </c>
      <c r="U229" s="79"/>
      <c r="V229" s="82">
        <v>45694.456250000003</v>
      </c>
      <c r="W229" s="82">
        <v>45694.771527777775</v>
      </c>
      <c r="X229" s="103">
        <f t="shared" si="39"/>
        <v>444.54166665891535</v>
      </c>
      <c r="Y229" s="82" t="s">
        <v>1052</v>
      </c>
      <c r="Z229" s="82">
        <v>45695.656944444447</v>
      </c>
      <c r="AA229" s="82">
        <v>45695.692361111112</v>
      </c>
      <c r="AB229" s="81">
        <f t="shared" si="40"/>
        <v>49.93749999863212</v>
      </c>
      <c r="AC229" s="80"/>
      <c r="AD229" s="83">
        <f t="shared" si="41"/>
        <v>2.0986111111124046</v>
      </c>
      <c r="AE229" s="80">
        <v>2</v>
      </c>
      <c r="AF229" s="84">
        <f t="shared" si="42"/>
        <v>-9.8611111112404615E-2</v>
      </c>
      <c r="AG229" s="83">
        <f t="shared" si="43"/>
        <v>50.366666666697711</v>
      </c>
      <c r="AH229" s="83">
        <f t="shared" si="44"/>
        <v>24</v>
      </c>
      <c r="AI229" s="83">
        <f t="shared" si="45"/>
        <v>26.366666666697711</v>
      </c>
      <c r="AJ229" s="83">
        <f t="shared" si="46"/>
        <v>5.8255372945569839</v>
      </c>
      <c r="AK229" s="83"/>
      <c r="AL229" s="83"/>
      <c r="AM229" s="83"/>
      <c r="AN229" s="83"/>
      <c r="AO229" s="78"/>
    </row>
    <row r="230" spans="1:41" customFormat="1" ht="15" hidden="1" x14ac:dyDescent="0.25">
      <c r="A230" s="82">
        <v>45694</v>
      </c>
      <c r="B230" s="94" t="str">
        <f t="shared" si="36"/>
        <v>February</v>
      </c>
      <c r="C230" s="78"/>
      <c r="D230" s="79" t="s">
        <v>820</v>
      </c>
      <c r="E230" s="80" t="s">
        <v>1016</v>
      </c>
      <c r="F230" s="79" t="s">
        <v>959</v>
      </c>
      <c r="G230" s="79" t="s">
        <v>976</v>
      </c>
      <c r="H230" s="79" t="s">
        <v>461</v>
      </c>
      <c r="I230" s="79">
        <v>153.6</v>
      </c>
      <c r="J230" s="79" t="s">
        <v>820</v>
      </c>
      <c r="K230" s="80" t="s">
        <v>469</v>
      </c>
      <c r="L230" s="80">
        <v>298</v>
      </c>
      <c r="M230" s="80">
        <f>L230-150</f>
        <v>148</v>
      </c>
      <c r="N230" s="81">
        <f t="shared" si="47"/>
        <v>-150</v>
      </c>
      <c r="O230" s="78"/>
      <c r="P230" s="82">
        <f>R230-TIME(0,43,0)</f>
        <v>45693.51180555555</v>
      </c>
      <c r="Q230" s="82">
        <v>45692.833333333336</v>
      </c>
      <c r="R230" s="82">
        <v>45693.541666666664</v>
      </c>
      <c r="S230" s="81">
        <f t="shared" si="37"/>
        <v>1015.2777777708252</v>
      </c>
      <c r="T230" s="81">
        <f t="shared" si="38"/>
        <v>42.80092592986572</v>
      </c>
      <c r="U230" s="79"/>
      <c r="V230" s="82">
        <v>45694.648611111108</v>
      </c>
      <c r="W230" s="82">
        <v>45695.356249999997</v>
      </c>
      <c r="X230" s="103">
        <f t="shared" si="39"/>
        <v>997.77083333356131</v>
      </c>
      <c r="Y230" s="82" t="s">
        <v>1048</v>
      </c>
      <c r="Z230" s="82">
        <v>45696.620833333334</v>
      </c>
      <c r="AA230" s="82">
        <f>Z230+TIME(0,49,0)</f>
        <v>45696.654861111114</v>
      </c>
      <c r="AB230" s="81">
        <f t="shared" si="40"/>
        <v>47.979166669174447</v>
      </c>
      <c r="AC230" s="80"/>
      <c r="AD230" s="83">
        <f t="shared" si="41"/>
        <v>3.0791666666700621</v>
      </c>
      <c r="AE230" s="80">
        <v>2</v>
      </c>
      <c r="AF230" s="84">
        <f t="shared" si="42"/>
        <v>-1.0791666666700621</v>
      </c>
      <c r="AG230" s="83">
        <f t="shared" si="43"/>
        <v>73.900000000081491</v>
      </c>
      <c r="AH230" s="83">
        <f t="shared" si="44"/>
        <v>36</v>
      </c>
      <c r="AI230" s="83">
        <f t="shared" si="45"/>
        <v>37.900000000081491</v>
      </c>
      <c r="AJ230" s="83">
        <f t="shared" si="46"/>
        <v>4.0527704485400982</v>
      </c>
      <c r="AK230" s="83"/>
      <c r="AL230" s="83"/>
      <c r="AM230" s="83"/>
      <c r="AN230" s="83"/>
      <c r="AO230" s="78"/>
    </row>
    <row r="231" spans="1:41" customFormat="1" ht="15" hidden="1" x14ac:dyDescent="0.25">
      <c r="A231" s="82">
        <v>45694</v>
      </c>
      <c r="B231" s="94" t="str">
        <f t="shared" si="36"/>
        <v>February</v>
      </c>
      <c r="C231" s="78"/>
      <c r="D231" s="79" t="s">
        <v>821</v>
      </c>
      <c r="E231" s="80" t="s">
        <v>1016</v>
      </c>
      <c r="F231" s="79" t="s">
        <v>952</v>
      </c>
      <c r="G231" s="79" t="s">
        <v>969</v>
      </c>
      <c r="H231" s="79" t="s">
        <v>988</v>
      </c>
      <c r="I231" s="79">
        <v>153.6</v>
      </c>
      <c r="J231" s="79" t="s">
        <v>821</v>
      </c>
      <c r="K231" s="80" t="s">
        <v>469</v>
      </c>
      <c r="L231" s="80">
        <v>150</v>
      </c>
      <c r="M231" s="80">
        <f>L231-1</f>
        <v>149</v>
      </c>
      <c r="N231" s="81">
        <f t="shared" si="47"/>
        <v>-1</v>
      </c>
      <c r="O231" s="78"/>
      <c r="P231" s="82">
        <f>R231-TIME(0,44,0)</f>
        <v>45693.722222222226</v>
      </c>
      <c r="Q231" s="82">
        <v>45693.154861111114</v>
      </c>
      <c r="R231" s="82">
        <v>45693.75277777778</v>
      </c>
      <c r="S231" s="81">
        <f t="shared" si="37"/>
        <v>857.01388888749841</v>
      </c>
      <c r="T231" s="81">
        <f t="shared" si="38"/>
        <v>43.796296293051761</v>
      </c>
      <c r="U231" s="79"/>
      <c r="V231" s="82">
        <v>45694.481944444444</v>
      </c>
      <c r="W231" s="82">
        <v>45694.69027777778</v>
      </c>
      <c r="X231" s="103">
        <f t="shared" si="39"/>
        <v>293.7500000034197</v>
      </c>
      <c r="Y231" s="82" t="s">
        <v>1044</v>
      </c>
      <c r="Z231" s="82">
        <v>45695.609722222223</v>
      </c>
      <c r="AA231" s="82">
        <f>Z231+TIME(0,54,0)</f>
        <v>45695.647222222222</v>
      </c>
      <c r="AB231" s="81">
        <f t="shared" si="40"/>
        <v>52.87499999794818</v>
      </c>
      <c r="AC231" s="80"/>
      <c r="AD231" s="83">
        <f t="shared" si="41"/>
        <v>1.8569444444437977</v>
      </c>
      <c r="AE231" s="80">
        <v>1</v>
      </c>
      <c r="AF231" s="84">
        <f t="shared" si="42"/>
        <v>-0.85694444444379769</v>
      </c>
      <c r="AG231" s="83">
        <f t="shared" si="43"/>
        <v>44.566666666651145</v>
      </c>
      <c r="AH231" s="83">
        <f t="shared" si="44"/>
        <v>12</v>
      </c>
      <c r="AI231" s="83">
        <f t="shared" si="45"/>
        <v>32.566666666651145</v>
      </c>
      <c r="AJ231" s="83">
        <f t="shared" si="46"/>
        <v>4.7164790174024525</v>
      </c>
      <c r="AK231" s="83"/>
      <c r="AL231" s="83"/>
      <c r="AM231" s="83"/>
      <c r="AN231" s="83"/>
      <c r="AO231" s="78"/>
    </row>
    <row r="232" spans="1:41" customFormat="1" ht="15" hidden="1" x14ac:dyDescent="0.25">
      <c r="A232" s="82">
        <v>45694</v>
      </c>
      <c r="B232" s="94" t="str">
        <f t="shared" si="36"/>
        <v>February</v>
      </c>
      <c r="C232" s="78"/>
      <c r="D232" s="79" t="s">
        <v>822</v>
      </c>
      <c r="E232" s="80" t="s">
        <v>1016</v>
      </c>
      <c r="F232" s="79" t="s">
        <v>960</v>
      </c>
      <c r="G232" s="79" t="s">
        <v>62</v>
      </c>
      <c r="H232" s="79" t="s">
        <v>989</v>
      </c>
      <c r="I232" s="79">
        <v>153.6</v>
      </c>
      <c r="J232" s="79" t="s">
        <v>822</v>
      </c>
      <c r="K232" s="80" t="s">
        <v>469</v>
      </c>
      <c r="L232" s="79">
        <v>256</v>
      </c>
      <c r="M232" s="80">
        <f>L232-1</f>
        <v>255</v>
      </c>
      <c r="N232" s="81">
        <f t="shared" si="47"/>
        <v>-1</v>
      </c>
      <c r="O232" s="78"/>
      <c r="P232" s="82">
        <f>R232-TIME(0,43,0)</f>
        <v>45695.779861111107</v>
      </c>
      <c r="Q232" s="82">
        <v>45694.176388888889</v>
      </c>
      <c r="R232" s="82">
        <v>45695.80972222222</v>
      </c>
      <c r="S232" s="81">
        <f t="shared" si="37"/>
        <v>2341.1111111083301</v>
      </c>
      <c r="T232" s="81">
        <f t="shared" si="38"/>
        <v>42.80092592986572</v>
      </c>
      <c r="U232" s="79"/>
      <c r="V232" s="82">
        <v>45700.654166666667</v>
      </c>
      <c r="W232" s="82">
        <v>45700.743055555555</v>
      </c>
      <c r="X232" s="103">
        <f t="shared" si="39"/>
        <v>125.33333333150949</v>
      </c>
      <c r="Y232" s="82"/>
      <c r="Z232" s="82">
        <v>45698.574999999997</v>
      </c>
      <c r="AA232" s="82">
        <v>45698.610416666663</v>
      </c>
      <c r="AB232" s="81">
        <f t="shared" si="40"/>
        <v>49.93749999863212</v>
      </c>
      <c r="AC232" s="80"/>
      <c r="AD232" s="83">
        <f t="shared" si="41"/>
        <v>2.765277777776646</v>
      </c>
      <c r="AE232" s="80">
        <v>2</v>
      </c>
      <c r="AF232" s="84">
        <f t="shared" si="42"/>
        <v>-0.76527777777664596</v>
      </c>
      <c r="AG232" s="83">
        <f t="shared" si="43"/>
        <v>66.366666666639503</v>
      </c>
      <c r="AH232" s="83">
        <f t="shared" si="44"/>
        <v>24</v>
      </c>
      <c r="AI232" s="83">
        <f t="shared" si="45"/>
        <v>42.366666666639503</v>
      </c>
      <c r="AJ232" s="83">
        <f t="shared" si="46"/>
        <v>3.62549173879068</v>
      </c>
      <c r="AK232" s="83"/>
      <c r="AL232" s="83"/>
      <c r="AM232" s="83"/>
      <c r="AN232" s="83"/>
      <c r="AO232" s="78"/>
    </row>
    <row r="233" spans="1:41" customFormat="1" ht="15" hidden="1" x14ac:dyDescent="0.25">
      <c r="A233" s="82">
        <v>45694</v>
      </c>
      <c r="B233" s="94" t="str">
        <f t="shared" si="36"/>
        <v>February</v>
      </c>
      <c r="C233" s="78"/>
      <c r="D233" s="79" t="s">
        <v>823</v>
      </c>
      <c r="E233" s="80" t="s">
        <v>1016</v>
      </c>
      <c r="F233" s="79" t="s">
        <v>961</v>
      </c>
      <c r="G233" s="79" t="s">
        <v>977</v>
      </c>
      <c r="H233" s="79" t="s">
        <v>990</v>
      </c>
      <c r="I233" s="79">
        <v>153.6</v>
      </c>
      <c r="J233" s="79" t="s">
        <v>823</v>
      </c>
      <c r="K233" s="80" t="s">
        <v>469</v>
      </c>
      <c r="L233" s="80">
        <v>448</v>
      </c>
      <c r="M233" s="80">
        <f>L233+2</f>
        <v>450</v>
      </c>
      <c r="N233" s="81">
        <f t="shared" si="47"/>
        <v>2</v>
      </c>
      <c r="O233" s="78"/>
      <c r="P233" s="82">
        <v>45694.80972222222</v>
      </c>
      <c r="Q233" s="82">
        <v>45694.260416666664</v>
      </c>
      <c r="R233" s="82">
        <v>45694.838888888888</v>
      </c>
      <c r="S233" s="81">
        <f t="shared" si="37"/>
        <v>829.14351852014079</v>
      </c>
      <c r="T233" s="81">
        <f t="shared" si="38"/>
        <v>41.805555556250816</v>
      </c>
      <c r="U233" s="79"/>
      <c r="V233" s="82">
        <v>45695.425000000003</v>
      </c>
      <c r="W233" s="82">
        <v>45695.772222222222</v>
      </c>
      <c r="X233" s="103">
        <f t="shared" si="39"/>
        <v>489.58333332877373</v>
      </c>
      <c r="Y233" s="82" t="s">
        <v>1039</v>
      </c>
      <c r="Z233" s="82">
        <v>45696.375</v>
      </c>
      <c r="AA233" s="82">
        <f>Z233+TIME(0,50,0)</f>
        <v>45696.409722222219</v>
      </c>
      <c r="AB233" s="81">
        <f t="shared" si="40"/>
        <v>48.958333328773733</v>
      </c>
      <c r="AC233" s="80"/>
      <c r="AD233" s="83">
        <f t="shared" si="41"/>
        <v>1.5361111111124046</v>
      </c>
      <c r="AE233" s="80">
        <v>2</v>
      </c>
      <c r="AF233" s="84">
        <f t="shared" si="42"/>
        <v>0.46388888888759539</v>
      </c>
      <c r="AG233" s="83">
        <f t="shared" si="43"/>
        <v>36.866666666697711</v>
      </c>
      <c r="AH233" s="83">
        <f t="shared" si="44"/>
        <v>12</v>
      </c>
      <c r="AI233" s="83">
        <f t="shared" si="45"/>
        <v>24.866666666697711</v>
      </c>
      <c r="AJ233" s="83">
        <f t="shared" si="46"/>
        <v>6.176943699724192</v>
      </c>
      <c r="AK233" s="83"/>
      <c r="AL233" s="83"/>
      <c r="AM233" s="83"/>
      <c r="AN233" s="83"/>
      <c r="AO233" s="78"/>
    </row>
    <row r="234" spans="1:41" customFormat="1" ht="15" hidden="1" x14ac:dyDescent="0.25">
      <c r="A234" s="82">
        <v>45695</v>
      </c>
      <c r="B234" s="94" t="str">
        <f t="shared" si="36"/>
        <v>February</v>
      </c>
      <c r="C234" s="78"/>
      <c r="D234" s="79" t="s">
        <v>105</v>
      </c>
      <c r="E234" s="80" t="s">
        <v>1017</v>
      </c>
      <c r="F234" s="79" t="s">
        <v>1033</v>
      </c>
      <c r="G234" s="79" t="s">
        <v>41</v>
      </c>
      <c r="H234" s="79" t="s">
        <v>460</v>
      </c>
      <c r="I234" s="79">
        <v>156</v>
      </c>
      <c r="J234" s="79" t="s">
        <v>105</v>
      </c>
      <c r="K234" s="80" t="s">
        <v>469</v>
      </c>
      <c r="L234" s="80">
        <v>600</v>
      </c>
      <c r="M234" s="80">
        <f>L234+2</f>
        <v>602</v>
      </c>
      <c r="N234" s="81">
        <f t="shared" si="47"/>
        <v>2</v>
      </c>
      <c r="O234" s="78"/>
      <c r="P234" s="82">
        <f>R234-TIME(0,44,0)</f>
        <v>45694.424305555556</v>
      </c>
      <c r="Q234" s="82">
        <v>45694.098611111112</v>
      </c>
      <c r="R234" s="82">
        <v>45694.454861111109</v>
      </c>
      <c r="S234" s="81">
        <f t="shared" si="37"/>
        <v>510.62499999582843</v>
      </c>
      <c r="T234" s="81">
        <f t="shared" si="38"/>
        <v>43.796296293051761</v>
      </c>
      <c r="U234" s="79"/>
      <c r="V234" s="82">
        <v>45697.788194444445</v>
      </c>
      <c r="W234" s="82">
        <v>45698.552083333336</v>
      </c>
      <c r="X234" s="103">
        <f t="shared" si="39"/>
        <v>1077.0833333356131</v>
      </c>
      <c r="Y234" s="82" t="s">
        <v>1047</v>
      </c>
      <c r="Z234" s="82">
        <v>45698.661111111112</v>
      </c>
      <c r="AA234" s="82">
        <v>45698.700000000004</v>
      </c>
      <c r="AB234" s="81">
        <f t="shared" si="40"/>
        <v>54.833333337664953</v>
      </c>
      <c r="AC234" s="80"/>
      <c r="AD234" s="83">
        <f t="shared" si="41"/>
        <v>4.2062500000029104</v>
      </c>
      <c r="AE234" s="80">
        <v>3</v>
      </c>
      <c r="AF234" s="84">
        <f t="shared" si="42"/>
        <v>-1.2062500000029104</v>
      </c>
      <c r="AG234" s="83">
        <f t="shared" si="43"/>
        <v>100.95000000006985</v>
      </c>
      <c r="AH234" s="83">
        <f t="shared" si="44"/>
        <v>48</v>
      </c>
      <c r="AI234" s="83">
        <f t="shared" si="45"/>
        <v>52.950000000069849</v>
      </c>
      <c r="AJ234" s="83">
        <f t="shared" si="46"/>
        <v>2.9461756373898811</v>
      </c>
      <c r="AK234" s="83"/>
      <c r="AL234" s="83"/>
      <c r="AM234" s="83"/>
      <c r="AN234" s="83"/>
      <c r="AO234" s="78"/>
    </row>
    <row r="235" spans="1:41" customFormat="1" ht="15" hidden="1" x14ac:dyDescent="0.25">
      <c r="A235" s="82">
        <v>45695</v>
      </c>
      <c r="B235" s="94" t="str">
        <f t="shared" si="36"/>
        <v>February</v>
      </c>
      <c r="C235" s="78"/>
      <c r="D235" s="79" t="s">
        <v>106</v>
      </c>
      <c r="E235" s="80" t="s">
        <v>1017</v>
      </c>
      <c r="F235" s="79" t="s">
        <v>960</v>
      </c>
      <c r="G235" s="79" t="s">
        <v>62</v>
      </c>
      <c r="H235" s="79" t="s">
        <v>454</v>
      </c>
      <c r="I235" s="79">
        <v>156</v>
      </c>
      <c r="J235" s="79" t="s">
        <v>106</v>
      </c>
      <c r="K235" s="80" t="s">
        <v>469</v>
      </c>
      <c r="L235" s="80">
        <v>304</v>
      </c>
      <c r="M235" s="80">
        <f>L235+2</f>
        <v>306</v>
      </c>
      <c r="N235" s="81">
        <f t="shared" si="47"/>
        <v>2</v>
      </c>
      <c r="O235" s="78"/>
      <c r="P235" s="82">
        <f>R235-TIME(0,43,0)</f>
        <v>45694.913194444445</v>
      </c>
      <c r="Q235" s="82">
        <v>45694.169444444444</v>
      </c>
      <c r="R235" s="82">
        <v>45694.943055555559</v>
      </c>
      <c r="S235" s="81">
        <f t="shared" si="37"/>
        <v>1108.8425925986182</v>
      </c>
      <c r="T235" s="81">
        <f t="shared" si="38"/>
        <v>42.80092592986572</v>
      </c>
      <c r="U235" s="79"/>
      <c r="V235" s="82">
        <v>45694.438194444447</v>
      </c>
      <c r="W235" s="82">
        <v>45694.65625</v>
      </c>
      <c r="X235" s="103">
        <f t="shared" si="39"/>
        <v>307.45833333014161</v>
      </c>
      <c r="Y235" s="82" t="s">
        <v>1044</v>
      </c>
      <c r="Z235" s="82">
        <v>45695.829861111109</v>
      </c>
      <c r="AA235" s="82">
        <f>Z235+TIME(0,48,0)</f>
        <v>45695.863194444442</v>
      </c>
      <c r="AB235" s="81">
        <f t="shared" si="40"/>
        <v>46.99999999931606</v>
      </c>
      <c r="AC235" s="80"/>
      <c r="AD235" s="83">
        <f t="shared" si="41"/>
        <v>0.88680555555038154</v>
      </c>
      <c r="AE235" s="80">
        <v>2</v>
      </c>
      <c r="AF235" s="84">
        <f t="shared" si="42"/>
        <v>1.1131944444496185</v>
      </c>
      <c r="AG235" s="83">
        <f t="shared" si="43"/>
        <v>21.283333333209157</v>
      </c>
      <c r="AH235" s="83">
        <f t="shared" si="44"/>
        <v>0</v>
      </c>
      <c r="AI235" s="83">
        <f t="shared" si="45"/>
        <v>21.283333333209157</v>
      </c>
      <c r="AJ235" s="83">
        <f t="shared" si="46"/>
        <v>7.3296789350466804</v>
      </c>
      <c r="AK235" s="83"/>
      <c r="AL235" s="83"/>
      <c r="AM235" s="83"/>
      <c r="AN235" s="83"/>
      <c r="AO235" s="78"/>
    </row>
    <row r="236" spans="1:41" customFormat="1" ht="15" hidden="1" x14ac:dyDescent="0.25">
      <c r="A236" s="82">
        <v>45695</v>
      </c>
      <c r="B236" s="94" t="str">
        <f t="shared" si="36"/>
        <v>February</v>
      </c>
      <c r="C236" s="78"/>
      <c r="D236" s="79" t="s">
        <v>107</v>
      </c>
      <c r="E236" s="80" t="s">
        <v>1017</v>
      </c>
      <c r="F236" s="79" t="s">
        <v>1031</v>
      </c>
      <c r="G236" s="79" t="s">
        <v>50</v>
      </c>
      <c r="H236" s="79" t="s">
        <v>459</v>
      </c>
      <c r="I236" s="79">
        <v>156</v>
      </c>
      <c r="J236" s="79" t="s">
        <v>107</v>
      </c>
      <c r="K236" s="80" t="s">
        <v>469</v>
      </c>
      <c r="L236" s="80">
        <v>560</v>
      </c>
      <c r="M236" s="80">
        <f>L236-2</f>
        <v>558</v>
      </c>
      <c r="N236" s="81">
        <f t="shared" si="47"/>
        <v>-2</v>
      </c>
      <c r="O236" s="78"/>
      <c r="P236" s="82">
        <v>45694.800694444442</v>
      </c>
      <c r="Q236" s="82">
        <v>45694.0625</v>
      </c>
      <c r="R236" s="82">
        <v>45694.829861111109</v>
      </c>
      <c r="S236" s="81">
        <f t="shared" si="37"/>
        <v>1099.8842592569417</v>
      </c>
      <c r="T236" s="81">
        <f t="shared" si="38"/>
        <v>41.805555556250816</v>
      </c>
      <c r="U236" s="79"/>
      <c r="V236" s="82">
        <v>45694.529166666667</v>
      </c>
      <c r="W236" s="82">
        <v>45694.775000000001</v>
      </c>
      <c r="X236" s="103">
        <f t="shared" si="39"/>
        <v>346.62500000136788</v>
      </c>
      <c r="Y236" s="82" t="s">
        <v>1048</v>
      </c>
      <c r="Z236" s="82">
        <v>45695.566666666666</v>
      </c>
      <c r="AA236" s="82">
        <f>Z236+TIME(0,56,0)</f>
        <v>45695.605555555558</v>
      </c>
      <c r="AB236" s="81">
        <f t="shared" si="40"/>
        <v>54.833333337664953</v>
      </c>
      <c r="AC236" s="80"/>
      <c r="AD236" s="83">
        <f t="shared" si="41"/>
        <v>0.73680555555620231</v>
      </c>
      <c r="AE236" s="80">
        <v>3</v>
      </c>
      <c r="AF236" s="84">
        <f t="shared" si="42"/>
        <v>2.2631944444437977</v>
      </c>
      <c r="AG236" s="83">
        <f t="shared" si="43"/>
        <v>17.683333333348855</v>
      </c>
      <c r="AH236" s="83">
        <f t="shared" si="44"/>
        <v>0</v>
      </c>
      <c r="AI236" s="83">
        <f t="shared" si="45"/>
        <v>17.683333333348855</v>
      </c>
      <c r="AJ236" s="83">
        <f t="shared" si="46"/>
        <v>8.8218661639884868</v>
      </c>
      <c r="AK236" s="83"/>
      <c r="AL236" s="83"/>
      <c r="AM236" s="83"/>
      <c r="AN236" s="83"/>
      <c r="AO236" s="78"/>
    </row>
    <row r="237" spans="1:41" customFormat="1" ht="15" hidden="1" x14ac:dyDescent="0.25">
      <c r="A237" s="82">
        <v>45695</v>
      </c>
      <c r="B237" s="94" t="str">
        <f t="shared" si="36"/>
        <v>February</v>
      </c>
      <c r="C237" s="78"/>
      <c r="D237" s="79" t="s">
        <v>108</v>
      </c>
      <c r="E237" s="80" t="s">
        <v>1017</v>
      </c>
      <c r="F237" s="79" t="s">
        <v>1025</v>
      </c>
      <c r="G237" s="79" t="s">
        <v>54</v>
      </c>
      <c r="H237" s="79" t="s">
        <v>462</v>
      </c>
      <c r="I237" s="79">
        <v>156</v>
      </c>
      <c r="J237" s="79" t="s">
        <v>108</v>
      </c>
      <c r="K237" s="80" t="s">
        <v>469</v>
      </c>
      <c r="L237" s="80">
        <v>680</v>
      </c>
      <c r="M237" s="80">
        <f>L237-2</f>
        <v>678</v>
      </c>
      <c r="N237" s="81">
        <f t="shared" si="47"/>
        <v>-2</v>
      </c>
      <c r="O237" s="78"/>
      <c r="P237" s="82">
        <v>45714.387499999997</v>
      </c>
      <c r="Q237" s="82">
        <v>45714.400694444441</v>
      </c>
      <c r="R237" s="82">
        <v>45714.416666666664</v>
      </c>
      <c r="S237" s="81">
        <f t="shared" si="37"/>
        <v>22.893518520140788</v>
      </c>
      <c r="T237" s="81">
        <f t="shared" si="38"/>
        <v>41.805555556250816</v>
      </c>
      <c r="U237" s="79"/>
      <c r="V237" s="82">
        <v>45715.617361111108</v>
      </c>
      <c r="W237" s="82">
        <v>45716.731249999997</v>
      </c>
      <c r="X237" s="103">
        <f t="shared" si="39"/>
        <v>1570.5833333335613</v>
      </c>
      <c r="Y237" s="82"/>
      <c r="Z237" s="82">
        <v>45717.818749999999</v>
      </c>
      <c r="AA237" s="82">
        <v>45717.852777777778</v>
      </c>
      <c r="AB237" s="81">
        <f t="shared" si="40"/>
        <v>47.979166669174447</v>
      </c>
      <c r="AC237" s="80"/>
      <c r="AD237" s="83">
        <f t="shared" si="41"/>
        <v>3.4020833333343035</v>
      </c>
      <c r="AE237" s="80">
        <v>2</v>
      </c>
      <c r="AF237" s="84">
        <f t="shared" si="42"/>
        <v>-1.4020833333343035</v>
      </c>
      <c r="AG237" s="83">
        <f t="shared" si="43"/>
        <v>81.650000000023283</v>
      </c>
      <c r="AH237" s="83">
        <f t="shared" si="44"/>
        <v>36</v>
      </c>
      <c r="AI237" s="83">
        <f t="shared" si="45"/>
        <v>45.650000000023283</v>
      </c>
      <c r="AJ237" s="83">
        <f t="shared" si="46"/>
        <v>3.4173055859785419</v>
      </c>
      <c r="AK237" s="83"/>
      <c r="AL237" s="83"/>
      <c r="AM237" s="83"/>
      <c r="AN237" s="83"/>
      <c r="AO237" s="78"/>
    </row>
    <row r="238" spans="1:41" customFormat="1" ht="15" hidden="1" x14ac:dyDescent="0.25">
      <c r="A238" s="82">
        <v>45695</v>
      </c>
      <c r="B238" s="94" t="str">
        <f t="shared" si="36"/>
        <v>February</v>
      </c>
      <c r="C238" s="78"/>
      <c r="D238" s="79" t="s">
        <v>109</v>
      </c>
      <c r="E238" s="80" t="s">
        <v>1017</v>
      </c>
      <c r="F238" s="79" t="s">
        <v>1034</v>
      </c>
      <c r="G238" s="79" t="s">
        <v>53</v>
      </c>
      <c r="H238" s="79" t="s">
        <v>450</v>
      </c>
      <c r="I238" s="79">
        <v>156</v>
      </c>
      <c r="J238" s="79" t="s">
        <v>109</v>
      </c>
      <c r="K238" s="80" t="s">
        <v>469</v>
      </c>
      <c r="L238" s="80">
        <v>288</v>
      </c>
      <c r="M238" s="80">
        <f>L238+2</f>
        <v>290</v>
      </c>
      <c r="N238" s="81">
        <f t="shared" si="47"/>
        <v>2</v>
      </c>
      <c r="O238" s="78"/>
      <c r="P238" s="82">
        <v>45714.59652777778</v>
      </c>
      <c r="Q238" s="82">
        <v>45714.585416666669</v>
      </c>
      <c r="R238" s="82">
        <v>45714.625</v>
      </c>
      <c r="S238" s="81">
        <f t="shared" si="37"/>
        <v>56.736111108330078</v>
      </c>
      <c r="T238" s="81">
        <f t="shared" si="38"/>
        <v>40.810185182635905</v>
      </c>
      <c r="U238" s="79"/>
      <c r="V238" s="82">
        <v>45695.548611111109</v>
      </c>
      <c r="W238" s="82">
        <v>45695.652777777781</v>
      </c>
      <c r="X238" s="103">
        <f t="shared" si="39"/>
        <v>146.8750000068394</v>
      </c>
      <c r="Y238" s="82"/>
      <c r="Z238" s="82">
        <v>45716.818749999999</v>
      </c>
      <c r="AA238" s="82">
        <f>Z238+TIME(0,60,0)</f>
        <v>45716.860416666663</v>
      </c>
      <c r="AB238" s="81">
        <f t="shared" si="40"/>
        <v>58.7499999965803</v>
      </c>
      <c r="AC238" s="80"/>
      <c r="AD238" s="83">
        <f t="shared" si="41"/>
        <v>2.1937499999985448</v>
      </c>
      <c r="AE238" s="80">
        <v>2</v>
      </c>
      <c r="AF238" s="84">
        <f t="shared" si="42"/>
        <v>-0.19374999999854481</v>
      </c>
      <c r="AG238" s="83">
        <f t="shared" si="43"/>
        <v>52.649999999965075</v>
      </c>
      <c r="AH238" s="83">
        <f t="shared" si="44"/>
        <v>24</v>
      </c>
      <c r="AI238" s="83">
        <f t="shared" si="45"/>
        <v>28.649999999965075</v>
      </c>
      <c r="AJ238" s="83">
        <f t="shared" si="46"/>
        <v>5.445026178017109</v>
      </c>
      <c r="AK238" s="83"/>
      <c r="AL238" s="83"/>
      <c r="AM238" s="83"/>
      <c r="AN238" s="83"/>
      <c r="AO238" s="78"/>
    </row>
    <row r="239" spans="1:41" customFormat="1" ht="15" hidden="1" x14ac:dyDescent="0.25">
      <c r="A239" s="82">
        <v>45695</v>
      </c>
      <c r="B239" s="94" t="str">
        <f t="shared" si="36"/>
        <v>February</v>
      </c>
      <c r="C239" s="78"/>
      <c r="D239" s="79" t="s">
        <v>110</v>
      </c>
      <c r="E239" s="80" t="s">
        <v>1017</v>
      </c>
      <c r="F239" s="79" t="s">
        <v>1027</v>
      </c>
      <c r="G239" s="79" t="s">
        <v>34</v>
      </c>
      <c r="H239" s="79" t="s">
        <v>463</v>
      </c>
      <c r="I239" s="79">
        <v>156</v>
      </c>
      <c r="J239" s="79" t="s">
        <v>110</v>
      </c>
      <c r="K239" s="80" t="s">
        <v>469</v>
      </c>
      <c r="L239" s="80">
        <v>414</v>
      </c>
      <c r="M239" s="80">
        <f>L239+3</f>
        <v>417</v>
      </c>
      <c r="N239" s="81">
        <f t="shared" si="47"/>
        <v>3</v>
      </c>
      <c r="O239" s="78"/>
      <c r="P239" s="82">
        <v>45714.765277777777</v>
      </c>
      <c r="Q239" s="82">
        <v>45714.777777777774</v>
      </c>
      <c r="R239" s="82">
        <v>45714.793749999997</v>
      </c>
      <c r="S239" s="81">
        <f t="shared" si="37"/>
        <v>22.893518520140788</v>
      </c>
      <c r="T239" s="81">
        <f t="shared" si="38"/>
        <v>40.810185182635905</v>
      </c>
      <c r="U239" s="79"/>
      <c r="V239" s="82">
        <v>45715.644444444442</v>
      </c>
      <c r="W239" s="82">
        <v>45715.729166666664</v>
      </c>
      <c r="X239" s="103">
        <f t="shared" si="39"/>
        <v>119.45833333287737</v>
      </c>
      <c r="Y239" s="82"/>
      <c r="Z239" s="82">
        <v>45716.418749999997</v>
      </c>
      <c r="AA239" s="82">
        <f>Z239+TIME(0,53,0)</f>
        <v>45716.455555555556</v>
      </c>
      <c r="AB239" s="81">
        <f t="shared" si="40"/>
        <v>51.895833338348893</v>
      </c>
      <c r="AC239" s="80"/>
      <c r="AD239" s="83">
        <f t="shared" si="41"/>
        <v>1.625</v>
      </c>
      <c r="AE239" s="80">
        <v>3</v>
      </c>
      <c r="AF239" s="84">
        <f t="shared" si="42"/>
        <v>1.375</v>
      </c>
      <c r="AG239" s="83">
        <f t="shared" si="43"/>
        <v>39</v>
      </c>
      <c r="AH239" s="83">
        <f t="shared" si="44"/>
        <v>12</v>
      </c>
      <c r="AI239" s="83">
        <f t="shared" si="45"/>
        <v>27</v>
      </c>
      <c r="AJ239" s="83">
        <f t="shared" si="46"/>
        <v>5.7777777777777777</v>
      </c>
      <c r="AK239" s="83"/>
      <c r="AL239" s="83"/>
      <c r="AM239" s="83"/>
      <c r="AN239" s="83"/>
      <c r="AO239" s="78"/>
    </row>
    <row r="240" spans="1:41" customFormat="1" ht="15" hidden="1" x14ac:dyDescent="0.25">
      <c r="A240" s="82">
        <v>45695</v>
      </c>
      <c r="B240" s="94" t="str">
        <f t="shared" si="36"/>
        <v>February</v>
      </c>
      <c r="C240" s="78"/>
      <c r="D240" s="79" t="s">
        <v>111</v>
      </c>
      <c r="E240" s="80" t="s">
        <v>1017</v>
      </c>
      <c r="F240" s="79" t="s">
        <v>1030</v>
      </c>
      <c r="G240" s="79" t="s">
        <v>55</v>
      </c>
      <c r="H240" s="79" t="s">
        <v>458</v>
      </c>
      <c r="I240" s="79">
        <v>156</v>
      </c>
      <c r="J240" s="79" t="s">
        <v>111</v>
      </c>
      <c r="K240" s="80" t="s">
        <v>469</v>
      </c>
      <c r="L240" s="80">
        <v>448</v>
      </c>
      <c r="M240" s="80">
        <f>L240+2</f>
        <v>450</v>
      </c>
      <c r="N240" s="81">
        <f t="shared" si="47"/>
        <v>2</v>
      </c>
      <c r="O240" s="78"/>
      <c r="P240" s="82">
        <f>R240-TIME(0,44,0)</f>
        <v>45716.763194444444</v>
      </c>
      <c r="Q240" s="82">
        <v>45716.777777777774</v>
      </c>
      <c r="R240" s="82">
        <v>45716.793749999997</v>
      </c>
      <c r="S240" s="81">
        <f t="shared" si="37"/>
        <v>22.893518520140788</v>
      </c>
      <c r="T240" s="81">
        <f t="shared" si="38"/>
        <v>43.796296293051761</v>
      </c>
      <c r="U240" s="79"/>
      <c r="V240" s="82">
        <v>45716.51666666667</v>
      </c>
      <c r="W240" s="82">
        <v>45716.74722222222</v>
      </c>
      <c r="X240" s="103">
        <f t="shared" si="39"/>
        <v>325.08333332603797</v>
      </c>
      <c r="Y240" s="82" t="s">
        <v>1044</v>
      </c>
      <c r="Z240" s="82">
        <v>45717.813194444447</v>
      </c>
      <c r="AA240" s="82">
        <f>Z240+TIME(0,50,0)</f>
        <v>45717.847916666666</v>
      </c>
      <c r="AB240" s="81">
        <f t="shared" si="40"/>
        <v>48.958333328773733</v>
      </c>
      <c r="AC240" s="80"/>
      <c r="AD240" s="83">
        <f t="shared" si="41"/>
        <v>1.0194444444496185</v>
      </c>
      <c r="AE240" s="80">
        <v>2</v>
      </c>
      <c r="AF240" s="84">
        <f t="shared" si="42"/>
        <v>0.98055555555038154</v>
      </c>
      <c r="AG240" s="83">
        <f t="shared" si="43"/>
        <v>24.466666666790843</v>
      </c>
      <c r="AH240" s="83">
        <f t="shared" si="44"/>
        <v>12</v>
      </c>
      <c r="AI240" s="83">
        <f t="shared" si="45"/>
        <v>12.466666666790843</v>
      </c>
      <c r="AJ240" s="83">
        <f t="shared" si="46"/>
        <v>12.513368983832578</v>
      </c>
      <c r="AK240" s="83"/>
      <c r="AL240" s="83"/>
      <c r="AM240" s="83"/>
      <c r="AN240" s="83"/>
      <c r="AO240" s="78"/>
    </row>
    <row r="241" spans="1:41" customFormat="1" ht="15" hidden="1" x14ac:dyDescent="0.25">
      <c r="A241" s="82">
        <v>45695</v>
      </c>
      <c r="B241" s="94" t="str">
        <f t="shared" si="36"/>
        <v>February</v>
      </c>
      <c r="C241" s="78"/>
      <c r="D241" s="79" t="s">
        <v>112</v>
      </c>
      <c r="E241" s="80" t="s">
        <v>1017</v>
      </c>
      <c r="F241" s="79" t="s">
        <v>1014</v>
      </c>
      <c r="G241" s="79" t="s">
        <v>52</v>
      </c>
      <c r="H241" s="79" t="s">
        <v>458</v>
      </c>
      <c r="I241" s="79">
        <v>156</v>
      </c>
      <c r="J241" s="79" t="s">
        <v>112</v>
      </c>
      <c r="K241" s="80" t="s">
        <v>469</v>
      </c>
      <c r="L241" s="80">
        <v>448</v>
      </c>
      <c r="M241" s="80">
        <f>L241+2</f>
        <v>450</v>
      </c>
      <c r="N241" s="81">
        <f t="shared" si="47"/>
        <v>2</v>
      </c>
      <c r="O241" s="78"/>
      <c r="P241" s="82">
        <f>R241-TIME(0,41,0)</f>
        <v>45717.290972222225</v>
      </c>
      <c r="Q241" s="82">
        <v>45717.29791666667</v>
      </c>
      <c r="R241" s="82">
        <v>45717.319444444445</v>
      </c>
      <c r="S241" s="81">
        <f t="shared" si="37"/>
        <v>30.856481477773439</v>
      </c>
      <c r="T241" s="81">
        <f t="shared" si="38"/>
        <v>40.810185182635905</v>
      </c>
      <c r="U241" s="79"/>
      <c r="V241" s="82">
        <v>45717.773611111108</v>
      </c>
      <c r="W241" s="82">
        <v>45718.871527777781</v>
      </c>
      <c r="X241" s="103">
        <f t="shared" si="39"/>
        <v>1548.0625000088912</v>
      </c>
      <c r="Y241" s="82"/>
      <c r="Z241" s="82">
        <v>45719.681250000001</v>
      </c>
      <c r="AA241" s="82">
        <f>Z241+TIME(0,49,0)</f>
        <v>45719.715277777781</v>
      </c>
      <c r="AB241" s="81">
        <f t="shared" si="40"/>
        <v>47.979166669174447</v>
      </c>
      <c r="AC241" s="80"/>
      <c r="AD241" s="83">
        <f t="shared" si="41"/>
        <v>2.3618055555562023</v>
      </c>
      <c r="AE241" s="80">
        <v>2</v>
      </c>
      <c r="AF241" s="84">
        <f t="shared" si="42"/>
        <v>-0.36180555555620231</v>
      </c>
      <c r="AG241" s="83">
        <f t="shared" si="43"/>
        <v>56.683333333348855</v>
      </c>
      <c r="AH241" s="83">
        <f t="shared" si="44"/>
        <v>24</v>
      </c>
      <c r="AI241" s="83">
        <f t="shared" si="45"/>
        <v>32.683333333348855</v>
      </c>
      <c r="AJ241" s="83">
        <f t="shared" si="46"/>
        <v>4.7730749617519406</v>
      </c>
      <c r="AK241" s="83"/>
      <c r="AL241" s="83"/>
      <c r="AM241" s="83"/>
      <c r="AN241" s="83"/>
      <c r="AO241" s="78"/>
    </row>
    <row r="242" spans="1:41" customFormat="1" ht="15" hidden="1" x14ac:dyDescent="0.25">
      <c r="A242" s="82">
        <v>45695</v>
      </c>
      <c r="B242" s="94" t="str">
        <f t="shared" si="36"/>
        <v>February</v>
      </c>
      <c r="C242" s="78"/>
      <c r="D242" s="79" t="s">
        <v>824</v>
      </c>
      <c r="E242" s="80" t="s">
        <v>1016</v>
      </c>
      <c r="F242" s="79" t="s">
        <v>962</v>
      </c>
      <c r="G242" s="79" t="s">
        <v>978</v>
      </c>
      <c r="H242" s="79" t="s">
        <v>991</v>
      </c>
      <c r="I242" s="79">
        <v>153.6</v>
      </c>
      <c r="J242" s="79" t="s">
        <v>824</v>
      </c>
      <c r="K242" s="80" t="s">
        <v>469</v>
      </c>
      <c r="L242" s="79">
        <v>20</v>
      </c>
      <c r="M242" s="80">
        <f>L242-1</f>
        <v>19</v>
      </c>
      <c r="N242" s="81">
        <f t="shared" si="47"/>
        <v>-1</v>
      </c>
      <c r="O242" s="78"/>
      <c r="P242" s="82">
        <v>45716.765277777777</v>
      </c>
      <c r="Q242" s="82">
        <v>45716.777777777774</v>
      </c>
      <c r="R242" s="82">
        <v>45716.793749999997</v>
      </c>
      <c r="S242" s="81">
        <f t="shared" si="37"/>
        <v>22.893518520140788</v>
      </c>
      <c r="T242" s="81">
        <f t="shared" si="38"/>
        <v>40.810185182635905</v>
      </c>
      <c r="U242" s="79"/>
      <c r="V242" s="82">
        <v>45717.444444444445</v>
      </c>
      <c r="W242" s="82">
        <v>45717.550694444442</v>
      </c>
      <c r="X242" s="103">
        <f t="shared" si="39"/>
        <v>149.81249999589636</v>
      </c>
      <c r="Y242" s="82"/>
      <c r="Z242" s="82">
        <v>45717.818749999999</v>
      </c>
      <c r="AA242" s="82">
        <f>Z242+TIME(0,54,0)</f>
        <v>45717.856249999997</v>
      </c>
      <c r="AB242" s="81">
        <f t="shared" si="40"/>
        <v>52.87499999794818</v>
      </c>
      <c r="AC242" s="80"/>
      <c r="AD242" s="83">
        <f t="shared" si="41"/>
        <v>1.0250000000014552</v>
      </c>
      <c r="AE242" s="80">
        <v>1</v>
      </c>
      <c r="AF242" s="84">
        <f t="shared" si="42"/>
        <v>-2.5000000001455192E-2</v>
      </c>
      <c r="AG242" s="83">
        <f t="shared" si="43"/>
        <v>24.600000000034925</v>
      </c>
      <c r="AH242" s="83">
        <f t="shared" si="44"/>
        <v>12</v>
      </c>
      <c r="AI242" s="83">
        <f t="shared" si="45"/>
        <v>12.600000000034925</v>
      </c>
      <c r="AJ242" s="83">
        <f t="shared" si="46"/>
        <v>12.1904761904424</v>
      </c>
      <c r="AK242" s="83"/>
      <c r="AL242" s="83"/>
      <c r="AM242" s="83"/>
      <c r="AN242" s="83"/>
      <c r="AO242" s="78"/>
    </row>
    <row r="243" spans="1:41" customFormat="1" ht="15" hidden="1" x14ac:dyDescent="0.25">
      <c r="A243" s="82">
        <v>45695</v>
      </c>
      <c r="B243" s="94" t="str">
        <f t="shared" si="36"/>
        <v>February</v>
      </c>
      <c r="C243" s="78"/>
      <c r="D243" s="79" t="s">
        <v>825</v>
      </c>
      <c r="E243" s="80" t="s">
        <v>1016</v>
      </c>
      <c r="F243" s="79" t="s">
        <v>963</v>
      </c>
      <c r="G243" s="79" t="s">
        <v>60</v>
      </c>
      <c r="H243" s="79" t="s">
        <v>455</v>
      </c>
      <c r="I243" s="79">
        <v>156</v>
      </c>
      <c r="J243" s="79" t="s">
        <v>825</v>
      </c>
      <c r="K243" s="80" t="s">
        <v>469</v>
      </c>
      <c r="L243" s="80">
        <v>580</v>
      </c>
      <c r="M243" s="80">
        <f>L243+2</f>
        <v>582</v>
      </c>
      <c r="N243" s="81">
        <f t="shared" si="47"/>
        <v>2</v>
      </c>
      <c r="O243" s="78"/>
      <c r="P243" s="82">
        <v>45728.590277777774</v>
      </c>
      <c r="Q243" s="82">
        <v>45728.59097222222</v>
      </c>
      <c r="R243" s="82">
        <v>45728.619444444441</v>
      </c>
      <c r="S243" s="81">
        <f t="shared" si="37"/>
        <v>40.810185182635905</v>
      </c>
      <c r="T243" s="81">
        <f t="shared" si="38"/>
        <v>41.805555556250816</v>
      </c>
      <c r="U243" s="79"/>
      <c r="V243" s="82">
        <v>45728.510416666664</v>
      </c>
      <c r="W243" s="82">
        <v>45729.603472222225</v>
      </c>
      <c r="X243" s="103">
        <f t="shared" si="39"/>
        <v>1541.2083333404007</v>
      </c>
      <c r="Y243" s="82"/>
      <c r="Z243" s="82">
        <v>45730.818749999999</v>
      </c>
      <c r="AA243" s="82">
        <f>Z243+TIME(0,48,0)</f>
        <v>45730.852083333331</v>
      </c>
      <c r="AB243" s="81">
        <f t="shared" si="40"/>
        <v>46.99999999931606</v>
      </c>
      <c r="AC243" s="80"/>
      <c r="AD243" s="83">
        <f t="shared" si="41"/>
        <v>2.1993055555576575</v>
      </c>
      <c r="AE243" s="80">
        <v>2</v>
      </c>
      <c r="AF243" s="84">
        <f t="shared" si="42"/>
        <v>-0.1993055555576575</v>
      </c>
      <c r="AG243" s="83">
        <f t="shared" si="43"/>
        <v>52.78333333338378</v>
      </c>
      <c r="AH243" s="83">
        <f t="shared" si="44"/>
        <v>24</v>
      </c>
      <c r="AI243" s="83">
        <f t="shared" si="45"/>
        <v>28.78333333338378</v>
      </c>
      <c r="AJ243" s="83">
        <f t="shared" si="46"/>
        <v>5.4198031267999971</v>
      </c>
      <c r="AK243" s="83"/>
      <c r="AL243" s="83"/>
      <c r="AM243" s="83"/>
      <c r="AN243" s="83"/>
      <c r="AO243" s="78"/>
    </row>
    <row r="244" spans="1:41" customFormat="1" ht="15" hidden="1" x14ac:dyDescent="0.25">
      <c r="A244" s="82">
        <v>45696</v>
      </c>
      <c r="B244" s="94" t="str">
        <f t="shared" si="36"/>
        <v>February</v>
      </c>
      <c r="C244" s="78"/>
      <c r="D244" s="79" t="s">
        <v>113</v>
      </c>
      <c r="E244" s="80" t="s">
        <v>1017</v>
      </c>
      <c r="F244" s="79" t="s">
        <v>1028</v>
      </c>
      <c r="G244" s="79" t="s">
        <v>45</v>
      </c>
      <c r="H244" s="79" t="s">
        <v>453</v>
      </c>
      <c r="I244" s="79">
        <v>156</v>
      </c>
      <c r="J244" s="79" t="s">
        <v>113</v>
      </c>
      <c r="K244" s="80" t="s">
        <v>469</v>
      </c>
      <c r="L244" s="80">
        <v>464</v>
      </c>
      <c r="M244" s="80">
        <f>L244-2</f>
        <v>462</v>
      </c>
      <c r="N244" s="81">
        <f t="shared" si="47"/>
        <v>-2</v>
      </c>
      <c r="O244" s="78"/>
      <c r="P244" s="82">
        <f>R244-TIME(0,44,0)</f>
        <v>45695.62777777778</v>
      </c>
      <c r="Q244" s="82">
        <v>45695.646527777775</v>
      </c>
      <c r="R244" s="82">
        <v>45695.658333333333</v>
      </c>
      <c r="S244" s="81">
        <f t="shared" si="37"/>
        <v>16.921296299309081</v>
      </c>
      <c r="T244" s="81">
        <f t="shared" si="38"/>
        <v>43.796296293051761</v>
      </c>
      <c r="U244" s="79"/>
      <c r="V244" s="82">
        <v>45695.925000000003</v>
      </c>
      <c r="W244" s="82">
        <v>45696.57708333333</v>
      </c>
      <c r="X244" s="103">
        <f t="shared" si="39"/>
        <v>919.43749999110878</v>
      </c>
      <c r="Y244" s="82" t="s">
        <v>1038</v>
      </c>
      <c r="Z244" s="82">
        <v>45696.681250000001</v>
      </c>
      <c r="AA244" s="82">
        <f>Z244+TIME(0,56,0)</f>
        <v>45696.720138888893</v>
      </c>
      <c r="AB244" s="81">
        <f t="shared" si="40"/>
        <v>54.833333337664953</v>
      </c>
      <c r="AC244" s="80"/>
      <c r="AD244" s="83">
        <f t="shared" si="41"/>
        <v>1.0229166666686069</v>
      </c>
      <c r="AE244" s="80">
        <v>2</v>
      </c>
      <c r="AF244" s="84">
        <f t="shared" si="42"/>
        <v>0.97708333333139308</v>
      </c>
      <c r="AG244" s="83">
        <f t="shared" si="43"/>
        <v>24.550000000046566</v>
      </c>
      <c r="AH244" s="83">
        <f t="shared" si="44"/>
        <v>12</v>
      </c>
      <c r="AI244" s="83">
        <f t="shared" si="45"/>
        <v>12.550000000046566</v>
      </c>
      <c r="AJ244" s="83">
        <f t="shared" si="46"/>
        <v>12.43027888441603</v>
      </c>
      <c r="AK244" s="83"/>
      <c r="AL244" s="83"/>
      <c r="AM244" s="83"/>
      <c r="AN244" s="83"/>
      <c r="AO244" s="78"/>
    </row>
    <row r="245" spans="1:41" customFormat="1" ht="15" hidden="1" x14ac:dyDescent="0.25">
      <c r="A245" s="82">
        <v>45696</v>
      </c>
      <c r="B245" s="94" t="str">
        <f t="shared" si="36"/>
        <v>February</v>
      </c>
      <c r="C245" s="78"/>
      <c r="D245" s="79" t="s">
        <v>114</v>
      </c>
      <c r="E245" s="80" t="s">
        <v>1017</v>
      </c>
      <c r="F245" s="79" t="s">
        <v>1021</v>
      </c>
      <c r="G245" s="79" t="s">
        <v>57</v>
      </c>
      <c r="H245" s="79" t="s">
        <v>463</v>
      </c>
      <c r="I245" s="79">
        <v>156</v>
      </c>
      <c r="J245" s="79" t="s">
        <v>114</v>
      </c>
      <c r="K245" s="80" t="s">
        <v>469</v>
      </c>
      <c r="L245" s="80">
        <v>414</v>
      </c>
      <c r="M245" s="80">
        <f>L245-1</f>
        <v>413</v>
      </c>
      <c r="N245" s="81">
        <f t="shared" si="47"/>
        <v>-1</v>
      </c>
      <c r="O245" s="78"/>
      <c r="P245" s="82">
        <v>45695.393750000003</v>
      </c>
      <c r="Q245" s="82">
        <v>45695.320833333331</v>
      </c>
      <c r="R245" s="82">
        <v>45695.42291666667</v>
      </c>
      <c r="S245" s="81">
        <f t="shared" si="37"/>
        <v>146.31944445209228</v>
      </c>
      <c r="T245" s="81">
        <f t="shared" si="38"/>
        <v>41.805555556250816</v>
      </c>
      <c r="U245" s="79"/>
      <c r="V245" s="82">
        <v>45699.414583333331</v>
      </c>
      <c r="W245" s="82">
        <v>45699.549305555556</v>
      </c>
      <c r="X245" s="103">
        <f t="shared" si="39"/>
        <v>189.95833333698101</v>
      </c>
      <c r="Y245" s="82" t="s">
        <v>1039</v>
      </c>
      <c r="Z245" s="82">
        <v>45697.418749999997</v>
      </c>
      <c r="AA245" s="82">
        <v>45697.455555555556</v>
      </c>
      <c r="AB245" s="81">
        <f t="shared" si="40"/>
        <v>51.895833338348893</v>
      </c>
      <c r="AC245" s="80"/>
      <c r="AD245" s="83">
        <f t="shared" si="41"/>
        <v>1.9958333333270275</v>
      </c>
      <c r="AE245" s="80">
        <v>3</v>
      </c>
      <c r="AF245" s="84">
        <f t="shared" si="42"/>
        <v>1.0041666666729725</v>
      </c>
      <c r="AG245" s="83">
        <f t="shared" si="43"/>
        <v>47.89999999984866</v>
      </c>
      <c r="AH245" s="83">
        <f t="shared" si="44"/>
        <v>12</v>
      </c>
      <c r="AI245" s="83">
        <f t="shared" si="45"/>
        <v>35.89999999984866</v>
      </c>
      <c r="AJ245" s="83">
        <f t="shared" si="46"/>
        <v>4.3454038997397673</v>
      </c>
      <c r="AK245" s="83"/>
      <c r="AL245" s="83"/>
      <c r="AM245" s="83"/>
      <c r="AN245" s="83"/>
      <c r="AO245" s="78"/>
    </row>
    <row r="246" spans="1:41" customFormat="1" ht="15" hidden="1" x14ac:dyDescent="0.25">
      <c r="A246" s="82">
        <v>45696</v>
      </c>
      <c r="B246" s="94" t="str">
        <f t="shared" si="36"/>
        <v>February</v>
      </c>
      <c r="C246" s="78"/>
      <c r="D246" s="79" t="s">
        <v>115</v>
      </c>
      <c r="E246" s="80" t="s">
        <v>1017</v>
      </c>
      <c r="F246" s="79" t="s">
        <v>1035</v>
      </c>
      <c r="G246" s="79" t="s">
        <v>44</v>
      </c>
      <c r="H246" s="79" t="s">
        <v>458</v>
      </c>
      <c r="I246" s="79">
        <v>156</v>
      </c>
      <c r="J246" s="79" t="s">
        <v>115</v>
      </c>
      <c r="K246" s="80" t="s">
        <v>469</v>
      </c>
      <c r="L246" s="80">
        <v>448</v>
      </c>
      <c r="M246" s="80">
        <f>L246+1</f>
        <v>449</v>
      </c>
      <c r="N246" s="81">
        <f t="shared" si="47"/>
        <v>1</v>
      </c>
      <c r="O246" s="78"/>
      <c r="P246" s="82">
        <f>R246-TIME(0,43,0)</f>
        <v>45695.438888888886</v>
      </c>
      <c r="Q246" s="82">
        <v>45695.136805555558</v>
      </c>
      <c r="R246" s="82">
        <v>45695.46875</v>
      </c>
      <c r="S246" s="81">
        <f t="shared" si="37"/>
        <v>475.78703703402425</v>
      </c>
      <c r="T246" s="81">
        <f t="shared" si="38"/>
        <v>42.80092592986572</v>
      </c>
      <c r="U246" s="79"/>
      <c r="V246" s="82">
        <v>45698.775694444441</v>
      </c>
      <c r="W246" s="82">
        <v>45699.390972222223</v>
      </c>
      <c r="X246" s="103">
        <f t="shared" si="39"/>
        <v>867.54166667327809</v>
      </c>
      <c r="Y246" s="82" t="s">
        <v>1040</v>
      </c>
      <c r="Z246" s="82">
        <v>45695.681250000001</v>
      </c>
      <c r="AA246" s="82">
        <v>45695.718055555561</v>
      </c>
      <c r="AB246" s="81">
        <f t="shared" si="40"/>
        <v>51.895833338348893</v>
      </c>
      <c r="AC246" s="97"/>
      <c r="AD246" s="83">
        <f t="shared" si="41"/>
        <v>0.21250000000145519</v>
      </c>
      <c r="AE246" s="80">
        <v>2</v>
      </c>
      <c r="AF246" s="84">
        <f t="shared" si="42"/>
        <v>1.7874999999985448</v>
      </c>
      <c r="AG246" s="83">
        <f t="shared" si="43"/>
        <v>5.1000000000349246</v>
      </c>
      <c r="AH246" s="83">
        <f t="shared" si="44"/>
        <v>0</v>
      </c>
      <c r="AI246" s="83">
        <f t="shared" si="45"/>
        <v>5.1000000000349246</v>
      </c>
      <c r="AJ246" s="83">
        <f t="shared" si="46"/>
        <v>30.588235293908181</v>
      </c>
      <c r="AK246" s="83"/>
      <c r="AL246" s="83"/>
      <c r="AM246" s="83"/>
      <c r="AN246" s="83"/>
      <c r="AO246" s="78"/>
    </row>
    <row r="247" spans="1:41" customFormat="1" ht="15" hidden="1" x14ac:dyDescent="0.25">
      <c r="A247" s="82">
        <v>45696</v>
      </c>
      <c r="B247" s="94" t="str">
        <f t="shared" si="36"/>
        <v>February</v>
      </c>
      <c r="C247" s="78"/>
      <c r="D247" s="79" t="s">
        <v>826</v>
      </c>
      <c r="E247" s="80" t="s">
        <v>1016</v>
      </c>
      <c r="F247" s="79" t="s">
        <v>960</v>
      </c>
      <c r="G247" s="79" t="s">
        <v>62</v>
      </c>
      <c r="H247" s="79" t="s">
        <v>992</v>
      </c>
      <c r="I247" s="79">
        <v>156</v>
      </c>
      <c r="J247" s="79" t="s">
        <v>826</v>
      </c>
      <c r="K247" s="80" t="s">
        <v>469</v>
      </c>
      <c r="L247" s="80">
        <v>304</v>
      </c>
      <c r="M247" s="80">
        <f>L247-2</f>
        <v>302</v>
      </c>
      <c r="N247" s="81">
        <f t="shared" si="47"/>
        <v>-2</v>
      </c>
      <c r="O247" s="78"/>
      <c r="P247" s="82">
        <f>R247-TIME(0,44,0)</f>
        <v>45695.438194444447</v>
      </c>
      <c r="Q247" s="82">
        <v>45695.136805555558</v>
      </c>
      <c r="R247" s="82">
        <v>45695.46875</v>
      </c>
      <c r="S247" s="81">
        <f t="shared" si="37"/>
        <v>475.78703703402425</v>
      </c>
      <c r="T247" s="81">
        <f t="shared" si="38"/>
        <v>43.796296293051761</v>
      </c>
      <c r="U247" s="79"/>
      <c r="V247" s="82">
        <v>45699.414583333331</v>
      </c>
      <c r="W247" s="82">
        <v>45699.549305555556</v>
      </c>
      <c r="X247" s="103">
        <f t="shared" si="39"/>
        <v>189.95833333698101</v>
      </c>
      <c r="Y247" s="82" t="s">
        <v>1044</v>
      </c>
      <c r="Z247" s="82">
        <v>45697.418749999997</v>
      </c>
      <c r="AA247" s="82">
        <f>Z247+TIME(0,54,0)</f>
        <v>45697.456249999996</v>
      </c>
      <c r="AB247" s="81">
        <f t="shared" si="40"/>
        <v>52.87499999794818</v>
      </c>
      <c r="AC247" s="80"/>
      <c r="AD247" s="83">
        <f t="shared" si="41"/>
        <v>1.9499999999970896</v>
      </c>
      <c r="AE247" s="80">
        <v>2</v>
      </c>
      <c r="AF247" s="84">
        <f t="shared" si="42"/>
        <v>5.0000000002910383E-2</v>
      </c>
      <c r="AG247" s="83">
        <f t="shared" si="43"/>
        <v>46.799999999930151</v>
      </c>
      <c r="AH247" s="83">
        <f t="shared" si="44"/>
        <v>12</v>
      </c>
      <c r="AI247" s="83">
        <f t="shared" si="45"/>
        <v>34.799999999930151</v>
      </c>
      <c r="AJ247" s="83">
        <f t="shared" si="46"/>
        <v>4.4827586206986529</v>
      </c>
      <c r="AK247" s="83"/>
      <c r="AL247" s="83"/>
      <c r="AM247" s="83"/>
      <c r="AN247" s="83"/>
      <c r="AO247" s="78"/>
    </row>
    <row r="248" spans="1:41" customFormat="1" ht="15" hidden="1" x14ac:dyDescent="0.25">
      <c r="A248" s="82">
        <v>45696</v>
      </c>
      <c r="B248" s="94" t="str">
        <f t="shared" si="36"/>
        <v>February</v>
      </c>
      <c r="C248" s="78"/>
      <c r="D248" s="79" t="s">
        <v>827</v>
      </c>
      <c r="E248" s="80" t="s">
        <v>1016</v>
      </c>
      <c r="F248" s="79" t="s">
        <v>955</v>
      </c>
      <c r="G248" s="79" t="s">
        <v>972</v>
      </c>
      <c r="H248" s="79" t="s">
        <v>982</v>
      </c>
      <c r="I248" s="79">
        <v>153.6</v>
      </c>
      <c r="J248" s="79" t="s">
        <v>827</v>
      </c>
      <c r="K248" s="80" t="s">
        <v>469</v>
      </c>
      <c r="L248" s="80">
        <v>298</v>
      </c>
      <c r="M248" s="80">
        <f>L248-3</f>
        <v>295</v>
      </c>
      <c r="N248" s="81">
        <f t="shared" si="47"/>
        <v>-3</v>
      </c>
      <c r="O248" s="78"/>
      <c r="P248" s="82">
        <v>45695.39444444445</v>
      </c>
      <c r="Q248" s="82">
        <v>45695.320833333331</v>
      </c>
      <c r="R248" s="82">
        <v>45695.42291666667</v>
      </c>
      <c r="S248" s="81">
        <f t="shared" si="37"/>
        <v>146.31944445209228</v>
      </c>
      <c r="T248" s="81">
        <f t="shared" si="38"/>
        <v>40.810185182635905</v>
      </c>
      <c r="U248" s="79"/>
      <c r="V248" s="82">
        <v>45699.425000000003</v>
      </c>
      <c r="W248" s="82">
        <v>45699.50277777778</v>
      </c>
      <c r="X248" s="103">
        <f t="shared" si="39"/>
        <v>109.66666666507081</v>
      </c>
      <c r="Y248" s="82"/>
      <c r="Z248" s="82">
        <v>45695.681250000001</v>
      </c>
      <c r="AA248" s="82">
        <f>Z248+TIME(0,54,0)</f>
        <v>45695.71875</v>
      </c>
      <c r="AB248" s="81">
        <f t="shared" si="40"/>
        <v>52.87499999794818</v>
      </c>
      <c r="AC248" s="80"/>
      <c r="AD248" s="83">
        <f t="shared" si="41"/>
        <v>0.25833333333139308</v>
      </c>
      <c r="AE248" s="80">
        <v>2</v>
      </c>
      <c r="AF248" s="84">
        <f t="shared" si="42"/>
        <v>1.7416666666686069</v>
      </c>
      <c r="AG248" s="83">
        <f t="shared" si="43"/>
        <v>6.1999999999534339</v>
      </c>
      <c r="AH248" s="83">
        <f t="shared" si="44"/>
        <v>0</v>
      </c>
      <c r="AI248" s="83">
        <f t="shared" si="45"/>
        <v>6.1999999999534339</v>
      </c>
      <c r="AJ248" s="83">
        <f t="shared" si="46"/>
        <v>24.774193548573166</v>
      </c>
      <c r="AK248" s="83"/>
      <c r="AL248" s="83"/>
      <c r="AM248" s="83"/>
      <c r="AN248" s="83"/>
      <c r="AO248" s="78"/>
    </row>
    <row r="249" spans="1:41" customFormat="1" ht="15" hidden="1" x14ac:dyDescent="0.25">
      <c r="A249" s="82">
        <v>45696</v>
      </c>
      <c r="B249" s="94" t="str">
        <f t="shared" si="36"/>
        <v>February</v>
      </c>
      <c r="C249" s="78"/>
      <c r="D249" s="79" t="s">
        <v>828</v>
      </c>
      <c r="E249" s="80" t="s">
        <v>1016</v>
      </c>
      <c r="F249" s="79" t="s">
        <v>950</v>
      </c>
      <c r="G249" s="79" t="s">
        <v>967</v>
      </c>
      <c r="H249" s="79" t="s">
        <v>991</v>
      </c>
      <c r="I249" s="79">
        <v>153.6</v>
      </c>
      <c r="J249" s="79" t="s">
        <v>828</v>
      </c>
      <c r="K249" s="80" t="s">
        <v>469</v>
      </c>
      <c r="L249" s="79">
        <v>20</v>
      </c>
      <c r="M249" s="80">
        <f>L249-1</f>
        <v>19</v>
      </c>
      <c r="N249" s="81">
        <f t="shared" si="47"/>
        <v>-1</v>
      </c>
      <c r="O249" s="78"/>
      <c r="P249" s="82">
        <f>R249-TIME(0,41,0)</f>
        <v>45695.759722222225</v>
      </c>
      <c r="Q249" s="82">
        <v>45695.759722222225</v>
      </c>
      <c r="R249" s="82">
        <v>45695.788194444445</v>
      </c>
      <c r="S249" s="81">
        <f t="shared" si="37"/>
        <v>40.810185182635905</v>
      </c>
      <c r="T249" s="81">
        <f t="shared" si="38"/>
        <v>40.810185182635905</v>
      </c>
      <c r="U249" s="79"/>
      <c r="V249" s="82">
        <v>45700.654166666667</v>
      </c>
      <c r="W249" s="82">
        <v>45700.743055555555</v>
      </c>
      <c r="X249" s="103">
        <f t="shared" si="39"/>
        <v>125.33333333150949</v>
      </c>
      <c r="Y249" s="82"/>
      <c r="Z249" s="82">
        <v>45697.685416666667</v>
      </c>
      <c r="AA249" s="82">
        <v>45697.722222222226</v>
      </c>
      <c r="AB249" s="81">
        <f t="shared" si="40"/>
        <v>51.895833338348893</v>
      </c>
      <c r="AC249" s="80"/>
      <c r="AD249" s="83">
        <f t="shared" si="41"/>
        <v>1.8972222222218988</v>
      </c>
      <c r="AE249" s="80">
        <v>3</v>
      </c>
      <c r="AF249" s="84">
        <f t="shared" si="42"/>
        <v>1.1027777777781012</v>
      </c>
      <c r="AG249" s="83">
        <f t="shared" si="43"/>
        <v>45.533333333325572</v>
      </c>
      <c r="AH249" s="83">
        <f t="shared" si="44"/>
        <v>12</v>
      </c>
      <c r="AI249" s="83">
        <f t="shared" si="45"/>
        <v>33.533333333325572</v>
      </c>
      <c r="AJ249" s="83">
        <f t="shared" si="46"/>
        <v>4.5805168986094102</v>
      </c>
      <c r="AK249" s="83"/>
      <c r="AL249" s="83"/>
      <c r="AM249" s="83"/>
      <c r="AN249" s="83"/>
      <c r="AO249" s="78"/>
    </row>
    <row r="250" spans="1:41" customFormat="1" ht="15" hidden="1" x14ac:dyDescent="0.25">
      <c r="A250" s="82">
        <v>45696</v>
      </c>
      <c r="B250" s="94" t="str">
        <f t="shared" si="36"/>
        <v>February</v>
      </c>
      <c r="C250" s="78"/>
      <c r="D250" s="79" t="s">
        <v>829</v>
      </c>
      <c r="E250" s="80" t="s">
        <v>1016</v>
      </c>
      <c r="F250" s="79" t="s">
        <v>962</v>
      </c>
      <c r="G250" s="79" t="s">
        <v>978</v>
      </c>
      <c r="H250" s="79" t="s">
        <v>991</v>
      </c>
      <c r="I250" s="79">
        <v>153.6</v>
      </c>
      <c r="J250" s="79" t="s">
        <v>829</v>
      </c>
      <c r="K250" s="80" t="s">
        <v>469</v>
      </c>
      <c r="L250" s="79">
        <v>20</v>
      </c>
      <c r="M250" s="80">
        <f>L250+1</f>
        <v>21</v>
      </c>
      <c r="N250" s="81">
        <f t="shared" si="47"/>
        <v>1</v>
      </c>
      <c r="O250" s="78"/>
      <c r="P250" s="82">
        <v>45696.301388888889</v>
      </c>
      <c r="Q250" s="82">
        <v>45696.300694444442</v>
      </c>
      <c r="R250" s="82">
        <v>45696.330555555556</v>
      </c>
      <c r="S250" s="81">
        <f t="shared" si="37"/>
        <v>42.80092592986572</v>
      </c>
      <c r="T250" s="81">
        <f t="shared" si="38"/>
        <v>41.805555556250816</v>
      </c>
      <c r="U250" s="79"/>
      <c r="V250" s="82">
        <v>45696.359722222223</v>
      </c>
      <c r="W250" s="82">
        <v>45696.629861111112</v>
      </c>
      <c r="X250" s="103">
        <f t="shared" si="39"/>
        <v>380.89583333356131</v>
      </c>
      <c r="Y250" s="82" t="s">
        <v>1044</v>
      </c>
      <c r="Z250" s="82">
        <v>45696.652083333334</v>
      </c>
      <c r="AA250" s="82">
        <v>45696.688888888893</v>
      </c>
      <c r="AB250" s="81">
        <f t="shared" si="40"/>
        <v>51.895833338348893</v>
      </c>
      <c r="AC250" s="80"/>
      <c r="AD250" s="83">
        <f t="shared" si="41"/>
        <v>0.32152777777810115</v>
      </c>
      <c r="AE250" s="80">
        <v>3</v>
      </c>
      <c r="AF250" s="84">
        <f t="shared" si="42"/>
        <v>2.6784722222218988</v>
      </c>
      <c r="AG250" s="83">
        <f t="shared" si="43"/>
        <v>7.7166666666744277</v>
      </c>
      <c r="AH250" s="83">
        <f t="shared" si="44"/>
        <v>0</v>
      </c>
      <c r="AI250" s="83">
        <f t="shared" si="45"/>
        <v>7.7166666666744277</v>
      </c>
      <c r="AJ250" s="83">
        <f t="shared" si="46"/>
        <v>19.904967602571773</v>
      </c>
      <c r="AK250" s="83"/>
      <c r="AL250" s="83"/>
      <c r="AM250" s="83"/>
      <c r="AN250" s="83"/>
      <c r="AO250" s="78"/>
    </row>
    <row r="251" spans="1:41" customFormat="1" ht="15" hidden="1" x14ac:dyDescent="0.25">
      <c r="A251" s="82">
        <v>45697</v>
      </c>
      <c r="B251" s="94" t="str">
        <f t="shared" si="36"/>
        <v>February</v>
      </c>
      <c r="C251" s="78"/>
      <c r="D251" s="79" t="s">
        <v>116</v>
      </c>
      <c r="E251" s="80" t="s">
        <v>1017</v>
      </c>
      <c r="F251" s="79" t="s">
        <v>1018</v>
      </c>
      <c r="G251" s="79" t="s">
        <v>39</v>
      </c>
      <c r="H251" s="79" t="s">
        <v>987</v>
      </c>
      <c r="I251" s="79">
        <v>6.3</v>
      </c>
      <c r="J251" s="79" t="s">
        <v>116</v>
      </c>
      <c r="K251" s="80" t="s">
        <v>469</v>
      </c>
      <c r="L251" s="79">
        <v>320</v>
      </c>
      <c r="M251" s="80">
        <f>L251-1</f>
        <v>319</v>
      </c>
      <c r="N251" s="81">
        <f t="shared" si="47"/>
        <v>-1</v>
      </c>
      <c r="O251" s="78"/>
      <c r="P251" s="82">
        <v>45696.502083333333</v>
      </c>
      <c r="Q251" s="82">
        <v>45696.320833333331</v>
      </c>
      <c r="R251" s="82">
        <v>45696.53125</v>
      </c>
      <c r="S251" s="81">
        <f t="shared" si="37"/>
        <v>301.59722222500324</v>
      </c>
      <c r="T251" s="81">
        <f t="shared" si="38"/>
        <v>41.805555556250816</v>
      </c>
      <c r="U251" s="79"/>
      <c r="V251" s="82">
        <v>45699.425000000003</v>
      </c>
      <c r="W251" s="82">
        <v>45699.50277777778</v>
      </c>
      <c r="X251" s="103">
        <f t="shared" si="39"/>
        <v>109.66666666507081</v>
      </c>
      <c r="Y251" s="82"/>
      <c r="Z251" s="82">
        <v>45696.652083333334</v>
      </c>
      <c r="AA251" s="82">
        <v>45696.688888888893</v>
      </c>
      <c r="AB251" s="81">
        <f t="shared" si="40"/>
        <v>51.895833338348893</v>
      </c>
      <c r="AC251" s="80"/>
      <c r="AD251" s="83">
        <f t="shared" si="41"/>
        <v>0.12083333333430346</v>
      </c>
      <c r="AE251" s="80">
        <v>2</v>
      </c>
      <c r="AF251" s="84">
        <f t="shared" si="42"/>
        <v>1.8791666666656965</v>
      </c>
      <c r="AG251" s="83">
        <f t="shared" si="43"/>
        <v>2.9000000000232831</v>
      </c>
      <c r="AH251" s="83">
        <f t="shared" si="44"/>
        <v>0</v>
      </c>
      <c r="AI251" s="83">
        <f t="shared" si="45"/>
        <v>2.9000000000232831</v>
      </c>
      <c r="AJ251" s="83">
        <f t="shared" si="46"/>
        <v>2.1724137930860068</v>
      </c>
      <c r="AK251" s="83"/>
      <c r="AL251" s="83"/>
      <c r="AM251" s="83"/>
      <c r="AN251" s="83"/>
      <c r="AO251" s="78"/>
    </row>
    <row r="252" spans="1:41" customFormat="1" ht="15" hidden="1" x14ac:dyDescent="0.25">
      <c r="A252" s="82">
        <v>45697</v>
      </c>
      <c r="B252" s="94" t="str">
        <f t="shared" si="36"/>
        <v>February</v>
      </c>
      <c r="C252" s="78"/>
      <c r="D252" s="79" t="s">
        <v>117</v>
      </c>
      <c r="E252" s="80" t="s">
        <v>1017</v>
      </c>
      <c r="F252" s="79"/>
      <c r="G252" s="79" t="s">
        <v>42</v>
      </c>
      <c r="H252" s="79" t="s">
        <v>451</v>
      </c>
      <c r="I252" s="79">
        <v>6.3</v>
      </c>
      <c r="J252" s="79" t="s">
        <v>117</v>
      </c>
      <c r="K252" s="80" t="s">
        <v>469</v>
      </c>
      <c r="L252" s="80">
        <v>790</v>
      </c>
      <c r="M252" s="80">
        <f>L252+2</f>
        <v>792</v>
      </c>
      <c r="N252" s="81">
        <f t="shared" si="47"/>
        <v>2</v>
      </c>
      <c r="O252" s="78"/>
      <c r="P252" s="82">
        <v>45696.238194444442</v>
      </c>
      <c r="Q252" s="82">
        <v>45695.854166666664</v>
      </c>
      <c r="R252" s="82">
        <v>45696.267361111109</v>
      </c>
      <c r="S252" s="81">
        <f t="shared" si="37"/>
        <v>592.24537037152913</v>
      </c>
      <c r="T252" s="81">
        <f t="shared" si="38"/>
        <v>41.805555556250816</v>
      </c>
      <c r="U252" s="79"/>
      <c r="V252" s="82">
        <v>45700.654166666667</v>
      </c>
      <c r="W252" s="82">
        <v>45700.743055555555</v>
      </c>
      <c r="X252" s="103">
        <f t="shared" si="39"/>
        <v>125.33333333150949</v>
      </c>
      <c r="Y252" s="82"/>
      <c r="Z252" s="82">
        <v>45698.401388888888</v>
      </c>
      <c r="AA252" s="82">
        <v>45698.438194444447</v>
      </c>
      <c r="AB252" s="81">
        <f t="shared" si="40"/>
        <v>51.895833338348893</v>
      </c>
      <c r="AC252" s="80"/>
      <c r="AD252" s="83">
        <f t="shared" si="41"/>
        <v>2.1340277777781012</v>
      </c>
      <c r="AE252" s="80">
        <v>3</v>
      </c>
      <c r="AF252" s="84">
        <f t="shared" si="42"/>
        <v>0.86597222222189885</v>
      </c>
      <c r="AG252" s="83">
        <f t="shared" si="43"/>
        <v>51.216666666674428</v>
      </c>
      <c r="AH252" s="83">
        <f t="shared" si="44"/>
        <v>24</v>
      </c>
      <c r="AI252" s="83">
        <f t="shared" si="45"/>
        <v>27.216666666674428</v>
      </c>
      <c r="AJ252" s="83">
        <f t="shared" si="46"/>
        <v>0.23147581139001361</v>
      </c>
      <c r="AK252" s="83"/>
      <c r="AL252" s="83"/>
      <c r="AM252" s="83"/>
      <c r="AN252" s="83"/>
      <c r="AO252" s="78"/>
    </row>
    <row r="253" spans="1:41" customFormat="1" ht="15" hidden="1" x14ac:dyDescent="0.25">
      <c r="A253" s="82">
        <v>45697</v>
      </c>
      <c r="B253" s="94" t="str">
        <f t="shared" si="36"/>
        <v>February</v>
      </c>
      <c r="C253" s="78"/>
      <c r="D253" s="79" t="s">
        <v>118</v>
      </c>
      <c r="E253" s="80" t="s">
        <v>1017</v>
      </c>
      <c r="F253" s="79" t="s">
        <v>1024</v>
      </c>
      <c r="G253" s="79" t="s">
        <v>63</v>
      </c>
      <c r="H253" s="79" t="s">
        <v>987</v>
      </c>
      <c r="I253" s="79">
        <v>156</v>
      </c>
      <c r="J253" s="79" t="s">
        <v>118</v>
      </c>
      <c r="K253" s="80" t="s">
        <v>469</v>
      </c>
      <c r="L253" s="79">
        <v>320</v>
      </c>
      <c r="M253" s="80">
        <f>L253+2</f>
        <v>322</v>
      </c>
      <c r="N253" s="81">
        <f t="shared" si="47"/>
        <v>2</v>
      </c>
      <c r="O253" s="78"/>
      <c r="P253" s="82">
        <f>R253-TIME(0,44,0)</f>
        <v>45696.500694444447</v>
      </c>
      <c r="Q253" s="82">
        <v>45696.320833333331</v>
      </c>
      <c r="R253" s="82">
        <v>45696.53125</v>
      </c>
      <c r="S253" s="81">
        <f t="shared" si="37"/>
        <v>301.59722222500324</v>
      </c>
      <c r="T253" s="81">
        <f t="shared" si="38"/>
        <v>43.796296293051761</v>
      </c>
      <c r="U253" s="79"/>
      <c r="V253" s="82">
        <v>45696.552083333336</v>
      </c>
      <c r="W253" s="82">
        <v>45696.806944444441</v>
      </c>
      <c r="X253" s="103">
        <f t="shared" si="39"/>
        <v>359.35416665823141</v>
      </c>
      <c r="Y253" s="82" t="s">
        <v>1045</v>
      </c>
      <c r="Z253" s="82">
        <v>45696.843055555553</v>
      </c>
      <c r="AA253" s="82">
        <v>45696.881944444445</v>
      </c>
      <c r="AB253" s="81">
        <f t="shared" si="40"/>
        <v>54.833333337664953</v>
      </c>
      <c r="AC253" s="80"/>
      <c r="AD253" s="83">
        <f t="shared" si="41"/>
        <v>0.31180555555329192</v>
      </c>
      <c r="AE253" s="80">
        <v>2</v>
      </c>
      <c r="AF253" s="84">
        <f t="shared" si="42"/>
        <v>1.6881944444467081</v>
      </c>
      <c r="AG253" s="83">
        <f t="shared" si="43"/>
        <v>7.4833333332790062</v>
      </c>
      <c r="AH253" s="83">
        <f t="shared" si="44"/>
        <v>0</v>
      </c>
      <c r="AI253" s="83">
        <f t="shared" si="45"/>
        <v>7.4833333332790062</v>
      </c>
      <c r="AJ253" s="83">
        <f t="shared" si="46"/>
        <v>20.8463251671892</v>
      </c>
      <c r="AK253" s="83"/>
      <c r="AL253" s="83"/>
      <c r="AM253" s="83"/>
      <c r="AN253" s="83"/>
      <c r="AO253" s="78"/>
    </row>
    <row r="254" spans="1:41" customFormat="1" ht="15" hidden="1" x14ac:dyDescent="0.25">
      <c r="A254" s="82">
        <v>45697</v>
      </c>
      <c r="B254" s="94" t="str">
        <f t="shared" si="36"/>
        <v>February</v>
      </c>
      <c r="C254" s="78"/>
      <c r="D254" s="79" t="s">
        <v>119</v>
      </c>
      <c r="E254" s="80" t="s">
        <v>1017</v>
      </c>
      <c r="F254" s="79" t="s">
        <v>1019</v>
      </c>
      <c r="G254" s="79" t="s">
        <v>37</v>
      </c>
      <c r="H254" s="79" t="s">
        <v>460</v>
      </c>
      <c r="I254" s="79">
        <v>70.8</v>
      </c>
      <c r="J254" s="79" t="s">
        <v>119</v>
      </c>
      <c r="K254" s="80" t="s">
        <v>469</v>
      </c>
      <c r="L254" s="80">
        <v>600</v>
      </c>
      <c r="M254" s="80">
        <f>L254+2</f>
        <v>602</v>
      </c>
      <c r="N254" s="81">
        <f t="shared" si="47"/>
        <v>2</v>
      </c>
      <c r="O254" s="78"/>
      <c r="P254" s="82">
        <v>45696.302083333336</v>
      </c>
      <c r="Q254" s="82">
        <v>45696.320833333331</v>
      </c>
      <c r="R254" s="82">
        <v>45696.330555555556</v>
      </c>
      <c r="S254" s="81">
        <f t="shared" si="37"/>
        <v>13.935185188893229</v>
      </c>
      <c r="T254" s="81">
        <f t="shared" si="38"/>
        <v>40.810185182635905</v>
      </c>
      <c r="U254" s="79"/>
      <c r="V254" s="82">
        <v>45696.359722222223</v>
      </c>
      <c r="W254" s="82">
        <v>45696.629861111112</v>
      </c>
      <c r="X254" s="103">
        <f t="shared" si="39"/>
        <v>380.89583333356131</v>
      </c>
      <c r="Y254" s="82" t="s">
        <v>1044</v>
      </c>
      <c r="Z254" s="82">
        <v>45696.652083333334</v>
      </c>
      <c r="AA254" s="82">
        <f>Z254+TIME(0,54,0)</f>
        <v>45696.689583333333</v>
      </c>
      <c r="AB254" s="81">
        <f t="shared" si="40"/>
        <v>52.87499999794818</v>
      </c>
      <c r="AC254" s="80"/>
      <c r="AD254" s="83">
        <f t="shared" si="41"/>
        <v>0.32152777777810115</v>
      </c>
      <c r="AE254" s="80">
        <v>3</v>
      </c>
      <c r="AF254" s="84">
        <f t="shared" si="42"/>
        <v>2.6784722222218988</v>
      </c>
      <c r="AG254" s="83">
        <f t="shared" si="43"/>
        <v>7.7166666666744277</v>
      </c>
      <c r="AH254" s="83">
        <f t="shared" si="44"/>
        <v>0</v>
      </c>
      <c r="AI254" s="83">
        <f t="shared" si="45"/>
        <v>7.7166666666744277</v>
      </c>
      <c r="AJ254" s="83">
        <f t="shared" si="46"/>
        <v>9.1749460043104261</v>
      </c>
      <c r="AK254" s="83"/>
      <c r="AL254" s="83"/>
      <c r="AM254" s="83"/>
      <c r="AN254" s="83"/>
      <c r="AO254" s="78"/>
    </row>
    <row r="255" spans="1:41" customFormat="1" ht="15" hidden="1" x14ac:dyDescent="0.25">
      <c r="A255" s="82">
        <v>45697</v>
      </c>
      <c r="B255" s="94" t="str">
        <f t="shared" si="36"/>
        <v>February</v>
      </c>
      <c r="C255" s="78"/>
      <c r="D255" s="79" t="s">
        <v>120</v>
      </c>
      <c r="E255" s="80" t="s">
        <v>1017</v>
      </c>
      <c r="F255" s="79"/>
      <c r="G255" s="79" t="s">
        <v>64</v>
      </c>
      <c r="H255" s="79" t="s">
        <v>464</v>
      </c>
      <c r="I255" s="79">
        <v>156</v>
      </c>
      <c r="J255" s="79" t="s">
        <v>120</v>
      </c>
      <c r="K255" s="80" t="s">
        <v>469</v>
      </c>
      <c r="L255" s="79">
        <v>256</v>
      </c>
      <c r="M255" s="80">
        <f>L255+2</f>
        <v>258</v>
      </c>
      <c r="N255" s="81">
        <f t="shared" si="47"/>
        <v>2</v>
      </c>
      <c r="O255" s="78"/>
      <c r="P255" s="82">
        <v>45697.300694444442</v>
      </c>
      <c r="Q255" s="82">
        <v>45697.301388888889</v>
      </c>
      <c r="R255" s="82">
        <v>45697.329861111109</v>
      </c>
      <c r="S255" s="81">
        <f t="shared" si="37"/>
        <v>40.810185182635905</v>
      </c>
      <c r="T255" s="81">
        <f t="shared" si="38"/>
        <v>41.805555556250816</v>
      </c>
      <c r="U255" s="79"/>
      <c r="V255" s="82">
        <v>45697.294444444444</v>
      </c>
      <c r="W255" s="82">
        <v>45697.92083333333</v>
      </c>
      <c r="X255" s="103">
        <f t="shared" si="39"/>
        <v>883.20833332945767</v>
      </c>
      <c r="Y255" s="82" t="s">
        <v>1039</v>
      </c>
      <c r="Z255" s="82">
        <v>45698.681250000001</v>
      </c>
      <c r="AA255" s="82">
        <v>45698.72152777778</v>
      </c>
      <c r="AB255" s="81">
        <f t="shared" si="40"/>
        <v>56.791666667122627</v>
      </c>
      <c r="AC255" s="80"/>
      <c r="AD255" s="83">
        <f t="shared" si="41"/>
        <v>1.351388888891961</v>
      </c>
      <c r="AE255" s="80">
        <v>2</v>
      </c>
      <c r="AF255" s="84">
        <f t="shared" si="42"/>
        <v>0.64861111110803904</v>
      </c>
      <c r="AG255" s="83">
        <f t="shared" si="43"/>
        <v>32.433333333407063</v>
      </c>
      <c r="AH255" s="83">
        <f t="shared" si="44"/>
        <v>12</v>
      </c>
      <c r="AI255" s="83">
        <f t="shared" si="45"/>
        <v>20.433333333407063</v>
      </c>
      <c r="AJ255" s="83">
        <f t="shared" si="46"/>
        <v>7.6345840130230229</v>
      </c>
      <c r="AK255" s="83"/>
      <c r="AL255" s="83"/>
      <c r="AM255" s="83"/>
      <c r="AN255" s="83"/>
      <c r="AO255" s="78"/>
    </row>
    <row r="256" spans="1:41" customFormat="1" ht="15" hidden="1" x14ac:dyDescent="0.25">
      <c r="A256" s="82">
        <v>45697</v>
      </c>
      <c r="B256" s="94" t="str">
        <f t="shared" si="36"/>
        <v>February</v>
      </c>
      <c r="C256" s="78"/>
      <c r="D256" s="79" t="s">
        <v>121</v>
      </c>
      <c r="E256" s="80" t="s">
        <v>1017</v>
      </c>
      <c r="F256" s="79"/>
      <c r="G256" s="79" t="s">
        <v>47</v>
      </c>
      <c r="H256" s="79" t="s">
        <v>458</v>
      </c>
      <c r="I256" s="79">
        <v>156</v>
      </c>
      <c r="J256" s="79" t="s">
        <v>121</v>
      </c>
      <c r="K256" s="80" t="s">
        <v>469</v>
      </c>
      <c r="L256" s="80">
        <v>448</v>
      </c>
      <c r="M256" s="80">
        <f>L256-1</f>
        <v>447</v>
      </c>
      <c r="N256" s="81">
        <f t="shared" si="47"/>
        <v>-1</v>
      </c>
      <c r="O256" s="78"/>
      <c r="P256" s="82">
        <f>R256-TIME(0,41,0)</f>
        <v>45696.75277777778</v>
      </c>
      <c r="Q256" s="82">
        <v>45696.745833333334</v>
      </c>
      <c r="R256" s="82">
        <v>45696.78125</v>
      </c>
      <c r="S256" s="81">
        <f t="shared" si="37"/>
        <v>50.763888887498375</v>
      </c>
      <c r="T256" s="81">
        <f t="shared" si="38"/>
        <v>40.810185182635905</v>
      </c>
      <c r="U256" s="79"/>
      <c r="V256" s="82">
        <v>45697.57916666667</v>
      </c>
      <c r="W256" s="82">
        <v>45697.686111111114</v>
      </c>
      <c r="X256" s="103">
        <f t="shared" si="39"/>
        <v>150.79166666575475</v>
      </c>
      <c r="Y256" s="82"/>
      <c r="Z256" s="82">
        <v>45699.402777777781</v>
      </c>
      <c r="AA256" s="82">
        <v>45699.438194444447</v>
      </c>
      <c r="AB256" s="81">
        <f t="shared" si="40"/>
        <v>49.93749999863212</v>
      </c>
      <c r="AC256" s="80"/>
      <c r="AD256" s="83">
        <f t="shared" si="41"/>
        <v>2.6215277777810115</v>
      </c>
      <c r="AE256" s="80">
        <v>2</v>
      </c>
      <c r="AF256" s="84">
        <f t="shared" si="42"/>
        <v>-0.62152777778101154</v>
      </c>
      <c r="AG256" s="83">
        <f t="shared" si="43"/>
        <v>62.916666666744277</v>
      </c>
      <c r="AH256" s="83">
        <f t="shared" si="44"/>
        <v>24</v>
      </c>
      <c r="AI256" s="83">
        <f t="shared" si="45"/>
        <v>38.916666666744277</v>
      </c>
      <c r="AJ256" s="83">
        <f t="shared" si="46"/>
        <v>4.0085653104845109</v>
      </c>
      <c r="AK256" s="83"/>
      <c r="AL256" s="83"/>
      <c r="AM256" s="83"/>
      <c r="AN256" s="83"/>
      <c r="AO256" s="78"/>
    </row>
    <row r="257" spans="1:41" customFormat="1" ht="15" hidden="1" x14ac:dyDescent="0.25">
      <c r="A257" s="82">
        <v>45697</v>
      </c>
      <c r="B257" s="94" t="str">
        <f t="shared" si="36"/>
        <v>February</v>
      </c>
      <c r="C257" s="78"/>
      <c r="D257" s="79" t="s">
        <v>122</v>
      </c>
      <c r="E257" s="80" t="s">
        <v>1017</v>
      </c>
      <c r="F257" s="79"/>
      <c r="G257" s="79" t="s">
        <v>40</v>
      </c>
      <c r="H257" s="79" t="s">
        <v>461</v>
      </c>
      <c r="I257" s="79">
        <v>156</v>
      </c>
      <c r="J257" s="79" t="s">
        <v>122</v>
      </c>
      <c r="K257" s="80" t="s">
        <v>469</v>
      </c>
      <c r="L257" s="80">
        <v>298</v>
      </c>
      <c r="M257" s="80">
        <f>L257-1</f>
        <v>297</v>
      </c>
      <c r="N257" s="81">
        <f t="shared" si="47"/>
        <v>-1</v>
      </c>
      <c r="O257" s="78" t="s">
        <v>1041</v>
      </c>
      <c r="P257" s="82">
        <v>45697.306944444448</v>
      </c>
      <c r="Q257" s="82">
        <v>45697.328472222223</v>
      </c>
      <c r="R257" s="82">
        <v>45697.335416666669</v>
      </c>
      <c r="S257" s="81">
        <f t="shared" si="37"/>
        <v>9.9537037048624679</v>
      </c>
      <c r="T257" s="81">
        <f t="shared" si="38"/>
        <v>40.810185182635905</v>
      </c>
      <c r="U257" s="79"/>
      <c r="V257" s="82">
        <v>45698.848611111112</v>
      </c>
      <c r="W257" s="82">
        <v>45699.491666666669</v>
      </c>
      <c r="X257" s="103">
        <f t="shared" si="39"/>
        <v>906.70833333424525</v>
      </c>
      <c r="Y257" s="82" t="s">
        <v>1044</v>
      </c>
      <c r="Z257" s="82">
        <v>45698.777083333334</v>
      </c>
      <c r="AA257" s="82">
        <v>45698.817361111112</v>
      </c>
      <c r="AB257" s="81">
        <f t="shared" si="40"/>
        <v>56.791666667122627</v>
      </c>
      <c r="AC257" s="80"/>
      <c r="AD257" s="83">
        <f t="shared" si="41"/>
        <v>1.4416666666656965</v>
      </c>
      <c r="AE257" s="80">
        <v>2</v>
      </c>
      <c r="AF257" s="84">
        <f t="shared" si="42"/>
        <v>0.55833333333430346</v>
      </c>
      <c r="AG257" s="83">
        <f t="shared" si="43"/>
        <v>34.599999999976717</v>
      </c>
      <c r="AH257" s="83">
        <f t="shared" si="44"/>
        <v>12</v>
      </c>
      <c r="AI257" s="83">
        <f t="shared" si="45"/>
        <v>22.599999999976717</v>
      </c>
      <c r="AJ257" s="83">
        <f t="shared" si="46"/>
        <v>6.9026548672637489</v>
      </c>
      <c r="AK257" s="83"/>
      <c r="AL257" s="83"/>
      <c r="AM257" s="83"/>
      <c r="AN257" s="83"/>
      <c r="AO257" s="78"/>
    </row>
    <row r="258" spans="1:41" customFormat="1" ht="15" hidden="1" x14ac:dyDescent="0.25">
      <c r="A258" s="82">
        <v>45697</v>
      </c>
      <c r="B258" s="94" t="str">
        <f t="shared" ref="B258:B321" si="48">TEXT(A258, "MMMM")</f>
        <v>February</v>
      </c>
      <c r="C258" s="78"/>
      <c r="D258" s="79" t="s">
        <v>123</v>
      </c>
      <c r="E258" s="80" t="s">
        <v>1017</v>
      </c>
      <c r="F258" s="79" t="s">
        <v>1037</v>
      </c>
      <c r="G258" s="79" t="s">
        <v>59</v>
      </c>
      <c r="H258" s="79" t="s">
        <v>455</v>
      </c>
      <c r="I258" s="79">
        <v>5.5439999999999996</v>
      </c>
      <c r="J258" s="79" t="s">
        <v>123</v>
      </c>
      <c r="K258" s="80" t="s">
        <v>469</v>
      </c>
      <c r="L258" s="80">
        <v>580</v>
      </c>
      <c r="M258" s="80">
        <f>L258-1</f>
        <v>579</v>
      </c>
      <c r="N258" s="81">
        <f t="shared" si="47"/>
        <v>-1</v>
      </c>
      <c r="O258" s="78"/>
      <c r="P258" s="82">
        <v>45696.911805555552</v>
      </c>
      <c r="Q258" s="82">
        <v>45696.924999999996</v>
      </c>
      <c r="R258" s="82">
        <v>45696.940972222219</v>
      </c>
      <c r="S258" s="81">
        <f t="shared" ref="S258:S321" si="49">(R258-Q258)*86000/60</f>
        <v>22.893518520140788</v>
      </c>
      <c r="T258" s="81">
        <f t="shared" ref="T258:T321" si="50">(R258-P258)*86000/60</f>
        <v>41.805555556250816</v>
      </c>
      <c r="U258" s="79"/>
      <c r="V258" s="82">
        <v>45696.787499999999</v>
      </c>
      <c r="W258" s="82">
        <v>45696.88958333333</v>
      </c>
      <c r="X258" s="103">
        <f t="shared" ref="X258:X321" si="51">(W258-V258)*84600/60</f>
        <v>143.93749999726424</v>
      </c>
      <c r="Y258" s="82"/>
      <c r="Z258" s="82">
        <v>45698.777083333334</v>
      </c>
      <c r="AA258" s="82">
        <v>45698.818749999999</v>
      </c>
      <c r="AB258" s="81">
        <f t="shared" ref="AB258:AB321" si="52">(AA258-Z258)*84600/60</f>
        <v>58.7499999965803</v>
      </c>
      <c r="AC258" s="80"/>
      <c r="AD258" s="83">
        <f t="shared" ref="AD258:AD321" si="53">Z258-R258</f>
        <v>1.836111111115315</v>
      </c>
      <c r="AE258" s="80">
        <v>2</v>
      </c>
      <c r="AF258" s="84">
        <f t="shared" ref="AF258:AF321" si="54">AE258-AD258</f>
        <v>0.163888888884685</v>
      </c>
      <c r="AG258" s="83">
        <f t="shared" ref="AG258:AG321" si="55">AD258*24</f>
        <v>44.06666666676756</v>
      </c>
      <c r="AH258" s="83">
        <f t="shared" ref="AH258:AH321" si="56">AG258-AI258</f>
        <v>12</v>
      </c>
      <c r="AI258" s="83">
        <f t="shared" ref="AI258:AI321" si="57" xml:space="preserve"> ((Z258 - R258) * 24) - (INT(Z258 - R258) * 12)</f>
        <v>32.06666666676756</v>
      </c>
      <c r="AJ258" s="83">
        <f t="shared" ref="AJ258:AJ321" si="58">I258/AI258</f>
        <v>0.17288981288926891</v>
      </c>
      <c r="AK258" s="83"/>
      <c r="AL258" s="83"/>
      <c r="AM258" s="83"/>
      <c r="AN258" s="83"/>
      <c r="AO258" s="78"/>
    </row>
    <row r="259" spans="1:41" customFormat="1" ht="15" hidden="1" x14ac:dyDescent="0.25">
      <c r="A259" s="82">
        <v>45697</v>
      </c>
      <c r="B259" s="94" t="str">
        <f t="shared" si="48"/>
        <v>February</v>
      </c>
      <c r="C259" s="78"/>
      <c r="D259" s="79" t="s">
        <v>830</v>
      </c>
      <c r="E259" s="80" t="s">
        <v>1016</v>
      </c>
      <c r="F259" s="79" t="s">
        <v>952</v>
      </c>
      <c r="G259" s="79" t="s">
        <v>969</v>
      </c>
      <c r="H259" s="79" t="s">
        <v>993</v>
      </c>
      <c r="I259" s="79">
        <v>153.6</v>
      </c>
      <c r="J259" s="79" t="s">
        <v>830</v>
      </c>
      <c r="K259" s="80" t="s">
        <v>469</v>
      </c>
      <c r="L259" s="80">
        <v>560</v>
      </c>
      <c r="M259" s="80">
        <f>L259+1</f>
        <v>561</v>
      </c>
      <c r="N259" s="81">
        <f t="shared" si="47"/>
        <v>1</v>
      </c>
      <c r="O259" s="78"/>
      <c r="P259" s="82">
        <f>R259-TIME(0,44,0)</f>
        <v>45697.405555555561</v>
      </c>
      <c r="Q259" s="82">
        <v>45697.424305555556</v>
      </c>
      <c r="R259" s="82">
        <v>45697.436111111114</v>
      </c>
      <c r="S259" s="81">
        <f t="shared" si="49"/>
        <v>16.921296299309081</v>
      </c>
      <c r="T259" s="81">
        <f t="shared" si="50"/>
        <v>43.796296293051761</v>
      </c>
      <c r="U259" s="79"/>
      <c r="V259" s="82">
        <v>45697.669444444444</v>
      </c>
      <c r="W259" s="82">
        <v>45697.759722222225</v>
      </c>
      <c r="X259" s="103">
        <f t="shared" si="51"/>
        <v>127.29166667122627</v>
      </c>
      <c r="Y259" s="82"/>
      <c r="Z259" s="82">
        <v>45699.313194444447</v>
      </c>
      <c r="AA259" s="82">
        <v>45699.353472222225</v>
      </c>
      <c r="AB259" s="81">
        <f t="shared" si="52"/>
        <v>56.791666667122627</v>
      </c>
      <c r="AC259" s="80"/>
      <c r="AD259" s="83">
        <f t="shared" si="53"/>
        <v>1.8770833333328483</v>
      </c>
      <c r="AE259" s="80">
        <v>2</v>
      </c>
      <c r="AF259" s="84">
        <f t="shared" si="54"/>
        <v>0.12291666666715173</v>
      </c>
      <c r="AG259" s="83">
        <f t="shared" si="55"/>
        <v>45.049999999988358</v>
      </c>
      <c r="AH259" s="83">
        <f t="shared" si="56"/>
        <v>12</v>
      </c>
      <c r="AI259" s="83">
        <f t="shared" si="57"/>
        <v>33.049999999988358</v>
      </c>
      <c r="AJ259" s="83">
        <f t="shared" si="58"/>
        <v>4.6475037821498972</v>
      </c>
      <c r="AK259" s="83"/>
      <c r="AL259" s="83"/>
      <c r="AM259" s="83"/>
      <c r="AN259" s="83"/>
      <c r="AO259" s="78"/>
    </row>
    <row r="260" spans="1:41" customFormat="1" ht="15" hidden="1" x14ac:dyDescent="0.25">
      <c r="A260" s="82">
        <v>45697</v>
      </c>
      <c r="B260" s="94" t="str">
        <f t="shared" si="48"/>
        <v>February</v>
      </c>
      <c r="C260" s="78"/>
      <c r="D260" s="79" t="s">
        <v>833</v>
      </c>
      <c r="E260" s="80" t="s">
        <v>1016</v>
      </c>
      <c r="F260" s="79" t="s">
        <v>956</v>
      </c>
      <c r="G260" s="79" t="s">
        <v>973</v>
      </c>
      <c r="H260" s="79" t="s">
        <v>985</v>
      </c>
      <c r="I260" s="79">
        <v>153.6</v>
      </c>
      <c r="J260" s="79" t="s">
        <v>833</v>
      </c>
      <c r="K260" s="80" t="s">
        <v>469</v>
      </c>
      <c r="L260" s="80">
        <v>690</v>
      </c>
      <c r="M260" s="80">
        <f>L260-1</f>
        <v>689</v>
      </c>
      <c r="N260" s="81">
        <f t="shared" ref="N260:N323" si="59">M260-L260</f>
        <v>-1</v>
      </c>
      <c r="O260" s="78"/>
      <c r="P260" s="82">
        <f>R260-TIME(0,41,0)</f>
        <v>45696.784722222226</v>
      </c>
      <c r="Q260" s="82">
        <v>45696.797222222223</v>
      </c>
      <c r="R260" s="82">
        <v>45696.813194444447</v>
      </c>
      <c r="S260" s="81">
        <f t="shared" si="49"/>
        <v>22.893518520140788</v>
      </c>
      <c r="T260" s="81">
        <f t="shared" si="50"/>
        <v>40.810185182635905</v>
      </c>
      <c r="U260" s="79"/>
      <c r="V260" s="82">
        <v>45697.750694444447</v>
      </c>
      <c r="W260" s="82">
        <f>V260+TIME(0,173,0)</f>
        <v>45697.870833333334</v>
      </c>
      <c r="X260" s="103">
        <f t="shared" si="51"/>
        <v>169.39583333150949</v>
      </c>
      <c r="Y260" s="82"/>
      <c r="Z260" s="82">
        <v>45699.313194444447</v>
      </c>
      <c r="AA260" s="82">
        <f>Z260+TIME(0,60,0)</f>
        <v>45699.354861111111</v>
      </c>
      <c r="AB260" s="81">
        <f t="shared" si="52"/>
        <v>58.7499999965803</v>
      </c>
      <c r="AC260" s="80"/>
      <c r="AD260" s="83">
        <f t="shared" si="53"/>
        <v>2.5</v>
      </c>
      <c r="AE260" s="80">
        <v>2</v>
      </c>
      <c r="AF260" s="84">
        <f t="shared" si="54"/>
        <v>-0.5</v>
      </c>
      <c r="AG260" s="83">
        <f t="shared" si="55"/>
        <v>60</v>
      </c>
      <c r="AH260" s="83">
        <f t="shared" si="56"/>
        <v>24</v>
      </c>
      <c r="AI260" s="83">
        <f t="shared" si="57"/>
        <v>36</v>
      </c>
      <c r="AJ260" s="83">
        <f t="shared" si="58"/>
        <v>4.2666666666666666</v>
      </c>
      <c r="AK260" s="83"/>
      <c r="AL260" s="83"/>
      <c r="AM260" s="83"/>
      <c r="AN260" s="83"/>
      <c r="AO260" s="78"/>
    </row>
    <row r="261" spans="1:41" customFormat="1" ht="15" hidden="1" x14ac:dyDescent="0.25">
      <c r="A261" s="82">
        <v>45697</v>
      </c>
      <c r="B261" s="94" t="str">
        <f t="shared" si="48"/>
        <v>February</v>
      </c>
      <c r="C261" s="78"/>
      <c r="D261" s="79" t="s">
        <v>834</v>
      </c>
      <c r="E261" s="80" t="s">
        <v>1016</v>
      </c>
      <c r="F261" s="79" t="s">
        <v>950</v>
      </c>
      <c r="G261" s="79" t="s">
        <v>967</v>
      </c>
      <c r="H261" s="79" t="s">
        <v>461</v>
      </c>
      <c r="I261" s="79">
        <v>153.6</v>
      </c>
      <c r="J261" s="79" t="s">
        <v>834</v>
      </c>
      <c r="K261" s="80" t="s">
        <v>469</v>
      </c>
      <c r="L261" s="80">
        <v>298</v>
      </c>
      <c r="M261" s="80">
        <f>L261+2</f>
        <v>300</v>
      </c>
      <c r="N261" s="81">
        <f t="shared" si="59"/>
        <v>2</v>
      </c>
      <c r="O261" s="78"/>
      <c r="P261" s="82">
        <v>45698.51458333333</v>
      </c>
      <c r="Q261" s="82">
        <v>45698.535416666666</v>
      </c>
      <c r="R261" s="82">
        <v>45698.543749999997</v>
      </c>
      <c r="S261" s="81">
        <f t="shared" si="49"/>
        <v>11.944444441663412</v>
      </c>
      <c r="T261" s="81">
        <f t="shared" si="50"/>
        <v>41.805555556250816</v>
      </c>
      <c r="U261" s="79"/>
      <c r="V261" s="82">
        <v>45698.595833333333</v>
      </c>
      <c r="W261" s="82">
        <v>45698.7</v>
      </c>
      <c r="X261" s="103">
        <f t="shared" si="51"/>
        <v>146.8749999965803</v>
      </c>
      <c r="Y261" s="82"/>
      <c r="Z261" s="82">
        <v>45699.335416666669</v>
      </c>
      <c r="AA261" s="82">
        <f>Z261+TIME(0,53,0)</f>
        <v>45699.372222222228</v>
      </c>
      <c r="AB261" s="81">
        <f t="shared" si="52"/>
        <v>51.895833338348893</v>
      </c>
      <c r="AC261" s="80"/>
      <c r="AD261" s="83">
        <f t="shared" si="53"/>
        <v>0.79166666667151731</v>
      </c>
      <c r="AE261" s="80">
        <v>2</v>
      </c>
      <c r="AF261" s="84">
        <f t="shared" si="54"/>
        <v>1.2083333333284827</v>
      </c>
      <c r="AG261" s="83">
        <f t="shared" si="55"/>
        <v>19.000000000116415</v>
      </c>
      <c r="AH261" s="83">
        <f t="shared" si="56"/>
        <v>0</v>
      </c>
      <c r="AI261" s="83">
        <f t="shared" si="57"/>
        <v>19.000000000116415</v>
      </c>
      <c r="AJ261" s="83">
        <f t="shared" si="58"/>
        <v>8.084210526266256</v>
      </c>
      <c r="AK261" s="83"/>
      <c r="AL261" s="83"/>
      <c r="AM261" s="83"/>
      <c r="AN261" s="83"/>
      <c r="AO261" s="78"/>
    </row>
    <row r="262" spans="1:41" customFormat="1" ht="15" hidden="1" x14ac:dyDescent="0.25">
      <c r="A262" s="82">
        <v>45697</v>
      </c>
      <c r="B262" s="94" t="str">
        <f t="shared" si="48"/>
        <v>February</v>
      </c>
      <c r="C262" s="78"/>
      <c r="D262" s="79" t="s">
        <v>832</v>
      </c>
      <c r="E262" s="80" t="s">
        <v>1016</v>
      </c>
      <c r="F262" s="79" t="s">
        <v>964</v>
      </c>
      <c r="G262" s="79" t="s">
        <v>979</v>
      </c>
      <c r="H262" s="79" t="s">
        <v>985</v>
      </c>
      <c r="I262" s="79">
        <v>153.6</v>
      </c>
      <c r="J262" s="79" t="s">
        <v>832</v>
      </c>
      <c r="K262" s="80" t="s">
        <v>469</v>
      </c>
      <c r="L262" s="80">
        <v>690</v>
      </c>
      <c r="M262" s="80">
        <f>L262-2</f>
        <v>688</v>
      </c>
      <c r="N262" s="81">
        <f t="shared" si="59"/>
        <v>-2</v>
      </c>
      <c r="O262" s="78"/>
      <c r="P262" s="82">
        <v>45697.306250000001</v>
      </c>
      <c r="Q262" s="82">
        <v>45697.305555555555</v>
      </c>
      <c r="R262" s="82">
        <v>45697.335416666669</v>
      </c>
      <c r="S262" s="81">
        <f t="shared" si="49"/>
        <v>42.80092592986572</v>
      </c>
      <c r="T262" s="81">
        <f t="shared" si="50"/>
        <v>41.805555556250816</v>
      </c>
      <c r="U262" s="79"/>
      <c r="V262" s="82">
        <v>45698.42083333333</v>
      </c>
      <c r="W262" s="82">
        <v>45698.760416666664</v>
      </c>
      <c r="X262" s="103">
        <f t="shared" si="51"/>
        <v>478.81250000136788</v>
      </c>
      <c r="Y262" s="82" t="s">
        <v>1048</v>
      </c>
      <c r="Z262" s="82">
        <v>45699.82916666667</v>
      </c>
      <c r="AA262" s="82">
        <f>Z262+TIME(0,54,0)</f>
        <v>45699.866666666669</v>
      </c>
      <c r="AB262" s="81">
        <f t="shared" si="52"/>
        <v>52.87499999794818</v>
      </c>
      <c r="AC262" s="80"/>
      <c r="AD262" s="83">
        <f t="shared" si="53"/>
        <v>2.4937500000014552</v>
      </c>
      <c r="AE262" s="80">
        <v>2</v>
      </c>
      <c r="AF262" s="84">
        <f t="shared" si="54"/>
        <v>-0.49375000000145519</v>
      </c>
      <c r="AG262" s="83">
        <f t="shared" si="55"/>
        <v>59.850000000034925</v>
      </c>
      <c r="AH262" s="83">
        <f t="shared" si="56"/>
        <v>24</v>
      </c>
      <c r="AI262" s="83">
        <f t="shared" si="57"/>
        <v>35.850000000034925</v>
      </c>
      <c r="AJ262" s="83">
        <f t="shared" si="58"/>
        <v>4.2845188284477089</v>
      </c>
      <c r="AK262" s="83"/>
      <c r="AL262" s="83"/>
      <c r="AM262" s="83"/>
      <c r="AN262" s="83"/>
      <c r="AO262" s="78"/>
    </row>
    <row r="263" spans="1:41" customFormat="1" ht="15" hidden="1" x14ac:dyDescent="0.25">
      <c r="A263" s="82">
        <v>45697</v>
      </c>
      <c r="B263" s="94" t="str">
        <f t="shared" si="48"/>
        <v>February</v>
      </c>
      <c r="C263" s="78"/>
      <c r="D263" s="79" t="s">
        <v>831</v>
      </c>
      <c r="E263" s="80" t="s">
        <v>1016</v>
      </c>
      <c r="F263" s="79" t="s">
        <v>962</v>
      </c>
      <c r="G263" s="79" t="s">
        <v>978</v>
      </c>
      <c r="H263" s="79" t="s">
        <v>461</v>
      </c>
      <c r="I263" s="79">
        <v>153.6</v>
      </c>
      <c r="J263" s="79" t="s">
        <v>831</v>
      </c>
      <c r="K263" s="80" t="s">
        <v>469</v>
      </c>
      <c r="L263" s="80">
        <v>560</v>
      </c>
      <c r="M263" s="80">
        <f>L263+2</f>
        <v>562</v>
      </c>
      <c r="N263" s="81">
        <f t="shared" si="59"/>
        <v>2</v>
      </c>
      <c r="O263" s="78"/>
      <c r="P263" s="82">
        <f>R263-TIME(0,44,0)</f>
        <v>45698.304861111115</v>
      </c>
      <c r="Q263" s="82">
        <v>45697.375</v>
      </c>
      <c r="R263" s="82">
        <v>45698.335416666669</v>
      </c>
      <c r="S263" s="81">
        <f t="shared" si="49"/>
        <v>1376.5972222250032</v>
      </c>
      <c r="T263" s="81">
        <f t="shared" si="50"/>
        <v>43.796296293051761</v>
      </c>
      <c r="U263" s="79"/>
      <c r="V263" s="82">
        <v>45699.414583333331</v>
      </c>
      <c r="W263" s="82">
        <v>45699.549305555556</v>
      </c>
      <c r="X263" s="103">
        <f t="shared" si="51"/>
        <v>189.95833333698101</v>
      </c>
      <c r="Y263" s="82" t="s">
        <v>1044</v>
      </c>
      <c r="Z263" s="82">
        <v>45700.279861111114</v>
      </c>
      <c r="AA263" s="82">
        <v>45700.318750000006</v>
      </c>
      <c r="AB263" s="81">
        <f t="shared" si="52"/>
        <v>54.833333337664953</v>
      </c>
      <c r="AC263" s="80"/>
      <c r="AD263" s="83">
        <f t="shared" si="53"/>
        <v>1.9444444444452529</v>
      </c>
      <c r="AE263" s="80">
        <v>2</v>
      </c>
      <c r="AF263" s="84">
        <f t="shared" si="54"/>
        <v>5.5555555554747116E-2</v>
      </c>
      <c r="AG263" s="83">
        <f t="shared" si="55"/>
        <v>46.666666666686069</v>
      </c>
      <c r="AH263" s="83">
        <f t="shared" si="56"/>
        <v>12</v>
      </c>
      <c r="AI263" s="83">
        <f t="shared" si="57"/>
        <v>34.666666666686069</v>
      </c>
      <c r="AJ263" s="83">
        <f t="shared" si="58"/>
        <v>4.4307692307667503</v>
      </c>
      <c r="AK263" s="83"/>
      <c r="AL263" s="83"/>
      <c r="AM263" s="83"/>
      <c r="AN263" s="83"/>
      <c r="AO263" s="78"/>
    </row>
    <row r="264" spans="1:41" customFormat="1" ht="15" hidden="1" x14ac:dyDescent="0.25">
      <c r="A264" s="82">
        <v>45698</v>
      </c>
      <c r="B264" s="94" t="str">
        <f t="shared" si="48"/>
        <v>February</v>
      </c>
      <c r="C264" s="78"/>
      <c r="D264" s="79" t="s">
        <v>125</v>
      </c>
      <c r="E264" s="80" t="s">
        <v>1017</v>
      </c>
      <c r="F264" s="79" t="s">
        <v>1027</v>
      </c>
      <c r="G264" s="79" t="s">
        <v>34</v>
      </c>
      <c r="H264" s="79" t="s">
        <v>454</v>
      </c>
      <c r="I264" s="79">
        <v>156</v>
      </c>
      <c r="J264" s="79" t="s">
        <v>125</v>
      </c>
      <c r="K264" s="80" t="s">
        <v>469</v>
      </c>
      <c r="L264" s="80">
        <v>298</v>
      </c>
      <c r="M264" s="80">
        <f>L264+2</f>
        <v>300</v>
      </c>
      <c r="N264" s="81">
        <f t="shared" si="59"/>
        <v>2</v>
      </c>
      <c r="O264" s="78"/>
      <c r="P264" s="82">
        <v>45698.456250000003</v>
      </c>
      <c r="Q264" s="82">
        <v>45697.416666666664</v>
      </c>
      <c r="R264" s="82">
        <v>45698.484722222223</v>
      </c>
      <c r="S264" s="81">
        <f t="shared" si="49"/>
        <v>1530.8796296347282</v>
      </c>
      <c r="T264" s="81">
        <f t="shared" si="50"/>
        <v>40.810185182635905</v>
      </c>
      <c r="U264" s="79"/>
      <c r="V264" s="82">
        <v>45699.414583333331</v>
      </c>
      <c r="W264" s="82">
        <v>45699.549305555556</v>
      </c>
      <c r="X264" s="103">
        <f t="shared" si="51"/>
        <v>189.95833333698101</v>
      </c>
      <c r="Y264" s="82" t="s">
        <v>1038</v>
      </c>
      <c r="Z264" s="82">
        <v>45698.620833333334</v>
      </c>
      <c r="AA264" s="82">
        <v>45698.654861111114</v>
      </c>
      <c r="AB264" s="81">
        <f t="shared" si="52"/>
        <v>47.979166669174447</v>
      </c>
      <c r="AC264" s="80"/>
      <c r="AD264" s="83">
        <f t="shared" si="53"/>
        <v>0.13611111111094942</v>
      </c>
      <c r="AE264" s="80">
        <v>2</v>
      </c>
      <c r="AF264" s="84">
        <f t="shared" si="54"/>
        <v>1.8638888888890506</v>
      </c>
      <c r="AG264" s="83">
        <f t="shared" si="55"/>
        <v>3.2666666666627862</v>
      </c>
      <c r="AH264" s="83">
        <f t="shared" si="56"/>
        <v>0</v>
      </c>
      <c r="AI264" s="83">
        <f t="shared" si="57"/>
        <v>3.2666666666627862</v>
      </c>
      <c r="AJ264" s="83">
        <f t="shared" si="58"/>
        <v>47.755102040873055</v>
      </c>
      <c r="AK264" s="83"/>
      <c r="AL264" s="83"/>
      <c r="AM264" s="83"/>
      <c r="AN264" s="83"/>
      <c r="AO264" s="78"/>
    </row>
    <row r="265" spans="1:41" customFormat="1" ht="15" hidden="1" x14ac:dyDescent="0.25">
      <c r="A265" s="82">
        <v>45698</v>
      </c>
      <c r="B265" s="94" t="str">
        <f t="shared" si="48"/>
        <v>February</v>
      </c>
      <c r="C265" s="78"/>
      <c r="D265" s="79" t="s">
        <v>126</v>
      </c>
      <c r="E265" s="80" t="s">
        <v>1017</v>
      </c>
      <c r="F265" s="79" t="s">
        <v>1029</v>
      </c>
      <c r="G265" s="79" t="s">
        <v>38</v>
      </c>
      <c r="H265" s="79" t="s">
        <v>450</v>
      </c>
      <c r="I265" s="79">
        <v>156</v>
      </c>
      <c r="J265" s="79" t="s">
        <v>126</v>
      </c>
      <c r="K265" s="80" t="s">
        <v>469</v>
      </c>
      <c r="L265" s="80">
        <v>288</v>
      </c>
      <c r="M265" s="80">
        <f>L265-3</f>
        <v>285</v>
      </c>
      <c r="N265" s="81">
        <f t="shared" si="59"/>
        <v>-3</v>
      </c>
      <c r="O265" s="78"/>
      <c r="P265" s="82">
        <f>R265-TIME(0,44,0)</f>
        <v>45698.45416666667</v>
      </c>
      <c r="Q265" s="82">
        <v>45697.416666666664</v>
      </c>
      <c r="R265" s="82">
        <v>45698.484722222223</v>
      </c>
      <c r="S265" s="81">
        <f t="shared" si="49"/>
        <v>1530.8796296347282</v>
      </c>
      <c r="T265" s="81">
        <f t="shared" si="50"/>
        <v>43.796296293051761</v>
      </c>
      <c r="U265" s="79"/>
      <c r="V265" s="82">
        <v>45699.425000000003</v>
      </c>
      <c r="W265" s="82">
        <v>45699.50277777778</v>
      </c>
      <c r="X265" s="103">
        <f t="shared" si="51"/>
        <v>109.66666666507081</v>
      </c>
      <c r="Y265" s="82"/>
      <c r="Z265" s="82">
        <v>45700.279861111114</v>
      </c>
      <c r="AA265" s="82">
        <v>45700.318750000006</v>
      </c>
      <c r="AB265" s="81">
        <f t="shared" si="52"/>
        <v>54.833333337664953</v>
      </c>
      <c r="AC265" s="80"/>
      <c r="AD265" s="83">
        <f t="shared" si="53"/>
        <v>1.7951388888905058</v>
      </c>
      <c r="AE265" s="80">
        <v>2</v>
      </c>
      <c r="AF265" s="84">
        <f t="shared" si="54"/>
        <v>0.20486111110949423</v>
      </c>
      <c r="AG265" s="83">
        <f t="shared" si="55"/>
        <v>43.083333333372138</v>
      </c>
      <c r="AH265" s="83">
        <f t="shared" si="56"/>
        <v>12</v>
      </c>
      <c r="AI265" s="83">
        <f t="shared" si="57"/>
        <v>31.083333333372138</v>
      </c>
      <c r="AJ265" s="83">
        <f t="shared" si="58"/>
        <v>5.0187667560259062</v>
      </c>
      <c r="AK265" s="83"/>
      <c r="AL265" s="83"/>
      <c r="AM265" s="83"/>
      <c r="AN265" s="83"/>
      <c r="AO265" s="78"/>
    </row>
    <row r="266" spans="1:41" customFormat="1" ht="15" hidden="1" x14ac:dyDescent="0.25">
      <c r="A266" s="82">
        <v>45698</v>
      </c>
      <c r="B266" s="94" t="str">
        <f t="shared" si="48"/>
        <v>February</v>
      </c>
      <c r="C266" s="78"/>
      <c r="D266" s="79" t="s">
        <v>127</v>
      </c>
      <c r="E266" s="80" t="s">
        <v>1017</v>
      </c>
      <c r="F266" s="79" t="s">
        <v>1034</v>
      </c>
      <c r="G266" s="79" t="s">
        <v>53</v>
      </c>
      <c r="H266" s="79" t="s">
        <v>987</v>
      </c>
      <c r="I266" s="79">
        <v>156</v>
      </c>
      <c r="J266" s="79" t="s">
        <v>127</v>
      </c>
      <c r="K266" s="80" t="s">
        <v>469</v>
      </c>
      <c r="L266" s="79">
        <v>320</v>
      </c>
      <c r="M266" s="80">
        <f>L266+2</f>
        <v>322</v>
      </c>
      <c r="N266" s="81">
        <f t="shared" si="59"/>
        <v>2</v>
      </c>
      <c r="O266" s="78"/>
      <c r="P266" s="82">
        <f>R266-TIME(0,43,0)</f>
        <v>45698.305555555555</v>
      </c>
      <c r="Q266" s="82">
        <v>45697.375</v>
      </c>
      <c r="R266" s="82">
        <v>45698.335416666669</v>
      </c>
      <c r="S266" s="81">
        <f t="shared" si="49"/>
        <v>1376.5972222250032</v>
      </c>
      <c r="T266" s="81">
        <f t="shared" si="50"/>
        <v>42.80092592986572</v>
      </c>
      <c r="U266" s="79"/>
      <c r="V266" s="82">
        <v>45700.654166666667</v>
      </c>
      <c r="W266" s="82">
        <v>45700.743055555555</v>
      </c>
      <c r="X266" s="103">
        <f t="shared" si="51"/>
        <v>125.33333333150949</v>
      </c>
      <c r="Y266" s="82"/>
      <c r="Z266" s="82">
        <v>45699.411805555559</v>
      </c>
      <c r="AA266" s="82">
        <v>45699.450694444451</v>
      </c>
      <c r="AB266" s="81">
        <f t="shared" si="52"/>
        <v>54.833333337664953</v>
      </c>
      <c r="AC266" s="80"/>
      <c r="AD266" s="83">
        <f t="shared" si="53"/>
        <v>1.0763888888905058</v>
      </c>
      <c r="AE266" s="80">
        <v>2</v>
      </c>
      <c r="AF266" s="84">
        <f t="shared" si="54"/>
        <v>0.92361111110949423</v>
      </c>
      <c r="AG266" s="83">
        <f t="shared" si="55"/>
        <v>25.833333333372138</v>
      </c>
      <c r="AH266" s="83">
        <f t="shared" si="56"/>
        <v>12</v>
      </c>
      <c r="AI266" s="83">
        <f t="shared" si="57"/>
        <v>13.833333333372138</v>
      </c>
      <c r="AJ266" s="83">
        <f t="shared" si="58"/>
        <v>11.277108433703305</v>
      </c>
      <c r="AK266" s="83"/>
      <c r="AL266" s="83"/>
      <c r="AM266" s="83"/>
      <c r="AN266" s="83"/>
      <c r="AO266" s="78"/>
    </row>
    <row r="267" spans="1:41" customFormat="1" ht="15" hidden="1" x14ac:dyDescent="0.25">
      <c r="A267" s="82">
        <v>45698</v>
      </c>
      <c r="B267" s="94" t="str">
        <f t="shared" si="48"/>
        <v>February</v>
      </c>
      <c r="C267" s="78"/>
      <c r="D267" s="79" t="s">
        <v>124</v>
      </c>
      <c r="E267" s="80" t="s">
        <v>1017</v>
      </c>
      <c r="F267" s="79" t="s">
        <v>1033</v>
      </c>
      <c r="G267" s="79" t="s">
        <v>41</v>
      </c>
      <c r="H267" s="79" t="s">
        <v>464</v>
      </c>
      <c r="I267" s="79">
        <v>5.04</v>
      </c>
      <c r="J267" s="79" t="s">
        <v>124</v>
      </c>
      <c r="K267" s="80" t="s">
        <v>469</v>
      </c>
      <c r="L267" s="79">
        <v>256</v>
      </c>
      <c r="M267" s="80">
        <f>L267-3</f>
        <v>253</v>
      </c>
      <c r="N267" s="81">
        <f t="shared" si="59"/>
        <v>-3</v>
      </c>
      <c r="O267" s="78"/>
      <c r="P267" s="82">
        <f>R267-TIME(0,44,0)</f>
        <v>45698.420138888891</v>
      </c>
      <c r="Q267" s="82">
        <v>45697.815972222219</v>
      </c>
      <c r="R267" s="82">
        <v>45698.450694444444</v>
      </c>
      <c r="S267" s="81">
        <f t="shared" si="49"/>
        <v>909.7685185222266</v>
      </c>
      <c r="T267" s="81">
        <f t="shared" si="50"/>
        <v>43.796296293051761</v>
      </c>
      <c r="U267" s="79"/>
      <c r="V267" s="82">
        <v>45698.42083333333</v>
      </c>
      <c r="W267" s="82">
        <v>45698.760416666664</v>
      </c>
      <c r="X267" s="103">
        <f t="shared" si="51"/>
        <v>478.81250000136788</v>
      </c>
      <c r="Y267" s="82" t="s">
        <v>1044</v>
      </c>
      <c r="Z267" s="82">
        <v>45699.82916666667</v>
      </c>
      <c r="AA267" s="82">
        <v>45699.866666666669</v>
      </c>
      <c r="AB267" s="81">
        <f t="shared" si="52"/>
        <v>52.87499999794818</v>
      </c>
      <c r="AC267" s="80"/>
      <c r="AD267" s="83">
        <f t="shared" si="53"/>
        <v>1.3784722222262644</v>
      </c>
      <c r="AE267" s="80">
        <v>2</v>
      </c>
      <c r="AF267" s="84">
        <f t="shared" si="54"/>
        <v>0.62152777777373558</v>
      </c>
      <c r="AG267" s="83">
        <f t="shared" si="55"/>
        <v>33.083333333430346</v>
      </c>
      <c r="AH267" s="83">
        <f t="shared" si="56"/>
        <v>12</v>
      </c>
      <c r="AI267" s="83">
        <f t="shared" si="57"/>
        <v>21.083333333430346</v>
      </c>
      <c r="AJ267" s="83">
        <f t="shared" si="58"/>
        <v>0.23905138339810952</v>
      </c>
      <c r="AK267" s="83"/>
      <c r="AL267" s="83"/>
      <c r="AM267" s="83"/>
      <c r="AN267" s="83"/>
      <c r="AO267" s="78"/>
    </row>
    <row r="268" spans="1:41" customFormat="1" ht="15" hidden="1" x14ac:dyDescent="0.25">
      <c r="A268" s="82">
        <v>45698</v>
      </c>
      <c r="B268" s="94" t="str">
        <f t="shared" si="48"/>
        <v>February</v>
      </c>
      <c r="C268" s="78"/>
      <c r="D268" s="79" t="s">
        <v>128</v>
      </c>
      <c r="E268" s="80" t="s">
        <v>1017</v>
      </c>
      <c r="F268" s="79" t="s">
        <v>960</v>
      </c>
      <c r="G268" s="79" t="s">
        <v>62</v>
      </c>
      <c r="H268" s="79" t="s">
        <v>987</v>
      </c>
      <c r="I268" s="79">
        <v>5.04</v>
      </c>
      <c r="J268" s="79" t="s">
        <v>128</v>
      </c>
      <c r="K268" s="80" t="s">
        <v>469</v>
      </c>
      <c r="L268" s="79">
        <v>320</v>
      </c>
      <c r="M268" s="80">
        <f>L268+1</f>
        <v>321</v>
      </c>
      <c r="N268" s="81">
        <f t="shared" si="59"/>
        <v>1</v>
      </c>
      <c r="O268" s="78"/>
      <c r="P268" s="82">
        <f>R268-TIME(0,41,0)</f>
        <v>45698.407638888893</v>
      </c>
      <c r="Q268" s="82">
        <v>45697.817361111112</v>
      </c>
      <c r="R268" s="82">
        <v>45698.436111111114</v>
      </c>
      <c r="S268" s="81">
        <f t="shared" si="49"/>
        <v>886.87500000208581</v>
      </c>
      <c r="T268" s="81">
        <f t="shared" si="50"/>
        <v>40.810185182635905</v>
      </c>
      <c r="U268" s="79"/>
      <c r="V268" s="82">
        <v>45698.409722222219</v>
      </c>
      <c r="W268" s="82">
        <v>45698.790277777778</v>
      </c>
      <c r="X268" s="103">
        <f t="shared" si="51"/>
        <v>536.58333333834889</v>
      </c>
      <c r="Y268" s="82" t="s">
        <v>1039</v>
      </c>
      <c r="Z268" s="82">
        <v>45699.665277777778</v>
      </c>
      <c r="AA268" s="82">
        <f>Z268+TIME(0,54,0)</f>
        <v>45699.702777777777</v>
      </c>
      <c r="AB268" s="81">
        <f t="shared" si="52"/>
        <v>52.87499999794818</v>
      </c>
      <c r="AC268" s="80"/>
      <c r="AD268" s="83">
        <f t="shared" si="53"/>
        <v>1.2291666666642413</v>
      </c>
      <c r="AE268" s="80">
        <v>2</v>
      </c>
      <c r="AF268" s="84">
        <f t="shared" si="54"/>
        <v>0.77083333333575865</v>
      </c>
      <c r="AG268" s="83">
        <f t="shared" si="55"/>
        <v>29.499999999941792</v>
      </c>
      <c r="AH268" s="83">
        <f t="shared" si="56"/>
        <v>12</v>
      </c>
      <c r="AI268" s="83">
        <f t="shared" si="57"/>
        <v>17.499999999941792</v>
      </c>
      <c r="AJ268" s="83">
        <f t="shared" si="58"/>
        <v>0.28800000000095793</v>
      </c>
      <c r="AK268" s="83"/>
      <c r="AL268" s="83"/>
      <c r="AM268" s="83"/>
      <c r="AN268" s="83"/>
      <c r="AO268" s="78"/>
    </row>
    <row r="269" spans="1:41" customFormat="1" ht="15" hidden="1" x14ac:dyDescent="0.25">
      <c r="A269" s="82">
        <v>45698</v>
      </c>
      <c r="B269" s="94" t="str">
        <f t="shared" si="48"/>
        <v>February</v>
      </c>
      <c r="C269" s="78"/>
      <c r="D269" s="79" t="s">
        <v>129</v>
      </c>
      <c r="E269" s="80" t="s">
        <v>1017</v>
      </c>
      <c r="F269" s="79" t="s">
        <v>1036</v>
      </c>
      <c r="G269" s="79" t="s">
        <v>36</v>
      </c>
      <c r="H269" s="79" t="s">
        <v>462</v>
      </c>
      <c r="I269" s="79">
        <v>156</v>
      </c>
      <c r="J269" s="79" t="s">
        <v>129</v>
      </c>
      <c r="K269" s="80" t="s">
        <v>469</v>
      </c>
      <c r="L269" s="80">
        <v>680</v>
      </c>
      <c r="M269" s="80">
        <f>L269-1</f>
        <v>679</v>
      </c>
      <c r="N269" s="81">
        <f t="shared" si="59"/>
        <v>-1</v>
      </c>
      <c r="O269" s="78"/>
      <c r="P269" s="82">
        <f>R269-TIME(0,43,0)</f>
        <v>45698.513888888883</v>
      </c>
      <c r="Q269" s="82">
        <v>45698.098611111112</v>
      </c>
      <c r="R269" s="82">
        <v>45698.543749999997</v>
      </c>
      <c r="S269" s="81">
        <f t="shared" si="49"/>
        <v>638.03240740138187</v>
      </c>
      <c r="T269" s="81">
        <f t="shared" si="50"/>
        <v>42.80092592986572</v>
      </c>
      <c r="U269" s="79"/>
      <c r="V269" s="82">
        <v>45697.625</v>
      </c>
      <c r="W269" s="82">
        <v>45697.804166666669</v>
      </c>
      <c r="X269" s="103">
        <f t="shared" si="51"/>
        <v>252.62500000273576</v>
      </c>
      <c r="Y269" s="82" t="s">
        <v>1044</v>
      </c>
      <c r="Z269" s="82">
        <v>45698.620833333334</v>
      </c>
      <c r="AA269" s="82">
        <v>45698.659722222226</v>
      </c>
      <c r="AB269" s="81">
        <f t="shared" si="52"/>
        <v>54.833333337664953</v>
      </c>
      <c r="AC269" s="80"/>
      <c r="AD269" s="83">
        <f t="shared" si="53"/>
        <v>7.7083333337213844E-2</v>
      </c>
      <c r="AE269" s="80">
        <v>3</v>
      </c>
      <c r="AF269" s="84">
        <f t="shared" si="54"/>
        <v>2.9229166666627862</v>
      </c>
      <c r="AG269" s="83">
        <f t="shared" si="55"/>
        <v>1.8500000000931323</v>
      </c>
      <c r="AH269" s="83">
        <f t="shared" si="56"/>
        <v>0</v>
      </c>
      <c r="AI269" s="83">
        <f t="shared" si="57"/>
        <v>1.8500000000931323</v>
      </c>
      <c r="AJ269" s="83">
        <f t="shared" si="58"/>
        <v>84.324324320079285</v>
      </c>
      <c r="AK269" s="83"/>
      <c r="AL269" s="83"/>
      <c r="AM269" s="83"/>
      <c r="AN269" s="83"/>
      <c r="AO269" s="78"/>
    </row>
    <row r="270" spans="1:41" customFormat="1" ht="15" hidden="1" x14ac:dyDescent="0.25">
      <c r="A270" s="82">
        <v>45698</v>
      </c>
      <c r="B270" s="94" t="str">
        <f t="shared" si="48"/>
        <v>February</v>
      </c>
      <c r="C270" s="78"/>
      <c r="D270" s="79" t="s">
        <v>130</v>
      </c>
      <c r="E270" s="80" t="s">
        <v>1017</v>
      </c>
      <c r="F270" s="79"/>
      <c r="G270" s="79" t="s">
        <v>58</v>
      </c>
      <c r="H270" s="79" t="s">
        <v>450</v>
      </c>
      <c r="I270" s="79">
        <v>156</v>
      </c>
      <c r="J270" s="79" t="s">
        <v>130</v>
      </c>
      <c r="K270" s="80" t="s">
        <v>469</v>
      </c>
      <c r="L270" s="80">
        <v>288</v>
      </c>
      <c r="M270" s="80">
        <f>L270+2</f>
        <v>290</v>
      </c>
      <c r="N270" s="81">
        <f t="shared" si="59"/>
        <v>2</v>
      </c>
      <c r="O270" s="78"/>
      <c r="P270" s="82">
        <f>R270-TIME(0,44,0)</f>
        <v>45698.853472222225</v>
      </c>
      <c r="Q270" s="82">
        <v>45698.854166666664</v>
      </c>
      <c r="R270" s="82">
        <v>45698.884027777778</v>
      </c>
      <c r="S270" s="81">
        <f t="shared" si="49"/>
        <v>42.80092592986572</v>
      </c>
      <c r="T270" s="81">
        <f t="shared" si="50"/>
        <v>43.796296293051761</v>
      </c>
      <c r="U270" s="79"/>
      <c r="V270" s="82">
        <v>45698.718055555553</v>
      </c>
      <c r="W270" s="82">
        <v>45698.868750000001</v>
      </c>
      <c r="X270" s="103">
        <f t="shared" si="51"/>
        <v>212.47916667191021</v>
      </c>
      <c r="Y270" s="82" t="s">
        <v>1044</v>
      </c>
      <c r="Z270" s="82">
        <v>45701.713194444441</v>
      </c>
      <c r="AA270" s="82">
        <v>45701.74722222222</v>
      </c>
      <c r="AB270" s="81">
        <f t="shared" si="52"/>
        <v>47.979166669174447</v>
      </c>
      <c r="AC270" s="80"/>
      <c r="AD270" s="83">
        <f t="shared" si="53"/>
        <v>2.8291666666627862</v>
      </c>
      <c r="AE270" s="80">
        <v>2</v>
      </c>
      <c r="AF270" s="84">
        <f t="shared" si="54"/>
        <v>-0.82916666666278616</v>
      </c>
      <c r="AG270" s="83">
        <f t="shared" si="55"/>
        <v>67.899999999906868</v>
      </c>
      <c r="AH270" s="83">
        <f t="shared" si="56"/>
        <v>24</v>
      </c>
      <c r="AI270" s="83">
        <f t="shared" si="57"/>
        <v>43.899999999906868</v>
      </c>
      <c r="AJ270" s="83">
        <f t="shared" si="58"/>
        <v>3.5535307517159671</v>
      </c>
      <c r="AK270" s="83"/>
      <c r="AL270" s="83"/>
      <c r="AM270" s="83"/>
      <c r="AN270" s="83"/>
      <c r="AO270" s="78"/>
    </row>
    <row r="271" spans="1:41" customFormat="1" ht="15" hidden="1" x14ac:dyDescent="0.25">
      <c r="A271" s="82">
        <v>45698</v>
      </c>
      <c r="B271" s="94" t="str">
        <f t="shared" si="48"/>
        <v>February</v>
      </c>
      <c r="C271" s="78"/>
      <c r="D271" s="79" t="s">
        <v>131</v>
      </c>
      <c r="E271" s="80" t="s">
        <v>1017</v>
      </c>
      <c r="F271" s="79" t="s">
        <v>963</v>
      </c>
      <c r="G271" s="79" t="s">
        <v>60</v>
      </c>
      <c r="H271" s="79" t="s">
        <v>455</v>
      </c>
      <c r="I271" s="79">
        <v>156</v>
      </c>
      <c r="J271" s="79" t="s">
        <v>131</v>
      </c>
      <c r="K271" s="80" t="s">
        <v>469</v>
      </c>
      <c r="L271" s="80">
        <v>580</v>
      </c>
      <c r="M271" s="80">
        <f>L271-1</f>
        <v>579</v>
      </c>
      <c r="N271" s="81">
        <f t="shared" si="59"/>
        <v>-1</v>
      </c>
      <c r="O271" s="78"/>
      <c r="P271" s="82">
        <v>45698.384722222225</v>
      </c>
      <c r="Q271" s="82">
        <v>45698.410416666666</v>
      </c>
      <c r="R271" s="82">
        <v>45698.413194444445</v>
      </c>
      <c r="S271" s="81">
        <f t="shared" si="49"/>
        <v>3.9814814840307613</v>
      </c>
      <c r="T271" s="81">
        <f t="shared" si="50"/>
        <v>40.810185182635905</v>
      </c>
      <c r="U271" s="79"/>
      <c r="V271" s="82">
        <v>45698.418749999997</v>
      </c>
      <c r="W271" s="82">
        <v>45698.561805555553</v>
      </c>
      <c r="X271" s="103">
        <f t="shared" si="51"/>
        <v>201.70833333424525</v>
      </c>
      <c r="Y271" s="82" t="s">
        <v>1049</v>
      </c>
      <c r="Z271" s="82">
        <v>45700.416666666664</v>
      </c>
      <c r="AA271" s="82">
        <f>Z271+TIME(0,54,0)</f>
        <v>45700.454166666663</v>
      </c>
      <c r="AB271" s="81">
        <f t="shared" si="52"/>
        <v>52.87499999794818</v>
      </c>
      <c r="AC271" s="80"/>
      <c r="AD271" s="83">
        <f t="shared" si="53"/>
        <v>2.0034722222189885</v>
      </c>
      <c r="AE271" s="80">
        <v>2</v>
      </c>
      <c r="AF271" s="84">
        <f t="shared" si="54"/>
        <v>-3.4722222189884633E-3</v>
      </c>
      <c r="AG271" s="83">
        <f t="shared" si="55"/>
        <v>48.083333333255723</v>
      </c>
      <c r="AH271" s="83">
        <f t="shared" si="56"/>
        <v>24</v>
      </c>
      <c r="AI271" s="83">
        <f t="shared" si="57"/>
        <v>24.083333333255723</v>
      </c>
      <c r="AJ271" s="83">
        <f t="shared" si="58"/>
        <v>6.4775086505399058</v>
      </c>
      <c r="AK271" s="83"/>
      <c r="AL271" s="83"/>
      <c r="AM271" s="83"/>
      <c r="AN271" s="83"/>
      <c r="AO271" s="78"/>
    </row>
    <row r="272" spans="1:41" customFormat="1" ht="15" hidden="1" x14ac:dyDescent="0.25">
      <c r="A272" s="82">
        <v>45698</v>
      </c>
      <c r="B272" s="94" t="str">
        <f t="shared" si="48"/>
        <v>February</v>
      </c>
      <c r="C272" s="78"/>
      <c r="D272" s="79" t="s">
        <v>132</v>
      </c>
      <c r="E272" s="80" t="s">
        <v>1017</v>
      </c>
      <c r="F272" s="79" t="s">
        <v>1023</v>
      </c>
      <c r="G272" s="79" t="s">
        <v>61</v>
      </c>
      <c r="H272" s="79" t="s">
        <v>454</v>
      </c>
      <c r="I272" s="79">
        <v>148.80000000000001</v>
      </c>
      <c r="J272" s="79" t="s">
        <v>132</v>
      </c>
      <c r="K272" s="80" t="s">
        <v>469</v>
      </c>
      <c r="L272" s="80">
        <v>304</v>
      </c>
      <c r="M272" s="80">
        <f>L272+2</f>
        <v>306</v>
      </c>
      <c r="N272" s="81">
        <f t="shared" si="59"/>
        <v>2</v>
      </c>
      <c r="O272" s="78"/>
      <c r="P272" s="82">
        <f>R272-TIME(0,44,0)</f>
        <v>45698.816666666666</v>
      </c>
      <c r="Q272" s="82">
        <v>45698.817361111105</v>
      </c>
      <c r="R272" s="82">
        <v>45698.847222222219</v>
      </c>
      <c r="S272" s="81">
        <f t="shared" si="49"/>
        <v>42.80092592986572</v>
      </c>
      <c r="T272" s="81">
        <f t="shared" si="50"/>
        <v>43.796296293051761</v>
      </c>
      <c r="U272" s="79"/>
      <c r="V272" s="82">
        <v>45698.459027777775</v>
      </c>
      <c r="W272" s="82">
        <v>45698.551388888889</v>
      </c>
      <c r="X272" s="103">
        <f t="shared" si="51"/>
        <v>130.22916667054233</v>
      </c>
      <c r="Y272" s="82"/>
      <c r="Z272" s="82">
        <v>45699.895833333336</v>
      </c>
      <c r="AA272" s="82">
        <f>Z272+TIME(0,54,0)</f>
        <v>45699.933333333334</v>
      </c>
      <c r="AB272" s="81">
        <f t="shared" si="52"/>
        <v>52.87499999794818</v>
      </c>
      <c r="AC272" s="80"/>
      <c r="AD272" s="83">
        <f t="shared" si="53"/>
        <v>1.0486111111167702</v>
      </c>
      <c r="AE272" s="80">
        <v>2</v>
      </c>
      <c r="AF272" s="84">
        <f t="shared" si="54"/>
        <v>0.95138888888322981</v>
      </c>
      <c r="AG272" s="83">
        <f t="shared" si="55"/>
        <v>25.166666666802485</v>
      </c>
      <c r="AH272" s="83">
        <f t="shared" si="56"/>
        <v>12</v>
      </c>
      <c r="AI272" s="83">
        <f t="shared" si="57"/>
        <v>13.166666666802485</v>
      </c>
      <c r="AJ272" s="83">
        <f t="shared" si="58"/>
        <v>11.301265822668235</v>
      </c>
      <c r="AK272" s="83"/>
      <c r="AL272" s="83"/>
      <c r="AM272" s="83"/>
      <c r="AN272" s="83"/>
      <c r="AO272" s="78"/>
    </row>
    <row r="273" spans="1:41" customFormat="1" ht="15" hidden="1" x14ac:dyDescent="0.25">
      <c r="A273" s="82">
        <v>45698</v>
      </c>
      <c r="B273" s="94" t="str">
        <f t="shared" si="48"/>
        <v>February</v>
      </c>
      <c r="C273" s="78"/>
      <c r="D273" s="79" t="s">
        <v>133</v>
      </c>
      <c r="E273" s="80" t="s">
        <v>1017</v>
      </c>
      <c r="F273" s="79" t="s">
        <v>1015</v>
      </c>
      <c r="G273" s="79" t="s">
        <v>43</v>
      </c>
      <c r="H273" s="79" t="s">
        <v>460</v>
      </c>
      <c r="I273" s="79">
        <v>156</v>
      </c>
      <c r="J273" s="79" t="s">
        <v>133</v>
      </c>
      <c r="K273" s="80" t="s">
        <v>469</v>
      </c>
      <c r="L273" s="80">
        <v>600</v>
      </c>
      <c r="M273" s="80">
        <f>L273+2</f>
        <v>602</v>
      </c>
      <c r="N273" s="81">
        <f t="shared" si="59"/>
        <v>2</v>
      </c>
      <c r="O273" s="78"/>
      <c r="P273" s="82">
        <v>45697.798611111109</v>
      </c>
      <c r="Q273" s="82">
        <v>45697.797916666663</v>
      </c>
      <c r="R273" s="82">
        <v>45697.827777777777</v>
      </c>
      <c r="S273" s="81">
        <f t="shared" si="49"/>
        <v>42.80092592986572</v>
      </c>
      <c r="T273" s="81">
        <f t="shared" si="50"/>
        <v>41.805555556250816</v>
      </c>
      <c r="U273" s="79"/>
      <c r="V273" s="82">
        <v>45699.482638888891</v>
      </c>
      <c r="W273" s="82">
        <v>45699.574305555558</v>
      </c>
      <c r="X273" s="103">
        <f t="shared" si="51"/>
        <v>129.25000000068394</v>
      </c>
      <c r="Y273" s="82"/>
      <c r="Z273" s="82">
        <v>45700.52847222222</v>
      </c>
      <c r="AA273" s="82">
        <f>Z273+TIME(0,60,0)</f>
        <v>45700.570138888885</v>
      </c>
      <c r="AB273" s="81">
        <f t="shared" si="52"/>
        <v>58.7499999965803</v>
      </c>
      <c r="AC273" s="80"/>
      <c r="AD273" s="83">
        <f t="shared" si="53"/>
        <v>2.7006944444437977</v>
      </c>
      <c r="AE273" s="80">
        <v>2</v>
      </c>
      <c r="AF273" s="84">
        <f t="shared" si="54"/>
        <v>-0.70069444444379769</v>
      </c>
      <c r="AG273" s="83">
        <f t="shared" si="55"/>
        <v>64.816666666651145</v>
      </c>
      <c r="AH273" s="83">
        <f t="shared" si="56"/>
        <v>24</v>
      </c>
      <c r="AI273" s="83">
        <f t="shared" si="57"/>
        <v>40.816666666651145</v>
      </c>
      <c r="AJ273" s="83">
        <f t="shared" si="58"/>
        <v>3.8219681502668679</v>
      </c>
      <c r="AK273" s="83"/>
      <c r="AL273" s="83"/>
      <c r="AM273" s="83"/>
      <c r="AN273" s="83"/>
      <c r="AO273" s="78"/>
    </row>
    <row r="274" spans="1:41" customFormat="1" ht="15" hidden="1" x14ac:dyDescent="0.25">
      <c r="A274" s="82">
        <v>45698</v>
      </c>
      <c r="B274" s="94" t="str">
        <f t="shared" si="48"/>
        <v>February</v>
      </c>
      <c r="C274" s="78"/>
      <c r="D274" s="79" t="s">
        <v>134</v>
      </c>
      <c r="E274" s="80" t="s">
        <v>1017</v>
      </c>
      <c r="F274" s="79"/>
      <c r="G274" s="79" t="s">
        <v>49</v>
      </c>
      <c r="H274" s="79" t="s">
        <v>455</v>
      </c>
      <c r="I274" s="79">
        <v>156</v>
      </c>
      <c r="J274" s="79" t="s">
        <v>134</v>
      </c>
      <c r="K274" s="80" t="s">
        <v>469</v>
      </c>
      <c r="L274" s="80">
        <v>580</v>
      </c>
      <c r="M274" s="80">
        <f>L274+1</f>
        <v>581</v>
      </c>
      <c r="N274" s="81">
        <f t="shared" si="59"/>
        <v>1</v>
      </c>
      <c r="O274" s="78"/>
      <c r="P274" s="82">
        <f>R274-TIME(0,41,0)</f>
        <v>45698.369444444448</v>
      </c>
      <c r="Q274" s="82">
        <v>45698.368055555555</v>
      </c>
      <c r="R274" s="82">
        <v>45698.397916666669</v>
      </c>
      <c r="S274" s="81">
        <f t="shared" si="49"/>
        <v>42.80092592986572</v>
      </c>
      <c r="T274" s="81">
        <f t="shared" si="50"/>
        <v>40.810185182635905</v>
      </c>
      <c r="U274" s="79"/>
      <c r="V274" s="82">
        <v>45701.539583333331</v>
      </c>
      <c r="W274" s="82">
        <v>45701.625</v>
      </c>
      <c r="X274" s="103">
        <f t="shared" si="51"/>
        <v>120.43750000273576</v>
      </c>
      <c r="Y274" s="82"/>
      <c r="Z274" s="82">
        <v>45700.362500000003</v>
      </c>
      <c r="AA274" s="82">
        <v>45700.395138888889</v>
      </c>
      <c r="AB274" s="81">
        <f t="shared" si="52"/>
        <v>46.020833329457673</v>
      </c>
      <c r="AC274" s="80"/>
      <c r="AD274" s="83">
        <f t="shared" si="53"/>
        <v>1.9645833333343035</v>
      </c>
      <c r="AE274" s="80">
        <v>2</v>
      </c>
      <c r="AF274" s="84">
        <f t="shared" si="54"/>
        <v>3.5416666665696539E-2</v>
      </c>
      <c r="AG274" s="83">
        <f t="shared" si="55"/>
        <v>47.150000000023283</v>
      </c>
      <c r="AH274" s="83">
        <f t="shared" si="56"/>
        <v>12</v>
      </c>
      <c r="AI274" s="83">
        <f t="shared" si="57"/>
        <v>35.150000000023283</v>
      </c>
      <c r="AJ274" s="83">
        <f t="shared" si="58"/>
        <v>4.4381223328562349</v>
      </c>
      <c r="AK274" s="83"/>
      <c r="AL274" s="83"/>
      <c r="AM274" s="83"/>
      <c r="AN274" s="83"/>
      <c r="AO274" s="78"/>
    </row>
    <row r="275" spans="1:41" customFormat="1" ht="15" hidden="1" x14ac:dyDescent="0.25">
      <c r="A275" s="82">
        <v>45699</v>
      </c>
      <c r="B275" s="94" t="str">
        <f t="shared" si="48"/>
        <v>February</v>
      </c>
      <c r="C275" s="78"/>
      <c r="D275" s="79" t="s">
        <v>135</v>
      </c>
      <c r="E275" s="80" t="s">
        <v>1017</v>
      </c>
      <c r="F275" s="79"/>
      <c r="G275" s="79" t="s">
        <v>40</v>
      </c>
      <c r="H275" s="79" t="s">
        <v>449</v>
      </c>
      <c r="I275" s="79">
        <v>36</v>
      </c>
      <c r="J275" s="79" t="s">
        <v>135</v>
      </c>
      <c r="K275" s="80" t="s">
        <v>469</v>
      </c>
      <c r="L275" s="80">
        <v>790</v>
      </c>
      <c r="M275" s="80">
        <f>L275+2</f>
        <v>792</v>
      </c>
      <c r="N275" s="81">
        <f t="shared" si="59"/>
        <v>2</v>
      </c>
      <c r="O275" s="78"/>
      <c r="P275" s="82">
        <v>45698.818055555552</v>
      </c>
      <c r="Q275" s="82">
        <v>45698.817361111105</v>
      </c>
      <c r="R275" s="82">
        <v>45698.847222222219</v>
      </c>
      <c r="S275" s="81">
        <f t="shared" si="49"/>
        <v>42.80092592986572</v>
      </c>
      <c r="T275" s="81">
        <f t="shared" si="50"/>
        <v>41.805555556250816</v>
      </c>
      <c r="U275" s="79"/>
      <c r="V275" s="82">
        <v>45700.404861111114</v>
      </c>
      <c r="W275" s="82">
        <f>V275+TIME(0,174,0)</f>
        <v>45700.525694444448</v>
      </c>
      <c r="X275" s="103">
        <f t="shared" si="51"/>
        <v>170.37500000136788</v>
      </c>
      <c r="Y275" s="82"/>
      <c r="Z275" s="82">
        <v>45701.713194444441</v>
      </c>
      <c r="AA275" s="82">
        <v>45701.744444444441</v>
      </c>
      <c r="AB275" s="81">
        <f t="shared" si="52"/>
        <v>44.0625</v>
      </c>
      <c r="AC275" s="80"/>
      <c r="AD275" s="83">
        <f t="shared" si="53"/>
        <v>2.8659722222218988</v>
      </c>
      <c r="AE275" s="80">
        <v>2</v>
      </c>
      <c r="AF275" s="84">
        <f t="shared" si="54"/>
        <v>-0.86597222222189885</v>
      </c>
      <c r="AG275" s="83">
        <f t="shared" si="55"/>
        <v>68.783333333325572</v>
      </c>
      <c r="AH275" s="83">
        <f t="shared" si="56"/>
        <v>24</v>
      </c>
      <c r="AI275" s="83">
        <f t="shared" si="57"/>
        <v>44.783333333325572</v>
      </c>
      <c r="AJ275" s="83">
        <f t="shared" si="58"/>
        <v>0.80387048753270351</v>
      </c>
      <c r="AK275" s="83"/>
      <c r="AL275" s="83"/>
      <c r="AM275" s="83"/>
      <c r="AN275" s="83"/>
      <c r="AO275" s="78"/>
    </row>
    <row r="276" spans="1:41" customFormat="1" ht="15" hidden="1" x14ac:dyDescent="0.25">
      <c r="A276" s="82">
        <v>45699</v>
      </c>
      <c r="B276" s="94" t="str">
        <f t="shared" si="48"/>
        <v>February</v>
      </c>
      <c r="C276" s="78"/>
      <c r="D276" s="79" t="s">
        <v>136</v>
      </c>
      <c r="E276" s="80" t="s">
        <v>1017</v>
      </c>
      <c r="F276" s="79" t="s">
        <v>1013</v>
      </c>
      <c r="G276" s="79" t="s">
        <v>56</v>
      </c>
      <c r="H276" s="79" t="s">
        <v>462</v>
      </c>
      <c r="I276" s="79">
        <v>156</v>
      </c>
      <c r="J276" s="79" t="s">
        <v>136</v>
      </c>
      <c r="K276" s="80" t="s">
        <v>469</v>
      </c>
      <c r="L276" s="80">
        <v>680</v>
      </c>
      <c r="M276" s="80">
        <f>L276-2</f>
        <v>678</v>
      </c>
      <c r="N276" s="81">
        <f t="shared" si="59"/>
        <v>-2</v>
      </c>
      <c r="O276" s="78"/>
      <c r="P276" s="82">
        <f>R276-TIME(0,43,0)</f>
        <v>45698.854166666664</v>
      </c>
      <c r="Q276" s="82">
        <v>45698.824999999997</v>
      </c>
      <c r="R276" s="82">
        <v>45698.884027777778</v>
      </c>
      <c r="S276" s="81">
        <f t="shared" si="49"/>
        <v>84.606481486116536</v>
      </c>
      <c r="T276" s="81">
        <f t="shared" si="50"/>
        <v>42.80092592986572</v>
      </c>
      <c r="U276" s="79"/>
      <c r="V276" s="82">
        <v>45699.414583333331</v>
      </c>
      <c r="W276" s="82">
        <v>45699.549305555556</v>
      </c>
      <c r="X276" s="103">
        <f t="shared" si="51"/>
        <v>189.95833333698101</v>
      </c>
      <c r="Y276" s="82" t="s">
        <v>1051</v>
      </c>
      <c r="Z276" s="82">
        <v>45700.416666666664</v>
      </c>
      <c r="AA276" s="82">
        <f>Z276+TIME(0,60,0)</f>
        <v>45700.458333333328</v>
      </c>
      <c r="AB276" s="81">
        <f t="shared" si="52"/>
        <v>58.7499999965803</v>
      </c>
      <c r="AC276" s="80"/>
      <c r="AD276" s="83">
        <f t="shared" si="53"/>
        <v>1.5326388888861402</v>
      </c>
      <c r="AE276" s="80">
        <v>2</v>
      </c>
      <c r="AF276" s="84">
        <f t="shared" si="54"/>
        <v>0.46736111111385981</v>
      </c>
      <c r="AG276" s="83">
        <f t="shared" si="55"/>
        <v>36.783333333267365</v>
      </c>
      <c r="AH276" s="83">
        <f t="shared" si="56"/>
        <v>12</v>
      </c>
      <c r="AI276" s="83">
        <f t="shared" si="57"/>
        <v>24.783333333267365</v>
      </c>
      <c r="AJ276" s="83">
        <f t="shared" si="58"/>
        <v>6.2945527908708234</v>
      </c>
      <c r="AK276" s="83"/>
      <c r="AL276" s="83"/>
      <c r="AM276" s="83"/>
      <c r="AN276" s="83"/>
      <c r="AO276" s="78"/>
    </row>
    <row r="277" spans="1:41" customFormat="1" ht="15" hidden="1" x14ac:dyDescent="0.25">
      <c r="A277" s="82">
        <v>45699</v>
      </c>
      <c r="B277" s="94" t="str">
        <f t="shared" si="48"/>
        <v>February</v>
      </c>
      <c r="C277" s="78"/>
      <c r="D277" s="79" t="s">
        <v>137</v>
      </c>
      <c r="E277" s="80" t="s">
        <v>1017</v>
      </c>
      <c r="F277" s="79" t="s">
        <v>1030</v>
      </c>
      <c r="G277" s="79" t="s">
        <v>55</v>
      </c>
      <c r="H277" s="79" t="s">
        <v>987</v>
      </c>
      <c r="I277" s="79">
        <v>156</v>
      </c>
      <c r="J277" s="79" t="s">
        <v>137</v>
      </c>
      <c r="K277" s="80" t="s">
        <v>469</v>
      </c>
      <c r="L277" s="79">
        <v>320</v>
      </c>
      <c r="M277" s="80">
        <f>L277-1</f>
        <v>319</v>
      </c>
      <c r="N277" s="81">
        <f t="shared" si="59"/>
        <v>-1</v>
      </c>
      <c r="O277" s="78"/>
      <c r="P277" s="82">
        <v>45698.384027777778</v>
      </c>
      <c r="Q277" s="82">
        <v>45698.405555555553</v>
      </c>
      <c r="R277" s="82">
        <v>45698.413194444445</v>
      </c>
      <c r="S277" s="81">
        <f t="shared" si="49"/>
        <v>10.949074078477375</v>
      </c>
      <c r="T277" s="81">
        <f t="shared" si="50"/>
        <v>41.805555556250816</v>
      </c>
      <c r="U277" s="79"/>
      <c r="V277" s="82">
        <v>45698.775694444441</v>
      </c>
      <c r="W277" s="82">
        <v>45699.390972222223</v>
      </c>
      <c r="X277" s="103">
        <f t="shared" si="51"/>
        <v>867.54166667327809</v>
      </c>
      <c r="Y277" s="82"/>
      <c r="Z277" s="82">
        <v>45699.895833333336</v>
      </c>
      <c r="AA277" s="82">
        <v>45699.927083333336</v>
      </c>
      <c r="AB277" s="81">
        <f t="shared" si="52"/>
        <v>44.0625</v>
      </c>
      <c r="AC277" s="80"/>
      <c r="AD277" s="83">
        <f t="shared" si="53"/>
        <v>1.4826388888905058</v>
      </c>
      <c r="AE277" s="80">
        <v>2</v>
      </c>
      <c r="AF277" s="84">
        <f t="shared" si="54"/>
        <v>0.51736111110949423</v>
      </c>
      <c r="AG277" s="83">
        <f t="shared" si="55"/>
        <v>35.583333333372138</v>
      </c>
      <c r="AH277" s="83">
        <f t="shared" si="56"/>
        <v>12</v>
      </c>
      <c r="AI277" s="83">
        <f t="shared" si="57"/>
        <v>23.583333333372138</v>
      </c>
      <c r="AJ277" s="83">
        <f t="shared" si="58"/>
        <v>6.6148409893884086</v>
      </c>
      <c r="AK277" s="83"/>
      <c r="AL277" s="83"/>
      <c r="AM277" s="83"/>
      <c r="AN277" s="83"/>
      <c r="AO277" s="78"/>
    </row>
    <row r="278" spans="1:41" customFormat="1" ht="15" hidden="1" x14ac:dyDescent="0.25">
      <c r="A278" s="82">
        <v>45699</v>
      </c>
      <c r="B278" s="94" t="str">
        <f t="shared" si="48"/>
        <v>February</v>
      </c>
      <c r="C278" s="78"/>
      <c r="D278" s="79" t="s">
        <v>138</v>
      </c>
      <c r="E278" s="80" t="s">
        <v>1017</v>
      </c>
      <c r="F278" s="79"/>
      <c r="G278" s="79" t="s">
        <v>65</v>
      </c>
      <c r="H278" s="79" t="s">
        <v>454</v>
      </c>
      <c r="I278" s="79">
        <v>134.4</v>
      </c>
      <c r="J278" s="79" t="s">
        <v>138</v>
      </c>
      <c r="K278" s="80" t="s">
        <v>469</v>
      </c>
      <c r="L278" s="80">
        <v>304</v>
      </c>
      <c r="M278" s="80">
        <f>L278-2</f>
        <v>302</v>
      </c>
      <c r="N278" s="81">
        <f t="shared" si="59"/>
        <v>-2</v>
      </c>
      <c r="O278" s="78"/>
      <c r="P278" s="82">
        <v>45698.369444444448</v>
      </c>
      <c r="Q278" s="82">
        <v>45698.347222222226</v>
      </c>
      <c r="R278" s="82">
        <v>45698.397916666669</v>
      </c>
      <c r="S278" s="81">
        <f t="shared" si="49"/>
        <v>72.662037034024252</v>
      </c>
      <c r="T278" s="81">
        <f t="shared" si="50"/>
        <v>40.810185182635905</v>
      </c>
      <c r="U278" s="79"/>
      <c r="V278" s="82">
        <v>45700.404861111114</v>
      </c>
      <c r="W278" s="82">
        <f>V278+TIME(0,158,0)</f>
        <v>45700.514583333337</v>
      </c>
      <c r="X278" s="103">
        <f t="shared" si="51"/>
        <v>154.70833333492919</v>
      </c>
      <c r="Y278" s="82"/>
      <c r="Z278" s="82">
        <v>45700.52847222222</v>
      </c>
      <c r="AA278" s="82">
        <f>Z278+TIME(0,56,0)</f>
        <v>45700.567361111112</v>
      </c>
      <c r="AB278" s="81">
        <f t="shared" si="52"/>
        <v>54.833333337664953</v>
      </c>
      <c r="AC278" s="80"/>
      <c r="AD278" s="83">
        <f t="shared" si="53"/>
        <v>2.1305555555518367</v>
      </c>
      <c r="AE278" s="80">
        <v>2</v>
      </c>
      <c r="AF278" s="84">
        <f t="shared" si="54"/>
        <v>-0.13055555555183673</v>
      </c>
      <c r="AG278" s="83">
        <f t="shared" si="55"/>
        <v>51.133333333244082</v>
      </c>
      <c r="AH278" s="83">
        <f t="shared" si="56"/>
        <v>24</v>
      </c>
      <c r="AI278" s="83">
        <f t="shared" si="57"/>
        <v>27.133333333244082</v>
      </c>
      <c r="AJ278" s="83">
        <f t="shared" si="58"/>
        <v>4.9533169533332471</v>
      </c>
      <c r="AK278" s="83"/>
      <c r="AL278" s="83"/>
      <c r="AM278" s="83"/>
      <c r="AN278" s="83"/>
      <c r="AO278" s="78"/>
    </row>
    <row r="279" spans="1:41" customFormat="1" ht="15" hidden="1" x14ac:dyDescent="0.25">
      <c r="A279" s="82">
        <v>45699</v>
      </c>
      <c r="B279" s="94" t="str">
        <f t="shared" si="48"/>
        <v>February</v>
      </c>
      <c r="C279" s="78"/>
      <c r="D279" s="79" t="s">
        <v>139</v>
      </c>
      <c r="E279" s="80" t="s">
        <v>1017</v>
      </c>
      <c r="F279" s="79"/>
      <c r="G279" s="79" t="s">
        <v>35</v>
      </c>
      <c r="H279" s="79" t="s">
        <v>458</v>
      </c>
      <c r="I279" s="79">
        <v>148.80000000000001</v>
      </c>
      <c r="J279" s="79" t="s">
        <v>139</v>
      </c>
      <c r="K279" s="80" t="s">
        <v>469</v>
      </c>
      <c r="L279" s="80">
        <v>448</v>
      </c>
      <c r="M279" s="80">
        <f>L279+1</f>
        <v>449</v>
      </c>
      <c r="N279" s="81">
        <f t="shared" si="59"/>
        <v>1</v>
      </c>
      <c r="O279" s="78"/>
      <c r="P279" s="82">
        <v>45698.854861111111</v>
      </c>
      <c r="Q279" s="82">
        <v>45698.855555555558</v>
      </c>
      <c r="R279" s="82">
        <v>45698.884027777778</v>
      </c>
      <c r="S279" s="81">
        <f t="shared" si="49"/>
        <v>40.810185182635905</v>
      </c>
      <c r="T279" s="81">
        <f t="shared" si="50"/>
        <v>41.805555556250816</v>
      </c>
      <c r="U279" s="79"/>
      <c r="V279" s="82">
        <v>45699.404861111114</v>
      </c>
      <c r="W279" s="82">
        <v>45699.489583333336</v>
      </c>
      <c r="X279" s="103">
        <f t="shared" si="51"/>
        <v>119.45833333287737</v>
      </c>
      <c r="Y279" s="82"/>
      <c r="Z279" s="82">
        <v>45700.52847222222</v>
      </c>
      <c r="AA279" s="82">
        <f>Z279+TIME(0,49,0)</f>
        <v>45700.5625</v>
      </c>
      <c r="AB279" s="81">
        <f t="shared" si="52"/>
        <v>47.979166669174447</v>
      </c>
      <c r="AC279" s="80"/>
      <c r="AD279" s="83">
        <f t="shared" si="53"/>
        <v>1.6444444444423425</v>
      </c>
      <c r="AE279" s="80">
        <v>2</v>
      </c>
      <c r="AF279" s="84">
        <f t="shared" si="54"/>
        <v>0.3555555555576575</v>
      </c>
      <c r="AG279" s="83">
        <f t="shared" si="55"/>
        <v>39.46666666661622</v>
      </c>
      <c r="AH279" s="83">
        <f t="shared" si="56"/>
        <v>12</v>
      </c>
      <c r="AI279" s="83">
        <f t="shared" si="57"/>
        <v>27.46666666661622</v>
      </c>
      <c r="AJ279" s="83">
        <f t="shared" si="58"/>
        <v>5.4174757281652903</v>
      </c>
      <c r="AK279" s="83"/>
      <c r="AL279" s="83"/>
      <c r="AM279" s="83"/>
      <c r="AN279" s="83"/>
      <c r="AO279" s="78"/>
    </row>
    <row r="280" spans="1:41" customFormat="1" ht="15" hidden="1" x14ac:dyDescent="0.25">
      <c r="A280" s="82">
        <v>45699</v>
      </c>
      <c r="B280" s="94" t="str">
        <f t="shared" si="48"/>
        <v>February</v>
      </c>
      <c r="C280" s="78"/>
      <c r="D280" s="79" t="s">
        <v>835</v>
      </c>
      <c r="E280" s="80" t="s">
        <v>1016</v>
      </c>
      <c r="F280" s="79" t="s">
        <v>952</v>
      </c>
      <c r="G280" s="79" t="s">
        <v>969</v>
      </c>
      <c r="H280" s="79" t="s">
        <v>982</v>
      </c>
      <c r="I280" s="79">
        <v>153.6</v>
      </c>
      <c r="J280" s="79" t="s">
        <v>835</v>
      </c>
      <c r="K280" s="80" t="s">
        <v>469</v>
      </c>
      <c r="L280" s="80">
        <v>298</v>
      </c>
      <c r="M280" s="80">
        <f>L280-3</f>
        <v>295</v>
      </c>
      <c r="N280" s="81">
        <f t="shared" si="59"/>
        <v>-3</v>
      </c>
      <c r="O280" s="78"/>
      <c r="P280" s="82">
        <v>45701.816666666666</v>
      </c>
      <c r="Q280" s="82">
        <v>45701.836805555555</v>
      </c>
      <c r="R280" s="82">
        <v>45701.845138888886</v>
      </c>
      <c r="S280" s="81">
        <f t="shared" si="49"/>
        <v>11.944444441663412</v>
      </c>
      <c r="T280" s="81">
        <f t="shared" si="50"/>
        <v>40.810185182635905</v>
      </c>
      <c r="U280" s="79"/>
      <c r="V280" s="82">
        <v>45699.425000000003</v>
      </c>
      <c r="W280" s="82">
        <v>45699.50277777778</v>
      </c>
      <c r="X280" s="103">
        <f t="shared" si="51"/>
        <v>109.66666666507081</v>
      </c>
      <c r="Y280" s="82"/>
      <c r="Z280" s="82">
        <v>45702.806250000001</v>
      </c>
      <c r="AA280" s="82">
        <f>Z280+TIME(0,55,0)</f>
        <v>45702.844444444447</v>
      </c>
      <c r="AB280" s="81">
        <f t="shared" si="52"/>
        <v>53.854166667806567</v>
      </c>
      <c r="AC280" s="80"/>
      <c r="AD280" s="83">
        <f t="shared" si="53"/>
        <v>0.961111111115315</v>
      </c>
      <c r="AE280" s="80">
        <v>2</v>
      </c>
      <c r="AF280" s="84">
        <f t="shared" si="54"/>
        <v>1.038888888884685</v>
      </c>
      <c r="AG280" s="83">
        <f t="shared" si="55"/>
        <v>23.06666666676756</v>
      </c>
      <c r="AH280" s="83">
        <f t="shared" si="56"/>
        <v>0</v>
      </c>
      <c r="AI280" s="83">
        <f t="shared" si="57"/>
        <v>23.06666666676756</v>
      </c>
      <c r="AJ280" s="83">
        <f t="shared" si="58"/>
        <v>6.6589595375431276</v>
      </c>
      <c r="AK280" s="83"/>
      <c r="AL280" s="83"/>
      <c r="AM280" s="83"/>
      <c r="AN280" s="83"/>
      <c r="AO280" s="78"/>
    </row>
    <row r="281" spans="1:41" customFormat="1" ht="15" hidden="1" x14ac:dyDescent="0.25">
      <c r="A281" s="82">
        <v>45699</v>
      </c>
      <c r="B281" s="94" t="str">
        <f t="shared" si="48"/>
        <v>February</v>
      </c>
      <c r="C281" s="78"/>
      <c r="D281" s="79" t="s">
        <v>836</v>
      </c>
      <c r="E281" s="80" t="s">
        <v>1016</v>
      </c>
      <c r="F281" s="79" t="s">
        <v>960</v>
      </c>
      <c r="G281" s="79" t="s">
        <v>62</v>
      </c>
      <c r="H281" s="79" t="s">
        <v>987</v>
      </c>
      <c r="I281" s="79">
        <v>156</v>
      </c>
      <c r="J281" s="79" t="s">
        <v>836</v>
      </c>
      <c r="K281" s="80" t="s">
        <v>469</v>
      </c>
      <c r="L281" s="79">
        <v>320</v>
      </c>
      <c r="M281" s="80">
        <f>L281-262</f>
        <v>58</v>
      </c>
      <c r="N281" s="81">
        <f t="shared" si="59"/>
        <v>-262</v>
      </c>
      <c r="O281" s="78"/>
      <c r="P281" s="82">
        <v>45701.697222222225</v>
      </c>
      <c r="Q281" s="82">
        <v>45701.67569444445</v>
      </c>
      <c r="R281" s="82">
        <v>45701.726388888892</v>
      </c>
      <c r="S281" s="81">
        <f t="shared" si="49"/>
        <v>72.662037034024252</v>
      </c>
      <c r="T281" s="81">
        <f t="shared" si="50"/>
        <v>41.805555556250816</v>
      </c>
      <c r="U281" s="79"/>
      <c r="V281" s="82">
        <v>45700.654166666667</v>
      </c>
      <c r="W281" s="82">
        <v>45700.743055555555</v>
      </c>
      <c r="X281" s="103">
        <f t="shared" si="51"/>
        <v>125.33333333150949</v>
      </c>
      <c r="Y281" s="82"/>
      <c r="Z281" s="82">
        <v>45702.536111111112</v>
      </c>
      <c r="AA281" s="82">
        <f>Z281+TIME(0,48,0)</f>
        <v>45702.569444444445</v>
      </c>
      <c r="AB281" s="81">
        <f t="shared" si="52"/>
        <v>46.99999999931606</v>
      </c>
      <c r="AC281" s="80"/>
      <c r="AD281" s="83">
        <f t="shared" si="53"/>
        <v>0.80972222222044365</v>
      </c>
      <c r="AE281" s="80">
        <v>2</v>
      </c>
      <c r="AF281" s="84">
        <f t="shared" si="54"/>
        <v>1.1902777777795563</v>
      </c>
      <c r="AG281" s="83">
        <f t="shared" si="55"/>
        <v>19.433333333290648</v>
      </c>
      <c r="AH281" s="83">
        <f t="shared" si="56"/>
        <v>0</v>
      </c>
      <c r="AI281" s="83">
        <f t="shared" si="57"/>
        <v>19.433333333290648</v>
      </c>
      <c r="AJ281" s="83">
        <f t="shared" si="58"/>
        <v>8.0274442538769808</v>
      </c>
      <c r="AK281" s="83"/>
      <c r="AL281" s="83"/>
      <c r="AM281" s="83"/>
      <c r="AN281" s="83"/>
      <c r="AO281" s="78"/>
    </row>
    <row r="282" spans="1:41" customFormat="1" ht="15" hidden="1" x14ac:dyDescent="0.25">
      <c r="A282" s="82">
        <v>45699</v>
      </c>
      <c r="B282" s="94" t="str">
        <f t="shared" si="48"/>
        <v>February</v>
      </c>
      <c r="C282" s="78"/>
      <c r="D282" s="79" t="s">
        <v>837</v>
      </c>
      <c r="E282" s="80" t="s">
        <v>1016</v>
      </c>
      <c r="F282" s="79" t="s">
        <v>956</v>
      </c>
      <c r="G282" s="79" t="s">
        <v>973</v>
      </c>
      <c r="H282" s="79" t="s">
        <v>1282</v>
      </c>
      <c r="I282" s="79">
        <v>153.6</v>
      </c>
      <c r="J282" s="79" t="s">
        <v>837</v>
      </c>
      <c r="K282" s="80" t="s">
        <v>469</v>
      </c>
      <c r="L282" s="79">
        <v>810</v>
      </c>
      <c r="M282" s="80">
        <f>L282-3</f>
        <v>807</v>
      </c>
      <c r="N282" s="81">
        <f t="shared" si="59"/>
        <v>-3</v>
      </c>
      <c r="O282" s="78"/>
      <c r="P282" s="82">
        <v>45701.600694444445</v>
      </c>
      <c r="Q282" s="82">
        <v>45701.57916666667</v>
      </c>
      <c r="R282" s="82">
        <v>45701.629861111112</v>
      </c>
      <c r="S282" s="81">
        <f t="shared" si="49"/>
        <v>72.662037034024252</v>
      </c>
      <c r="T282" s="81">
        <f t="shared" si="50"/>
        <v>41.805555556250816</v>
      </c>
      <c r="U282" s="79"/>
      <c r="V282" s="82">
        <v>45699.593055555553</v>
      </c>
      <c r="W282" s="82">
        <f>V282+TIME(0,158,0)</f>
        <v>45699.702777777777</v>
      </c>
      <c r="X282" s="103">
        <f t="shared" si="51"/>
        <v>154.70833333492919</v>
      </c>
      <c r="Y282" s="82"/>
      <c r="Z282" s="82">
        <v>45702.574305555558</v>
      </c>
      <c r="AA282" s="82">
        <f>Z282+TIME(0,51,0)</f>
        <v>45702.609722222223</v>
      </c>
      <c r="AB282" s="81">
        <f t="shared" si="52"/>
        <v>49.93749999863212</v>
      </c>
      <c r="AC282" s="80"/>
      <c r="AD282" s="83">
        <f t="shared" si="53"/>
        <v>0.94444444444525288</v>
      </c>
      <c r="AE282" s="80">
        <v>3</v>
      </c>
      <c r="AF282" s="84">
        <f t="shared" si="54"/>
        <v>2.0555555555547471</v>
      </c>
      <c r="AG282" s="83">
        <f t="shared" si="55"/>
        <v>22.666666666686069</v>
      </c>
      <c r="AH282" s="83">
        <f t="shared" si="56"/>
        <v>0</v>
      </c>
      <c r="AI282" s="83">
        <f t="shared" si="57"/>
        <v>22.666666666686069</v>
      </c>
      <c r="AJ282" s="83">
        <f t="shared" si="58"/>
        <v>6.7764705882294933</v>
      </c>
      <c r="AK282" s="83"/>
      <c r="AL282" s="83"/>
      <c r="AM282" s="83"/>
      <c r="AN282" s="83"/>
      <c r="AO282" s="78"/>
    </row>
    <row r="283" spans="1:41" customFormat="1" ht="15" hidden="1" x14ac:dyDescent="0.25">
      <c r="A283" s="82">
        <v>45699</v>
      </c>
      <c r="B283" s="94" t="str">
        <f t="shared" si="48"/>
        <v>February</v>
      </c>
      <c r="C283" s="78"/>
      <c r="D283" s="79" t="s">
        <v>838</v>
      </c>
      <c r="E283" s="80" t="s">
        <v>1016</v>
      </c>
      <c r="F283" s="79" t="s">
        <v>954</v>
      </c>
      <c r="G283" s="79" t="s">
        <v>971</v>
      </c>
      <c r="H283" s="79" t="s">
        <v>982</v>
      </c>
      <c r="I283" s="79">
        <v>153.6</v>
      </c>
      <c r="J283" s="79" t="s">
        <v>838</v>
      </c>
      <c r="K283" s="80" t="s">
        <v>469</v>
      </c>
      <c r="L283" s="80">
        <v>298</v>
      </c>
      <c r="M283" s="80">
        <f>L283-2</f>
        <v>296</v>
      </c>
      <c r="N283" s="81">
        <f t="shared" si="59"/>
        <v>-2</v>
      </c>
      <c r="O283" s="78"/>
      <c r="P283" s="82">
        <v>45701.561805555561</v>
      </c>
      <c r="Q283" s="82">
        <v>45701.561805555561</v>
      </c>
      <c r="R283" s="82">
        <v>45701.590277777781</v>
      </c>
      <c r="S283" s="81">
        <f t="shared" si="49"/>
        <v>40.810185182635905</v>
      </c>
      <c r="T283" s="81">
        <f t="shared" si="50"/>
        <v>40.810185182635905</v>
      </c>
      <c r="U283" s="79"/>
      <c r="V283" s="82">
        <v>45700.3</v>
      </c>
      <c r="W283" s="82">
        <v>45700.676388888889</v>
      </c>
      <c r="X283" s="103">
        <f t="shared" si="51"/>
        <v>530.70833332945767</v>
      </c>
      <c r="Y283" s="82" t="s">
        <v>1047</v>
      </c>
      <c r="Z283" s="82">
        <v>45701.771527777775</v>
      </c>
      <c r="AA283" s="82">
        <f>Z283+TIME(0,55,0)</f>
        <v>45701.80972222222</v>
      </c>
      <c r="AB283" s="81">
        <f t="shared" si="52"/>
        <v>53.854166667806567</v>
      </c>
      <c r="AC283" s="80"/>
      <c r="AD283" s="83">
        <f t="shared" si="53"/>
        <v>0.18124999999417923</v>
      </c>
      <c r="AE283" s="80">
        <v>2</v>
      </c>
      <c r="AF283" s="84">
        <f t="shared" si="54"/>
        <v>1.8187500000058208</v>
      </c>
      <c r="AG283" s="83">
        <f t="shared" si="55"/>
        <v>4.3499999998603016</v>
      </c>
      <c r="AH283" s="83">
        <f t="shared" si="56"/>
        <v>0</v>
      </c>
      <c r="AI283" s="83">
        <f t="shared" si="57"/>
        <v>4.3499999998603016</v>
      </c>
      <c r="AJ283" s="83">
        <f t="shared" si="58"/>
        <v>35.310344828720183</v>
      </c>
      <c r="AK283" s="83"/>
      <c r="AL283" s="83"/>
      <c r="AM283" s="83"/>
      <c r="AN283" s="83"/>
      <c r="AO283" s="78"/>
    </row>
    <row r="284" spans="1:41" customFormat="1" ht="15" hidden="1" x14ac:dyDescent="0.25">
      <c r="A284" s="82">
        <v>45699</v>
      </c>
      <c r="B284" s="94" t="str">
        <f t="shared" si="48"/>
        <v>February</v>
      </c>
      <c r="C284" s="78"/>
      <c r="D284" s="79" t="s">
        <v>839</v>
      </c>
      <c r="E284" s="80" t="s">
        <v>1016</v>
      </c>
      <c r="F284" s="79" t="s">
        <v>955</v>
      </c>
      <c r="G284" s="79" t="s">
        <v>972</v>
      </c>
      <c r="H284" s="79" t="s">
        <v>1282</v>
      </c>
      <c r="I284" s="79">
        <v>153.6</v>
      </c>
      <c r="J284" s="79" t="s">
        <v>839</v>
      </c>
      <c r="K284" s="80" t="s">
        <v>469</v>
      </c>
      <c r="L284" s="79">
        <v>810</v>
      </c>
      <c r="M284" s="80">
        <f>L284+2</f>
        <v>812</v>
      </c>
      <c r="N284" s="81">
        <f t="shared" si="59"/>
        <v>2</v>
      </c>
      <c r="O284" s="78"/>
      <c r="P284" s="82">
        <f>R284-TIME(0,44,0)</f>
        <v>45699.387500000004</v>
      </c>
      <c r="Q284" s="82">
        <v>45699.389583333337</v>
      </c>
      <c r="R284" s="82">
        <v>45699.418055555558</v>
      </c>
      <c r="S284" s="81">
        <f t="shared" si="49"/>
        <v>40.810185182635905</v>
      </c>
      <c r="T284" s="81">
        <f t="shared" si="50"/>
        <v>43.796296293051761</v>
      </c>
      <c r="U284" s="79"/>
      <c r="V284" s="82">
        <v>45702.431944444441</v>
      </c>
      <c r="W284" s="82">
        <f>V284+TIME(0,174,0)</f>
        <v>45702.552777777775</v>
      </c>
      <c r="X284" s="103">
        <f t="shared" si="51"/>
        <v>170.37500000136788</v>
      </c>
      <c r="Y284" s="82"/>
      <c r="Z284" s="82">
        <v>45704.488888888889</v>
      </c>
      <c r="AA284" s="82">
        <f>Z284+TIME(0,50,0)</f>
        <v>45704.523611111108</v>
      </c>
      <c r="AB284" s="81">
        <f t="shared" si="52"/>
        <v>48.958333328773733</v>
      </c>
      <c r="AC284" s="80"/>
      <c r="AD284" s="83">
        <f t="shared" si="53"/>
        <v>5.0708333333313931</v>
      </c>
      <c r="AE284" s="80">
        <v>2</v>
      </c>
      <c r="AF284" s="84">
        <f t="shared" si="54"/>
        <v>-3.0708333333313931</v>
      </c>
      <c r="AG284" s="83">
        <f t="shared" si="55"/>
        <v>121.69999999995343</v>
      </c>
      <c r="AH284" s="83">
        <f t="shared" si="56"/>
        <v>60</v>
      </c>
      <c r="AI284" s="83">
        <f t="shared" si="57"/>
        <v>61.699999999953434</v>
      </c>
      <c r="AJ284" s="83">
        <f t="shared" si="58"/>
        <v>2.4894651539727053</v>
      </c>
      <c r="AK284" s="83"/>
      <c r="AL284" s="83"/>
      <c r="AM284" s="83"/>
      <c r="AN284" s="83"/>
      <c r="AO284" s="78"/>
    </row>
    <row r="285" spans="1:41" customFormat="1" ht="15" hidden="1" x14ac:dyDescent="0.25">
      <c r="A285" s="82">
        <v>45699</v>
      </c>
      <c r="B285" s="94" t="str">
        <f t="shared" si="48"/>
        <v>February</v>
      </c>
      <c r="C285" s="78"/>
      <c r="D285" s="79" t="s">
        <v>840</v>
      </c>
      <c r="E285" s="80" t="s">
        <v>1016</v>
      </c>
      <c r="F285" s="79" t="s">
        <v>953</v>
      </c>
      <c r="G285" s="79" t="s">
        <v>970</v>
      </c>
      <c r="H285" s="79" t="s">
        <v>982</v>
      </c>
      <c r="I285" s="79">
        <v>153.6</v>
      </c>
      <c r="J285" s="79" t="s">
        <v>840</v>
      </c>
      <c r="K285" s="80" t="s">
        <v>469</v>
      </c>
      <c r="L285" s="80">
        <v>298</v>
      </c>
      <c r="M285" s="80">
        <f>L285-150</f>
        <v>148</v>
      </c>
      <c r="N285" s="81">
        <f t="shared" si="59"/>
        <v>-150</v>
      </c>
      <c r="O285" s="78" t="s">
        <v>1042</v>
      </c>
      <c r="P285" s="82">
        <f>R285-TIME(0,44,0)</f>
        <v>45699.619444444448</v>
      </c>
      <c r="Q285" s="82">
        <v>45699.636805555558</v>
      </c>
      <c r="R285" s="82">
        <v>45699.65</v>
      </c>
      <c r="S285" s="81">
        <f t="shared" si="49"/>
        <v>18.912037036110025</v>
      </c>
      <c r="T285" s="81">
        <f t="shared" si="50"/>
        <v>43.796296293051761</v>
      </c>
      <c r="U285" s="79"/>
      <c r="V285" s="82">
        <v>45703.761805555558</v>
      </c>
      <c r="W285" s="82">
        <v>45703.856944444444</v>
      </c>
      <c r="X285" s="103">
        <f t="shared" si="51"/>
        <v>134.14583332945767</v>
      </c>
      <c r="Y285" s="82"/>
      <c r="Z285" s="82">
        <v>45705.40347222222</v>
      </c>
      <c r="AA285" s="82">
        <f>Z285+TIME(0,54,0)</f>
        <v>45705.440972222219</v>
      </c>
      <c r="AB285" s="81">
        <f t="shared" si="52"/>
        <v>52.87499999794818</v>
      </c>
      <c r="AC285" s="80"/>
      <c r="AD285" s="83">
        <f t="shared" si="53"/>
        <v>5.7534722222189885</v>
      </c>
      <c r="AE285" s="80">
        <v>2</v>
      </c>
      <c r="AF285" s="84">
        <f t="shared" si="54"/>
        <v>-3.7534722222189885</v>
      </c>
      <c r="AG285" s="83">
        <f t="shared" si="55"/>
        <v>138.08333333325572</v>
      </c>
      <c r="AH285" s="83">
        <f t="shared" si="56"/>
        <v>60</v>
      </c>
      <c r="AI285" s="83">
        <f t="shared" si="57"/>
        <v>78.083333333255723</v>
      </c>
      <c r="AJ285" s="83">
        <f t="shared" si="58"/>
        <v>1.9671291355409093</v>
      </c>
      <c r="AK285" s="83"/>
      <c r="AL285" s="83"/>
      <c r="AM285" s="83"/>
      <c r="AN285" s="83"/>
      <c r="AO285" s="78"/>
    </row>
    <row r="286" spans="1:41" customFormat="1" ht="15" hidden="1" x14ac:dyDescent="0.25">
      <c r="A286" s="82">
        <v>45699</v>
      </c>
      <c r="B286" s="94" t="str">
        <f t="shared" si="48"/>
        <v>February</v>
      </c>
      <c r="C286" s="78"/>
      <c r="D286" s="79" t="s">
        <v>841</v>
      </c>
      <c r="E286" s="80" t="s">
        <v>1016</v>
      </c>
      <c r="F286" s="79" t="s">
        <v>950</v>
      </c>
      <c r="G286" s="79" t="s">
        <v>967</v>
      </c>
      <c r="H286" s="79" t="s">
        <v>983</v>
      </c>
      <c r="I286" s="79">
        <v>153.6</v>
      </c>
      <c r="J286" s="79" t="s">
        <v>841</v>
      </c>
      <c r="K286" s="80" t="s">
        <v>469</v>
      </c>
      <c r="L286" s="80">
        <v>150</v>
      </c>
      <c r="M286" s="80">
        <f>L286-1</f>
        <v>149</v>
      </c>
      <c r="N286" s="81">
        <f t="shared" si="59"/>
        <v>-1</v>
      </c>
      <c r="O286" s="78"/>
      <c r="P286" s="82">
        <v>45699.511805555558</v>
      </c>
      <c r="Q286" s="82">
        <v>45699.511111111111</v>
      </c>
      <c r="R286" s="82">
        <v>45699.540972222225</v>
      </c>
      <c r="S286" s="81">
        <f t="shared" si="49"/>
        <v>42.80092592986572</v>
      </c>
      <c r="T286" s="81">
        <f t="shared" si="50"/>
        <v>41.805555556250816</v>
      </c>
      <c r="U286" s="79"/>
      <c r="V286" s="82">
        <v>45703.335416666669</v>
      </c>
      <c r="W286" s="82">
        <v>45703.613888888889</v>
      </c>
      <c r="X286" s="103">
        <f t="shared" si="51"/>
        <v>392.64583333082555</v>
      </c>
      <c r="Y286" s="82" t="s">
        <v>1044</v>
      </c>
      <c r="Z286" s="82">
        <v>45704.843055555553</v>
      </c>
      <c r="AA286" s="82">
        <v>45704.881944444445</v>
      </c>
      <c r="AB286" s="81">
        <f t="shared" si="52"/>
        <v>54.833333337664953</v>
      </c>
      <c r="AC286" s="80"/>
      <c r="AD286" s="83">
        <f t="shared" si="53"/>
        <v>5.3020833333284827</v>
      </c>
      <c r="AE286" s="80">
        <v>1</v>
      </c>
      <c r="AF286" s="84">
        <f t="shared" si="54"/>
        <v>-4.3020833333284827</v>
      </c>
      <c r="AG286" s="83">
        <f t="shared" si="55"/>
        <v>127.24999999988358</v>
      </c>
      <c r="AH286" s="83">
        <f t="shared" si="56"/>
        <v>60</v>
      </c>
      <c r="AI286" s="83">
        <f t="shared" si="57"/>
        <v>67.249999999883585</v>
      </c>
      <c r="AJ286" s="83">
        <f t="shared" si="58"/>
        <v>2.2840148698924296</v>
      </c>
      <c r="AK286" s="83"/>
      <c r="AL286" s="83"/>
      <c r="AM286" s="83"/>
      <c r="AN286" s="83"/>
      <c r="AO286" s="78"/>
    </row>
    <row r="287" spans="1:41" customFormat="1" ht="15" hidden="1" x14ac:dyDescent="0.25">
      <c r="A287" s="82">
        <v>45700</v>
      </c>
      <c r="B287" s="94" t="str">
        <f t="shared" si="48"/>
        <v>February</v>
      </c>
      <c r="C287" s="78"/>
      <c r="D287" s="79" t="s">
        <v>140</v>
      </c>
      <c r="E287" s="80" t="s">
        <v>1017</v>
      </c>
      <c r="F287" s="79"/>
      <c r="G287" s="79" t="s">
        <v>58</v>
      </c>
      <c r="H287" s="79" t="s">
        <v>987</v>
      </c>
      <c r="I287" s="79">
        <v>156</v>
      </c>
      <c r="J287" s="79" t="s">
        <v>140</v>
      </c>
      <c r="K287" s="80" t="s">
        <v>469</v>
      </c>
      <c r="L287" s="79">
        <v>320</v>
      </c>
      <c r="M287" s="80">
        <f>L287-3</f>
        <v>317</v>
      </c>
      <c r="N287" s="81">
        <f t="shared" si="59"/>
        <v>-3</v>
      </c>
      <c r="O287" s="78"/>
      <c r="P287" s="82">
        <v>45701.816666666666</v>
      </c>
      <c r="Q287" s="82">
        <v>45698.913194444445</v>
      </c>
      <c r="R287" s="82">
        <v>45701.845138888886</v>
      </c>
      <c r="S287" s="81">
        <f t="shared" si="49"/>
        <v>4202.4537036986048</v>
      </c>
      <c r="T287" s="81">
        <f t="shared" si="50"/>
        <v>40.810185182635905</v>
      </c>
      <c r="U287" s="79"/>
      <c r="V287" s="82">
        <v>45703.335416666669</v>
      </c>
      <c r="W287" s="82">
        <v>45703.613888888889</v>
      </c>
      <c r="X287" s="103">
        <f t="shared" si="51"/>
        <v>392.64583333082555</v>
      </c>
      <c r="Y287" s="82" t="s">
        <v>1045</v>
      </c>
      <c r="Z287" s="82">
        <v>45704.843055555553</v>
      </c>
      <c r="AA287" s="82">
        <v>45704.883333333331</v>
      </c>
      <c r="AB287" s="81">
        <f t="shared" si="52"/>
        <v>56.791666667122627</v>
      </c>
      <c r="AC287" s="80"/>
      <c r="AD287" s="83">
        <f t="shared" si="53"/>
        <v>2.9979166666671517</v>
      </c>
      <c r="AE287" s="80">
        <v>2</v>
      </c>
      <c r="AF287" s="84">
        <f t="shared" si="54"/>
        <v>-0.99791666666715173</v>
      </c>
      <c r="AG287" s="83">
        <f t="shared" si="55"/>
        <v>71.950000000011642</v>
      </c>
      <c r="AH287" s="83">
        <f t="shared" si="56"/>
        <v>24</v>
      </c>
      <c r="AI287" s="83">
        <f t="shared" si="57"/>
        <v>47.950000000011642</v>
      </c>
      <c r="AJ287" s="83">
        <f t="shared" si="58"/>
        <v>3.2533889468188137</v>
      </c>
      <c r="AK287" s="83"/>
      <c r="AL287" s="83"/>
      <c r="AM287" s="83"/>
      <c r="AN287" s="83"/>
      <c r="AO287" s="78"/>
    </row>
    <row r="288" spans="1:41" customFormat="1" ht="15" hidden="1" x14ac:dyDescent="0.25">
      <c r="A288" s="82">
        <v>45700</v>
      </c>
      <c r="B288" s="94" t="str">
        <f t="shared" si="48"/>
        <v>February</v>
      </c>
      <c r="C288" s="78"/>
      <c r="D288" s="79" t="s">
        <v>141</v>
      </c>
      <c r="E288" s="80" t="s">
        <v>1017</v>
      </c>
      <c r="F288" s="79" t="s">
        <v>1019</v>
      </c>
      <c r="G288" s="79" t="s">
        <v>37</v>
      </c>
      <c r="H288" s="79" t="s">
        <v>449</v>
      </c>
      <c r="I288" s="79">
        <v>156</v>
      </c>
      <c r="J288" s="79" t="s">
        <v>141</v>
      </c>
      <c r="K288" s="80" t="s">
        <v>469</v>
      </c>
      <c r="L288" s="80">
        <v>790</v>
      </c>
      <c r="M288" s="80">
        <f>L288+2</f>
        <v>792</v>
      </c>
      <c r="N288" s="81">
        <f t="shared" si="59"/>
        <v>2</v>
      </c>
      <c r="O288" s="78"/>
      <c r="P288" s="82">
        <v>45701.697916666672</v>
      </c>
      <c r="Q288" s="82">
        <v>45699.458333333336</v>
      </c>
      <c r="R288" s="82">
        <v>45701.726388888892</v>
      </c>
      <c r="S288" s="81">
        <f t="shared" si="49"/>
        <v>3250.8796296305568</v>
      </c>
      <c r="T288" s="81">
        <f t="shared" si="50"/>
        <v>40.810185182635905</v>
      </c>
      <c r="U288" s="79"/>
      <c r="V288" s="82">
        <v>45702.413888888892</v>
      </c>
      <c r="W288" s="82">
        <v>45702.828472222223</v>
      </c>
      <c r="X288" s="103">
        <f t="shared" si="51"/>
        <v>584.56249999726424</v>
      </c>
      <c r="Y288" s="82" t="s">
        <v>1044</v>
      </c>
      <c r="Z288" s="82">
        <v>45702.932638888888</v>
      </c>
      <c r="AA288" s="82">
        <f>Z288+TIME(0,60,0)</f>
        <v>45702.974305555552</v>
      </c>
      <c r="AB288" s="81">
        <f t="shared" si="52"/>
        <v>58.7499999965803</v>
      </c>
      <c r="AC288" s="80"/>
      <c r="AD288" s="83">
        <f t="shared" si="53"/>
        <v>1.2062499999956344</v>
      </c>
      <c r="AE288" s="80">
        <v>3</v>
      </c>
      <c r="AF288" s="84">
        <f t="shared" si="54"/>
        <v>1.7937500000043656</v>
      </c>
      <c r="AG288" s="83">
        <f t="shared" si="55"/>
        <v>28.949999999895226</v>
      </c>
      <c r="AH288" s="83">
        <f t="shared" si="56"/>
        <v>12</v>
      </c>
      <c r="AI288" s="83">
        <f t="shared" si="57"/>
        <v>16.949999999895226</v>
      </c>
      <c r="AJ288" s="83">
        <f t="shared" si="58"/>
        <v>9.2035398230657393</v>
      </c>
      <c r="AK288" s="83"/>
      <c r="AL288" s="83"/>
      <c r="AM288" s="83"/>
      <c r="AN288" s="83"/>
      <c r="AO288" s="78"/>
    </row>
    <row r="289" spans="1:41" customFormat="1" ht="15" hidden="1" x14ac:dyDescent="0.25">
      <c r="A289" s="82">
        <v>45700</v>
      </c>
      <c r="B289" s="94" t="str">
        <f t="shared" si="48"/>
        <v>February</v>
      </c>
      <c r="C289" s="78"/>
      <c r="D289" s="79" t="s">
        <v>142</v>
      </c>
      <c r="E289" s="80" t="s">
        <v>1017</v>
      </c>
      <c r="F289" s="79" t="s">
        <v>1034</v>
      </c>
      <c r="G289" s="79" t="s">
        <v>53</v>
      </c>
      <c r="H289" s="79" t="s">
        <v>450</v>
      </c>
      <c r="I289" s="79">
        <v>156</v>
      </c>
      <c r="J289" s="79" t="s">
        <v>142</v>
      </c>
      <c r="K289" s="80" t="s">
        <v>469</v>
      </c>
      <c r="L289" s="80">
        <v>288</v>
      </c>
      <c r="M289" s="80">
        <f>L289+2</f>
        <v>290</v>
      </c>
      <c r="N289" s="81">
        <f t="shared" si="59"/>
        <v>2</v>
      </c>
      <c r="O289" s="78"/>
      <c r="P289" s="82">
        <v>45701.600694444445</v>
      </c>
      <c r="Q289" s="82">
        <v>45699.694444444445</v>
      </c>
      <c r="R289" s="82">
        <v>45701.629861111112</v>
      </c>
      <c r="S289" s="81">
        <f t="shared" si="49"/>
        <v>2774.0972222229175</v>
      </c>
      <c r="T289" s="81">
        <f t="shared" si="50"/>
        <v>41.805555556250816</v>
      </c>
      <c r="U289" s="79"/>
      <c r="V289" s="82">
        <v>45702.431944444441</v>
      </c>
      <c r="W289" s="82">
        <f>V289+TIME(0,172,0)</f>
        <v>45702.551388888882</v>
      </c>
      <c r="X289" s="103">
        <f t="shared" si="51"/>
        <v>168.41666666165111</v>
      </c>
      <c r="Y289" s="82"/>
      <c r="Z289" s="82">
        <v>45704.488888888889</v>
      </c>
      <c r="AA289" s="82">
        <v>45704.529166666667</v>
      </c>
      <c r="AB289" s="81">
        <f t="shared" si="52"/>
        <v>56.791666667122627</v>
      </c>
      <c r="AC289" s="80"/>
      <c r="AD289" s="83">
        <f t="shared" si="53"/>
        <v>2.859027777776646</v>
      </c>
      <c r="AE289" s="80">
        <v>2</v>
      </c>
      <c r="AF289" s="84">
        <f t="shared" si="54"/>
        <v>-0.85902777777664596</v>
      </c>
      <c r="AG289" s="83">
        <f t="shared" si="55"/>
        <v>68.616666666639503</v>
      </c>
      <c r="AH289" s="83">
        <f t="shared" si="56"/>
        <v>24</v>
      </c>
      <c r="AI289" s="83">
        <f t="shared" si="57"/>
        <v>44.616666666639503</v>
      </c>
      <c r="AJ289" s="83">
        <f t="shared" si="58"/>
        <v>3.4964512514029504</v>
      </c>
      <c r="AK289" s="83"/>
      <c r="AL289" s="83"/>
      <c r="AM289" s="83"/>
      <c r="AN289" s="83"/>
      <c r="AO289" s="78"/>
    </row>
    <row r="290" spans="1:41" customFormat="1" ht="15" hidden="1" x14ac:dyDescent="0.25">
      <c r="A290" s="82">
        <v>45700</v>
      </c>
      <c r="B290" s="94" t="str">
        <f t="shared" si="48"/>
        <v>February</v>
      </c>
      <c r="C290" s="78"/>
      <c r="D290" s="79" t="s">
        <v>143</v>
      </c>
      <c r="E290" s="80" t="s">
        <v>1017</v>
      </c>
      <c r="F290" s="79"/>
      <c r="G290" s="79" t="s">
        <v>47</v>
      </c>
      <c r="H290" s="79" t="s">
        <v>455</v>
      </c>
      <c r="I290" s="79">
        <v>156</v>
      </c>
      <c r="J290" s="79" t="s">
        <v>143</v>
      </c>
      <c r="K290" s="80" t="s">
        <v>469</v>
      </c>
      <c r="L290" s="80">
        <v>580</v>
      </c>
      <c r="M290" s="80">
        <f>L290+2</f>
        <v>582</v>
      </c>
      <c r="N290" s="81">
        <f t="shared" si="59"/>
        <v>2</v>
      </c>
      <c r="O290" s="78"/>
      <c r="P290" s="82">
        <f>R290-TIME(0,43,0)</f>
        <v>45699.620138888888</v>
      </c>
      <c r="Q290" s="82">
        <v>45699.176388888889</v>
      </c>
      <c r="R290" s="82">
        <v>45699.65</v>
      </c>
      <c r="S290" s="81">
        <f t="shared" si="49"/>
        <v>678.84259259444661</v>
      </c>
      <c r="T290" s="81">
        <f t="shared" si="50"/>
        <v>42.80092592986572</v>
      </c>
      <c r="U290" s="79"/>
      <c r="V290" s="82">
        <v>45700.654166666667</v>
      </c>
      <c r="W290" s="82">
        <v>45700.743055555555</v>
      </c>
      <c r="X290" s="103">
        <f t="shared" si="51"/>
        <v>125.33333333150949</v>
      </c>
      <c r="Y290" s="82"/>
      <c r="Z290" s="82">
        <v>45701.574305555558</v>
      </c>
      <c r="AA290" s="82">
        <f>Z290+TIME(0,60,0)</f>
        <v>45701.615972222222</v>
      </c>
      <c r="AB290" s="81">
        <f t="shared" si="52"/>
        <v>58.7499999965803</v>
      </c>
      <c r="AC290" s="80"/>
      <c r="AD290" s="83">
        <f t="shared" si="53"/>
        <v>1.9243055555562023</v>
      </c>
      <c r="AE290" s="80">
        <v>2</v>
      </c>
      <c r="AF290" s="84">
        <f t="shared" si="54"/>
        <v>7.5694444443797693E-2</v>
      </c>
      <c r="AG290" s="83">
        <f t="shared" si="55"/>
        <v>46.183333333348855</v>
      </c>
      <c r="AH290" s="83">
        <f t="shared" si="56"/>
        <v>12</v>
      </c>
      <c r="AI290" s="83">
        <f t="shared" si="57"/>
        <v>34.183333333348855</v>
      </c>
      <c r="AJ290" s="83">
        <f t="shared" si="58"/>
        <v>4.5636274987790104</v>
      </c>
      <c r="AK290" s="83"/>
      <c r="AL290" s="83"/>
      <c r="AM290" s="83"/>
      <c r="AN290" s="83"/>
      <c r="AO290" s="78"/>
    </row>
    <row r="291" spans="1:41" customFormat="1" ht="15" hidden="1" x14ac:dyDescent="0.25">
      <c r="A291" s="82">
        <v>45700</v>
      </c>
      <c r="B291" s="94" t="str">
        <f t="shared" si="48"/>
        <v>February</v>
      </c>
      <c r="C291" s="78"/>
      <c r="D291" s="79" t="s">
        <v>144</v>
      </c>
      <c r="E291" s="80" t="s">
        <v>1017</v>
      </c>
      <c r="F291" s="79"/>
      <c r="G291" s="79" t="s">
        <v>64</v>
      </c>
      <c r="H291" s="79" t="s">
        <v>458</v>
      </c>
      <c r="I291" s="79">
        <v>156</v>
      </c>
      <c r="J291" s="79" t="s">
        <v>144</v>
      </c>
      <c r="K291" s="80" t="s">
        <v>469</v>
      </c>
      <c r="L291" s="80">
        <v>448</v>
      </c>
      <c r="M291" s="80">
        <f>L291+2</f>
        <v>450</v>
      </c>
      <c r="N291" s="81">
        <f t="shared" si="59"/>
        <v>2</v>
      </c>
      <c r="O291" s="78"/>
      <c r="P291" s="82">
        <v>45699.511805555558</v>
      </c>
      <c r="Q291" s="82">
        <v>45699.098611111112</v>
      </c>
      <c r="R291" s="82">
        <v>45699.540972222225</v>
      </c>
      <c r="S291" s="81">
        <f t="shared" si="49"/>
        <v>634.05092592777999</v>
      </c>
      <c r="T291" s="81">
        <f t="shared" si="50"/>
        <v>41.805555556250816</v>
      </c>
      <c r="U291" s="79"/>
      <c r="V291" s="82">
        <v>45700.3</v>
      </c>
      <c r="W291" s="82">
        <v>45700.676388888889</v>
      </c>
      <c r="X291" s="103">
        <f t="shared" si="51"/>
        <v>530.70833332945767</v>
      </c>
      <c r="Y291" s="82" t="s">
        <v>1038</v>
      </c>
      <c r="Z291" s="82">
        <v>45700.771527777775</v>
      </c>
      <c r="AA291" s="82">
        <v>45700.809027777774</v>
      </c>
      <c r="AB291" s="81">
        <f t="shared" si="52"/>
        <v>52.87499999794818</v>
      </c>
      <c r="AC291" s="80"/>
      <c r="AD291" s="83">
        <f t="shared" si="53"/>
        <v>1.2305555555503815</v>
      </c>
      <c r="AE291" s="80">
        <v>2</v>
      </c>
      <c r="AF291" s="84">
        <f t="shared" si="54"/>
        <v>0.76944444444961846</v>
      </c>
      <c r="AG291" s="83">
        <f t="shared" si="55"/>
        <v>29.533333333209157</v>
      </c>
      <c r="AH291" s="83">
        <f t="shared" si="56"/>
        <v>12</v>
      </c>
      <c r="AI291" s="83">
        <f t="shared" si="57"/>
        <v>17.533333333209157</v>
      </c>
      <c r="AJ291" s="83">
        <f t="shared" si="58"/>
        <v>8.8973384031048379</v>
      </c>
      <c r="AK291" s="83"/>
      <c r="AL291" s="83"/>
      <c r="AM291" s="83"/>
      <c r="AN291" s="83"/>
      <c r="AO291" s="78"/>
    </row>
    <row r="292" spans="1:41" customFormat="1" ht="15" hidden="1" x14ac:dyDescent="0.25">
      <c r="A292" s="82">
        <v>45700</v>
      </c>
      <c r="B292" s="94" t="str">
        <f t="shared" si="48"/>
        <v>February</v>
      </c>
      <c r="C292" s="78"/>
      <c r="D292" s="79" t="s">
        <v>145</v>
      </c>
      <c r="E292" s="80" t="s">
        <v>1017</v>
      </c>
      <c r="F292" s="79" t="s">
        <v>1021</v>
      </c>
      <c r="G292" s="79" t="s">
        <v>57</v>
      </c>
      <c r="H292" s="79" t="s">
        <v>453</v>
      </c>
      <c r="I292" s="79">
        <v>100</v>
      </c>
      <c r="J292" s="79" t="s">
        <v>145</v>
      </c>
      <c r="K292" s="80" t="s">
        <v>469</v>
      </c>
      <c r="L292" s="80">
        <v>464</v>
      </c>
      <c r="M292" s="80">
        <f>L292+2</f>
        <v>466</v>
      </c>
      <c r="N292" s="81">
        <f t="shared" si="59"/>
        <v>2</v>
      </c>
      <c r="O292" s="78"/>
      <c r="P292" s="82">
        <f>R292-TIME(0,44,0)</f>
        <v>45699.398611111115</v>
      </c>
      <c r="Q292" s="82">
        <v>45699.176388888889</v>
      </c>
      <c r="R292" s="82">
        <v>45699.429166666669</v>
      </c>
      <c r="S292" s="81">
        <f t="shared" si="49"/>
        <v>362.31481481736409</v>
      </c>
      <c r="T292" s="81">
        <f t="shared" si="50"/>
        <v>43.796296293051761</v>
      </c>
      <c r="U292" s="79"/>
      <c r="V292" s="82">
        <v>45703.761805555558</v>
      </c>
      <c r="W292" s="82">
        <v>45703.856944444444</v>
      </c>
      <c r="X292" s="103">
        <f t="shared" si="51"/>
        <v>134.14583332945767</v>
      </c>
      <c r="Y292" s="82"/>
      <c r="Z292" s="82">
        <v>45705.40347222222</v>
      </c>
      <c r="AA292" s="82">
        <v>45705.442361111112</v>
      </c>
      <c r="AB292" s="81">
        <f t="shared" si="52"/>
        <v>54.833333337664953</v>
      </c>
      <c r="AC292" s="80"/>
      <c r="AD292" s="83">
        <f t="shared" si="53"/>
        <v>5.9743055555518367</v>
      </c>
      <c r="AE292" s="80">
        <v>3</v>
      </c>
      <c r="AF292" s="84">
        <f t="shared" si="54"/>
        <v>-2.9743055555518367</v>
      </c>
      <c r="AG292" s="83">
        <f t="shared" si="55"/>
        <v>143.38333333324408</v>
      </c>
      <c r="AH292" s="83">
        <f t="shared" si="56"/>
        <v>60</v>
      </c>
      <c r="AI292" s="83">
        <f t="shared" si="57"/>
        <v>83.383333333244082</v>
      </c>
      <c r="AJ292" s="83">
        <f t="shared" si="58"/>
        <v>1.1992804317422392</v>
      </c>
      <c r="AK292" s="83"/>
      <c r="AL292" s="83"/>
      <c r="AM292" s="83"/>
      <c r="AN292" s="83"/>
      <c r="AO292" s="78"/>
    </row>
    <row r="293" spans="1:41" customFormat="1" ht="15" hidden="1" x14ac:dyDescent="0.25">
      <c r="A293" s="82">
        <v>45700</v>
      </c>
      <c r="B293" s="94" t="str">
        <f t="shared" si="48"/>
        <v>February</v>
      </c>
      <c r="C293" s="78"/>
      <c r="D293" s="79" t="s">
        <v>146</v>
      </c>
      <c r="E293" s="80" t="s">
        <v>1017</v>
      </c>
      <c r="F293" s="79" t="s">
        <v>1028</v>
      </c>
      <c r="G293" s="79" t="s">
        <v>45</v>
      </c>
      <c r="H293" s="79" t="s">
        <v>454</v>
      </c>
      <c r="I293" s="79">
        <v>148.80000000000001</v>
      </c>
      <c r="J293" s="79" t="s">
        <v>146</v>
      </c>
      <c r="K293" s="80" t="s">
        <v>469</v>
      </c>
      <c r="L293" s="80">
        <v>304</v>
      </c>
      <c r="M293" s="80">
        <f>L293-2</f>
        <v>302</v>
      </c>
      <c r="N293" s="81">
        <f t="shared" si="59"/>
        <v>-2</v>
      </c>
      <c r="O293" s="78"/>
      <c r="P293" s="82">
        <f>R293-TIME(0,41,0)</f>
        <v>45699.577083333337</v>
      </c>
      <c r="Q293" s="82">
        <v>45699.375</v>
      </c>
      <c r="R293" s="82">
        <v>45699.605555555558</v>
      </c>
      <c r="S293" s="81">
        <f t="shared" si="49"/>
        <v>330.46296296597575</v>
      </c>
      <c r="T293" s="81">
        <f t="shared" si="50"/>
        <v>40.810185182635905</v>
      </c>
      <c r="U293" s="79"/>
      <c r="V293" s="82">
        <v>45699.709722222222</v>
      </c>
      <c r="W293" s="82">
        <v>45699.895138888889</v>
      </c>
      <c r="X293" s="103">
        <f t="shared" si="51"/>
        <v>261.43750000068394</v>
      </c>
      <c r="Y293" s="82" t="s">
        <v>1040</v>
      </c>
      <c r="Z293" s="82">
        <v>45700.461111111108</v>
      </c>
      <c r="AA293" s="82">
        <v>45700.501388888886</v>
      </c>
      <c r="AB293" s="81">
        <f t="shared" si="52"/>
        <v>56.791666667122627</v>
      </c>
      <c r="AC293" s="80"/>
      <c r="AD293" s="83">
        <f t="shared" si="53"/>
        <v>0.85555555555038154</v>
      </c>
      <c r="AE293" s="80">
        <v>2</v>
      </c>
      <c r="AF293" s="84">
        <f t="shared" si="54"/>
        <v>1.1444444444496185</v>
      </c>
      <c r="AG293" s="83">
        <f t="shared" si="55"/>
        <v>20.533333333209157</v>
      </c>
      <c r="AH293" s="83">
        <f t="shared" si="56"/>
        <v>0</v>
      </c>
      <c r="AI293" s="83">
        <f t="shared" si="57"/>
        <v>20.533333333209157</v>
      </c>
      <c r="AJ293" s="83">
        <f t="shared" si="58"/>
        <v>7.2467532467970726</v>
      </c>
      <c r="AK293" s="83"/>
      <c r="AL293" s="83"/>
      <c r="AM293" s="83"/>
      <c r="AN293" s="83"/>
      <c r="AO293" s="78"/>
    </row>
    <row r="294" spans="1:41" customFormat="1" ht="15" hidden="1" x14ac:dyDescent="0.25">
      <c r="A294" s="82">
        <v>45700</v>
      </c>
      <c r="B294" s="94" t="str">
        <f t="shared" si="48"/>
        <v>February</v>
      </c>
      <c r="C294" s="78"/>
      <c r="D294" s="79" t="s">
        <v>147</v>
      </c>
      <c r="E294" s="80" t="s">
        <v>1017</v>
      </c>
      <c r="F294" s="79" t="s">
        <v>1035</v>
      </c>
      <c r="G294" s="79" t="s">
        <v>44</v>
      </c>
      <c r="H294" s="79" t="s">
        <v>450</v>
      </c>
      <c r="I294" s="79">
        <v>148.80000000000001</v>
      </c>
      <c r="J294" s="79" t="s">
        <v>147</v>
      </c>
      <c r="K294" s="80" t="s">
        <v>469</v>
      </c>
      <c r="L294" s="80">
        <v>288</v>
      </c>
      <c r="M294" s="80">
        <f>L294-3</f>
        <v>285</v>
      </c>
      <c r="N294" s="81">
        <f t="shared" si="59"/>
        <v>-3</v>
      </c>
      <c r="O294" s="78"/>
      <c r="P294" s="82">
        <v>45699.894444444442</v>
      </c>
      <c r="Q294" s="82">
        <v>45699.136805555558</v>
      </c>
      <c r="R294" s="82">
        <v>45699.923611111109</v>
      </c>
      <c r="S294" s="81">
        <f t="shared" si="49"/>
        <v>1127.7546296242992</v>
      </c>
      <c r="T294" s="81">
        <f t="shared" si="50"/>
        <v>41.805555556250816</v>
      </c>
      <c r="U294" s="79"/>
      <c r="V294" s="82">
        <v>45699.593055555553</v>
      </c>
      <c r="W294" s="82">
        <f>V294+TIME(0,174,0)</f>
        <v>45699.713888888888</v>
      </c>
      <c r="X294" s="103">
        <f t="shared" si="51"/>
        <v>170.37500000136788</v>
      </c>
      <c r="Y294" s="82"/>
      <c r="Z294" s="82">
        <v>45700.806250000001</v>
      </c>
      <c r="AA294" s="82">
        <v>45700.84375</v>
      </c>
      <c r="AB294" s="81">
        <f t="shared" si="52"/>
        <v>52.87499999794818</v>
      </c>
      <c r="AC294" s="80"/>
      <c r="AD294" s="83">
        <f t="shared" si="53"/>
        <v>0.88263888889196096</v>
      </c>
      <c r="AE294" s="80">
        <v>2</v>
      </c>
      <c r="AF294" s="84">
        <f t="shared" si="54"/>
        <v>1.117361111108039</v>
      </c>
      <c r="AG294" s="83">
        <f t="shared" si="55"/>
        <v>21.183333333407063</v>
      </c>
      <c r="AH294" s="83">
        <f t="shared" si="56"/>
        <v>0</v>
      </c>
      <c r="AI294" s="83">
        <f t="shared" si="57"/>
        <v>21.183333333407063</v>
      </c>
      <c r="AJ294" s="83">
        <f t="shared" si="58"/>
        <v>7.024390243877991</v>
      </c>
      <c r="AK294" s="83"/>
      <c r="AL294" s="83"/>
      <c r="AM294" s="83"/>
      <c r="AN294" s="83"/>
      <c r="AO294" s="78"/>
    </row>
    <row r="295" spans="1:41" customFormat="1" ht="15" hidden="1" x14ac:dyDescent="0.25">
      <c r="A295" s="82">
        <v>45700</v>
      </c>
      <c r="B295" s="94" t="str">
        <f t="shared" si="48"/>
        <v>February</v>
      </c>
      <c r="C295" s="78"/>
      <c r="D295" s="79" t="s">
        <v>148</v>
      </c>
      <c r="E295" s="80" t="s">
        <v>1017</v>
      </c>
      <c r="F295" s="79" t="s">
        <v>1018</v>
      </c>
      <c r="G295" s="79" t="s">
        <v>39</v>
      </c>
      <c r="H295" s="79" t="s">
        <v>465</v>
      </c>
      <c r="I295" s="79">
        <v>156</v>
      </c>
      <c r="J295" s="79" t="s">
        <v>148</v>
      </c>
      <c r="K295" s="80" t="s">
        <v>469</v>
      </c>
      <c r="L295" s="80">
        <v>382</v>
      </c>
      <c r="M295" s="80">
        <f>L295+2</f>
        <v>384</v>
      </c>
      <c r="N295" s="81">
        <f t="shared" si="59"/>
        <v>2</v>
      </c>
      <c r="O295" s="78"/>
      <c r="P295" s="82">
        <f>R295-TIME(0,43,0)</f>
        <v>45699.347222222219</v>
      </c>
      <c r="Q295" s="82">
        <v>45699.348611111112</v>
      </c>
      <c r="R295" s="82">
        <v>45699.377083333333</v>
      </c>
      <c r="S295" s="81">
        <f t="shared" si="49"/>
        <v>40.810185182635905</v>
      </c>
      <c r="T295" s="81">
        <f t="shared" si="50"/>
        <v>42.80092592986572</v>
      </c>
      <c r="U295" s="79"/>
      <c r="V295" s="82">
        <v>45701.45</v>
      </c>
      <c r="W295" s="82">
        <v>45701.53402777778</v>
      </c>
      <c r="X295" s="103">
        <f t="shared" si="51"/>
        <v>118.47916667327809</v>
      </c>
      <c r="Y295" s="82"/>
      <c r="Z295" s="82">
        <v>45702.645833333336</v>
      </c>
      <c r="AA295" s="82">
        <f>Z295+TIME(0,70,0)</f>
        <v>45702.694444444445</v>
      </c>
      <c r="AB295" s="81">
        <f t="shared" si="52"/>
        <v>68.541666664386867</v>
      </c>
      <c r="AC295" s="80" t="s">
        <v>1678</v>
      </c>
      <c r="AD295" s="83">
        <f t="shared" si="53"/>
        <v>3.2687500000029104</v>
      </c>
      <c r="AE295" s="80">
        <v>2</v>
      </c>
      <c r="AF295" s="84">
        <f t="shared" si="54"/>
        <v>-1.2687500000029104</v>
      </c>
      <c r="AG295" s="83">
        <f t="shared" si="55"/>
        <v>78.450000000069849</v>
      </c>
      <c r="AH295" s="83">
        <f t="shared" si="56"/>
        <v>36</v>
      </c>
      <c r="AI295" s="83">
        <f t="shared" si="57"/>
        <v>42.450000000069849</v>
      </c>
      <c r="AJ295" s="83">
        <f t="shared" si="58"/>
        <v>3.6749116607713384</v>
      </c>
      <c r="AK295" s="83"/>
      <c r="AL295" s="83"/>
      <c r="AM295" s="83"/>
      <c r="AN295" s="83"/>
      <c r="AO295" s="78"/>
    </row>
    <row r="296" spans="1:41" customFormat="1" ht="15" hidden="1" x14ac:dyDescent="0.25">
      <c r="A296" s="82">
        <v>45700</v>
      </c>
      <c r="B296" s="94" t="str">
        <f t="shared" si="48"/>
        <v>February</v>
      </c>
      <c r="C296" s="78"/>
      <c r="D296" s="79" t="s">
        <v>842</v>
      </c>
      <c r="E296" s="80" t="s">
        <v>1016</v>
      </c>
      <c r="F296" s="79" t="s">
        <v>964</v>
      </c>
      <c r="G296" s="79" t="s">
        <v>979</v>
      </c>
      <c r="H296" s="79" t="s">
        <v>995</v>
      </c>
      <c r="I296" s="79">
        <v>153.6</v>
      </c>
      <c r="J296" s="79" t="s">
        <v>842</v>
      </c>
      <c r="K296" s="80" t="s">
        <v>469</v>
      </c>
      <c r="L296" s="80">
        <v>414</v>
      </c>
      <c r="M296" s="80">
        <f>L296-1</f>
        <v>413</v>
      </c>
      <c r="N296" s="81">
        <f t="shared" si="59"/>
        <v>-1</v>
      </c>
      <c r="O296" s="78"/>
      <c r="P296" s="82">
        <f>R296-TIME(0,44,0)</f>
        <v>45699.73541666667</v>
      </c>
      <c r="Q296" s="82">
        <v>45699.712500000001</v>
      </c>
      <c r="R296" s="82">
        <v>45699.765972222223</v>
      </c>
      <c r="S296" s="81">
        <f t="shared" si="49"/>
        <v>76.643518518055018</v>
      </c>
      <c r="T296" s="81">
        <f t="shared" si="50"/>
        <v>43.796296293051761</v>
      </c>
      <c r="U296" s="79"/>
      <c r="V296" s="82">
        <v>45701.65625</v>
      </c>
      <c r="W296" s="82">
        <v>45701.75277777778</v>
      </c>
      <c r="X296" s="103">
        <f t="shared" si="51"/>
        <v>136.10416666917445</v>
      </c>
      <c r="Y296" s="82"/>
      <c r="Z296" s="82">
        <v>45701.38958333333</v>
      </c>
      <c r="AA296" s="82">
        <v>45701.428472222222</v>
      </c>
      <c r="AB296" s="81">
        <f t="shared" si="52"/>
        <v>54.833333337664953</v>
      </c>
      <c r="AC296" s="80"/>
      <c r="AD296" s="83">
        <f t="shared" si="53"/>
        <v>1.6236111111065838</v>
      </c>
      <c r="AE296" s="80">
        <v>2</v>
      </c>
      <c r="AF296" s="84">
        <f t="shared" si="54"/>
        <v>0.37638888889341615</v>
      </c>
      <c r="AG296" s="83">
        <f t="shared" si="55"/>
        <v>38.966666666558012</v>
      </c>
      <c r="AH296" s="83">
        <f t="shared" si="56"/>
        <v>12</v>
      </c>
      <c r="AI296" s="83">
        <f t="shared" si="57"/>
        <v>26.966666666558012</v>
      </c>
      <c r="AJ296" s="83">
        <f t="shared" si="58"/>
        <v>5.6959208900105889</v>
      </c>
      <c r="AK296" s="83"/>
      <c r="AL296" s="83"/>
      <c r="AM296" s="83"/>
      <c r="AN296" s="83"/>
      <c r="AO296" s="78"/>
    </row>
    <row r="297" spans="1:41" customFormat="1" ht="15" hidden="1" x14ac:dyDescent="0.25">
      <c r="A297" s="82">
        <v>45700</v>
      </c>
      <c r="B297" s="94" t="str">
        <f t="shared" si="48"/>
        <v>February</v>
      </c>
      <c r="C297" s="78"/>
      <c r="D297" s="79" t="s">
        <v>843</v>
      </c>
      <c r="E297" s="80" t="s">
        <v>1016</v>
      </c>
      <c r="F297" s="79" t="s">
        <v>962</v>
      </c>
      <c r="G297" s="79" t="s">
        <v>978</v>
      </c>
      <c r="H297" s="79" t="s">
        <v>996</v>
      </c>
      <c r="I297" s="79">
        <v>153.6</v>
      </c>
      <c r="J297" s="79" t="s">
        <v>843</v>
      </c>
      <c r="K297" s="80" t="s">
        <v>469</v>
      </c>
      <c r="L297" s="79">
        <v>350</v>
      </c>
      <c r="M297" s="80">
        <f>L297-2</f>
        <v>348</v>
      </c>
      <c r="N297" s="81">
        <f t="shared" si="59"/>
        <v>-2</v>
      </c>
      <c r="O297" s="78"/>
      <c r="P297" s="82">
        <v>45698.894444444442</v>
      </c>
      <c r="Q297" s="82">
        <v>45698.907638888886</v>
      </c>
      <c r="R297" s="82">
        <v>45698.923611111109</v>
      </c>
      <c r="S297" s="81">
        <f t="shared" si="49"/>
        <v>22.893518520140788</v>
      </c>
      <c r="T297" s="81">
        <f t="shared" si="50"/>
        <v>41.805555556250816</v>
      </c>
      <c r="U297" s="79"/>
      <c r="V297" s="82">
        <v>45700.729166666664</v>
      </c>
      <c r="W297" s="82">
        <f>V297+TIME(0,174,0)</f>
        <v>45700.85</v>
      </c>
      <c r="X297" s="103">
        <f t="shared" si="51"/>
        <v>170.37500000136788</v>
      </c>
      <c r="Y297" s="82"/>
      <c r="Z297" s="82">
        <v>45702.368750000001</v>
      </c>
      <c r="AA297" s="82">
        <v>45702.40902777778</v>
      </c>
      <c r="AB297" s="81">
        <f t="shared" si="52"/>
        <v>56.791666667122627</v>
      </c>
      <c r="AC297" s="80"/>
      <c r="AD297" s="83">
        <f t="shared" si="53"/>
        <v>3.445138888891961</v>
      </c>
      <c r="AE297" s="80">
        <v>2</v>
      </c>
      <c r="AF297" s="84">
        <f t="shared" si="54"/>
        <v>-1.445138888891961</v>
      </c>
      <c r="AG297" s="83">
        <f t="shared" si="55"/>
        <v>82.683333333407063</v>
      </c>
      <c r="AH297" s="83">
        <f t="shared" si="56"/>
        <v>36</v>
      </c>
      <c r="AI297" s="83">
        <f t="shared" si="57"/>
        <v>46.683333333407063</v>
      </c>
      <c r="AJ297" s="83">
        <f t="shared" si="58"/>
        <v>3.2902534808944819</v>
      </c>
      <c r="AK297" s="83"/>
      <c r="AL297" s="83"/>
      <c r="AM297" s="83"/>
      <c r="AN297" s="83"/>
      <c r="AO297" s="78"/>
    </row>
    <row r="298" spans="1:41" customFormat="1" ht="15" hidden="1" x14ac:dyDescent="0.25">
      <c r="A298" s="82">
        <v>45701</v>
      </c>
      <c r="B298" s="94" t="str">
        <f t="shared" si="48"/>
        <v>February</v>
      </c>
      <c r="C298" s="78"/>
      <c r="D298" s="79" t="s">
        <v>149</v>
      </c>
      <c r="E298" s="80" t="s">
        <v>1017</v>
      </c>
      <c r="F298" s="79" t="s">
        <v>1033</v>
      </c>
      <c r="G298" s="79" t="s">
        <v>41</v>
      </c>
      <c r="H298" s="79" t="s">
        <v>452</v>
      </c>
      <c r="I298" s="79">
        <v>63.6</v>
      </c>
      <c r="J298" s="79" t="s">
        <v>149</v>
      </c>
      <c r="K298" s="80" t="s">
        <v>469</v>
      </c>
      <c r="L298" s="80">
        <v>690</v>
      </c>
      <c r="M298" s="80">
        <f>L298-1</f>
        <v>689</v>
      </c>
      <c r="N298" s="81">
        <f t="shared" si="59"/>
        <v>-1</v>
      </c>
      <c r="O298" s="78"/>
      <c r="P298" s="82">
        <f>R298-TIME(0,41,0)</f>
        <v>45699.925000000003</v>
      </c>
      <c r="Q298" s="82">
        <v>45699.945138888892</v>
      </c>
      <c r="R298" s="82">
        <v>45699.953472222223</v>
      </c>
      <c r="S298" s="81">
        <f t="shared" si="49"/>
        <v>11.944444441663412</v>
      </c>
      <c r="T298" s="81">
        <f t="shared" si="50"/>
        <v>40.810185182635905</v>
      </c>
      <c r="U298" s="79"/>
      <c r="V298" s="82">
        <v>45700.365972222222</v>
      </c>
      <c r="W298" s="82">
        <v>45700.564583333333</v>
      </c>
      <c r="X298" s="103">
        <f t="shared" si="51"/>
        <v>280.04166666643869</v>
      </c>
      <c r="Y298" s="82" t="s">
        <v>1049</v>
      </c>
      <c r="Z298" s="82">
        <v>45701.463888888888</v>
      </c>
      <c r="AA298" s="82">
        <f>Z298+TIME(0,56,0)</f>
        <v>45701.50277777778</v>
      </c>
      <c r="AB298" s="81">
        <f t="shared" si="52"/>
        <v>54.833333337664953</v>
      </c>
      <c r="AC298" s="80"/>
      <c r="AD298" s="83">
        <f t="shared" si="53"/>
        <v>1.5104166666642413</v>
      </c>
      <c r="AE298" s="80">
        <v>2</v>
      </c>
      <c r="AF298" s="84">
        <f t="shared" si="54"/>
        <v>0.48958333333575865</v>
      </c>
      <c r="AG298" s="83">
        <f t="shared" si="55"/>
        <v>36.249999999941792</v>
      </c>
      <c r="AH298" s="83">
        <f t="shared" si="56"/>
        <v>12</v>
      </c>
      <c r="AI298" s="83">
        <f t="shared" si="57"/>
        <v>24.249999999941792</v>
      </c>
      <c r="AJ298" s="83">
        <f t="shared" si="58"/>
        <v>2.6226804123774294</v>
      </c>
      <c r="AK298" s="83"/>
      <c r="AL298" s="83"/>
      <c r="AM298" s="83"/>
      <c r="AN298" s="83"/>
      <c r="AO298" s="78"/>
    </row>
    <row r="299" spans="1:41" customFormat="1" ht="15" hidden="1" x14ac:dyDescent="0.25">
      <c r="A299" s="82">
        <v>45701</v>
      </c>
      <c r="B299" s="94" t="str">
        <f t="shared" si="48"/>
        <v>February</v>
      </c>
      <c r="C299" s="78"/>
      <c r="D299" s="79" t="s">
        <v>150</v>
      </c>
      <c r="E299" s="80" t="s">
        <v>1017</v>
      </c>
      <c r="F299" s="79"/>
      <c r="G299" s="79" t="s">
        <v>49</v>
      </c>
      <c r="H299" s="79" t="s">
        <v>987</v>
      </c>
      <c r="I299" s="79">
        <v>156</v>
      </c>
      <c r="J299" s="79" t="s">
        <v>150</v>
      </c>
      <c r="K299" s="80" t="s">
        <v>469</v>
      </c>
      <c r="L299" s="79">
        <v>320</v>
      </c>
      <c r="M299" s="80">
        <f>L299-263</f>
        <v>57</v>
      </c>
      <c r="N299" s="81">
        <f t="shared" si="59"/>
        <v>-263</v>
      </c>
      <c r="O299" s="78"/>
      <c r="P299" s="82">
        <f>R299-TIME(0,44,0)</f>
        <v>45699.902083333334</v>
      </c>
      <c r="Q299" s="82">
        <v>45699.924999999996</v>
      </c>
      <c r="R299" s="82">
        <v>45699.932638888888</v>
      </c>
      <c r="S299" s="81">
        <f t="shared" si="49"/>
        <v>10.949074078477375</v>
      </c>
      <c r="T299" s="81">
        <f t="shared" si="50"/>
        <v>43.796296293051761</v>
      </c>
      <c r="U299" s="79"/>
      <c r="V299" s="82">
        <v>45700.805555555555</v>
      </c>
      <c r="W299" s="82">
        <v>45701.415277777778</v>
      </c>
      <c r="X299" s="103">
        <f t="shared" si="51"/>
        <v>859.70833333492919</v>
      </c>
      <c r="Y299" s="82" t="s">
        <v>1046</v>
      </c>
      <c r="Z299" s="82">
        <v>45700.411111111112</v>
      </c>
      <c r="AA299" s="82">
        <f>Z299+TIME(0,76,0)</f>
        <v>45700.463888888888</v>
      </c>
      <c r="AB299" s="81">
        <f t="shared" si="52"/>
        <v>74.416666663018987</v>
      </c>
      <c r="AC299" s="80" t="s">
        <v>1675</v>
      </c>
      <c r="AD299" s="83">
        <f t="shared" si="53"/>
        <v>0.47847222222480923</v>
      </c>
      <c r="AE299" s="80">
        <v>2</v>
      </c>
      <c r="AF299" s="84">
        <f t="shared" si="54"/>
        <v>1.5215277777751908</v>
      </c>
      <c r="AG299" s="83">
        <f t="shared" si="55"/>
        <v>11.483333333395422</v>
      </c>
      <c r="AH299" s="83">
        <f t="shared" si="56"/>
        <v>0</v>
      </c>
      <c r="AI299" s="83">
        <f t="shared" si="57"/>
        <v>11.483333333395422</v>
      </c>
      <c r="AJ299" s="83">
        <f t="shared" si="58"/>
        <v>13.584905660303907</v>
      </c>
      <c r="AK299" s="83"/>
      <c r="AL299" s="83"/>
      <c r="AM299" s="83"/>
      <c r="AN299" s="83"/>
      <c r="AO299" s="78"/>
    </row>
    <row r="300" spans="1:41" customFormat="1" ht="15" hidden="1" x14ac:dyDescent="0.25">
      <c r="A300" s="82">
        <v>45701</v>
      </c>
      <c r="B300" s="94" t="str">
        <f t="shared" si="48"/>
        <v>February</v>
      </c>
      <c r="C300" s="78"/>
      <c r="D300" s="79" t="s">
        <v>151</v>
      </c>
      <c r="E300" s="80" t="s">
        <v>1017</v>
      </c>
      <c r="F300" s="79" t="s">
        <v>1027</v>
      </c>
      <c r="G300" s="79" t="s">
        <v>34</v>
      </c>
      <c r="H300" s="79" t="s">
        <v>987</v>
      </c>
      <c r="I300" s="79">
        <v>156</v>
      </c>
      <c r="J300" s="79" t="s">
        <v>151</v>
      </c>
      <c r="K300" s="80" t="s">
        <v>469</v>
      </c>
      <c r="L300" s="79">
        <v>320</v>
      </c>
      <c r="M300" s="80">
        <f>L300-1</f>
        <v>319</v>
      </c>
      <c r="N300" s="81">
        <f t="shared" si="59"/>
        <v>-1</v>
      </c>
      <c r="O300" s="78"/>
      <c r="P300" s="82">
        <v>45699.881249999999</v>
      </c>
      <c r="Q300" s="82">
        <v>45699.872916666667</v>
      </c>
      <c r="R300" s="82">
        <v>45699.910416666666</v>
      </c>
      <c r="S300" s="81">
        <f t="shared" si="49"/>
        <v>53.749999997914223</v>
      </c>
      <c r="T300" s="81">
        <f t="shared" si="50"/>
        <v>41.805555556250816</v>
      </c>
      <c r="U300" s="79"/>
      <c r="V300" s="82">
        <v>45700.686111111114</v>
      </c>
      <c r="W300" s="82">
        <v>45700.865277777775</v>
      </c>
      <c r="X300" s="103">
        <f t="shared" si="51"/>
        <v>252.62499999247666</v>
      </c>
      <c r="Y300" s="82" t="s">
        <v>1044</v>
      </c>
      <c r="Z300" s="82">
        <v>45705.867361111108</v>
      </c>
      <c r="AA300" s="82">
        <f>Z300+TIME(0,60,0)</f>
        <v>45705.909027777772</v>
      </c>
      <c r="AB300" s="81">
        <f t="shared" si="52"/>
        <v>58.7499999965803</v>
      </c>
      <c r="AC300" s="80"/>
      <c r="AD300" s="83">
        <f t="shared" si="53"/>
        <v>5.9569444444423425</v>
      </c>
      <c r="AE300" s="80">
        <v>2</v>
      </c>
      <c r="AF300" s="84">
        <f t="shared" si="54"/>
        <v>-3.9569444444423425</v>
      </c>
      <c r="AG300" s="83">
        <f t="shared" si="55"/>
        <v>142.96666666661622</v>
      </c>
      <c r="AH300" s="83">
        <f t="shared" si="56"/>
        <v>60</v>
      </c>
      <c r="AI300" s="83">
        <f t="shared" si="57"/>
        <v>82.96666666661622</v>
      </c>
      <c r="AJ300" s="83">
        <f t="shared" si="58"/>
        <v>1.8802732020903357</v>
      </c>
      <c r="AK300" s="83"/>
      <c r="AL300" s="83"/>
      <c r="AM300" s="83"/>
      <c r="AN300" s="83"/>
      <c r="AO300" s="78"/>
    </row>
    <row r="301" spans="1:41" customFormat="1" ht="15" hidden="1" x14ac:dyDescent="0.25">
      <c r="A301" s="82">
        <v>45701</v>
      </c>
      <c r="B301" s="94" t="str">
        <f t="shared" si="48"/>
        <v>February</v>
      </c>
      <c r="C301" s="78"/>
      <c r="D301" s="79" t="s">
        <v>152</v>
      </c>
      <c r="E301" s="80" t="s">
        <v>1017</v>
      </c>
      <c r="F301" s="79" t="s">
        <v>1037</v>
      </c>
      <c r="G301" s="79" t="s">
        <v>59</v>
      </c>
      <c r="H301" s="79" t="s">
        <v>464</v>
      </c>
      <c r="I301" s="79">
        <v>5.5439999999999996</v>
      </c>
      <c r="J301" s="79" t="s">
        <v>152</v>
      </c>
      <c r="K301" s="80" t="s">
        <v>469</v>
      </c>
      <c r="L301" s="79">
        <v>256</v>
      </c>
      <c r="M301" s="80">
        <f>L301-3</f>
        <v>253</v>
      </c>
      <c r="N301" s="81">
        <f t="shared" si="59"/>
        <v>-3</v>
      </c>
      <c r="O301" s="78"/>
      <c r="P301" s="82">
        <v>45698.910416666666</v>
      </c>
      <c r="Q301" s="82">
        <v>45698.925000000003</v>
      </c>
      <c r="R301" s="82">
        <v>45698.939583333333</v>
      </c>
      <c r="S301" s="81">
        <f t="shared" si="49"/>
        <v>20.902777772910969</v>
      </c>
      <c r="T301" s="81">
        <f t="shared" si="50"/>
        <v>41.805555556250816</v>
      </c>
      <c r="U301" s="79"/>
      <c r="V301" s="82">
        <v>45699.660416666666</v>
      </c>
      <c r="W301" s="82">
        <v>45699.74722222222</v>
      </c>
      <c r="X301" s="103">
        <f t="shared" si="51"/>
        <v>122.39583333219343</v>
      </c>
      <c r="Y301" s="82"/>
      <c r="Z301" s="82">
        <v>45702.727777777778</v>
      </c>
      <c r="AA301" s="82">
        <v>45702.763194444444</v>
      </c>
      <c r="AB301" s="81">
        <f t="shared" si="52"/>
        <v>49.93749999863212</v>
      </c>
      <c r="AC301" s="80"/>
      <c r="AD301" s="83">
        <f t="shared" si="53"/>
        <v>3.7881944444452529</v>
      </c>
      <c r="AE301" s="80">
        <v>2</v>
      </c>
      <c r="AF301" s="84">
        <f t="shared" si="54"/>
        <v>-1.7881944444452529</v>
      </c>
      <c r="AG301" s="83">
        <f t="shared" si="55"/>
        <v>90.916666666686069</v>
      </c>
      <c r="AH301" s="83">
        <f t="shared" si="56"/>
        <v>36</v>
      </c>
      <c r="AI301" s="83">
        <f t="shared" si="57"/>
        <v>54.916666666686069</v>
      </c>
      <c r="AJ301" s="83">
        <f t="shared" si="58"/>
        <v>0.10095295902879589</v>
      </c>
      <c r="AK301" s="83"/>
      <c r="AL301" s="83"/>
      <c r="AM301" s="83"/>
      <c r="AN301" s="83"/>
      <c r="AO301" s="78"/>
    </row>
    <row r="302" spans="1:41" customFormat="1" ht="15" hidden="1" x14ac:dyDescent="0.25">
      <c r="A302" s="82">
        <v>45701</v>
      </c>
      <c r="B302" s="94" t="str">
        <f t="shared" si="48"/>
        <v>February</v>
      </c>
      <c r="C302" s="78"/>
      <c r="D302" s="79" t="s">
        <v>154</v>
      </c>
      <c r="E302" s="80" t="s">
        <v>1017</v>
      </c>
      <c r="F302" s="79" t="s">
        <v>1024</v>
      </c>
      <c r="G302" s="79" t="s">
        <v>63</v>
      </c>
      <c r="H302" s="79" t="s">
        <v>458</v>
      </c>
      <c r="I302" s="79">
        <v>156</v>
      </c>
      <c r="J302" s="79" t="s">
        <v>154</v>
      </c>
      <c r="K302" s="80" t="s">
        <v>469</v>
      </c>
      <c r="L302" s="80">
        <v>448</v>
      </c>
      <c r="M302" s="80">
        <f>L302-1</f>
        <v>447</v>
      </c>
      <c r="N302" s="81">
        <f t="shared" si="59"/>
        <v>-1</v>
      </c>
      <c r="O302" s="78"/>
      <c r="P302" s="82">
        <f>R302-TIME(0,44,0)</f>
        <v>45701.559722222228</v>
      </c>
      <c r="Q302" s="82">
        <v>45700.082638888889</v>
      </c>
      <c r="R302" s="82">
        <v>45701.590277777781</v>
      </c>
      <c r="S302" s="81">
        <f t="shared" si="49"/>
        <v>2160.9490740784772</v>
      </c>
      <c r="T302" s="81">
        <f t="shared" si="50"/>
        <v>43.796296293051761</v>
      </c>
      <c r="U302" s="79"/>
      <c r="V302" s="82">
        <v>45701.804861111108</v>
      </c>
      <c r="W302" s="82">
        <f>V302+TIME(0,173,0)</f>
        <v>45701.924999999996</v>
      </c>
      <c r="X302" s="103">
        <f t="shared" si="51"/>
        <v>169.39583333150949</v>
      </c>
      <c r="Y302" s="82"/>
      <c r="Z302" s="82">
        <v>45702.727777777778</v>
      </c>
      <c r="AA302" s="82">
        <f>Z302+TIME(0,54,0)</f>
        <v>45702.765277777777</v>
      </c>
      <c r="AB302" s="81">
        <f t="shared" si="52"/>
        <v>52.87499999794818</v>
      </c>
      <c r="AC302" s="80"/>
      <c r="AD302" s="83">
        <f t="shared" si="53"/>
        <v>1.1374999999970896</v>
      </c>
      <c r="AE302" s="80">
        <v>2</v>
      </c>
      <c r="AF302" s="84">
        <f t="shared" si="54"/>
        <v>0.86250000000291038</v>
      </c>
      <c r="AG302" s="83">
        <f t="shared" si="55"/>
        <v>27.299999999930151</v>
      </c>
      <c r="AH302" s="83">
        <f t="shared" si="56"/>
        <v>12</v>
      </c>
      <c r="AI302" s="83">
        <f t="shared" si="57"/>
        <v>15.299999999930151</v>
      </c>
      <c r="AJ302" s="83">
        <f t="shared" si="58"/>
        <v>10.196078431419098</v>
      </c>
      <c r="AK302" s="83"/>
      <c r="AL302" s="83"/>
      <c r="AM302" s="83"/>
      <c r="AN302" s="83"/>
      <c r="AO302" s="78"/>
    </row>
    <row r="303" spans="1:41" customFormat="1" ht="15" hidden="1" x14ac:dyDescent="0.25">
      <c r="A303" s="82">
        <v>45701</v>
      </c>
      <c r="B303" s="94" t="str">
        <f t="shared" si="48"/>
        <v>February</v>
      </c>
      <c r="C303" s="78"/>
      <c r="D303" s="79" t="s">
        <v>155</v>
      </c>
      <c r="E303" s="80" t="s">
        <v>1017</v>
      </c>
      <c r="F303" s="79"/>
      <c r="G303" s="79" t="s">
        <v>42</v>
      </c>
      <c r="H303" s="79" t="s">
        <v>1284</v>
      </c>
      <c r="I303" s="79">
        <v>156</v>
      </c>
      <c r="J303" s="79" t="s">
        <v>155</v>
      </c>
      <c r="K303" s="80" t="s">
        <v>469</v>
      </c>
      <c r="L303" s="80">
        <v>620</v>
      </c>
      <c r="M303" s="80">
        <f>L303-3</f>
        <v>617</v>
      </c>
      <c r="N303" s="81">
        <f t="shared" si="59"/>
        <v>-3</v>
      </c>
      <c r="O303" s="78"/>
      <c r="P303" s="82">
        <v>45700.672916666663</v>
      </c>
      <c r="Q303" s="82">
        <v>45700.154861111114</v>
      </c>
      <c r="R303" s="82">
        <v>45700.70208333333</v>
      </c>
      <c r="S303" s="81">
        <f t="shared" si="49"/>
        <v>784.35185184304521</v>
      </c>
      <c r="T303" s="81">
        <f t="shared" si="50"/>
        <v>41.805555556250816</v>
      </c>
      <c r="U303" s="79"/>
      <c r="V303" s="82">
        <v>45699.907638888886</v>
      </c>
      <c r="W303" s="82">
        <v>45700.568055555559</v>
      </c>
      <c r="X303" s="103">
        <f t="shared" si="51"/>
        <v>931.18750000889122</v>
      </c>
      <c r="Y303" s="82" t="s">
        <v>1040</v>
      </c>
      <c r="Z303" s="82">
        <v>45700.772222222222</v>
      </c>
      <c r="AA303" s="82">
        <f>Z303+TIME(0,60,0)</f>
        <v>45700.813888888886</v>
      </c>
      <c r="AB303" s="81">
        <f t="shared" si="52"/>
        <v>58.7499999965803</v>
      </c>
      <c r="AC303" s="80"/>
      <c r="AD303" s="83">
        <f t="shared" si="53"/>
        <v>7.013888889196096E-2</v>
      </c>
      <c r="AE303" s="80">
        <v>3</v>
      </c>
      <c r="AF303" s="84">
        <f t="shared" si="54"/>
        <v>2.929861111108039</v>
      </c>
      <c r="AG303" s="83">
        <f t="shared" si="55"/>
        <v>1.683333333407063</v>
      </c>
      <c r="AH303" s="83">
        <f t="shared" si="56"/>
        <v>0</v>
      </c>
      <c r="AI303" s="83">
        <f t="shared" si="57"/>
        <v>1.683333333407063</v>
      </c>
      <c r="AJ303" s="83">
        <f t="shared" si="58"/>
        <v>92.673267322673595</v>
      </c>
      <c r="AK303" s="83"/>
      <c r="AL303" s="83"/>
      <c r="AM303" s="83"/>
      <c r="AN303" s="83"/>
      <c r="AO303" s="78"/>
    </row>
    <row r="304" spans="1:41" customFormat="1" ht="15" hidden="1" x14ac:dyDescent="0.25">
      <c r="A304" s="82">
        <v>45701</v>
      </c>
      <c r="B304" s="94" t="str">
        <f t="shared" si="48"/>
        <v>February</v>
      </c>
      <c r="C304" s="78"/>
      <c r="D304" s="79" t="s">
        <v>153</v>
      </c>
      <c r="E304" s="80" t="s">
        <v>1017</v>
      </c>
      <c r="F304" s="79" t="s">
        <v>1029</v>
      </c>
      <c r="G304" s="79" t="s">
        <v>38</v>
      </c>
      <c r="H304" s="79" t="s">
        <v>456</v>
      </c>
      <c r="I304" s="79">
        <v>5.04</v>
      </c>
      <c r="J304" s="79" t="s">
        <v>153</v>
      </c>
      <c r="K304" s="80" t="s">
        <v>469</v>
      </c>
      <c r="L304" s="80">
        <v>670</v>
      </c>
      <c r="M304" s="80">
        <f>L304-2</f>
        <v>668</v>
      </c>
      <c r="N304" s="81">
        <f t="shared" si="59"/>
        <v>-2</v>
      </c>
      <c r="O304" s="78"/>
      <c r="P304" s="82">
        <v>45704.324305555558</v>
      </c>
      <c r="Q304" s="82">
        <v>45704.338194444448</v>
      </c>
      <c r="R304" s="82">
        <v>45704.352777777778</v>
      </c>
      <c r="S304" s="81">
        <f t="shared" si="49"/>
        <v>20.902777772910969</v>
      </c>
      <c r="T304" s="81">
        <f t="shared" si="50"/>
        <v>40.810185182635905</v>
      </c>
      <c r="U304" s="79"/>
      <c r="V304" s="82">
        <v>45704.634722222225</v>
      </c>
      <c r="W304" s="82">
        <v>45705.706944444442</v>
      </c>
      <c r="X304" s="103">
        <f t="shared" si="51"/>
        <v>1511.8333333267219</v>
      </c>
      <c r="Y304" s="82"/>
      <c r="Z304" s="82">
        <v>45705.751388888886</v>
      </c>
      <c r="AA304" s="82">
        <f>Z304+TIME(0,58,0)</f>
        <v>45705.791666666664</v>
      </c>
      <c r="AB304" s="81">
        <f t="shared" si="52"/>
        <v>56.791666667122627</v>
      </c>
      <c r="AC304" s="80"/>
      <c r="AD304" s="83">
        <f t="shared" si="53"/>
        <v>1.398611111108039</v>
      </c>
      <c r="AE304" s="80">
        <v>2</v>
      </c>
      <c r="AF304" s="84">
        <f t="shared" si="54"/>
        <v>0.60138888889196096</v>
      </c>
      <c r="AG304" s="83">
        <f t="shared" si="55"/>
        <v>33.566666666592937</v>
      </c>
      <c r="AH304" s="83">
        <f t="shared" si="56"/>
        <v>12</v>
      </c>
      <c r="AI304" s="83">
        <f t="shared" si="57"/>
        <v>21.566666666592937</v>
      </c>
      <c r="AJ304" s="83">
        <f t="shared" si="58"/>
        <v>0.23369397218008794</v>
      </c>
      <c r="AK304" s="83"/>
      <c r="AL304" s="83"/>
      <c r="AM304" s="83"/>
      <c r="AN304" s="83"/>
      <c r="AO304" s="78"/>
    </row>
    <row r="305" spans="1:41" customFormat="1" ht="15" hidden="1" x14ac:dyDescent="0.25">
      <c r="A305" s="82">
        <v>45701</v>
      </c>
      <c r="B305" s="94" t="str">
        <f t="shared" si="48"/>
        <v>February</v>
      </c>
      <c r="C305" s="78"/>
      <c r="D305" s="79" t="s">
        <v>156</v>
      </c>
      <c r="E305" s="80" t="s">
        <v>1017</v>
      </c>
      <c r="F305" s="79" t="s">
        <v>963</v>
      </c>
      <c r="G305" s="79" t="s">
        <v>60</v>
      </c>
      <c r="H305" s="79" t="s">
        <v>454</v>
      </c>
      <c r="I305" s="79">
        <v>156</v>
      </c>
      <c r="J305" s="79" t="s">
        <v>156</v>
      </c>
      <c r="K305" s="80" t="s">
        <v>469</v>
      </c>
      <c r="L305" s="80">
        <v>304</v>
      </c>
      <c r="M305" s="80">
        <f>L305+2</f>
        <v>306</v>
      </c>
      <c r="N305" s="81">
        <f t="shared" si="59"/>
        <v>2</v>
      </c>
      <c r="O305" s="78"/>
      <c r="P305" s="82">
        <f>R305-TIME(0,43,0)</f>
        <v>45702.317361111105</v>
      </c>
      <c r="Q305" s="82">
        <v>45702.334027777775</v>
      </c>
      <c r="R305" s="82">
        <v>45702.347222222219</v>
      </c>
      <c r="S305" s="81">
        <f t="shared" si="49"/>
        <v>18.912037036110025</v>
      </c>
      <c r="T305" s="81">
        <f t="shared" si="50"/>
        <v>42.80092592986572</v>
      </c>
      <c r="U305" s="79"/>
      <c r="V305" s="82">
        <v>45702.724305555559</v>
      </c>
      <c r="W305" s="82">
        <v>45702.813888888886</v>
      </c>
      <c r="X305" s="103">
        <f t="shared" si="51"/>
        <v>126.31249999110878</v>
      </c>
      <c r="Y305" s="82"/>
      <c r="Z305" s="82">
        <v>45702.55972222222</v>
      </c>
      <c r="AA305" s="82">
        <f>Z305+TIME(0,73,0)</f>
        <v>45702.610416666663</v>
      </c>
      <c r="AB305" s="81">
        <f t="shared" si="52"/>
        <v>71.479166663702927</v>
      </c>
      <c r="AC305" s="80" t="s">
        <v>1675</v>
      </c>
      <c r="AD305" s="83">
        <f t="shared" si="53"/>
        <v>0.21250000000145519</v>
      </c>
      <c r="AE305" s="80">
        <v>2</v>
      </c>
      <c r="AF305" s="84">
        <f t="shared" si="54"/>
        <v>1.7874999999985448</v>
      </c>
      <c r="AG305" s="83">
        <f t="shared" si="55"/>
        <v>5.1000000000349246</v>
      </c>
      <c r="AH305" s="83">
        <f t="shared" si="56"/>
        <v>0</v>
      </c>
      <c r="AI305" s="83">
        <f t="shared" si="57"/>
        <v>5.1000000000349246</v>
      </c>
      <c r="AJ305" s="83">
        <f t="shared" si="58"/>
        <v>30.588235293908181</v>
      </c>
      <c r="AK305" s="83"/>
      <c r="AL305" s="83"/>
      <c r="AM305" s="83"/>
      <c r="AN305" s="83"/>
      <c r="AO305" s="78"/>
    </row>
    <row r="306" spans="1:41" customFormat="1" ht="15" hidden="1" x14ac:dyDescent="0.25">
      <c r="A306" s="82">
        <v>45701</v>
      </c>
      <c r="B306" s="94" t="str">
        <f t="shared" si="48"/>
        <v>February</v>
      </c>
      <c r="C306" s="78"/>
      <c r="D306" s="79" t="s">
        <v>157</v>
      </c>
      <c r="E306" s="80" t="s">
        <v>1017</v>
      </c>
      <c r="F306" s="79" t="s">
        <v>1025</v>
      </c>
      <c r="G306" s="79" t="s">
        <v>54</v>
      </c>
      <c r="H306" s="79" t="s">
        <v>450</v>
      </c>
      <c r="I306" s="79">
        <v>156</v>
      </c>
      <c r="J306" s="79" t="s">
        <v>157</v>
      </c>
      <c r="K306" s="80" t="s">
        <v>469</v>
      </c>
      <c r="L306" s="80">
        <v>288</v>
      </c>
      <c r="M306" s="80">
        <f>L306-3</f>
        <v>285</v>
      </c>
      <c r="N306" s="81">
        <f t="shared" si="59"/>
        <v>-3</v>
      </c>
      <c r="O306" s="78"/>
      <c r="P306" s="82">
        <f>R306-TIME(0,44,0)</f>
        <v>45703.388888888891</v>
      </c>
      <c r="Q306" s="82">
        <v>45703.390972222223</v>
      </c>
      <c r="R306" s="82">
        <v>45703.419444444444</v>
      </c>
      <c r="S306" s="81">
        <f t="shared" si="49"/>
        <v>40.810185182635905</v>
      </c>
      <c r="T306" s="81">
        <f t="shared" si="50"/>
        <v>43.796296293051761</v>
      </c>
      <c r="U306" s="79"/>
      <c r="V306" s="82">
        <v>45702.711111111108</v>
      </c>
      <c r="W306" s="82">
        <f>V306+TIME(0,172,0)</f>
        <v>45702.830555555549</v>
      </c>
      <c r="X306" s="103">
        <f t="shared" si="51"/>
        <v>168.41666666165111</v>
      </c>
      <c r="Y306" s="82"/>
      <c r="Z306" s="82">
        <v>45703.652777777781</v>
      </c>
      <c r="AA306" s="82">
        <f>Z306+TIME(0,46,0)</f>
        <v>45703.684722222228</v>
      </c>
      <c r="AB306" s="81">
        <f t="shared" si="52"/>
        <v>45.041666669858387</v>
      </c>
      <c r="AC306" s="80"/>
      <c r="AD306" s="83">
        <f t="shared" si="53"/>
        <v>0.23333333333721384</v>
      </c>
      <c r="AE306" s="80">
        <v>2</v>
      </c>
      <c r="AF306" s="84">
        <f t="shared" si="54"/>
        <v>1.7666666666627862</v>
      </c>
      <c r="AG306" s="83">
        <f t="shared" si="55"/>
        <v>5.6000000000931323</v>
      </c>
      <c r="AH306" s="83">
        <f t="shared" si="56"/>
        <v>0</v>
      </c>
      <c r="AI306" s="83">
        <f t="shared" si="57"/>
        <v>5.6000000000931323</v>
      </c>
      <c r="AJ306" s="83">
        <f t="shared" si="58"/>
        <v>27.857142856679573</v>
      </c>
      <c r="AK306" s="83"/>
      <c r="AL306" s="83"/>
      <c r="AM306" s="83"/>
      <c r="AN306" s="83"/>
      <c r="AO306" s="78"/>
    </row>
    <row r="307" spans="1:41" customFormat="1" ht="15" hidden="1" x14ac:dyDescent="0.25">
      <c r="A307" s="82">
        <v>45701</v>
      </c>
      <c r="B307" s="94" t="str">
        <f t="shared" si="48"/>
        <v>February</v>
      </c>
      <c r="C307" s="78"/>
      <c r="D307" s="79" t="s">
        <v>158</v>
      </c>
      <c r="E307" s="80" t="s">
        <v>1017</v>
      </c>
      <c r="F307" s="79" t="s">
        <v>1031</v>
      </c>
      <c r="G307" s="79" t="s">
        <v>50</v>
      </c>
      <c r="H307" s="79" t="s">
        <v>465</v>
      </c>
      <c r="I307" s="79">
        <v>156</v>
      </c>
      <c r="J307" s="79" t="s">
        <v>158</v>
      </c>
      <c r="K307" s="80" t="s">
        <v>469</v>
      </c>
      <c r="L307" s="80">
        <v>382</v>
      </c>
      <c r="M307" s="80">
        <f>L307-3</f>
        <v>379</v>
      </c>
      <c r="N307" s="81">
        <f t="shared" si="59"/>
        <v>-3</v>
      </c>
      <c r="O307" s="78"/>
      <c r="P307" s="82">
        <f>R307-TIME(0,41,0)</f>
        <v>45702.338888888888</v>
      </c>
      <c r="Q307" s="82">
        <v>45702.338888888888</v>
      </c>
      <c r="R307" s="82">
        <v>45702.367361111108</v>
      </c>
      <c r="S307" s="81">
        <f t="shared" si="49"/>
        <v>40.810185182635905</v>
      </c>
      <c r="T307" s="81">
        <f t="shared" si="50"/>
        <v>40.810185182635905</v>
      </c>
      <c r="U307" s="79"/>
      <c r="V307" s="82">
        <v>45702.603472222225</v>
      </c>
      <c r="W307" s="82">
        <v>45702.792361111111</v>
      </c>
      <c r="X307" s="103">
        <f t="shared" si="51"/>
        <v>266.33333332945767</v>
      </c>
      <c r="Y307" s="82" t="s">
        <v>1044</v>
      </c>
      <c r="Z307" s="82">
        <v>45704.287499999999</v>
      </c>
      <c r="AA307" s="82">
        <f>Z307+TIME(0,56,0)</f>
        <v>45704.326388888891</v>
      </c>
      <c r="AB307" s="81">
        <f t="shared" si="52"/>
        <v>54.833333337664953</v>
      </c>
      <c r="AC307" s="80"/>
      <c r="AD307" s="83">
        <f t="shared" si="53"/>
        <v>1.9201388888905058</v>
      </c>
      <c r="AE307" s="80">
        <v>2</v>
      </c>
      <c r="AF307" s="84">
        <f t="shared" si="54"/>
        <v>7.9861111109494232E-2</v>
      </c>
      <c r="AG307" s="83">
        <f t="shared" si="55"/>
        <v>46.083333333372138</v>
      </c>
      <c r="AH307" s="83">
        <f t="shared" si="56"/>
        <v>12</v>
      </c>
      <c r="AI307" s="83">
        <f t="shared" si="57"/>
        <v>34.083333333372138</v>
      </c>
      <c r="AJ307" s="83">
        <f t="shared" si="58"/>
        <v>4.5770171149092143</v>
      </c>
      <c r="AK307" s="83"/>
      <c r="AL307" s="83"/>
      <c r="AM307" s="83"/>
      <c r="AN307" s="83"/>
      <c r="AO307" s="78"/>
    </row>
    <row r="308" spans="1:41" customFormat="1" ht="15" hidden="1" x14ac:dyDescent="0.25">
      <c r="A308" s="82">
        <v>45701</v>
      </c>
      <c r="B308" s="94" t="str">
        <f t="shared" si="48"/>
        <v>February</v>
      </c>
      <c r="C308" s="78"/>
      <c r="D308" s="79" t="s">
        <v>159</v>
      </c>
      <c r="E308" s="80" t="s">
        <v>1017</v>
      </c>
      <c r="F308" s="79" t="s">
        <v>1015</v>
      </c>
      <c r="G308" s="79" t="s">
        <v>43</v>
      </c>
      <c r="H308" s="79" t="s">
        <v>458</v>
      </c>
      <c r="I308" s="79">
        <v>156</v>
      </c>
      <c r="J308" s="79" t="s">
        <v>159</v>
      </c>
      <c r="K308" s="80" t="s">
        <v>469</v>
      </c>
      <c r="L308" s="80">
        <v>448</v>
      </c>
      <c r="M308" s="80">
        <f>L308+2</f>
        <v>450</v>
      </c>
      <c r="N308" s="81">
        <f t="shared" si="59"/>
        <v>2</v>
      </c>
      <c r="O308" s="78"/>
      <c r="P308" s="82">
        <v>45701.795138888891</v>
      </c>
      <c r="Q308" s="82">
        <v>45701.813194444447</v>
      </c>
      <c r="R308" s="82">
        <v>45701.824305555558</v>
      </c>
      <c r="S308" s="81">
        <f t="shared" si="49"/>
        <v>15.925925925694173</v>
      </c>
      <c r="T308" s="81">
        <f t="shared" si="50"/>
        <v>41.805555556250816</v>
      </c>
      <c r="U308" s="79"/>
      <c r="V308" s="82">
        <v>45701.551388888889</v>
      </c>
      <c r="W308" s="82">
        <v>45701.672222222223</v>
      </c>
      <c r="X308" s="103">
        <f t="shared" si="51"/>
        <v>170.37500000136788</v>
      </c>
      <c r="Y308" s="82"/>
      <c r="Z308" s="82">
        <v>45705.46597222222</v>
      </c>
      <c r="AA308" s="82">
        <v>45705.505555555552</v>
      </c>
      <c r="AB308" s="81">
        <f t="shared" si="52"/>
        <v>55.81249999726424</v>
      </c>
      <c r="AC308" s="80"/>
      <c r="AD308" s="83">
        <f t="shared" si="53"/>
        <v>3.6416666666627862</v>
      </c>
      <c r="AE308" s="80">
        <v>2</v>
      </c>
      <c r="AF308" s="84">
        <f t="shared" si="54"/>
        <v>-1.6416666666627862</v>
      </c>
      <c r="AG308" s="83">
        <f t="shared" si="55"/>
        <v>87.399999999906868</v>
      </c>
      <c r="AH308" s="83">
        <f t="shared" si="56"/>
        <v>36</v>
      </c>
      <c r="AI308" s="83">
        <f t="shared" si="57"/>
        <v>51.399999999906868</v>
      </c>
      <c r="AJ308" s="83">
        <f t="shared" si="58"/>
        <v>3.0350194552584173</v>
      </c>
      <c r="AK308" s="83"/>
      <c r="AL308" s="83"/>
      <c r="AM308" s="83"/>
      <c r="AN308" s="83"/>
      <c r="AO308" s="78"/>
    </row>
    <row r="309" spans="1:41" customFormat="1" ht="15" hidden="1" x14ac:dyDescent="0.25">
      <c r="A309" s="82">
        <v>45701</v>
      </c>
      <c r="B309" s="94" t="str">
        <f t="shared" si="48"/>
        <v>February</v>
      </c>
      <c r="C309" s="78"/>
      <c r="D309" s="79" t="s">
        <v>844</v>
      </c>
      <c r="E309" s="80" t="s">
        <v>1016</v>
      </c>
      <c r="F309" s="79" t="s">
        <v>962</v>
      </c>
      <c r="G309" s="79" t="s">
        <v>978</v>
      </c>
      <c r="H309" s="79" t="s">
        <v>991</v>
      </c>
      <c r="I309" s="79">
        <v>153.6</v>
      </c>
      <c r="J309" s="79" t="s">
        <v>844</v>
      </c>
      <c r="K309" s="80" t="s">
        <v>469</v>
      </c>
      <c r="L309" s="79">
        <v>20</v>
      </c>
      <c r="M309" s="80">
        <f>L309+2</f>
        <v>22</v>
      </c>
      <c r="N309" s="81">
        <f t="shared" si="59"/>
        <v>2</v>
      </c>
      <c r="O309" s="78"/>
      <c r="P309" s="82">
        <v>45702.337500000001</v>
      </c>
      <c r="Q309" s="82">
        <v>45702.352083333339</v>
      </c>
      <c r="R309" s="82">
        <v>45702.366666666669</v>
      </c>
      <c r="S309" s="81">
        <f t="shared" si="49"/>
        <v>20.902777772910969</v>
      </c>
      <c r="T309" s="81">
        <f t="shared" si="50"/>
        <v>41.805555556250816</v>
      </c>
      <c r="U309" s="79"/>
      <c r="V309" s="82">
        <v>45702.715277777781</v>
      </c>
      <c r="W309" s="82">
        <v>45702.8</v>
      </c>
      <c r="X309" s="103">
        <f t="shared" si="51"/>
        <v>119.45833333287737</v>
      </c>
      <c r="Y309" s="82"/>
      <c r="Z309" s="82">
        <v>45705.46597222222</v>
      </c>
      <c r="AA309" s="82">
        <f>Z309+TIME(0,56,0)</f>
        <v>45705.504861111112</v>
      </c>
      <c r="AB309" s="81">
        <f t="shared" si="52"/>
        <v>54.833333337664953</v>
      </c>
      <c r="AC309" s="80"/>
      <c r="AD309" s="83">
        <f t="shared" si="53"/>
        <v>3.0993055555518367</v>
      </c>
      <c r="AE309" s="80">
        <v>3</v>
      </c>
      <c r="AF309" s="84">
        <f t="shared" si="54"/>
        <v>-9.9305555551836733E-2</v>
      </c>
      <c r="AG309" s="83">
        <f t="shared" si="55"/>
        <v>74.383333333244082</v>
      </c>
      <c r="AH309" s="83">
        <f t="shared" si="56"/>
        <v>36</v>
      </c>
      <c r="AI309" s="83">
        <f t="shared" si="57"/>
        <v>38.383333333244082</v>
      </c>
      <c r="AJ309" s="83">
        <f t="shared" si="58"/>
        <v>4.0017368649680547</v>
      </c>
      <c r="AK309" s="83"/>
      <c r="AL309" s="83"/>
      <c r="AM309" s="83"/>
      <c r="AN309" s="83"/>
      <c r="AO309" s="78"/>
    </row>
    <row r="310" spans="1:41" customFormat="1" ht="15" hidden="1" x14ac:dyDescent="0.25">
      <c r="A310" s="82">
        <v>45701</v>
      </c>
      <c r="B310" s="94" t="str">
        <f t="shared" si="48"/>
        <v>February</v>
      </c>
      <c r="C310" s="78"/>
      <c r="D310" s="79" t="s">
        <v>845</v>
      </c>
      <c r="E310" s="80" t="s">
        <v>1016</v>
      </c>
      <c r="F310" s="79" t="s">
        <v>952</v>
      </c>
      <c r="G310" s="79" t="s">
        <v>969</v>
      </c>
      <c r="H310" s="79" t="s">
        <v>997</v>
      </c>
      <c r="I310" s="79">
        <v>153.6</v>
      </c>
      <c r="J310" s="79" t="s">
        <v>845</v>
      </c>
      <c r="K310" s="80" t="s">
        <v>469</v>
      </c>
      <c r="L310" s="80">
        <v>414</v>
      </c>
      <c r="M310" s="80">
        <f>L310-1</f>
        <v>413</v>
      </c>
      <c r="N310" s="81">
        <f t="shared" si="59"/>
        <v>-1</v>
      </c>
      <c r="O310" s="78"/>
      <c r="P310" s="82">
        <f>R310-TIME(0,44,0)</f>
        <v>45702.431250000001</v>
      </c>
      <c r="Q310" s="82">
        <v>45702.424305555556</v>
      </c>
      <c r="R310" s="82">
        <v>45702.461805555555</v>
      </c>
      <c r="S310" s="81">
        <f t="shared" si="49"/>
        <v>53.749999997914223</v>
      </c>
      <c r="T310" s="81">
        <f t="shared" si="50"/>
        <v>43.796296293051761</v>
      </c>
      <c r="U310" s="79"/>
      <c r="V310" s="82">
        <v>45702.720138888886</v>
      </c>
      <c r="W310" s="82">
        <f>V310+TIME(0,174,0)</f>
        <v>45702.84097222222</v>
      </c>
      <c r="X310" s="103">
        <f t="shared" si="51"/>
        <v>170.37500000136788</v>
      </c>
      <c r="Y310" s="82"/>
      <c r="Z310" s="82">
        <v>45704.395833333336</v>
      </c>
      <c r="AA310" s="82">
        <f>Z310+TIME(0,54,0)</f>
        <v>45704.433333333334</v>
      </c>
      <c r="AB310" s="81">
        <f t="shared" si="52"/>
        <v>52.87499999794818</v>
      </c>
      <c r="AC310" s="80"/>
      <c r="AD310" s="83">
        <f t="shared" si="53"/>
        <v>1.9340277777810115</v>
      </c>
      <c r="AE310" s="80">
        <v>2</v>
      </c>
      <c r="AF310" s="84">
        <f t="shared" si="54"/>
        <v>6.5972222218988463E-2</v>
      </c>
      <c r="AG310" s="83">
        <f t="shared" si="55"/>
        <v>46.416666666744277</v>
      </c>
      <c r="AH310" s="83">
        <f t="shared" si="56"/>
        <v>12</v>
      </c>
      <c r="AI310" s="83">
        <f t="shared" si="57"/>
        <v>34.416666666744277</v>
      </c>
      <c r="AJ310" s="83">
        <f t="shared" si="58"/>
        <v>4.4629539951473207</v>
      </c>
      <c r="AK310" s="83"/>
      <c r="AL310" s="83"/>
      <c r="AM310" s="83"/>
      <c r="AN310" s="83"/>
      <c r="AO310" s="78"/>
    </row>
    <row r="311" spans="1:41" customFormat="1" ht="15" hidden="1" x14ac:dyDescent="0.25">
      <c r="A311" s="82">
        <v>45702</v>
      </c>
      <c r="B311" s="94" t="str">
        <f t="shared" si="48"/>
        <v>February</v>
      </c>
      <c r="C311" s="78"/>
      <c r="D311" s="79" t="s">
        <v>160</v>
      </c>
      <c r="E311" s="80" t="s">
        <v>1017</v>
      </c>
      <c r="F311" s="79" t="s">
        <v>1013</v>
      </c>
      <c r="G311" s="79" t="s">
        <v>56</v>
      </c>
      <c r="H311" s="79" t="s">
        <v>462</v>
      </c>
      <c r="I311" s="79">
        <v>70.8</v>
      </c>
      <c r="J311" s="79" t="s">
        <v>160</v>
      </c>
      <c r="K311" s="80" t="s">
        <v>469</v>
      </c>
      <c r="L311" s="80">
        <v>680</v>
      </c>
      <c r="M311" s="80">
        <f>L311-1</f>
        <v>679</v>
      </c>
      <c r="N311" s="81">
        <f t="shared" si="59"/>
        <v>-1</v>
      </c>
      <c r="O311" s="78"/>
      <c r="P311" s="82">
        <f>R311-TIME(0,44,0)</f>
        <v>45702.356250000004</v>
      </c>
      <c r="Q311" s="82">
        <v>45702.372222222228</v>
      </c>
      <c r="R311" s="82">
        <v>45702.386805555558</v>
      </c>
      <c r="S311" s="81">
        <f t="shared" si="49"/>
        <v>20.902777772910969</v>
      </c>
      <c r="T311" s="81">
        <f t="shared" si="50"/>
        <v>43.796296293051761</v>
      </c>
      <c r="U311" s="79"/>
      <c r="V311" s="82">
        <v>45700.730555555558</v>
      </c>
      <c r="W311" s="82">
        <f>V311+TIME(0,174,0)</f>
        <v>45700.851388888892</v>
      </c>
      <c r="X311" s="103">
        <f t="shared" si="51"/>
        <v>170.37500000136788</v>
      </c>
      <c r="Y311" s="82"/>
      <c r="Z311" s="82">
        <v>45703.572916666664</v>
      </c>
      <c r="AA311" s="82">
        <f>Z311+TIME(0,54,0)</f>
        <v>45703.610416666663</v>
      </c>
      <c r="AB311" s="81">
        <f t="shared" si="52"/>
        <v>52.87499999794818</v>
      </c>
      <c r="AC311" s="80"/>
      <c r="AD311" s="83">
        <f t="shared" si="53"/>
        <v>1.1861111111065838</v>
      </c>
      <c r="AE311" s="80">
        <v>2</v>
      </c>
      <c r="AF311" s="84">
        <f t="shared" si="54"/>
        <v>0.81388888889341615</v>
      </c>
      <c r="AG311" s="83">
        <f t="shared" si="55"/>
        <v>28.466666666558012</v>
      </c>
      <c r="AH311" s="83">
        <f t="shared" si="56"/>
        <v>12</v>
      </c>
      <c r="AI311" s="83">
        <f t="shared" si="57"/>
        <v>16.466666666558012</v>
      </c>
      <c r="AJ311" s="83">
        <f t="shared" si="58"/>
        <v>4.2995951417287754</v>
      </c>
      <c r="AK311" s="83"/>
      <c r="AL311" s="83"/>
      <c r="AM311" s="83"/>
      <c r="AN311" s="83"/>
      <c r="AO311" s="78"/>
    </row>
    <row r="312" spans="1:41" customFormat="1" ht="15" hidden="1" x14ac:dyDescent="0.25">
      <c r="A312" s="82">
        <v>45702</v>
      </c>
      <c r="B312" s="94" t="str">
        <f t="shared" si="48"/>
        <v>February</v>
      </c>
      <c r="C312" s="78"/>
      <c r="D312" s="79" t="s">
        <v>161</v>
      </c>
      <c r="E312" s="80" t="s">
        <v>1017</v>
      </c>
      <c r="F312" s="79"/>
      <c r="G312" s="79" t="s">
        <v>40</v>
      </c>
      <c r="H312" s="79" t="s">
        <v>450</v>
      </c>
      <c r="I312" s="79">
        <v>156</v>
      </c>
      <c r="J312" s="79" t="s">
        <v>161</v>
      </c>
      <c r="K312" s="80" t="s">
        <v>469</v>
      </c>
      <c r="L312" s="80">
        <v>288</v>
      </c>
      <c r="M312" s="80">
        <f>L312+2</f>
        <v>290</v>
      </c>
      <c r="N312" s="81">
        <f t="shared" si="59"/>
        <v>2</v>
      </c>
      <c r="O312" s="78"/>
      <c r="P312" s="82">
        <v>45700.572222222225</v>
      </c>
      <c r="Q312" s="82">
        <v>45700.572222222225</v>
      </c>
      <c r="R312" s="82">
        <v>45700.600694444445</v>
      </c>
      <c r="S312" s="81">
        <f t="shared" si="49"/>
        <v>40.810185182635905</v>
      </c>
      <c r="T312" s="81">
        <f t="shared" si="50"/>
        <v>40.810185182635905</v>
      </c>
      <c r="U312" s="79"/>
      <c r="V312" s="82">
        <v>45700.793749999997</v>
      </c>
      <c r="W312" s="82">
        <v>45701.447916666664</v>
      </c>
      <c r="X312" s="103">
        <f t="shared" si="51"/>
        <v>922.37500000068394</v>
      </c>
      <c r="Y312" s="82" t="s">
        <v>1050</v>
      </c>
      <c r="Z312" s="82">
        <v>45703.572916666664</v>
      </c>
      <c r="AA312" s="82">
        <v>45703.612499999996</v>
      </c>
      <c r="AB312" s="81">
        <f t="shared" si="52"/>
        <v>55.81249999726424</v>
      </c>
      <c r="AC312" s="80"/>
      <c r="AD312" s="83">
        <f t="shared" si="53"/>
        <v>2.9722222222189885</v>
      </c>
      <c r="AE312" s="80">
        <v>2</v>
      </c>
      <c r="AF312" s="84">
        <f t="shared" si="54"/>
        <v>-0.97222222221898846</v>
      </c>
      <c r="AG312" s="83">
        <f t="shared" si="55"/>
        <v>71.333333333255723</v>
      </c>
      <c r="AH312" s="83">
        <f t="shared" si="56"/>
        <v>24</v>
      </c>
      <c r="AI312" s="83">
        <f t="shared" si="57"/>
        <v>47.333333333255723</v>
      </c>
      <c r="AJ312" s="83">
        <f t="shared" si="58"/>
        <v>3.2957746478927277</v>
      </c>
      <c r="AK312" s="83"/>
      <c r="AL312" s="83"/>
      <c r="AM312" s="83"/>
      <c r="AN312" s="83"/>
      <c r="AO312" s="78"/>
    </row>
    <row r="313" spans="1:41" customFormat="1" ht="15" hidden="1" x14ac:dyDescent="0.25">
      <c r="A313" s="82">
        <v>45702</v>
      </c>
      <c r="B313" s="94" t="str">
        <f t="shared" si="48"/>
        <v>February</v>
      </c>
      <c r="C313" s="78"/>
      <c r="D313" s="79" t="s">
        <v>162</v>
      </c>
      <c r="E313" s="80" t="s">
        <v>1017</v>
      </c>
      <c r="F313" s="79" t="s">
        <v>1018</v>
      </c>
      <c r="G313" s="79" t="s">
        <v>39</v>
      </c>
      <c r="H313" s="79" t="s">
        <v>987</v>
      </c>
      <c r="I313" s="79">
        <v>141.6</v>
      </c>
      <c r="J313" s="79" t="s">
        <v>162</v>
      </c>
      <c r="K313" s="80" t="s">
        <v>469</v>
      </c>
      <c r="L313" s="79">
        <v>320</v>
      </c>
      <c r="M313" s="80">
        <f>L313+1</f>
        <v>321</v>
      </c>
      <c r="N313" s="81">
        <f t="shared" si="59"/>
        <v>1</v>
      </c>
      <c r="O313" s="78"/>
      <c r="P313" s="82">
        <v>45700.484027777777</v>
      </c>
      <c r="Q313" s="82">
        <v>45700.505555555552</v>
      </c>
      <c r="R313" s="82">
        <v>45700.513194444444</v>
      </c>
      <c r="S313" s="81">
        <f t="shared" si="49"/>
        <v>10.949074078477375</v>
      </c>
      <c r="T313" s="81">
        <f t="shared" si="50"/>
        <v>41.805555556250816</v>
      </c>
      <c r="U313" s="79"/>
      <c r="V313" s="82">
        <v>45701.293055555558</v>
      </c>
      <c r="W313" s="82">
        <v>45701.482638888891</v>
      </c>
      <c r="X313" s="103">
        <f t="shared" si="51"/>
        <v>267.31249999931606</v>
      </c>
      <c r="Y313" s="82" t="s">
        <v>1045</v>
      </c>
      <c r="Z313" s="82">
        <v>45702.517361111109</v>
      </c>
      <c r="AA313" s="82">
        <f>Z313+TIME(0,53,0)</f>
        <v>45702.554166666669</v>
      </c>
      <c r="AB313" s="81">
        <f t="shared" si="52"/>
        <v>51.895833338348893</v>
      </c>
      <c r="AC313" s="80"/>
      <c r="AD313" s="83">
        <f t="shared" si="53"/>
        <v>2.0041666666656965</v>
      </c>
      <c r="AE313" s="80">
        <v>2</v>
      </c>
      <c r="AF313" s="84">
        <f t="shared" si="54"/>
        <v>-4.166666665696539E-3</v>
      </c>
      <c r="AG313" s="83">
        <f t="shared" si="55"/>
        <v>48.099999999976717</v>
      </c>
      <c r="AH313" s="83">
        <f t="shared" si="56"/>
        <v>24</v>
      </c>
      <c r="AI313" s="83">
        <f t="shared" si="57"/>
        <v>24.099999999976717</v>
      </c>
      <c r="AJ313" s="83">
        <f t="shared" si="58"/>
        <v>5.875518672204846</v>
      </c>
      <c r="AK313" s="83"/>
      <c r="AL313" s="83"/>
      <c r="AM313" s="83"/>
      <c r="AN313" s="83"/>
      <c r="AO313" s="78"/>
    </row>
    <row r="314" spans="1:41" customFormat="1" ht="15" hidden="1" x14ac:dyDescent="0.25">
      <c r="A314" s="82">
        <v>45702</v>
      </c>
      <c r="B314" s="94" t="str">
        <f t="shared" si="48"/>
        <v>February</v>
      </c>
      <c r="C314" s="78"/>
      <c r="D314" s="79" t="s">
        <v>163</v>
      </c>
      <c r="E314" s="80" t="s">
        <v>1017</v>
      </c>
      <c r="F314" s="79" t="s">
        <v>1035</v>
      </c>
      <c r="G314" s="79" t="s">
        <v>44</v>
      </c>
      <c r="H314" s="79" t="s">
        <v>452</v>
      </c>
      <c r="I314" s="79">
        <v>70.8</v>
      </c>
      <c r="J314" s="79" t="s">
        <v>163</v>
      </c>
      <c r="K314" s="80" t="s">
        <v>469</v>
      </c>
      <c r="L314" s="80">
        <v>690</v>
      </c>
      <c r="M314" s="80">
        <f>L314-1</f>
        <v>689</v>
      </c>
      <c r="N314" s="81">
        <f t="shared" si="59"/>
        <v>-1</v>
      </c>
      <c r="O314" s="78"/>
      <c r="P314" s="82">
        <v>45701.837500000001</v>
      </c>
      <c r="Q314" s="82">
        <v>45701.827777777777</v>
      </c>
      <c r="R314" s="82">
        <v>45701.865972222222</v>
      </c>
      <c r="S314" s="81">
        <f t="shared" si="49"/>
        <v>54.745370371529134</v>
      </c>
      <c r="T314" s="81">
        <f t="shared" si="50"/>
        <v>40.810185182635905</v>
      </c>
      <c r="U314" s="79"/>
      <c r="V314" s="82">
        <v>45701.531944444447</v>
      </c>
      <c r="W314" s="82">
        <v>45701.615972222222</v>
      </c>
      <c r="X314" s="103">
        <f t="shared" si="51"/>
        <v>118.47916666301899</v>
      </c>
      <c r="Y314" s="82"/>
      <c r="Z314" s="82">
        <v>45702.7</v>
      </c>
      <c r="AA314" s="82">
        <f>Z314+TIME(0,58,0)</f>
        <v>45702.740277777775</v>
      </c>
      <c r="AB314" s="81">
        <f t="shared" si="52"/>
        <v>56.791666667122627</v>
      </c>
      <c r="AC314" s="80"/>
      <c r="AD314" s="83">
        <f t="shared" si="53"/>
        <v>0.83402777777519077</v>
      </c>
      <c r="AE314" s="80">
        <v>3</v>
      </c>
      <c r="AF314" s="84">
        <f t="shared" si="54"/>
        <v>2.1659722222248092</v>
      </c>
      <c r="AG314" s="83">
        <f t="shared" si="55"/>
        <v>20.016666666604578</v>
      </c>
      <c r="AH314" s="83">
        <f t="shared" si="56"/>
        <v>0</v>
      </c>
      <c r="AI314" s="83">
        <f t="shared" si="57"/>
        <v>20.016666666604578</v>
      </c>
      <c r="AJ314" s="83">
        <f t="shared" si="58"/>
        <v>3.5370524562973991</v>
      </c>
      <c r="AK314" s="83"/>
      <c r="AL314" s="83"/>
      <c r="AM314" s="83"/>
      <c r="AN314" s="83"/>
      <c r="AO314" s="78"/>
    </row>
    <row r="315" spans="1:41" customFormat="1" ht="15" hidden="1" x14ac:dyDescent="0.25">
      <c r="A315" s="82">
        <v>45702</v>
      </c>
      <c r="B315" s="94" t="str">
        <f t="shared" si="48"/>
        <v>February</v>
      </c>
      <c r="C315" s="78"/>
      <c r="D315" s="79" t="s">
        <v>164</v>
      </c>
      <c r="E315" s="80" t="s">
        <v>1017</v>
      </c>
      <c r="F315" s="79" t="s">
        <v>1030</v>
      </c>
      <c r="G315" s="79" t="s">
        <v>55</v>
      </c>
      <c r="H315" s="79" t="s">
        <v>451</v>
      </c>
      <c r="I315" s="79">
        <v>134.4</v>
      </c>
      <c r="J315" s="79" t="s">
        <v>164</v>
      </c>
      <c r="K315" s="80" t="s">
        <v>469</v>
      </c>
      <c r="L315" s="80">
        <v>790</v>
      </c>
      <c r="M315" s="80">
        <f>L315+2</f>
        <v>792</v>
      </c>
      <c r="N315" s="81">
        <f t="shared" si="59"/>
        <v>2</v>
      </c>
      <c r="O315" s="78"/>
      <c r="P315" s="82">
        <f>R315-TIME(0,44,0)</f>
        <v>45701.451388888891</v>
      </c>
      <c r="Q315" s="82">
        <v>45701.46597222222</v>
      </c>
      <c r="R315" s="82">
        <v>45701.481944444444</v>
      </c>
      <c r="S315" s="81">
        <f t="shared" si="49"/>
        <v>22.893518520140788</v>
      </c>
      <c r="T315" s="81">
        <f t="shared" si="50"/>
        <v>43.796296293051761</v>
      </c>
      <c r="U315" s="79"/>
      <c r="V315" s="82">
        <v>45701.779166666667</v>
      </c>
      <c r="W315" s="82">
        <f>V315+TIME(0,164,0)</f>
        <v>45701.893055555556</v>
      </c>
      <c r="X315" s="103">
        <f t="shared" si="51"/>
        <v>160.58333333356131</v>
      </c>
      <c r="Y315" s="82"/>
      <c r="Z315" s="82">
        <v>45703.490277777775</v>
      </c>
      <c r="AA315" s="82">
        <f>Z315+TIME(0,56,0)</f>
        <v>45703.529166666667</v>
      </c>
      <c r="AB315" s="81">
        <f t="shared" si="52"/>
        <v>54.833333337664953</v>
      </c>
      <c r="AC315" s="80"/>
      <c r="AD315" s="83">
        <f t="shared" si="53"/>
        <v>2.0083333333313931</v>
      </c>
      <c r="AE315" s="80">
        <v>2</v>
      </c>
      <c r="AF315" s="84">
        <f t="shared" si="54"/>
        <v>-8.333333331393078E-3</v>
      </c>
      <c r="AG315" s="83">
        <f t="shared" si="55"/>
        <v>48.199999999953434</v>
      </c>
      <c r="AH315" s="83">
        <f t="shared" si="56"/>
        <v>24</v>
      </c>
      <c r="AI315" s="83">
        <f t="shared" si="57"/>
        <v>24.199999999953434</v>
      </c>
      <c r="AJ315" s="83">
        <f t="shared" si="58"/>
        <v>5.5537190082751495</v>
      </c>
      <c r="AK315" s="83"/>
      <c r="AL315" s="83"/>
      <c r="AM315" s="83"/>
      <c r="AN315" s="83"/>
      <c r="AO315" s="78"/>
    </row>
    <row r="316" spans="1:41" customFormat="1" ht="15" hidden="1" x14ac:dyDescent="0.25">
      <c r="A316" s="82">
        <v>45702</v>
      </c>
      <c r="B316" s="94" t="str">
        <f t="shared" si="48"/>
        <v>February</v>
      </c>
      <c r="C316" s="78"/>
      <c r="D316" s="79" t="s">
        <v>165</v>
      </c>
      <c r="E316" s="80" t="s">
        <v>1017</v>
      </c>
      <c r="F316" s="79" t="s">
        <v>1027</v>
      </c>
      <c r="G316" s="79" t="s">
        <v>34</v>
      </c>
      <c r="H316" s="79" t="s">
        <v>459</v>
      </c>
      <c r="I316" s="79">
        <v>148.80000000000001</v>
      </c>
      <c r="J316" s="79" t="s">
        <v>165</v>
      </c>
      <c r="K316" s="80" t="s">
        <v>469</v>
      </c>
      <c r="L316" s="80">
        <v>560</v>
      </c>
      <c r="M316" s="80">
        <f>L316-2</f>
        <v>558</v>
      </c>
      <c r="N316" s="81">
        <f t="shared" si="59"/>
        <v>-2</v>
      </c>
      <c r="O316" s="78"/>
      <c r="P316" s="82">
        <v>45701.604861111111</v>
      </c>
      <c r="Q316" s="82">
        <v>45701.604861111111</v>
      </c>
      <c r="R316" s="82">
        <v>45701.633333333331</v>
      </c>
      <c r="S316" s="81">
        <f t="shared" si="49"/>
        <v>40.810185182635905</v>
      </c>
      <c r="T316" s="81">
        <f t="shared" si="50"/>
        <v>40.810185182635905</v>
      </c>
      <c r="U316" s="79"/>
      <c r="V316" s="82">
        <v>45703.519444444442</v>
      </c>
      <c r="W316" s="82">
        <v>45703.616666666669</v>
      </c>
      <c r="X316" s="103">
        <f t="shared" si="51"/>
        <v>137.08333333903283</v>
      </c>
      <c r="Y316" s="82"/>
      <c r="Z316" s="82">
        <v>45704.287499999999</v>
      </c>
      <c r="AA316" s="82">
        <v>45704.322916666664</v>
      </c>
      <c r="AB316" s="81">
        <f t="shared" si="52"/>
        <v>49.93749999863212</v>
      </c>
      <c r="AC316" s="80"/>
      <c r="AD316" s="83">
        <f t="shared" si="53"/>
        <v>2.6541666666671517</v>
      </c>
      <c r="AE316" s="80">
        <v>2</v>
      </c>
      <c r="AF316" s="84">
        <f t="shared" si="54"/>
        <v>-0.65416666666715173</v>
      </c>
      <c r="AG316" s="83">
        <f t="shared" si="55"/>
        <v>63.700000000011642</v>
      </c>
      <c r="AH316" s="83">
        <f t="shared" si="56"/>
        <v>24</v>
      </c>
      <c r="AI316" s="83">
        <f t="shared" si="57"/>
        <v>39.700000000011642</v>
      </c>
      <c r="AJ316" s="83">
        <f t="shared" si="58"/>
        <v>3.7481108312331579</v>
      </c>
      <c r="AK316" s="83"/>
      <c r="AL316" s="83"/>
      <c r="AM316" s="83"/>
      <c r="AN316" s="83"/>
      <c r="AO316" s="78"/>
    </row>
    <row r="317" spans="1:41" customFormat="1" ht="15" hidden="1" x14ac:dyDescent="0.25">
      <c r="A317" s="82">
        <v>45702</v>
      </c>
      <c r="B317" s="94" t="str">
        <f t="shared" si="48"/>
        <v>February</v>
      </c>
      <c r="C317" s="78"/>
      <c r="D317" s="79" t="s">
        <v>166</v>
      </c>
      <c r="E317" s="80" t="s">
        <v>1017</v>
      </c>
      <c r="F317" s="79"/>
      <c r="G317" s="79" t="s">
        <v>35</v>
      </c>
      <c r="H317" s="79" t="s">
        <v>451</v>
      </c>
      <c r="I317" s="79">
        <v>5.04</v>
      </c>
      <c r="J317" s="79" t="s">
        <v>166</v>
      </c>
      <c r="K317" s="80" t="s">
        <v>469</v>
      </c>
      <c r="L317" s="80">
        <v>790</v>
      </c>
      <c r="M317" s="80">
        <f>L317+2</f>
        <v>792</v>
      </c>
      <c r="N317" s="81">
        <f t="shared" si="59"/>
        <v>2</v>
      </c>
      <c r="O317" s="78"/>
      <c r="P317" s="82">
        <f>R317-TIME(0,43,0)</f>
        <v>45701.5625</v>
      </c>
      <c r="Q317" s="82">
        <v>45701.563888888893</v>
      </c>
      <c r="R317" s="82">
        <v>45701.592361111114</v>
      </c>
      <c r="S317" s="81">
        <f t="shared" si="49"/>
        <v>40.810185182635905</v>
      </c>
      <c r="T317" s="81">
        <f t="shared" si="50"/>
        <v>42.80092592986572</v>
      </c>
      <c r="U317" s="79"/>
      <c r="V317" s="82">
        <v>45702.505555555559</v>
      </c>
      <c r="W317" s="82">
        <v>45702.680555555555</v>
      </c>
      <c r="X317" s="103">
        <f t="shared" si="51"/>
        <v>246.74999999384454</v>
      </c>
      <c r="Y317" s="82" t="s">
        <v>1044</v>
      </c>
      <c r="Z317" s="82">
        <v>45704.395833333336</v>
      </c>
      <c r="AA317" s="82">
        <f>Z317+TIME(0,56,0)</f>
        <v>45704.434722222228</v>
      </c>
      <c r="AB317" s="81">
        <f t="shared" si="52"/>
        <v>54.833333337664953</v>
      </c>
      <c r="AC317" s="80"/>
      <c r="AD317" s="83">
        <f t="shared" si="53"/>
        <v>2.8034722222218988</v>
      </c>
      <c r="AE317" s="80">
        <v>2</v>
      </c>
      <c r="AF317" s="84">
        <f t="shared" si="54"/>
        <v>-0.80347222222189885</v>
      </c>
      <c r="AG317" s="83">
        <f t="shared" si="55"/>
        <v>67.283333333325572</v>
      </c>
      <c r="AH317" s="83">
        <f t="shared" si="56"/>
        <v>24</v>
      </c>
      <c r="AI317" s="83">
        <f t="shared" si="57"/>
        <v>43.283333333325572</v>
      </c>
      <c r="AJ317" s="83">
        <f t="shared" si="58"/>
        <v>0.1164420485175411</v>
      </c>
      <c r="AK317" s="83"/>
      <c r="AL317" s="83"/>
      <c r="AM317" s="83"/>
      <c r="AN317" s="83"/>
      <c r="AO317" s="78"/>
    </row>
    <row r="318" spans="1:41" customFormat="1" ht="15" hidden="1" x14ac:dyDescent="0.25">
      <c r="A318" s="82">
        <v>45702</v>
      </c>
      <c r="B318" s="94" t="str">
        <f t="shared" si="48"/>
        <v>February</v>
      </c>
      <c r="C318" s="78"/>
      <c r="D318" s="79" t="s">
        <v>168</v>
      </c>
      <c r="E318" s="80" t="s">
        <v>1017</v>
      </c>
      <c r="F318" s="79" t="s">
        <v>1026</v>
      </c>
      <c r="G318" s="79" t="s">
        <v>51</v>
      </c>
      <c r="H318" s="79" t="s">
        <v>454</v>
      </c>
      <c r="I318" s="79">
        <v>156</v>
      </c>
      <c r="J318" s="79" t="s">
        <v>168</v>
      </c>
      <c r="K318" s="80" t="s">
        <v>469</v>
      </c>
      <c r="L318" s="80">
        <v>304</v>
      </c>
      <c r="M318" s="80">
        <f>L318-2</f>
        <v>302</v>
      </c>
      <c r="N318" s="81">
        <f t="shared" si="59"/>
        <v>-2</v>
      </c>
      <c r="O318" s="78"/>
      <c r="P318" s="82">
        <v>45701.415972222225</v>
      </c>
      <c r="Q318" s="82">
        <v>45701.333333333336</v>
      </c>
      <c r="R318" s="82">
        <v>45701.445138888892</v>
      </c>
      <c r="S318" s="81">
        <f t="shared" si="49"/>
        <v>160.25462963055665</v>
      </c>
      <c r="T318" s="81">
        <f t="shared" si="50"/>
        <v>41.805555556250816</v>
      </c>
      <c r="U318" s="79"/>
      <c r="V318" s="82">
        <v>45701.470833333333</v>
      </c>
      <c r="W318" s="82">
        <v>45701.64166666667</v>
      </c>
      <c r="X318" s="103">
        <f t="shared" si="51"/>
        <v>240.87500000547152</v>
      </c>
      <c r="Y318" s="82" t="s">
        <v>1052</v>
      </c>
      <c r="Z318" s="82">
        <v>45701.7</v>
      </c>
      <c r="AA318" s="82">
        <v>45701.738888888889</v>
      </c>
      <c r="AB318" s="81">
        <f t="shared" si="52"/>
        <v>54.833333337664953</v>
      </c>
      <c r="AC318" s="80"/>
      <c r="AD318" s="83">
        <f t="shared" si="53"/>
        <v>0.25486111110512866</v>
      </c>
      <c r="AE318" s="80">
        <v>2</v>
      </c>
      <c r="AF318" s="84">
        <f t="shared" si="54"/>
        <v>1.7451388888948713</v>
      </c>
      <c r="AG318" s="83">
        <f t="shared" si="55"/>
        <v>6.1166666665230878</v>
      </c>
      <c r="AH318" s="83">
        <f t="shared" si="56"/>
        <v>0</v>
      </c>
      <c r="AI318" s="83">
        <f t="shared" si="57"/>
        <v>6.1166666665230878</v>
      </c>
      <c r="AJ318" s="83">
        <f t="shared" si="58"/>
        <v>25.504087194059156</v>
      </c>
      <c r="AK318" s="83"/>
      <c r="AL318" s="83"/>
      <c r="AM318" s="83"/>
      <c r="AN318" s="83"/>
      <c r="AO318" s="78"/>
    </row>
    <row r="319" spans="1:41" customFormat="1" ht="15" hidden="1" x14ac:dyDescent="0.25">
      <c r="A319" s="82">
        <v>45702</v>
      </c>
      <c r="B319" s="94" t="str">
        <f t="shared" si="48"/>
        <v>February</v>
      </c>
      <c r="C319" s="78"/>
      <c r="D319" s="79" t="s">
        <v>169</v>
      </c>
      <c r="E319" s="80" t="s">
        <v>1017</v>
      </c>
      <c r="F319" s="79" t="s">
        <v>1036</v>
      </c>
      <c r="G319" s="79" t="s">
        <v>36</v>
      </c>
      <c r="H319" s="79" t="s">
        <v>1284</v>
      </c>
      <c r="I319" s="79">
        <v>70.8</v>
      </c>
      <c r="J319" s="79" t="s">
        <v>169</v>
      </c>
      <c r="K319" s="80" t="s">
        <v>469</v>
      </c>
      <c r="L319" s="80">
        <v>620</v>
      </c>
      <c r="M319" s="80">
        <f>L319-1</f>
        <v>619</v>
      </c>
      <c r="N319" s="81">
        <f t="shared" si="59"/>
        <v>-1</v>
      </c>
      <c r="O319" s="78"/>
      <c r="P319" s="82">
        <v>45701.927777777775</v>
      </c>
      <c r="Q319" s="82">
        <v>45701.918749999997</v>
      </c>
      <c r="R319" s="82">
        <v>45701.956944444442</v>
      </c>
      <c r="S319" s="81">
        <f t="shared" si="49"/>
        <v>54.745370371529134</v>
      </c>
      <c r="T319" s="81">
        <f t="shared" si="50"/>
        <v>41.805555556250816</v>
      </c>
      <c r="U319" s="79"/>
      <c r="V319" s="82">
        <v>45703.688194444447</v>
      </c>
      <c r="W319" s="82">
        <v>45703.777083333334</v>
      </c>
      <c r="X319" s="103">
        <f t="shared" si="51"/>
        <v>125.33333333150949</v>
      </c>
      <c r="Y319" s="82"/>
      <c r="Z319" s="82">
        <v>45708.802777777775</v>
      </c>
      <c r="AA319" s="82">
        <v>45708.84097222222</v>
      </c>
      <c r="AB319" s="81">
        <f t="shared" si="52"/>
        <v>53.854166667806567</v>
      </c>
      <c r="AC319" s="80"/>
      <c r="AD319" s="83">
        <f t="shared" si="53"/>
        <v>6.8458333333328483</v>
      </c>
      <c r="AE319" s="80">
        <v>3</v>
      </c>
      <c r="AF319" s="84">
        <f t="shared" si="54"/>
        <v>-3.8458333333328483</v>
      </c>
      <c r="AG319" s="83">
        <f t="shared" si="55"/>
        <v>164.29999999998836</v>
      </c>
      <c r="AH319" s="83">
        <f t="shared" si="56"/>
        <v>72</v>
      </c>
      <c r="AI319" s="83">
        <f t="shared" si="57"/>
        <v>92.299999999988358</v>
      </c>
      <c r="AJ319" s="83">
        <f t="shared" si="58"/>
        <v>0.76706392199359619</v>
      </c>
      <c r="AK319" s="83"/>
      <c r="AL319" s="83"/>
      <c r="AM319" s="83"/>
      <c r="AN319" s="83"/>
      <c r="AO319" s="78"/>
    </row>
    <row r="320" spans="1:41" customFormat="1" ht="15" hidden="1" x14ac:dyDescent="0.25">
      <c r="A320" s="82">
        <v>45702</v>
      </c>
      <c r="B320" s="94" t="str">
        <f t="shared" si="48"/>
        <v>February</v>
      </c>
      <c r="C320" s="78"/>
      <c r="D320" s="79" t="s">
        <v>170</v>
      </c>
      <c r="E320" s="80" t="s">
        <v>1017</v>
      </c>
      <c r="F320" s="79" t="s">
        <v>1023</v>
      </c>
      <c r="G320" s="79" t="s">
        <v>61</v>
      </c>
      <c r="H320" s="79" t="s">
        <v>463</v>
      </c>
      <c r="I320" s="79">
        <v>56</v>
      </c>
      <c r="J320" s="79" t="s">
        <v>170</v>
      </c>
      <c r="K320" s="80" t="s">
        <v>469</v>
      </c>
      <c r="L320" s="80">
        <v>414</v>
      </c>
      <c r="M320" s="80">
        <f>L320+2</f>
        <v>416</v>
      </c>
      <c r="N320" s="81">
        <f t="shared" si="59"/>
        <v>2</v>
      </c>
      <c r="O320" s="78"/>
      <c r="P320" s="82">
        <f>R320-TIME(0,41,0)</f>
        <v>45701.479166666672</v>
      </c>
      <c r="Q320" s="82">
        <v>45701.493055555562</v>
      </c>
      <c r="R320" s="82">
        <v>45701.507638888892</v>
      </c>
      <c r="S320" s="81">
        <f t="shared" si="49"/>
        <v>20.902777772910969</v>
      </c>
      <c r="T320" s="81">
        <f t="shared" si="50"/>
        <v>40.810185182635905</v>
      </c>
      <c r="U320" s="79"/>
      <c r="V320" s="82">
        <v>45702.804166666669</v>
      </c>
      <c r="W320" s="82">
        <v>45703.431944444441</v>
      </c>
      <c r="X320" s="103">
        <f t="shared" si="51"/>
        <v>885.16666665891535</v>
      </c>
      <c r="Y320" s="82" t="s">
        <v>1049</v>
      </c>
      <c r="Z320" s="82">
        <v>45702.700694444444</v>
      </c>
      <c r="AA320" s="82">
        <f>Z320+TIME(0,58,0)</f>
        <v>45702.740972222222</v>
      </c>
      <c r="AB320" s="81">
        <f t="shared" si="52"/>
        <v>56.791666667122627</v>
      </c>
      <c r="AC320" s="80"/>
      <c r="AD320" s="83">
        <f t="shared" si="53"/>
        <v>1.1930555555518367</v>
      </c>
      <c r="AE320" s="80">
        <v>3</v>
      </c>
      <c r="AF320" s="84">
        <f t="shared" si="54"/>
        <v>1.8069444444481633</v>
      </c>
      <c r="AG320" s="83">
        <f t="shared" si="55"/>
        <v>28.633333333244082</v>
      </c>
      <c r="AH320" s="83">
        <f t="shared" si="56"/>
        <v>12</v>
      </c>
      <c r="AI320" s="83">
        <f t="shared" si="57"/>
        <v>16.633333333244082</v>
      </c>
      <c r="AJ320" s="83">
        <f t="shared" si="58"/>
        <v>3.3667334669519331</v>
      </c>
      <c r="AK320" s="83"/>
      <c r="AL320" s="83"/>
      <c r="AM320" s="83"/>
      <c r="AN320" s="83"/>
      <c r="AO320" s="78"/>
    </row>
    <row r="321" spans="1:41" customFormat="1" ht="15" hidden="1" x14ac:dyDescent="0.25">
      <c r="A321" s="82">
        <v>45702</v>
      </c>
      <c r="B321" s="94" t="str">
        <f t="shared" si="48"/>
        <v>February</v>
      </c>
      <c r="C321" s="78"/>
      <c r="D321" s="79" t="s">
        <v>171</v>
      </c>
      <c r="E321" s="80" t="s">
        <v>1017</v>
      </c>
      <c r="F321" s="79" t="s">
        <v>1028</v>
      </c>
      <c r="G321" s="79" t="s">
        <v>45</v>
      </c>
      <c r="H321" s="79" t="s">
        <v>455</v>
      </c>
      <c r="I321" s="79">
        <v>31.2</v>
      </c>
      <c r="J321" s="79" t="s">
        <v>171</v>
      </c>
      <c r="K321" s="80" t="s">
        <v>469</v>
      </c>
      <c r="L321" s="80">
        <v>580</v>
      </c>
      <c r="M321" s="80">
        <f>L321+2</f>
        <v>582</v>
      </c>
      <c r="N321" s="81">
        <f t="shared" si="59"/>
        <v>2</v>
      </c>
      <c r="O321" s="78"/>
      <c r="P321" s="82">
        <v>45703.586805555555</v>
      </c>
      <c r="Q321" s="82">
        <v>45703.601388888892</v>
      </c>
      <c r="R321" s="82">
        <v>45703.615972222222</v>
      </c>
      <c r="S321" s="81">
        <f t="shared" si="49"/>
        <v>20.902777772910969</v>
      </c>
      <c r="T321" s="81">
        <f t="shared" si="50"/>
        <v>41.805555556250816</v>
      </c>
      <c r="U321" s="79"/>
      <c r="V321" s="82">
        <v>45702.35833333333</v>
      </c>
      <c r="W321" s="82">
        <v>45702.613888888889</v>
      </c>
      <c r="X321" s="103">
        <f t="shared" si="51"/>
        <v>360.33333333834889</v>
      </c>
      <c r="Y321" s="82" t="s">
        <v>1039</v>
      </c>
      <c r="Z321" s="82">
        <v>45704.345833333333</v>
      </c>
      <c r="AA321" s="82">
        <f>Z321+TIME(0,56,0)</f>
        <v>45704.384722222225</v>
      </c>
      <c r="AB321" s="81">
        <f t="shared" si="52"/>
        <v>54.833333337664953</v>
      </c>
      <c r="AC321" s="80"/>
      <c r="AD321" s="83">
        <f t="shared" si="53"/>
        <v>0.72986111111094942</v>
      </c>
      <c r="AE321" s="80">
        <v>2</v>
      </c>
      <c r="AF321" s="84">
        <f t="shared" si="54"/>
        <v>1.2701388888890506</v>
      </c>
      <c r="AG321" s="83">
        <f t="shared" si="55"/>
        <v>17.516666666662786</v>
      </c>
      <c r="AH321" s="83">
        <f t="shared" si="56"/>
        <v>0</v>
      </c>
      <c r="AI321" s="83">
        <f t="shared" si="57"/>
        <v>17.516666666662786</v>
      </c>
      <c r="AJ321" s="83">
        <f t="shared" si="58"/>
        <v>1.7811607992392147</v>
      </c>
      <c r="AK321" s="83"/>
      <c r="AL321" s="83"/>
      <c r="AM321" s="83"/>
      <c r="AN321" s="83"/>
      <c r="AO321" s="78"/>
    </row>
    <row r="322" spans="1:41" customFormat="1" ht="15" hidden="1" x14ac:dyDescent="0.25">
      <c r="A322" s="82">
        <v>45702</v>
      </c>
      <c r="B322" s="94" t="str">
        <f t="shared" ref="B322:B385" si="60">TEXT(A322, "MMMM")</f>
        <v>February</v>
      </c>
      <c r="C322" s="78"/>
      <c r="D322" s="79" t="s">
        <v>172</v>
      </c>
      <c r="E322" s="80" t="s">
        <v>1017</v>
      </c>
      <c r="F322" s="79"/>
      <c r="G322" s="79" t="s">
        <v>47</v>
      </c>
      <c r="H322" s="79" t="s">
        <v>448</v>
      </c>
      <c r="I322" s="79">
        <v>156</v>
      </c>
      <c r="J322" s="79" t="s">
        <v>172</v>
      </c>
      <c r="K322" s="80" t="s">
        <v>469</v>
      </c>
      <c r="L322" s="80">
        <v>560</v>
      </c>
      <c r="M322" s="80">
        <f>L322+2</f>
        <v>562</v>
      </c>
      <c r="N322" s="81">
        <f t="shared" si="59"/>
        <v>2</v>
      </c>
      <c r="O322" s="78"/>
      <c r="P322" s="82">
        <f>R322-TIME(0,44,0)</f>
        <v>45702.509027777778</v>
      </c>
      <c r="Q322" s="82">
        <v>45702.526388888888</v>
      </c>
      <c r="R322" s="82">
        <v>45702.539583333331</v>
      </c>
      <c r="S322" s="81">
        <f t="shared" ref="S322:S385" si="61">(R322-Q322)*86000/60</f>
        <v>18.912037036110025</v>
      </c>
      <c r="T322" s="81">
        <f t="shared" ref="T322:T385" si="62">(R322-P322)*86000/60</f>
        <v>43.796296293051761</v>
      </c>
      <c r="U322" s="79"/>
      <c r="V322" s="82">
        <v>45702.601388888892</v>
      </c>
      <c r="W322" s="82">
        <v>45702.743055555555</v>
      </c>
      <c r="X322" s="103">
        <f t="shared" ref="X322:X385" si="63">(W322-V322)*84600/60</f>
        <v>199.74999999452848</v>
      </c>
      <c r="Y322" s="82" t="s">
        <v>1047</v>
      </c>
      <c r="Z322" s="82">
        <v>45704.345833333333</v>
      </c>
      <c r="AA322" s="82">
        <f>Z322+TIME(0,57,0)</f>
        <v>45704.385416666664</v>
      </c>
      <c r="AB322" s="81">
        <f t="shared" ref="AB322:AB385" si="64">(AA322-Z322)*84600/60</f>
        <v>55.81249999726424</v>
      </c>
      <c r="AC322" s="80"/>
      <c r="AD322" s="83">
        <f t="shared" ref="AD322:AD385" si="65">Z322-R322</f>
        <v>1.8062500000014552</v>
      </c>
      <c r="AE322" s="80">
        <v>2</v>
      </c>
      <c r="AF322" s="84">
        <f t="shared" ref="AF322:AF385" si="66">AE322-AD322</f>
        <v>0.19374999999854481</v>
      </c>
      <c r="AG322" s="83">
        <f t="shared" ref="AG322:AG385" si="67">AD322*24</f>
        <v>43.350000000034925</v>
      </c>
      <c r="AH322" s="83">
        <f t="shared" ref="AH322:AH385" si="68">AG322-AI322</f>
        <v>12</v>
      </c>
      <c r="AI322" s="83">
        <f t="shared" ref="AI322:AI385" si="69" xml:space="preserve"> ((Z322 - R322) * 24) - (INT(Z322 - R322) * 12)</f>
        <v>31.350000000034925</v>
      </c>
      <c r="AJ322" s="83">
        <f t="shared" ref="AJ322:AJ385" si="70">I322/AI322</f>
        <v>4.9760765550183796</v>
      </c>
      <c r="AK322" s="83"/>
      <c r="AL322" s="83"/>
      <c r="AM322" s="83"/>
      <c r="AN322" s="83"/>
      <c r="AO322" s="78"/>
    </row>
    <row r="323" spans="1:41" customFormat="1" ht="15" hidden="1" x14ac:dyDescent="0.25">
      <c r="A323" s="82">
        <v>45702</v>
      </c>
      <c r="B323" s="94" t="str">
        <f t="shared" si="60"/>
        <v>February</v>
      </c>
      <c r="C323" s="78"/>
      <c r="D323" s="79" t="s">
        <v>167</v>
      </c>
      <c r="E323" s="80" t="s">
        <v>1017</v>
      </c>
      <c r="F323" s="79"/>
      <c r="G323" s="79" t="s">
        <v>58</v>
      </c>
      <c r="H323" s="79" t="s">
        <v>452</v>
      </c>
      <c r="I323" s="79">
        <v>78.75</v>
      </c>
      <c r="J323" s="79" t="s">
        <v>167</v>
      </c>
      <c r="K323" s="80" t="s">
        <v>469</v>
      </c>
      <c r="L323" s="80">
        <v>690</v>
      </c>
      <c r="M323" s="80">
        <f>L323+2</f>
        <v>692</v>
      </c>
      <c r="N323" s="81">
        <f t="shared" si="59"/>
        <v>2</v>
      </c>
      <c r="O323" s="78"/>
      <c r="P323" s="82">
        <v>45701.720138888886</v>
      </c>
      <c r="Q323" s="82">
        <v>45701.743749999994</v>
      </c>
      <c r="R323" s="82">
        <v>45701.749305555553</v>
      </c>
      <c r="S323" s="81">
        <f t="shared" si="61"/>
        <v>7.9629629680615226</v>
      </c>
      <c r="T323" s="81">
        <f t="shared" si="62"/>
        <v>41.805555556250816</v>
      </c>
      <c r="U323" s="79"/>
      <c r="V323" s="82">
        <v>45704.590277777781</v>
      </c>
      <c r="W323" s="82">
        <v>45704.698611111111</v>
      </c>
      <c r="X323" s="103">
        <f t="shared" si="63"/>
        <v>152.74999999521242</v>
      </c>
      <c r="Y323" s="82"/>
      <c r="Z323" s="82">
        <v>45703.318055555559</v>
      </c>
      <c r="AA323" s="82">
        <v>45703.350694444445</v>
      </c>
      <c r="AB323" s="81">
        <f t="shared" si="64"/>
        <v>46.020833329457673</v>
      </c>
      <c r="AC323" s="80"/>
      <c r="AD323" s="83">
        <f t="shared" si="65"/>
        <v>1.5687500000058208</v>
      </c>
      <c r="AE323" s="80">
        <v>3</v>
      </c>
      <c r="AF323" s="84">
        <f t="shared" si="66"/>
        <v>1.4312499999941792</v>
      </c>
      <c r="AG323" s="83">
        <f t="shared" si="67"/>
        <v>37.650000000139698</v>
      </c>
      <c r="AH323" s="83">
        <f t="shared" si="68"/>
        <v>12</v>
      </c>
      <c r="AI323" s="83">
        <f t="shared" si="69"/>
        <v>25.650000000139698</v>
      </c>
      <c r="AJ323" s="83">
        <f t="shared" si="70"/>
        <v>3.0701754385797702</v>
      </c>
      <c r="AK323" s="83"/>
      <c r="AL323" s="83"/>
      <c r="AM323" s="83"/>
      <c r="AN323" s="83"/>
      <c r="AO323" s="78"/>
    </row>
    <row r="324" spans="1:41" customFormat="1" ht="15" hidden="1" x14ac:dyDescent="0.25">
      <c r="A324" s="82">
        <v>45702</v>
      </c>
      <c r="B324" s="94" t="str">
        <f t="shared" si="60"/>
        <v>February</v>
      </c>
      <c r="C324" s="78"/>
      <c r="D324" s="79" t="s">
        <v>173</v>
      </c>
      <c r="E324" s="80" t="s">
        <v>1017</v>
      </c>
      <c r="F324" s="79"/>
      <c r="G324" s="79" t="s">
        <v>49</v>
      </c>
      <c r="H324" s="79" t="s">
        <v>458</v>
      </c>
      <c r="I324" s="79">
        <v>156</v>
      </c>
      <c r="J324" s="79" t="s">
        <v>173</v>
      </c>
      <c r="K324" s="80" t="s">
        <v>469</v>
      </c>
      <c r="L324" s="80">
        <v>448</v>
      </c>
      <c r="M324" s="80">
        <f>L324-3</f>
        <v>445</v>
      </c>
      <c r="N324" s="81">
        <f t="shared" ref="N324:N387" si="71">M324-L324</f>
        <v>-3</v>
      </c>
      <c r="O324" s="78"/>
      <c r="P324" s="82">
        <f>R324-TIME(0,44,0)</f>
        <v>45704.322222222225</v>
      </c>
      <c r="Q324" s="82">
        <v>45704.347222222219</v>
      </c>
      <c r="R324" s="82">
        <v>45704.352777777778</v>
      </c>
      <c r="S324" s="81">
        <f t="shared" si="61"/>
        <v>7.9629629680615226</v>
      </c>
      <c r="T324" s="81">
        <f t="shared" si="62"/>
        <v>43.796296293051761</v>
      </c>
      <c r="U324" s="79"/>
      <c r="V324" s="82">
        <v>45703.544444444444</v>
      </c>
      <c r="W324" s="82">
        <v>45703.767361111109</v>
      </c>
      <c r="X324" s="103">
        <f t="shared" si="63"/>
        <v>314.31249999863212</v>
      </c>
      <c r="Y324" s="82" t="s">
        <v>1051</v>
      </c>
      <c r="Z324" s="82">
        <v>45705.563194444447</v>
      </c>
      <c r="AA324" s="82">
        <v>45705.602777777778</v>
      </c>
      <c r="AB324" s="81">
        <f t="shared" si="64"/>
        <v>55.81249999726424</v>
      </c>
      <c r="AC324" s="80"/>
      <c r="AD324" s="83">
        <f t="shared" si="65"/>
        <v>1.2104166666686069</v>
      </c>
      <c r="AE324" s="80">
        <v>2</v>
      </c>
      <c r="AF324" s="84">
        <f t="shared" si="66"/>
        <v>0.78958333333139308</v>
      </c>
      <c r="AG324" s="83">
        <f t="shared" si="67"/>
        <v>29.050000000046566</v>
      </c>
      <c r="AH324" s="83">
        <f t="shared" si="68"/>
        <v>12</v>
      </c>
      <c r="AI324" s="83">
        <f t="shared" si="69"/>
        <v>17.050000000046566</v>
      </c>
      <c r="AJ324" s="83">
        <f t="shared" si="70"/>
        <v>9.1495601172770638</v>
      </c>
      <c r="AK324" s="83"/>
      <c r="AL324" s="83"/>
      <c r="AM324" s="83"/>
      <c r="AN324" s="83"/>
      <c r="AO324" s="78"/>
    </row>
    <row r="325" spans="1:41" customFormat="1" ht="15" hidden="1" x14ac:dyDescent="0.25">
      <c r="A325" s="82">
        <v>45702</v>
      </c>
      <c r="B325" s="94" t="str">
        <f t="shared" si="60"/>
        <v>February</v>
      </c>
      <c r="C325" s="78"/>
      <c r="D325" s="79" t="s">
        <v>174</v>
      </c>
      <c r="E325" s="80" t="s">
        <v>1017</v>
      </c>
      <c r="F325" s="79" t="s">
        <v>1034</v>
      </c>
      <c r="G325" s="79" t="s">
        <v>53</v>
      </c>
      <c r="H325" s="79" t="s">
        <v>453</v>
      </c>
      <c r="I325" s="79">
        <v>100</v>
      </c>
      <c r="J325" s="79" t="s">
        <v>174</v>
      </c>
      <c r="K325" s="80" t="s">
        <v>469</v>
      </c>
      <c r="L325" s="80">
        <v>464</v>
      </c>
      <c r="M325" s="80">
        <f>L325-2</f>
        <v>462</v>
      </c>
      <c r="N325" s="81">
        <f t="shared" si="71"/>
        <v>-2</v>
      </c>
      <c r="O325" s="78"/>
      <c r="P325" s="82">
        <f>R325-TIME(0,44,0)</f>
        <v>45702.336805555555</v>
      </c>
      <c r="Q325" s="82">
        <v>45702.345833333333</v>
      </c>
      <c r="R325" s="82">
        <v>45702.367361111108</v>
      </c>
      <c r="S325" s="81">
        <f t="shared" si="61"/>
        <v>30.856481477773439</v>
      </c>
      <c r="T325" s="81">
        <f t="shared" si="62"/>
        <v>43.796296293051761</v>
      </c>
      <c r="U325" s="79"/>
      <c r="V325" s="82">
        <v>45703.668055555558</v>
      </c>
      <c r="W325" s="82">
        <v>45703.76458333333</v>
      </c>
      <c r="X325" s="103">
        <f t="shared" si="63"/>
        <v>136.10416665891535</v>
      </c>
      <c r="Y325" s="82"/>
      <c r="Z325" s="82">
        <v>45705.543749999997</v>
      </c>
      <c r="AA325" s="82">
        <f>Z325+TIME(0,60,0)</f>
        <v>45705.585416666661</v>
      </c>
      <c r="AB325" s="81">
        <f t="shared" si="64"/>
        <v>58.7499999965803</v>
      </c>
      <c r="AC325" s="80"/>
      <c r="AD325" s="83">
        <f t="shared" si="65"/>
        <v>3.1763888888890506</v>
      </c>
      <c r="AE325" s="80">
        <v>2</v>
      </c>
      <c r="AF325" s="84">
        <f t="shared" si="66"/>
        <v>-1.1763888888890506</v>
      </c>
      <c r="AG325" s="83">
        <f t="shared" si="67"/>
        <v>76.233333333337214</v>
      </c>
      <c r="AH325" s="83">
        <f t="shared" si="68"/>
        <v>36</v>
      </c>
      <c r="AI325" s="83">
        <f t="shared" si="69"/>
        <v>40.233333333337214</v>
      </c>
      <c r="AJ325" s="83">
        <f t="shared" si="70"/>
        <v>2.4855012427503818</v>
      </c>
      <c r="AK325" s="83"/>
      <c r="AL325" s="83"/>
      <c r="AM325" s="83"/>
      <c r="AN325" s="83"/>
      <c r="AO325" s="78"/>
    </row>
    <row r="326" spans="1:41" customFormat="1" ht="15" hidden="1" x14ac:dyDescent="0.25">
      <c r="A326" s="82">
        <v>45702</v>
      </c>
      <c r="B326" s="94" t="str">
        <f t="shared" si="60"/>
        <v>February</v>
      </c>
      <c r="C326" s="78"/>
      <c r="D326" s="79" t="s">
        <v>847</v>
      </c>
      <c r="E326" s="80" t="s">
        <v>1016</v>
      </c>
      <c r="F326" s="79" t="s">
        <v>962</v>
      </c>
      <c r="G326" s="79" t="s">
        <v>978</v>
      </c>
      <c r="H326" s="79" t="s">
        <v>458</v>
      </c>
      <c r="I326" s="79">
        <v>153.6</v>
      </c>
      <c r="J326" s="79" t="s">
        <v>847</v>
      </c>
      <c r="K326" s="80" t="s">
        <v>469</v>
      </c>
      <c r="L326" s="80">
        <v>448</v>
      </c>
      <c r="M326" s="80">
        <f>L326+2</f>
        <v>450</v>
      </c>
      <c r="N326" s="81">
        <f t="shared" si="71"/>
        <v>2</v>
      </c>
      <c r="O326" s="78"/>
      <c r="P326" s="82">
        <f>R326-TIME(0,41,0)</f>
        <v>45702.358333333337</v>
      </c>
      <c r="Q326" s="82">
        <v>45702.370833333334</v>
      </c>
      <c r="R326" s="82">
        <v>45702.386805555558</v>
      </c>
      <c r="S326" s="81">
        <f t="shared" si="61"/>
        <v>22.893518520140788</v>
      </c>
      <c r="T326" s="81">
        <f t="shared" si="62"/>
        <v>40.810185182635905</v>
      </c>
      <c r="U326" s="79"/>
      <c r="V326" s="82">
        <v>45703.404861111114</v>
      </c>
      <c r="W326" s="82">
        <v>45703.496527777781</v>
      </c>
      <c r="X326" s="103">
        <f t="shared" si="63"/>
        <v>129.25000000068394</v>
      </c>
      <c r="Y326" s="82"/>
      <c r="Z326" s="82">
        <v>45704.621527777781</v>
      </c>
      <c r="AA326" s="82">
        <f>Z326+TIME(0,60,0)</f>
        <v>45704.663194444445</v>
      </c>
      <c r="AB326" s="81">
        <f t="shared" si="64"/>
        <v>58.7499999965803</v>
      </c>
      <c r="AC326" s="80"/>
      <c r="AD326" s="83">
        <f t="shared" si="65"/>
        <v>2.234722222223354</v>
      </c>
      <c r="AE326" s="80">
        <v>2</v>
      </c>
      <c r="AF326" s="84">
        <f t="shared" si="66"/>
        <v>-0.23472222222335404</v>
      </c>
      <c r="AG326" s="83">
        <f t="shared" si="67"/>
        <v>53.633333333360497</v>
      </c>
      <c r="AH326" s="83">
        <f t="shared" si="68"/>
        <v>24</v>
      </c>
      <c r="AI326" s="83">
        <f t="shared" si="69"/>
        <v>29.633333333360497</v>
      </c>
      <c r="AJ326" s="83">
        <f t="shared" si="70"/>
        <v>5.1833520809851246</v>
      </c>
      <c r="AK326" s="83"/>
      <c r="AL326" s="83"/>
      <c r="AM326" s="83"/>
      <c r="AN326" s="83"/>
      <c r="AO326" s="78"/>
    </row>
    <row r="327" spans="1:41" customFormat="1" ht="15" hidden="1" x14ac:dyDescent="0.25">
      <c r="A327" s="82">
        <v>45702</v>
      </c>
      <c r="B327" s="94" t="str">
        <f t="shared" si="60"/>
        <v>February</v>
      </c>
      <c r="C327" s="78"/>
      <c r="D327" s="79" t="s">
        <v>846</v>
      </c>
      <c r="E327" s="80" t="s">
        <v>1016</v>
      </c>
      <c r="F327" s="79" t="s">
        <v>961</v>
      </c>
      <c r="G327" s="79" t="s">
        <v>977</v>
      </c>
      <c r="H327" s="79" t="s">
        <v>1282</v>
      </c>
      <c r="I327" s="79">
        <v>153.6</v>
      </c>
      <c r="J327" s="79" t="s">
        <v>846</v>
      </c>
      <c r="K327" s="80" t="s">
        <v>469</v>
      </c>
      <c r="L327" s="79">
        <v>810</v>
      </c>
      <c r="M327" s="80">
        <f>L327-1</f>
        <v>809</v>
      </c>
      <c r="N327" s="81">
        <f t="shared" si="71"/>
        <v>-1</v>
      </c>
      <c r="O327" s="78" t="s">
        <v>1043</v>
      </c>
      <c r="P327" s="82">
        <v>45700.572222222225</v>
      </c>
      <c r="Q327" s="82">
        <v>45700.592361111114</v>
      </c>
      <c r="R327" s="82">
        <v>45700.600694444445</v>
      </c>
      <c r="S327" s="81">
        <f t="shared" si="61"/>
        <v>11.944444441663412</v>
      </c>
      <c r="T327" s="81">
        <f t="shared" si="62"/>
        <v>40.810185182635905</v>
      </c>
      <c r="U327" s="79"/>
      <c r="V327" s="82">
        <v>45703.675694444442</v>
      </c>
      <c r="W327" s="82">
        <v>45703.793055555558</v>
      </c>
      <c r="X327" s="103">
        <f t="shared" si="63"/>
        <v>165.47916667259415</v>
      </c>
      <c r="Y327" s="82"/>
      <c r="Z327" s="82">
        <v>45703.327777777777</v>
      </c>
      <c r="AA327" s="82">
        <f>Z327+TIME(0,58,0)</f>
        <v>45703.368055555555</v>
      </c>
      <c r="AB327" s="81">
        <f t="shared" si="64"/>
        <v>56.791666667122627</v>
      </c>
      <c r="AC327" s="80"/>
      <c r="AD327" s="83">
        <f t="shared" si="65"/>
        <v>2.7270833333313931</v>
      </c>
      <c r="AE327" s="80">
        <v>2</v>
      </c>
      <c r="AF327" s="84">
        <f t="shared" si="66"/>
        <v>-0.72708333333139308</v>
      </c>
      <c r="AG327" s="83">
        <f t="shared" si="67"/>
        <v>65.449999999953434</v>
      </c>
      <c r="AH327" s="83">
        <f t="shared" si="68"/>
        <v>24</v>
      </c>
      <c r="AI327" s="83">
        <f t="shared" si="69"/>
        <v>41.449999999953434</v>
      </c>
      <c r="AJ327" s="83">
        <f t="shared" si="70"/>
        <v>3.7056694813069373</v>
      </c>
      <c r="AK327" s="83"/>
      <c r="AL327" s="83"/>
      <c r="AM327" s="83"/>
      <c r="AN327" s="83"/>
      <c r="AO327" s="78"/>
    </row>
    <row r="328" spans="1:41" customFormat="1" ht="15" hidden="1" x14ac:dyDescent="0.25">
      <c r="A328" s="82">
        <v>45702</v>
      </c>
      <c r="B328" s="94" t="str">
        <f t="shared" si="60"/>
        <v>February</v>
      </c>
      <c r="C328" s="78"/>
      <c r="D328" s="79" t="s">
        <v>1005</v>
      </c>
      <c r="E328" s="80" t="s">
        <v>1016</v>
      </c>
      <c r="F328" s="79" t="s">
        <v>963</v>
      </c>
      <c r="G328" s="79" t="s">
        <v>60</v>
      </c>
      <c r="H328" s="79" t="s">
        <v>986</v>
      </c>
      <c r="I328" s="79">
        <v>153.6</v>
      </c>
      <c r="J328" s="79" t="s">
        <v>1005</v>
      </c>
      <c r="K328" s="80" t="s">
        <v>469</v>
      </c>
      <c r="L328" s="79">
        <v>350</v>
      </c>
      <c r="M328" s="80">
        <f>L328+2</f>
        <v>352</v>
      </c>
      <c r="N328" s="81">
        <f t="shared" si="71"/>
        <v>2</v>
      </c>
      <c r="O328" s="78"/>
      <c r="P328" s="82">
        <v>45700.484027777777</v>
      </c>
      <c r="Q328" s="82">
        <v>45700.451388888891</v>
      </c>
      <c r="R328" s="82">
        <v>45700.513194444444</v>
      </c>
      <c r="S328" s="81">
        <f t="shared" si="61"/>
        <v>88.587962959718425</v>
      </c>
      <c r="T328" s="81">
        <f t="shared" si="62"/>
        <v>41.805555556250816</v>
      </c>
      <c r="U328" s="79"/>
      <c r="V328" s="82">
        <v>45703.688194444447</v>
      </c>
      <c r="W328" s="82">
        <v>45703.818749999999</v>
      </c>
      <c r="X328" s="103">
        <f t="shared" si="63"/>
        <v>184.08333332808979</v>
      </c>
      <c r="Y328" s="82" t="s">
        <v>1044</v>
      </c>
      <c r="Z328" s="82">
        <v>45707.758333333331</v>
      </c>
      <c r="AA328" s="82">
        <f>Z328+TIME(0,58,0)</f>
        <v>45707.798611111109</v>
      </c>
      <c r="AB328" s="81">
        <f t="shared" si="64"/>
        <v>56.791666667122627</v>
      </c>
      <c r="AC328" s="80"/>
      <c r="AD328" s="83">
        <f t="shared" si="65"/>
        <v>7.2451388888875954</v>
      </c>
      <c r="AE328" s="80">
        <v>2</v>
      </c>
      <c r="AF328" s="84">
        <f t="shared" si="66"/>
        <v>-5.2451388888875954</v>
      </c>
      <c r="AG328" s="83">
        <f t="shared" si="67"/>
        <v>173.88333333330229</v>
      </c>
      <c r="AH328" s="83">
        <f t="shared" si="68"/>
        <v>84</v>
      </c>
      <c r="AI328" s="83">
        <f t="shared" si="69"/>
        <v>89.883333333302289</v>
      </c>
      <c r="AJ328" s="83">
        <f t="shared" si="70"/>
        <v>1.7088818839241948</v>
      </c>
      <c r="AK328" s="83"/>
      <c r="AL328" s="83"/>
      <c r="AM328" s="83"/>
      <c r="AN328" s="83"/>
      <c r="AO328" s="78"/>
    </row>
    <row r="329" spans="1:41" customFormat="1" ht="15" hidden="1" x14ac:dyDescent="0.25">
      <c r="A329" s="82">
        <v>45703</v>
      </c>
      <c r="B329" s="94" t="str">
        <f t="shared" si="60"/>
        <v>February</v>
      </c>
      <c r="C329" s="78"/>
      <c r="D329" s="79" t="s">
        <v>175</v>
      </c>
      <c r="E329" s="80" t="s">
        <v>1017</v>
      </c>
      <c r="F329" s="79" t="s">
        <v>1025</v>
      </c>
      <c r="G329" s="79" t="s">
        <v>54</v>
      </c>
      <c r="H329" s="79" t="s">
        <v>451</v>
      </c>
      <c r="I329" s="79">
        <v>156</v>
      </c>
      <c r="J329" s="79" t="s">
        <v>175</v>
      </c>
      <c r="K329" s="80" t="s">
        <v>469</v>
      </c>
      <c r="L329" s="80">
        <v>790</v>
      </c>
      <c r="M329" s="80">
        <f>L329+2</f>
        <v>792</v>
      </c>
      <c r="N329" s="81">
        <f t="shared" si="71"/>
        <v>2</v>
      </c>
      <c r="O329" s="78"/>
      <c r="P329" s="82">
        <f>R329-TIME(0,43,0)</f>
        <v>45701.836111111108</v>
      </c>
      <c r="Q329" s="82">
        <v>45701.836111111108</v>
      </c>
      <c r="R329" s="82">
        <v>45701.865972222222</v>
      </c>
      <c r="S329" s="81">
        <f t="shared" si="61"/>
        <v>42.80092592986572</v>
      </c>
      <c r="T329" s="81">
        <f t="shared" si="62"/>
        <v>42.80092592986572</v>
      </c>
      <c r="U329" s="79"/>
      <c r="V329" s="82">
        <v>45702.804166666669</v>
      </c>
      <c r="W329" s="82">
        <v>45703.431944444441</v>
      </c>
      <c r="X329" s="103">
        <f t="shared" si="63"/>
        <v>885.16666665891535</v>
      </c>
      <c r="Y329" s="82" t="s">
        <v>1049</v>
      </c>
      <c r="Z329" s="82">
        <v>45704.345833333333</v>
      </c>
      <c r="AA329" s="82">
        <v>45704.384027777778</v>
      </c>
      <c r="AB329" s="81">
        <f t="shared" si="64"/>
        <v>53.854166667806567</v>
      </c>
      <c r="AC329" s="80"/>
      <c r="AD329" s="83">
        <f t="shared" si="65"/>
        <v>2.4798611111109494</v>
      </c>
      <c r="AE329" s="80">
        <v>2</v>
      </c>
      <c r="AF329" s="84">
        <f t="shared" si="66"/>
        <v>-0.47986111111094942</v>
      </c>
      <c r="AG329" s="83">
        <f t="shared" si="67"/>
        <v>59.516666666662786</v>
      </c>
      <c r="AH329" s="83">
        <f t="shared" si="68"/>
        <v>24</v>
      </c>
      <c r="AI329" s="83">
        <f t="shared" si="69"/>
        <v>35.516666666662786</v>
      </c>
      <c r="AJ329" s="83">
        <f t="shared" si="70"/>
        <v>4.3923040825908135</v>
      </c>
      <c r="AK329" s="83"/>
      <c r="AL329" s="83"/>
      <c r="AM329" s="83"/>
      <c r="AN329" s="83"/>
      <c r="AO329" s="78"/>
    </row>
    <row r="330" spans="1:41" customFormat="1" ht="15" hidden="1" x14ac:dyDescent="0.25">
      <c r="A330" s="82">
        <v>45703</v>
      </c>
      <c r="B330" s="94" t="str">
        <f t="shared" si="60"/>
        <v>February</v>
      </c>
      <c r="C330" s="78"/>
      <c r="D330" s="79" t="s">
        <v>176</v>
      </c>
      <c r="E330" s="80" t="s">
        <v>1017</v>
      </c>
      <c r="F330" s="79" t="s">
        <v>1021</v>
      </c>
      <c r="G330" s="79" t="s">
        <v>57</v>
      </c>
      <c r="H330" s="79" t="s">
        <v>452</v>
      </c>
      <c r="I330" s="79">
        <v>156</v>
      </c>
      <c r="J330" s="79" t="s">
        <v>176</v>
      </c>
      <c r="K330" s="80" t="s">
        <v>469</v>
      </c>
      <c r="L330" s="80">
        <v>690</v>
      </c>
      <c r="M330" s="80">
        <f>L330+2</f>
        <v>692</v>
      </c>
      <c r="N330" s="81">
        <f t="shared" si="71"/>
        <v>2</v>
      </c>
      <c r="O330" s="78"/>
      <c r="P330" s="82">
        <f>R330-TIME(0,44,0)</f>
        <v>45701.451388888891</v>
      </c>
      <c r="Q330" s="82">
        <v>45701.442361111112</v>
      </c>
      <c r="R330" s="82">
        <v>45701.481944444444</v>
      </c>
      <c r="S330" s="81">
        <f t="shared" si="61"/>
        <v>56.736111108330078</v>
      </c>
      <c r="T330" s="81">
        <f t="shared" si="62"/>
        <v>43.796296293051761</v>
      </c>
      <c r="U330" s="79"/>
      <c r="V330" s="82">
        <v>45702.35833333333</v>
      </c>
      <c r="W330" s="82">
        <v>45702.613888888889</v>
      </c>
      <c r="X330" s="103">
        <f t="shared" si="63"/>
        <v>360.33333333834889</v>
      </c>
      <c r="Y330" s="82" t="s">
        <v>1044</v>
      </c>
      <c r="Z330" s="82">
        <v>45704.345833333333</v>
      </c>
      <c r="AA330" s="82">
        <f>Z330+TIME(0,56,0)</f>
        <v>45704.384722222225</v>
      </c>
      <c r="AB330" s="81">
        <f t="shared" si="64"/>
        <v>54.833333337664953</v>
      </c>
      <c r="AC330" s="80"/>
      <c r="AD330" s="83">
        <f t="shared" si="65"/>
        <v>2.8638888888890506</v>
      </c>
      <c r="AE330" s="80">
        <v>3</v>
      </c>
      <c r="AF330" s="84">
        <f t="shared" si="66"/>
        <v>0.13611111111094942</v>
      </c>
      <c r="AG330" s="83">
        <f t="shared" si="67"/>
        <v>68.733333333337214</v>
      </c>
      <c r="AH330" s="83">
        <f t="shared" si="68"/>
        <v>24</v>
      </c>
      <c r="AI330" s="83">
        <f t="shared" si="69"/>
        <v>44.733333333337214</v>
      </c>
      <c r="AJ330" s="83">
        <f t="shared" si="70"/>
        <v>3.4873323397910538</v>
      </c>
      <c r="AK330" s="83"/>
      <c r="AL330" s="83"/>
      <c r="AM330" s="83"/>
      <c r="AN330" s="83"/>
      <c r="AO330" s="78"/>
    </row>
    <row r="331" spans="1:41" customFormat="1" ht="15" hidden="1" x14ac:dyDescent="0.25">
      <c r="A331" s="82">
        <v>45703</v>
      </c>
      <c r="B331" s="94" t="str">
        <f t="shared" si="60"/>
        <v>February</v>
      </c>
      <c r="C331" s="78"/>
      <c r="D331" s="79" t="s">
        <v>177</v>
      </c>
      <c r="E331" s="80" t="s">
        <v>1017</v>
      </c>
      <c r="F331" s="79" t="s">
        <v>1033</v>
      </c>
      <c r="G331" s="79" t="s">
        <v>41</v>
      </c>
      <c r="H331" s="79" t="s">
        <v>449</v>
      </c>
      <c r="I331" s="79">
        <v>156</v>
      </c>
      <c r="J331" s="79" t="s">
        <v>177</v>
      </c>
      <c r="K331" s="80" t="s">
        <v>469</v>
      </c>
      <c r="L331" s="80">
        <v>790</v>
      </c>
      <c r="M331" s="80">
        <f>L331-2</f>
        <v>788</v>
      </c>
      <c r="N331" s="81">
        <f t="shared" si="71"/>
        <v>-2</v>
      </c>
      <c r="O331" s="78"/>
      <c r="P331" s="82">
        <v>45701.603472222218</v>
      </c>
      <c r="Q331" s="82">
        <v>45701.621527777774</v>
      </c>
      <c r="R331" s="82">
        <v>45701.633333333331</v>
      </c>
      <c r="S331" s="81">
        <f t="shared" si="61"/>
        <v>16.921296299309081</v>
      </c>
      <c r="T331" s="81">
        <f t="shared" si="62"/>
        <v>42.80092592986572</v>
      </c>
      <c r="U331" s="79"/>
      <c r="V331" s="82">
        <v>45702.601388888892</v>
      </c>
      <c r="W331" s="82">
        <v>45702.743055555555</v>
      </c>
      <c r="X331" s="103">
        <f t="shared" si="63"/>
        <v>199.74999999452848</v>
      </c>
      <c r="Y331" s="82" t="s">
        <v>1047</v>
      </c>
      <c r="Z331" s="82">
        <v>45703.318055555559</v>
      </c>
      <c r="AA331" s="82">
        <f>Z331+TIME(0,60,0)</f>
        <v>45703.359722222223</v>
      </c>
      <c r="AB331" s="81">
        <f t="shared" si="64"/>
        <v>58.7499999965803</v>
      </c>
      <c r="AC331" s="80"/>
      <c r="AD331" s="83">
        <f t="shared" si="65"/>
        <v>1.6847222222277196</v>
      </c>
      <c r="AE331" s="80">
        <v>2</v>
      </c>
      <c r="AF331" s="84">
        <f t="shared" si="66"/>
        <v>0.31527777777228039</v>
      </c>
      <c r="AG331" s="83">
        <f t="shared" si="67"/>
        <v>40.433333333465271</v>
      </c>
      <c r="AH331" s="83">
        <f t="shared" si="68"/>
        <v>12</v>
      </c>
      <c r="AI331" s="83">
        <f t="shared" si="69"/>
        <v>28.433333333465271</v>
      </c>
      <c r="AJ331" s="83">
        <f t="shared" si="70"/>
        <v>5.4865181711351507</v>
      </c>
      <c r="AK331" s="83"/>
      <c r="AL331" s="83"/>
      <c r="AM331" s="83"/>
      <c r="AN331" s="83"/>
      <c r="AO331" s="78"/>
    </row>
    <row r="332" spans="1:41" customFormat="1" ht="15" hidden="1" x14ac:dyDescent="0.25">
      <c r="A332" s="82">
        <v>45703</v>
      </c>
      <c r="B332" s="94" t="str">
        <f t="shared" si="60"/>
        <v>February</v>
      </c>
      <c r="C332" s="78"/>
      <c r="D332" s="79" t="s">
        <v>178</v>
      </c>
      <c r="E332" s="80" t="s">
        <v>1017</v>
      </c>
      <c r="F332" s="79" t="s">
        <v>1037</v>
      </c>
      <c r="G332" s="79" t="s">
        <v>59</v>
      </c>
      <c r="H332" s="79" t="s">
        <v>460</v>
      </c>
      <c r="I332" s="79">
        <v>156</v>
      </c>
      <c r="J332" s="79" t="s">
        <v>178</v>
      </c>
      <c r="K332" s="80" t="s">
        <v>469</v>
      </c>
      <c r="L332" s="80">
        <v>600</v>
      </c>
      <c r="M332" s="80">
        <f>L332+2</f>
        <v>602</v>
      </c>
      <c r="N332" s="81">
        <f t="shared" si="71"/>
        <v>2</v>
      </c>
      <c r="O332" s="78"/>
      <c r="P332" s="82">
        <v>45700.768055555556</v>
      </c>
      <c r="Q332" s="82">
        <v>45700.793749999997</v>
      </c>
      <c r="R332" s="82">
        <v>45700.796527777777</v>
      </c>
      <c r="S332" s="81">
        <f t="shared" si="61"/>
        <v>3.9814814840307613</v>
      </c>
      <c r="T332" s="81">
        <f t="shared" si="62"/>
        <v>40.810185182635905</v>
      </c>
      <c r="U332" s="79"/>
      <c r="V332" s="82">
        <v>45704.590277777781</v>
      </c>
      <c r="W332" s="82">
        <v>45704.698611111111</v>
      </c>
      <c r="X332" s="103">
        <f t="shared" si="63"/>
        <v>152.74999999521242</v>
      </c>
      <c r="Y332" s="82"/>
      <c r="Z332" s="82">
        <v>45703.385416666664</v>
      </c>
      <c r="AA332" s="82">
        <v>45703.42083333333</v>
      </c>
      <c r="AB332" s="81">
        <f t="shared" si="64"/>
        <v>49.93749999863212</v>
      </c>
      <c r="AC332" s="80"/>
      <c r="AD332" s="83">
        <f t="shared" si="65"/>
        <v>2.5888888888875954</v>
      </c>
      <c r="AE332" s="80">
        <v>3</v>
      </c>
      <c r="AF332" s="84">
        <f t="shared" si="66"/>
        <v>0.41111111111240461</v>
      </c>
      <c r="AG332" s="83">
        <f t="shared" si="67"/>
        <v>62.133333333302289</v>
      </c>
      <c r="AH332" s="83">
        <f t="shared" si="68"/>
        <v>24</v>
      </c>
      <c r="AI332" s="83">
        <f t="shared" si="69"/>
        <v>38.133333333302289</v>
      </c>
      <c r="AJ332" s="83">
        <f t="shared" si="70"/>
        <v>4.0909090909124215</v>
      </c>
      <c r="AK332" s="83"/>
      <c r="AL332" s="83"/>
      <c r="AM332" s="83"/>
      <c r="AN332" s="83"/>
      <c r="AO332" s="78"/>
    </row>
    <row r="333" spans="1:41" customFormat="1" ht="15" hidden="1" x14ac:dyDescent="0.25">
      <c r="A333" s="82">
        <v>45703</v>
      </c>
      <c r="B333" s="94" t="str">
        <f t="shared" si="60"/>
        <v>February</v>
      </c>
      <c r="C333" s="78"/>
      <c r="D333" s="79" t="s">
        <v>179</v>
      </c>
      <c r="E333" s="80" t="s">
        <v>1017</v>
      </c>
      <c r="F333" s="79"/>
      <c r="G333" s="79" t="s">
        <v>65</v>
      </c>
      <c r="H333" s="79" t="s">
        <v>987</v>
      </c>
      <c r="I333" s="79">
        <v>156</v>
      </c>
      <c r="J333" s="79" t="s">
        <v>179</v>
      </c>
      <c r="K333" s="80" t="s">
        <v>469</v>
      </c>
      <c r="L333" s="79">
        <v>320</v>
      </c>
      <c r="M333" s="80">
        <f>L333-1</f>
        <v>319</v>
      </c>
      <c r="N333" s="81">
        <f t="shared" si="71"/>
        <v>-1</v>
      </c>
      <c r="O333" s="78"/>
      <c r="P333" s="82">
        <f>R333-TIME(0,44,0)</f>
        <v>45700.708333333336</v>
      </c>
      <c r="Q333" s="82">
        <v>45700.681944444448</v>
      </c>
      <c r="R333" s="82">
        <v>45700.738888888889</v>
      </c>
      <c r="S333" s="81">
        <f t="shared" si="61"/>
        <v>81.62037036527181</v>
      </c>
      <c r="T333" s="81">
        <f t="shared" si="62"/>
        <v>43.796296293051761</v>
      </c>
      <c r="U333" s="79"/>
      <c r="V333" s="82">
        <v>45702.463888888888</v>
      </c>
      <c r="W333" s="82">
        <v>45702.717361111114</v>
      </c>
      <c r="X333" s="103">
        <f t="shared" si="63"/>
        <v>357.39583333903283</v>
      </c>
      <c r="Y333" s="82" t="s">
        <v>1046</v>
      </c>
      <c r="Z333" s="82">
        <v>45705.563194444447</v>
      </c>
      <c r="AA333" s="82">
        <f>Z333+TIME(0,56,0)</f>
        <v>45705.602083333339</v>
      </c>
      <c r="AB333" s="81">
        <f t="shared" si="64"/>
        <v>54.833333337664953</v>
      </c>
      <c r="AC333" s="80"/>
      <c r="AD333" s="83">
        <f t="shared" si="65"/>
        <v>4.8243055555576575</v>
      </c>
      <c r="AE333" s="80">
        <v>2</v>
      </c>
      <c r="AF333" s="84">
        <f t="shared" si="66"/>
        <v>-2.8243055555576575</v>
      </c>
      <c r="AG333" s="83">
        <f t="shared" si="67"/>
        <v>115.78333333338378</v>
      </c>
      <c r="AH333" s="83">
        <f t="shared" si="68"/>
        <v>48</v>
      </c>
      <c r="AI333" s="83">
        <f t="shared" si="69"/>
        <v>67.78333333338378</v>
      </c>
      <c r="AJ333" s="83">
        <f t="shared" si="70"/>
        <v>2.3014507007605198</v>
      </c>
      <c r="AK333" s="83"/>
      <c r="AL333" s="83"/>
      <c r="AM333" s="83"/>
      <c r="AN333" s="83"/>
      <c r="AO333" s="78"/>
    </row>
    <row r="334" spans="1:41" customFormat="1" ht="15" hidden="1" x14ac:dyDescent="0.25">
      <c r="A334" s="82">
        <v>45703</v>
      </c>
      <c r="B334" s="94" t="str">
        <f t="shared" si="60"/>
        <v>February</v>
      </c>
      <c r="C334" s="78"/>
      <c r="D334" s="79" t="s">
        <v>180</v>
      </c>
      <c r="E334" s="80" t="s">
        <v>1017</v>
      </c>
      <c r="F334" s="79" t="s">
        <v>1018</v>
      </c>
      <c r="G334" s="79" t="s">
        <v>39</v>
      </c>
      <c r="H334" s="79" t="s">
        <v>464</v>
      </c>
      <c r="I334" s="79">
        <v>156</v>
      </c>
      <c r="J334" s="79" t="s">
        <v>180</v>
      </c>
      <c r="K334" s="80" t="s">
        <v>469</v>
      </c>
      <c r="L334" s="79">
        <v>256</v>
      </c>
      <c r="M334" s="80">
        <f>L334-1</f>
        <v>255</v>
      </c>
      <c r="N334" s="81">
        <f t="shared" si="71"/>
        <v>-1</v>
      </c>
      <c r="O334" s="78"/>
      <c r="P334" s="82">
        <v>45701.5625</v>
      </c>
      <c r="Q334" s="82">
        <v>45701.584027777782</v>
      </c>
      <c r="R334" s="82">
        <v>45701.592361111114</v>
      </c>
      <c r="S334" s="81">
        <f t="shared" si="61"/>
        <v>11.944444441663412</v>
      </c>
      <c r="T334" s="81">
        <f t="shared" si="62"/>
        <v>42.80092592986572</v>
      </c>
      <c r="U334" s="79"/>
      <c r="V334" s="82">
        <v>45702.363194444442</v>
      </c>
      <c r="W334" s="82">
        <v>45702.448611111111</v>
      </c>
      <c r="X334" s="103">
        <f t="shared" si="63"/>
        <v>120.43750000273576</v>
      </c>
      <c r="Y334" s="82"/>
      <c r="Z334" s="82">
        <v>45704.345833333333</v>
      </c>
      <c r="AA334" s="82">
        <v>45704.385416666664</v>
      </c>
      <c r="AB334" s="81">
        <f t="shared" si="64"/>
        <v>55.81249999726424</v>
      </c>
      <c r="AC334" s="80"/>
      <c r="AD334" s="83">
        <f t="shared" si="65"/>
        <v>2.7534722222189885</v>
      </c>
      <c r="AE334" s="80">
        <v>2</v>
      </c>
      <c r="AF334" s="84">
        <f t="shared" si="66"/>
        <v>-0.75347222221898846</v>
      </c>
      <c r="AG334" s="83">
        <f t="shared" si="67"/>
        <v>66.083333333255723</v>
      </c>
      <c r="AH334" s="83">
        <f t="shared" si="68"/>
        <v>24</v>
      </c>
      <c r="AI334" s="83">
        <f t="shared" si="69"/>
        <v>42.083333333255723</v>
      </c>
      <c r="AJ334" s="83">
        <f t="shared" si="70"/>
        <v>3.7069306930761434</v>
      </c>
      <c r="AK334" s="83"/>
      <c r="AL334" s="83"/>
      <c r="AM334" s="83"/>
      <c r="AN334" s="83"/>
      <c r="AO334" s="78"/>
    </row>
    <row r="335" spans="1:41" customFormat="1" ht="15" hidden="1" x14ac:dyDescent="0.25">
      <c r="A335" s="82">
        <v>45703</v>
      </c>
      <c r="B335" s="94" t="str">
        <f t="shared" si="60"/>
        <v>February</v>
      </c>
      <c r="C335" s="78"/>
      <c r="D335" s="79" t="s">
        <v>181</v>
      </c>
      <c r="E335" s="80" t="s">
        <v>1017</v>
      </c>
      <c r="F335" s="79"/>
      <c r="G335" s="79" t="s">
        <v>40</v>
      </c>
      <c r="H335" s="79" t="s">
        <v>452</v>
      </c>
      <c r="I335" s="79">
        <v>156</v>
      </c>
      <c r="J335" s="79" t="s">
        <v>181</v>
      </c>
      <c r="K335" s="80" t="s">
        <v>469</v>
      </c>
      <c r="L335" s="80">
        <v>690</v>
      </c>
      <c r="M335" s="80">
        <f>L335+2</f>
        <v>692</v>
      </c>
      <c r="N335" s="81">
        <f t="shared" si="71"/>
        <v>2</v>
      </c>
      <c r="O335" s="78"/>
      <c r="P335" s="82">
        <f>R335-TIME(0,44,0)</f>
        <v>45702.538888888892</v>
      </c>
      <c r="Q335" s="82">
        <v>45702.563888888886</v>
      </c>
      <c r="R335" s="82">
        <v>45702.569444444445</v>
      </c>
      <c r="S335" s="81">
        <f t="shared" si="61"/>
        <v>7.9629629680615226</v>
      </c>
      <c r="T335" s="81">
        <f t="shared" si="62"/>
        <v>43.796296293051761</v>
      </c>
      <c r="U335" s="79"/>
      <c r="V335" s="82">
        <v>45703.544444444444</v>
      </c>
      <c r="W335" s="82">
        <v>45703.767361111109</v>
      </c>
      <c r="X335" s="103">
        <f t="shared" si="63"/>
        <v>314.31249999863212</v>
      </c>
      <c r="Y335" s="82" t="s">
        <v>1050</v>
      </c>
      <c r="Z335" s="82">
        <v>45704.345833333333</v>
      </c>
      <c r="AA335" s="82">
        <f>Z335+TIME(0,70,0)</f>
        <v>45704.394444444442</v>
      </c>
      <c r="AB335" s="81">
        <f t="shared" si="64"/>
        <v>68.541666664386867</v>
      </c>
      <c r="AC335" s="80" t="s">
        <v>1675</v>
      </c>
      <c r="AD335" s="83">
        <f t="shared" si="65"/>
        <v>1.7763888888875954</v>
      </c>
      <c r="AE335" s="80">
        <v>3</v>
      </c>
      <c r="AF335" s="84">
        <f t="shared" si="66"/>
        <v>1.2236111111124046</v>
      </c>
      <c r="AG335" s="83">
        <f t="shared" si="67"/>
        <v>42.633333333302289</v>
      </c>
      <c r="AH335" s="83">
        <f t="shared" si="68"/>
        <v>12</v>
      </c>
      <c r="AI335" s="83">
        <f t="shared" si="69"/>
        <v>30.633333333302289</v>
      </c>
      <c r="AJ335" s="83">
        <f t="shared" si="70"/>
        <v>5.0924918389605471</v>
      </c>
      <c r="AK335" s="83"/>
      <c r="AL335" s="83"/>
      <c r="AM335" s="83"/>
      <c r="AN335" s="83"/>
      <c r="AO335" s="78"/>
    </row>
    <row r="336" spans="1:41" customFormat="1" ht="15" hidden="1" x14ac:dyDescent="0.25">
      <c r="A336" s="82">
        <v>45703</v>
      </c>
      <c r="B336" s="94" t="str">
        <f t="shared" si="60"/>
        <v>February</v>
      </c>
      <c r="C336" s="78"/>
      <c r="D336" s="79" t="s">
        <v>182</v>
      </c>
      <c r="E336" s="80" t="s">
        <v>1017</v>
      </c>
      <c r="F336" s="79" t="s">
        <v>963</v>
      </c>
      <c r="G336" s="79" t="s">
        <v>60</v>
      </c>
      <c r="H336" s="79" t="s">
        <v>451</v>
      </c>
      <c r="I336" s="79">
        <v>156</v>
      </c>
      <c r="J336" s="79" t="s">
        <v>182</v>
      </c>
      <c r="K336" s="80" t="s">
        <v>469</v>
      </c>
      <c r="L336" s="80">
        <v>790</v>
      </c>
      <c r="M336" s="80">
        <f>L336+2</f>
        <v>792</v>
      </c>
      <c r="N336" s="81">
        <f t="shared" si="71"/>
        <v>2</v>
      </c>
      <c r="O336" s="78"/>
      <c r="P336" s="82">
        <f>R336-TIME(0,43,0)</f>
        <v>45700.905555555553</v>
      </c>
      <c r="Q336" s="82">
        <v>45700.886805555558</v>
      </c>
      <c r="R336" s="82">
        <v>45700.935416666667</v>
      </c>
      <c r="S336" s="81">
        <f t="shared" si="61"/>
        <v>69.675925923608403</v>
      </c>
      <c r="T336" s="81">
        <f t="shared" si="62"/>
        <v>42.80092592986572</v>
      </c>
      <c r="U336" s="79"/>
      <c r="V336" s="82">
        <v>45702.577777777777</v>
      </c>
      <c r="W336" s="82">
        <v>45702.693749999999</v>
      </c>
      <c r="X336" s="103">
        <f t="shared" si="63"/>
        <v>163.52083333287737</v>
      </c>
      <c r="Y336" s="82"/>
      <c r="Z336" s="82">
        <v>45703.318055555559</v>
      </c>
      <c r="AA336" s="82">
        <f>Z336+TIME(0,58,0)</f>
        <v>45703.358333333337</v>
      </c>
      <c r="AB336" s="81">
        <f t="shared" si="64"/>
        <v>56.791666667122627</v>
      </c>
      <c r="AC336" s="80"/>
      <c r="AD336" s="83">
        <f t="shared" si="65"/>
        <v>2.382638888891961</v>
      </c>
      <c r="AE336" s="80">
        <v>3</v>
      </c>
      <c r="AF336" s="84">
        <f t="shared" si="66"/>
        <v>0.61736111110803904</v>
      </c>
      <c r="AG336" s="83">
        <f t="shared" si="67"/>
        <v>57.183333333407063</v>
      </c>
      <c r="AH336" s="83">
        <f t="shared" si="68"/>
        <v>24</v>
      </c>
      <c r="AI336" s="83">
        <f t="shared" si="69"/>
        <v>33.183333333407063</v>
      </c>
      <c r="AJ336" s="83">
        <f t="shared" si="70"/>
        <v>4.7011551983823221</v>
      </c>
      <c r="AK336" s="83"/>
      <c r="AL336" s="83"/>
      <c r="AM336" s="83"/>
      <c r="AN336" s="83"/>
      <c r="AO336" s="78"/>
    </row>
    <row r="337" spans="1:41" customFormat="1" ht="15" hidden="1" x14ac:dyDescent="0.25">
      <c r="A337" s="82">
        <v>45703</v>
      </c>
      <c r="B337" s="94" t="str">
        <f t="shared" si="60"/>
        <v>February</v>
      </c>
      <c r="C337" s="78"/>
      <c r="D337" s="79" t="s">
        <v>183</v>
      </c>
      <c r="E337" s="80" t="s">
        <v>1017</v>
      </c>
      <c r="F337" s="79" t="s">
        <v>1029</v>
      </c>
      <c r="G337" s="79" t="s">
        <v>38</v>
      </c>
      <c r="H337" s="79" t="s">
        <v>454</v>
      </c>
      <c r="I337" s="79">
        <v>156</v>
      </c>
      <c r="J337" s="79" t="s">
        <v>183</v>
      </c>
      <c r="K337" s="80" t="s">
        <v>469</v>
      </c>
      <c r="L337" s="80">
        <v>304</v>
      </c>
      <c r="M337" s="80">
        <f>L337+2</f>
        <v>306</v>
      </c>
      <c r="N337" s="81">
        <f t="shared" si="71"/>
        <v>2</v>
      </c>
      <c r="O337" s="78"/>
      <c r="P337" s="82">
        <v>45700.729166666672</v>
      </c>
      <c r="Q337" s="82">
        <v>45700.709027777782</v>
      </c>
      <c r="R337" s="82">
        <v>45700.757638888892</v>
      </c>
      <c r="S337" s="81">
        <f t="shared" si="61"/>
        <v>69.675925923608403</v>
      </c>
      <c r="T337" s="81">
        <f t="shared" si="62"/>
        <v>40.810185182635905</v>
      </c>
      <c r="U337" s="79"/>
      <c r="V337" s="82">
        <v>45703.466666666667</v>
      </c>
      <c r="W337" s="82">
        <v>45703.588888888888</v>
      </c>
      <c r="X337" s="103">
        <f t="shared" si="63"/>
        <v>172.33333333082555</v>
      </c>
      <c r="Y337" s="82"/>
      <c r="Z337" s="82">
        <v>45703.318055555559</v>
      </c>
      <c r="AA337" s="82">
        <f>Z337+TIME(0,54,0)</f>
        <v>45703.355555555558</v>
      </c>
      <c r="AB337" s="81">
        <f t="shared" si="64"/>
        <v>52.87499999794818</v>
      </c>
      <c r="AC337" s="80"/>
      <c r="AD337" s="83">
        <f t="shared" si="65"/>
        <v>2.5604166666671517</v>
      </c>
      <c r="AE337" s="80">
        <v>2</v>
      </c>
      <c r="AF337" s="84">
        <f t="shared" si="66"/>
        <v>-0.56041666666715173</v>
      </c>
      <c r="AG337" s="83">
        <f t="shared" si="67"/>
        <v>61.450000000011642</v>
      </c>
      <c r="AH337" s="83">
        <f t="shared" si="68"/>
        <v>24</v>
      </c>
      <c r="AI337" s="83">
        <f t="shared" si="69"/>
        <v>37.450000000011642</v>
      </c>
      <c r="AJ337" s="83">
        <f t="shared" si="70"/>
        <v>4.1655540720948334</v>
      </c>
      <c r="AK337" s="83"/>
      <c r="AL337" s="83"/>
      <c r="AM337" s="83"/>
      <c r="AN337" s="83"/>
      <c r="AO337" s="78"/>
    </row>
    <row r="338" spans="1:41" customFormat="1" ht="15" hidden="1" x14ac:dyDescent="0.25">
      <c r="A338" s="82">
        <v>45703</v>
      </c>
      <c r="B338" s="94" t="str">
        <f t="shared" si="60"/>
        <v>February</v>
      </c>
      <c r="C338" s="78"/>
      <c r="D338" s="79" t="s">
        <v>184</v>
      </c>
      <c r="E338" s="80" t="s">
        <v>1017</v>
      </c>
      <c r="F338" s="79"/>
      <c r="G338" s="79" t="s">
        <v>64</v>
      </c>
      <c r="H338" s="79" t="s">
        <v>448</v>
      </c>
      <c r="I338" s="79">
        <v>156</v>
      </c>
      <c r="J338" s="79" t="s">
        <v>184</v>
      </c>
      <c r="K338" s="80" t="s">
        <v>469</v>
      </c>
      <c r="L338" s="80">
        <v>560</v>
      </c>
      <c r="M338" s="80">
        <f>L338+1</f>
        <v>561</v>
      </c>
      <c r="N338" s="81">
        <f t="shared" si="71"/>
        <v>1</v>
      </c>
      <c r="O338" s="78"/>
      <c r="P338" s="82">
        <f>R338-TIME(0,41,0)</f>
        <v>45703.540972222225</v>
      </c>
      <c r="Q338" s="82">
        <v>45702.694444444445</v>
      </c>
      <c r="R338" s="82">
        <v>45703.569444444445</v>
      </c>
      <c r="S338" s="81">
        <f t="shared" si="61"/>
        <v>1254.1666666666667</v>
      </c>
      <c r="T338" s="81">
        <f t="shared" si="62"/>
        <v>40.810185182635905</v>
      </c>
      <c r="U338" s="79"/>
      <c r="V338" s="82">
        <v>45703.470138888886</v>
      </c>
      <c r="W338" s="82">
        <v>45703.791666666664</v>
      </c>
      <c r="X338" s="103">
        <f t="shared" si="63"/>
        <v>453.35416666712263</v>
      </c>
      <c r="Y338" s="82" t="s">
        <v>1066</v>
      </c>
      <c r="Z338" s="82">
        <v>45707.758333333331</v>
      </c>
      <c r="AA338" s="82">
        <v>45707.798611111109</v>
      </c>
      <c r="AB338" s="81">
        <f t="shared" si="64"/>
        <v>56.791666667122627</v>
      </c>
      <c r="AC338" s="80"/>
      <c r="AD338" s="83">
        <f t="shared" si="65"/>
        <v>4.1888888888861402</v>
      </c>
      <c r="AE338" s="80">
        <v>2</v>
      </c>
      <c r="AF338" s="84">
        <f t="shared" si="66"/>
        <v>-2.1888888888861402</v>
      </c>
      <c r="AG338" s="83">
        <f t="shared" si="67"/>
        <v>100.53333333326736</v>
      </c>
      <c r="AH338" s="83">
        <f t="shared" si="68"/>
        <v>48</v>
      </c>
      <c r="AI338" s="83">
        <f t="shared" si="69"/>
        <v>52.533333333267365</v>
      </c>
      <c r="AJ338" s="83">
        <f t="shared" si="70"/>
        <v>2.969543147211851</v>
      </c>
      <c r="AK338" s="83"/>
      <c r="AL338" s="83"/>
      <c r="AM338" s="83"/>
      <c r="AN338" s="83"/>
      <c r="AO338" s="78"/>
    </row>
    <row r="339" spans="1:41" customFormat="1" ht="15" hidden="1" x14ac:dyDescent="0.25">
      <c r="A339" s="82">
        <v>45703</v>
      </c>
      <c r="B339" s="94" t="str">
        <f t="shared" si="60"/>
        <v>February</v>
      </c>
      <c r="C339" s="78"/>
      <c r="D339" s="79" t="s">
        <v>185</v>
      </c>
      <c r="E339" s="80" t="s">
        <v>1017</v>
      </c>
      <c r="F339" s="79" t="s">
        <v>1019</v>
      </c>
      <c r="G339" s="79" t="s">
        <v>37</v>
      </c>
      <c r="H339" s="79" t="s">
        <v>456</v>
      </c>
      <c r="I339" s="79">
        <v>156</v>
      </c>
      <c r="J339" s="79" t="s">
        <v>185</v>
      </c>
      <c r="K339" s="80" t="s">
        <v>469</v>
      </c>
      <c r="L339" s="80">
        <v>670</v>
      </c>
      <c r="M339" s="80">
        <f>L339+1</f>
        <v>671</v>
      </c>
      <c r="N339" s="81">
        <f t="shared" si="71"/>
        <v>1</v>
      </c>
      <c r="O339" s="78"/>
      <c r="P339" s="82">
        <f>R339-TIME(0,43,0)</f>
        <v>45702.927083333328</v>
      </c>
      <c r="Q339" s="82">
        <v>45702.375</v>
      </c>
      <c r="R339" s="82">
        <v>45702.956944444442</v>
      </c>
      <c r="S339" s="81">
        <f t="shared" si="61"/>
        <v>834.12037036735762</v>
      </c>
      <c r="T339" s="81">
        <f t="shared" si="62"/>
        <v>42.80092592986572</v>
      </c>
      <c r="U339" s="79"/>
      <c r="V339" s="82">
        <v>45702.663888888892</v>
      </c>
      <c r="W339" s="82">
        <v>45702.801388888889</v>
      </c>
      <c r="X339" s="103">
        <f t="shared" si="63"/>
        <v>193.87499999589636</v>
      </c>
      <c r="Y339" s="82" t="s">
        <v>1066</v>
      </c>
      <c r="Z339" s="82">
        <v>45703.327777777777</v>
      </c>
      <c r="AA339" s="82">
        <f>Z339+TIME(0,56,0)</f>
        <v>45703.366666666669</v>
      </c>
      <c r="AB339" s="81">
        <f t="shared" si="64"/>
        <v>54.833333337664953</v>
      </c>
      <c r="AC339" s="80"/>
      <c r="AD339" s="83">
        <f t="shared" si="65"/>
        <v>0.37083333333430346</v>
      </c>
      <c r="AE339" s="80">
        <v>2</v>
      </c>
      <c r="AF339" s="84">
        <f t="shared" si="66"/>
        <v>1.6291666666656965</v>
      </c>
      <c r="AG339" s="83">
        <f t="shared" si="67"/>
        <v>8.9000000000232831</v>
      </c>
      <c r="AH339" s="83">
        <f t="shared" si="68"/>
        <v>0</v>
      </c>
      <c r="AI339" s="83">
        <f t="shared" si="69"/>
        <v>8.9000000000232831</v>
      </c>
      <c r="AJ339" s="83">
        <f t="shared" si="70"/>
        <v>17.528089887594593</v>
      </c>
      <c r="AK339" s="83"/>
      <c r="AL339" s="83"/>
      <c r="AM339" s="83"/>
      <c r="AN339" s="83"/>
      <c r="AO339" s="78"/>
    </row>
    <row r="340" spans="1:41" customFormat="1" ht="15" hidden="1" x14ac:dyDescent="0.25">
      <c r="A340" s="82">
        <v>45703</v>
      </c>
      <c r="B340" s="94" t="str">
        <f t="shared" si="60"/>
        <v>February</v>
      </c>
      <c r="C340" s="78"/>
      <c r="D340" s="79" t="s">
        <v>849</v>
      </c>
      <c r="E340" s="80" t="s">
        <v>1016</v>
      </c>
      <c r="F340" s="79" t="s">
        <v>952</v>
      </c>
      <c r="G340" s="79" t="s">
        <v>969</v>
      </c>
      <c r="H340" s="79" t="s">
        <v>982</v>
      </c>
      <c r="I340" s="79">
        <v>153.6</v>
      </c>
      <c r="J340" s="79" t="s">
        <v>849</v>
      </c>
      <c r="K340" s="80" t="s">
        <v>469</v>
      </c>
      <c r="L340" s="80">
        <v>298</v>
      </c>
      <c r="M340" s="80">
        <f>L340+2</f>
        <v>300</v>
      </c>
      <c r="N340" s="81">
        <f t="shared" si="71"/>
        <v>2</v>
      </c>
      <c r="O340" s="78"/>
      <c r="P340" s="82">
        <f>R340-TIME(0,43,0)</f>
        <v>45703.423611111109</v>
      </c>
      <c r="Q340" s="82">
        <v>45703.369444444441</v>
      </c>
      <c r="R340" s="82">
        <v>45703.453472222223</v>
      </c>
      <c r="S340" s="81">
        <f t="shared" si="61"/>
        <v>120.43981482153565</v>
      </c>
      <c r="T340" s="81">
        <f t="shared" si="62"/>
        <v>42.80092592986572</v>
      </c>
      <c r="U340" s="79"/>
      <c r="V340" s="82">
        <v>45705.706250000003</v>
      </c>
      <c r="W340" s="82">
        <v>45705.8</v>
      </c>
      <c r="X340" s="103">
        <f t="shared" si="63"/>
        <v>132.1875</v>
      </c>
      <c r="Y340" s="82"/>
      <c r="Z340" s="82">
        <v>45708.802777777775</v>
      </c>
      <c r="AA340" s="82">
        <f>Z340+TIME(0,58,0)</f>
        <v>45708.843055555553</v>
      </c>
      <c r="AB340" s="81">
        <f t="shared" si="64"/>
        <v>56.791666667122627</v>
      </c>
      <c r="AC340" s="80"/>
      <c r="AD340" s="83">
        <f t="shared" si="65"/>
        <v>5.3493055555518367</v>
      </c>
      <c r="AE340" s="80">
        <v>2</v>
      </c>
      <c r="AF340" s="84">
        <f t="shared" si="66"/>
        <v>-3.3493055555518367</v>
      </c>
      <c r="AG340" s="83">
        <f t="shared" si="67"/>
        <v>128.38333333324408</v>
      </c>
      <c r="AH340" s="83">
        <f t="shared" si="68"/>
        <v>60</v>
      </c>
      <c r="AI340" s="83">
        <f t="shared" si="69"/>
        <v>68.383333333244082</v>
      </c>
      <c r="AJ340" s="83">
        <f t="shared" si="70"/>
        <v>2.2461613453599871</v>
      </c>
      <c r="AK340" s="83"/>
      <c r="AL340" s="83"/>
      <c r="AM340" s="83"/>
      <c r="AN340" s="83"/>
      <c r="AO340" s="78"/>
    </row>
    <row r="341" spans="1:41" customFormat="1" ht="15" hidden="1" x14ac:dyDescent="0.25">
      <c r="A341" s="82">
        <v>45703</v>
      </c>
      <c r="B341" s="94" t="str">
        <f t="shared" si="60"/>
        <v>February</v>
      </c>
      <c r="C341" s="78"/>
      <c r="D341" s="79" t="s">
        <v>850</v>
      </c>
      <c r="E341" s="80" t="s">
        <v>1016</v>
      </c>
      <c r="F341" s="79" t="s">
        <v>950</v>
      </c>
      <c r="G341" s="79" t="s">
        <v>967</v>
      </c>
      <c r="H341" s="79" t="s">
        <v>997</v>
      </c>
      <c r="I341" s="79">
        <v>153.6</v>
      </c>
      <c r="J341" s="79" t="s">
        <v>850</v>
      </c>
      <c r="K341" s="80" t="s">
        <v>469</v>
      </c>
      <c r="L341" s="80">
        <v>414</v>
      </c>
      <c r="M341" s="80">
        <f>L341-1</f>
        <v>413</v>
      </c>
      <c r="N341" s="81">
        <f t="shared" si="71"/>
        <v>-1</v>
      </c>
      <c r="O341" s="78"/>
      <c r="P341" s="82">
        <f>R341-TIME(0,63,0)</f>
        <v>45703.375694444447</v>
      </c>
      <c r="Q341" s="82">
        <v>45703.390972222223</v>
      </c>
      <c r="R341" s="82">
        <v>45703.419444444444</v>
      </c>
      <c r="S341" s="81">
        <f t="shared" si="61"/>
        <v>40.810185182635905</v>
      </c>
      <c r="T341" s="81">
        <f t="shared" si="62"/>
        <v>62.708333329161782</v>
      </c>
      <c r="U341" s="79" t="s">
        <v>562</v>
      </c>
      <c r="V341" s="82">
        <v>45703.527777777781</v>
      </c>
      <c r="W341" s="82">
        <v>45703.677083333336</v>
      </c>
      <c r="X341" s="103">
        <f t="shared" si="63"/>
        <v>210.52083333219343</v>
      </c>
      <c r="Y341" s="82" t="s">
        <v>1052</v>
      </c>
      <c r="Z341" s="82">
        <v>45704.40347222222</v>
      </c>
      <c r="AA341" s="82">
        <f>Z341+TIME(0,57,0)</f>
        <v>45704.443055555552</v>
      </c>
      <c r="AB341" s="81">
        <f t="shared" si="64"/>
        <v>55.81249999726424</v>
      </c>
      <c r="AC341" s="80"/>
      <c r="AD341" s="83">
        <f t="shared" si="65"/>
        <v>0.98402777777664596</v>
      </c>
      <c r="AE341" s="80">
        <v>2</v>
      </c>
      <c r="AF341" s="84">
        <f t="shared" si="66"/>
        <v>1.015972222223354</v>
      </c>
      <c r="AG341" s="83">
        <f t="shared" si="67"/>
        <v>23.616666666639503</v>
      </c>
      <c r="AH341" s="83">
        <f t="shared" si="68"/>
        <v>0</v>
      </c>
      <c r="AI341" s="83">
        <f t="shared" si="69"/>
        <v>23.616666666639503</v>
      </c>
      <c r="AJ341" s="83">
        <f t="shared" si="70"/>
        <v>6.5038814396687368</v>
      </c>
      <c r="AK341" s="83"/>
      <c r="AL341" s="83"/>
      <c r="AM341" s="83"/>
      <c r="AN341" s="83"/>
      <c r="AO341" s="78"/>
    </row>
    <row r="342" spans="1:41" customFormat="1" ht="15" hidden="1" x14ac:dyDescent="0.25">
      <c r="A342" s="82">
        <v>45703</v>
      </c>
      <c r="B342" s="94" t="str">
        <f t="shared" si="60"/>
        <v>February</v>
      </c>
      <c r="C342" s="78"/>
      <c r="D342" s="79" t="s">
        <v>848</v>
      </c>
      <c r="E342" s="80" t="s">
        <v>1016</v>
      </c>
      <c r="F342" s="79" t="s">
        <v>953</v>
      </c>
      <c r="G342" s="79" t="s">
        <v>970</v>
      </c>
      <c r="H342" s="79" t="s">
        <v>997</v>
      </c>
      <c r="I342" s="79">
        <v>153.6</v>
      </c>
      <c r="J342" s="79" t="s">
        <v>848</v>
      </c>
      <c r="K342" s="80" t="s">
        <v>469</v>
      </c>
      <c r="L342" s="80">
        <v>414</v>
      </c>
      <c r="M342" s="80">
        <f>L342-2</f>
        <v>412</v>
      </c>
      <c r="N342" s="81">
        <f t="shared" si="71"/>
        <v>-2</v>
      </c>
      <c r="O342" s="78"/>
      <c r="P342" s="82">
        <f>R342-TIME(0,44,0)</f>
        <v>45703.592361111114</v>
      </c>
      <c r="Q342" s="82">
        <v>45703.567361111112</v>
      </c>
      <c r="R342" s="82">
        <v>45703.622916666667</v>
      </c>
      <c r="S342" s="81">
        <f t="shared" si="61"/>
        <v>79.629629628470866</v>
      </c>
      <c r="T342" s="81">
        <f t="shared" si="62"/>
        <v>43.796296293051761</v>
      </c>
      <c r="U342" s="79"/>
      <c r="V342" s="82">
        <v>45704.390972222223</v>
      </c>
      <c r="W342" s="82">
        <v>45704.475694444445</v>
      </c>
      <c r="X342" s="103">
        <f t="shared" si="63"/>
        <v>119.45833333287737</v>
      </c>
      <c r="Y342" s="82"/>
      <c r="Z342" s="82">
        <v>45704.290277777778</v>
      </c>
      <c r="AA342" s="82">
        <f>Z342+TIME(0,56,0)</f>
        <v>45704.32916666667</v>
      </c>
      <c r="AB342" s="81">
        <f t="shared" si="64"/>
        <v>54.833333337664953</v>
      </c>
      <c r="AC342" s="80"/>
      <c r="AD342" s="83">
        <f t="shared" si="65"/>
        <v>0.66736111111094942</v>
      </c>
      <c r="AE342" s="80">
        <v>2</v>
      </c>
      <c r="AF342" s="84">
        <f t="shared" si="66"/>
        <v>1.3326388888890506</v>
      </c>
      <c r="AG342" s="83">
        <f t="shared" si="67"/>
        <v>16.016666666662786</v>
      </c>
      <c r="AH342" s="83">
        <f t="shared" si="68"/>
        <v>0</v>
      </c>
      <c r="AI342" s="83">
        <f t="shared" si="69"/>
        <v>16.016666666662786</v>
      </c>
      <c r="AJ342" s="83">
        <f t="shared" si="70"/>
        <v>9.5900104058295863</v>
      </c>
      <c r="AK342" s="83"/>
      <c r="AL342" s="83"/>
      <c r="AM342" s="83"/>
      <c r="AN342" s="83"/>
      <c r="AO342" s="78"/>
    </row>
    <row r="343" spans="1:41" customFormat="1" ht="15" hidden="1" x14ac:dyDescent="0.25">
      <c r="A343" s="82">
        <v>45703</v>
      </c>
      <c r="B343" s="94" t="str">
        <f t="shared" si="60"/>
        <v>February</v>
      </c>
      <c r="C343" s="78"/>
      <c r="D343" s="79" t="s">
        <v>851</v>
      </c>
      <c r="E343" s="80" t="s">
        <v>1016</v>
      </c>
      <c r="F343" s="79" t="s">
        <v>964</v>
      </c>
      <c r="G343" s="79" t="s">
        <v>979</v>
      </c>
      <c r="H343" s="79" t="s">
        <v>982</v>
      </c>
      <c r="I343" s="79">
        <v>153.6</v>
      </c>
      <c r="J343" s="79" t="s">
        <v>851</v>
      </c>
      <c r="K343" s="80" t="s">
        <v>469</v>
      </c>
      <c r="L343" s="80">
        <v>298</v>
      </c>
      <c r="M343" s="80">
        <f>L343+2</f>
        <v>300</v>
      </c>
      <c r="N343" s="81">
        <f t="shared" si="71"/>
        <v>2</v>
      </c>
      <c r="O343" s="78"/>
      <c r="P343" s="82">
        <v>45703.673611111109</v>
      </c>
      <c r="Q343" s="82">
        <v>45703.674305555556</v>
      </c>
      <c r="R343" s="82">
        <v>45703.702777777777</v>
      </c>
      <c r="S343" s="81">
        <f t="shared" si="61"/>
        <v>40.810185182635905</v>
      </c>
      <c r="T343" s="81">
        <f t="shared" si="62"/>
        <v>41.805555556250816</v>
      </c>
      <c r="U343" s="79"/>
      <c r="V343" s="82">
        <v>45704.402083333334</v>
      </c>
      <c r="W343" s="82">
        <v>45704.5</v>
      </c>
      <c r="X343" s="103">
        <f t="shared" si="63"/>
        <v>138.06249999863212</v>
      </c>
      <c r="Y343" s="82"/>
      <c r="Z343" s="82">
        <v>45704.561805555553</v>
      </c>
      <c r="AA343" s="82">
        <f>Z343+TIME(0,58,0)</f>
        <v>45704.602083333331</v>
      </c>
      <c r="AB343" s="81">
        <f t="shared" si="64"/>
        <v>56.791666667122627</v>
      </c>
      <c r="AC343" s="80"/>
      <c r="AD343" s="83">
        <f t="shared" si="65"/>
        <v>0.85902777777664596</v>
      </c>
      <c r="AE343" s="80">
        <v>2</v>
      </c>
      <c r="AF343" s="84">
        <f t="shared" si="66"/>
        <v>1.140972222223354</v>
      </c>
      <c r="AG343" s="83">
        <f t="shared" si="67"/>
        <v>20.616666666639503</v>
      </c>
      <c r="AH343" s="83">
        <f t="shared" si="68"/>
        <v>0</v>
      </c>
      <c r="AI343" s="83">
        <f t="shared" si="69"/>
        <v>20.616666666639503</v>
      </c>
      <c r="AJ343" s="83">
        <f t="shared" si="70"/>
        <v>7.4502829426128878</v>
      </c>
      <c r="AK343" s="83"/>
      <c r="AL343" s="83"/>
      <c r="AM343" s="83"/>
      <c r="AN343" s="83"/>
      <c r="AO343" s="78"/>
    </row>
    <row r="344" spans="1:41" customFormat="1" ht="15" hidden="1" x14ac:dyDescent="0.25">
      <c r="A344" s="82">
        <v>45703</v>
      </c>
      <c r="B344" s="94" t="str">
        <f t="shared" si="60"/>
        <v>February</v>
      </c>
      <c r="C344" s="78"/>
      <c r="D344" s="79" t="s">
        <v>1006</v>
      </c>
      <c r="E344" s="80" t="s">
        <v>1016</v>
      </c>
      <c r="F344" s="79" t="s">
        <v>964</v>
      </c>
      <c r="G344" s="79" t="s">
        <v>979</v>
      </c>
      <c r="H344" s="79" t="s">
        <v>987</v>
      </c>
      <c r="I344" s="79">
        <v>153.6</v>
      </c>
      <c r="J344" s="79" t="s">
        <v>1006</v>
      </c>
      <c r="K344" s="80" t="s">
        <v>469</v>
      </c>
      <c r="L344" s="79">
        <v>320</v>
      </c>
      <c r="M344" s="80">
        <f>L344-260</f>
        <v>60</v>
      </c>
      <c r="N344" s="81">
        <f t="shared" si="71"/>
        <v>-260</v>
      </c>
      <c r="O344" s="78"/>
      <c r="P344" s="82">
        <f>R344-TIME(0,44,0)</f>
        <v>45703.659722222226</v>
      </c>
      <c r="Q344" s="82">
        <v>45703.654861111114</v>
      </c>
      <c r="R344" s="82">
        <v>45703.69027777778</v>
      </c>
      <c r="S344" s="81">
        <f t="shared" si="61"/>
        <v>50.763888887498375</v>
      </c>
      <c r="T344" s="81">
        <f t="shared" si="62"/>
        <v>43.796296293051761</v>
      </c>
      <c r="U344" s="79"/>
      <c r="V344" s="82">
        <v>45703.420138888891</v>
      </c>
      <c r="W344" s="82">
        <v>45703.504166666666</v>
      </c>
      <c r="X344" s="103">
        <f t="shared" si="63"/>
        <v>118.47916666301899</v>
      </c>
      <c r="Y344" s="82"/>
      <c r="Z344" s="82">
        <v>45704.634722222225</v>
      </c>
      <c r="AA344" s="82">
        <f>Z344+TIME(0,60,0)</f>
        <v>45704.676388888889</v>
      </c>
      <c r="AB344" s="81">
        <f t="shared" si="64"/>
        <v>58.7499999965803</v>
      </c>
      <c r="AC344" s="80"/>
      <c r="AD344" s="83">
        <f t="shared" si="65"/>
        <v>0.94444444444525288</v>
      </c>
      <c r="AE344" s="80">
        <v>2</v>
      </c>
      <c r="AF344" s="84">
        <f t="shared" si="66"/>
        <v>1.0555555555547471</v>
      </c>
      <c r="AG344" s="83">
        <f t="shared" si="67"/>
        <v>22.666666666686069</v>
      </c>
      <c r="AH344" s="83">
        <f t="shared" si="68"/>
        <v>0</v>
      </c>
      <c r="AI344" s="83">
        <f t="shared" si="69"/>
        <v>22.666666666686069</v>
      </c>
      <c r="AJ344" s="83">
        <f t="shared" si="70"/>
        <v>6.7764705882294933</v>
      </c>
      <c r="AK344" s="83"/>
      <c r="AL344" s="83"/>
      <c r="AM344" s="83"/>
      <c r="AN344" s="83"/>
      <c r="AO344" s="78"/>
    </row>
    <row r="345" spans="1:41" customFormat="1" ht="15" hidden="1" x14ac:dyDescent="0.25">
      <c r="A345" s="82">
        <v>45703</v>
      </c>
      <c r="B345" s="94" t="str">
        <f t="shared" si="60"/>
        <v>February</v>
      </c>
      <c r="C345" s="78"/>
      <c r="D345" s="79" t="s">
        <v>852</v>
      </c>
      <c r="E345" s="80" t="s">
        <v>1016</v>
      </c>
      <c r="F345" s="79" t="s">
        <v>958</v>
      </c>
      <c r="G345" s="79" t="s">
        <v>975</v>
      </c>
      <c r="H345" s="79" t="s">
        <v>461</v>
      </c>
      <c r="I345" s="79">
        <v>153.6</v>
      </c>
      <c r="J345" s="79" t="s">
        <v>852</v>
      </c>
      <c r="K345" s="80" t="s">
        <v>469</v>
      </c>
      <c r="L345" s="80">
        <v>298</v>
      </c>
      <c r="M345" s="80">
        <f>L345+1</f>
        <v>299</v>
      </c>
      <c r="N345" s="81">
        <f t="shared" si="71"/>
        <v>1</v>
      </c>
      <c r="O345" s="78"/>
      <c r="P345" s="82">
        <f>R345-TIME(0,44,0)</f>
        <v>45703.428472222222</v>
      </c>
      <c r="Q345" s="82">
        <v>45703.405555555553</v>
      </c>
      <c r="R345" s="82">
        <v>45703.459027777775</v>
      </c>
      <c r="S345" s="81">
        <f t="shared" si="61"/>
        <v>76.643518518055018</v>
      </c>
      <c r="T345" s="81">
        <f t="shared" si="62"/>
        <v>43.796296293051761</v>
      </c>
      <c r="U345" s="79"/>
      <c r="V345" s="82">
        <v>45705.48541666667</v>
      </c>
      <c r="W345" s="82">
        <v>45705.73333333333</v>
      </c>
      <c r="X345" s="103">
        <f t="shared" si="63"/>
        <v>349.56249999042484</v>
      </c>
      <c r="Y345" s="82" t="s">
        <v>1039</v>
      </c>
      <c r="Z345" s="82">
        <v>45704.288194444445</v>
      </c>
      <c r="AA345" s="82">
        <f>Z345+TIME(0,60,0)</f>
        <v>45704.329861111109</v>
      </c>
      <c r="AB345" s="81">
        <f t="shared" si="64"/>
        <v>58.7499999965803</v>
      </c>
      <c r="AC345" s="80"/>
      <c r="AD345" s="83">
        <f t="shared" si="65"/>
        <v>0.82916666667006211</v>
      </c>
      <c r="AE345" s="80">
        <v>2</v>
      </c>
      <c r="AF345" s="84">
        <f t="shared" si="66"/>
        <v>1.1708333333299379</v>
      </c>
      <c r="AG345" s="83">
        <f t="shared" si="67"/>
        <v>19.900000000081491</v>
      </c>
      <c r="AH345" s="83">
        <f t="shared" si="68"/>
        <v>0</v>
      </c>
      <c r="AI345" s="83">
        <f t="shared" si="69"/>
        <v>19.900000000081491</v>
      </c>
      <c r="AJ345" s="83">
        <f t="shared" si="70"/>
        <v>7.7185929647925127</v>
      </c>
      <c r="AK345" s="83"/>
      <c r="AL345" s="83"/>
      <c r="AM345" s="83"/>
      <c r="AN345" s="83"/>
      <c r="AO345" s="78"/>
    </row>
    <row r="346" spans="1:41" customFormat="1" ht="15" hidden="1" x14ac:dyDescent="0.25">
      <c r="A346" s="82">
        <v>45704</v>
      </c>
      <c r="B346" s="94" t="str">
        <f t="shared" si="60"/>
        <v>February</v>
      </c>
      <c r="C346" s="78"/>
      <c r="D346" s="79" t="s">
        <v>186</v>
      </c>
      <c r="E346" s="80" t="s">
        <v>1017</v>
      </c>
      <c r="F346" s="79" t="s">
        <v>1024</v>
      </c>
      <c r="G346" s="79" t="s">
        <v>63</v>
      </c>
      <c r="H346" s="79" t="s">
        <v>450</v>
      </c>
      <c r="I346" s="79">
        <v>156</v>
      </c>
      <c r="J346" s="79" t="s">
        <v>186</v>
      </c>
      <c r="K346" s="80" t="s">
        <v>469</v>
      </c>
      <c r="L346" s="80">
        <v>288</v>
      </c>
      <c r="M346" s="80">
        <f>L346+2</f>
        <v>290</v>
      </c>
      <c r="N346" s="81">
        <f t="shared" si="71"/>
        <v>2</v>
      </c>
      <c r="O346" s="78"/>
      <c r="P346" s="82">
        <f>R346-TIME(0,43,0)</f>
        <v>45703.38680555555</v>
      </c>
      <c r="Q346" s="82">
        <v>45703.368055555555</v>
      </c>
      <c r="R346" s="82">
        <v>45703.416666666664</v>
      </c>
      <c r="S346" s="81">
        <f t="shared" si="61"/>
        <v>69.675925923608403</v>
      </c>
      <c r="T346" s="81">
        <f t="shared" si="62"/>
        <v>42.80092592986572</v>
      </c>
      <c r="U346" s="79"/>
      <c r="V346" s="82">
        <v>45703.307638888888</v>
      </c>
      <c r="W346" s="82">
        <v>45703.675000000003</v>
      </c>
      <c r="X346" s="103">
        <f t="shared" si="63"/>
        <v>517.97916667259415</v>
      </c>
      <c r="Y346" s="82" t="s">
        <v>1047</v>
      </c>
      <c r="Z346" s="82">
        <v>45705.462500000001</v>
      </c>
      <c r="AA346" s="82">
        <f>Z346+TIME(0,54,0)</f>
        <v>45705.5</v>
      </c>
      <c r="AB346" s="81">
        <f t="shared" si="64"/>
        <v>52.87499999794818</v>
      </c>
      <c r="AC346" s="80"/>
      <c r="AD346" s="83">
        <f t="shared" si="65"/>
        <v>2.0458333333372138</v>
      </c>
      <c r="AE346" s="80">
        <v>2</v>
      </c>
      <c r="AF346" s="84">
        <f t="shared" si="66"/>
        <v>-4.5833333337213844E-2</v>
      </c>
      <c r="AG346" s="83">
        <f t="shared" si="67"/>
        <v>49.100000000093132</v>
      </c>
      <c r="AH346" s="83">
        <f t="shared" si="68"/>
        <v>24</v>
      </c>
      <c r="AI346" s="83">
        <f t="shared" si="69"/>
        <v>25.100000000093132</v>
      </c>
      <c r="AJ346" s="83">
        <f t="shared" si="70"/>
        <v>6.2151394422080148</v>
      </c>
      <c r="AK346" s="83"/>
      <c r="AL346" s="83"/>
      <c r="AM346" s="83"/>
      <c r="AN346" s="83"/>
      <c r="AO346" s="78"/>
    </row>
    <row r="347" spans="1:41" customFormat="1" ht="15" hidden="1" x14ac:dyDescent="0.25">
      <c r="A347" s="82">
        <v>45704</v>
      </c>
      <c r="B347" s="94" t="str">
        <f t="shared" si="60"/>
        <v>February</v>
      </c>
      <c r="C347" s="78"/>
      <c r="D347" s="79" t="s">
        <v>187</v>
      </c>
      <c r="E347" s="80" t="s">
        <v>1017</v>
      </c>
      <c r="F347" s="79" t="s">
        <v>1015</v>
      </c>
      <c r="G347" s="79" t="s">
        <v>43</v>
      </c>
      <c r="H347" s="79" t="s">
        <v>451</v>
      </c>
      <c r="I347" s="79">
        <v>156</v>
      </c>
      <c r="J347" s="79" t="s">
        <v>187</v>
      </c>
      <c r="K347" s="80" t="s">
        <v>469</v>
      </c>
      <c r="L347" s="80">
        <v>790</v>
      </c>
      <c r="M347" s="80">
        <f>L347-2</f>
        <v>788</v>
      </c>
      <c r="N347" s="81">
        <f t="shared" si="71"/>
        <v>-2</v>
      </c>
      <c r="O347" s="78"/>
      <c r="P347" s="82">
        <f>R347-TIME(0,44,0)</f>
        <v>45703.416666666672</v>
      </c>
      <c r="Q347" s="82">
        <v>45703.438888888893</v>
      </c>
      <c r="R347" s="82">
        <v>45703.447222222225</v>
      </c>
      <c r="S347" s="81">
        <f t="shared" si="61"/>
        <v>11.944444441663412</v>
      </c>
      <c r="T347" s="81">
        <f t="shared" si="62"/>
        <v>43.796296293051761</v>
      </c>
      <c r="U347" s="79"/>
      <c r="V347" s="82">
        <v>45703.697222222225</v>
      </c>
      <c r="W347" s="82">
        <v>45703.772222222222</v>
      </c>
      <c r="X347" s="103">
        <f t="shared" si="63"/>
        <v>105.74999999589636</v>
      </c>
      <c r="Y347" s="82"/>
      <c r="Z347" s="82">
        <v>45705.462500000001</v>
      </c>
      <c r="AA347" s="82">
        <f>Z347+TIME(0,58,0)</f>
        <v>45705.50277777778</v>
      </c>
      <c r="AB347" s="81">
        <f t="shared" si="64"/>
        <v>56.791666667122627</v>
      </c>
      <c r="AC347" s="80"/>
      <c r="AD347" s="83">
        <f t="shared" si="65"/>
        <v>2.015277777776646</v>
      </c>
      <c r="AE347" s="80">
        <v>3</v>
      </c>
      <c r="AF347" s="84">
        <f t="shared" si="66"/>
        <v>0.98472222222335404</v>
      </c>
      <c r="AG347" s="83">
        <f t="shared" si="67"/>
        <v>48.366666666639503</v>
      </c>
      <c r="AH347" s="83">
        <f t="shared" si="68"/>
        <v>24</v>
      </c>
      <c r="AI347" s="83">
        <f t="shared" si="69"/>
        <v>24.366666666639503</v>
      </c>
      <c r="AJ347" s="83">
        <f t="shared" si="70"/>
        <v>6.4021887824968768</v>
      </c>
      <c r="AK347" s="83"/>
      <c r="AL347" s="83"/>
      <c r="AM347" s="83"/>
      <c r="AN347" s="83"/>
      <c r="AO347" s="78"/>
    </row>
    <row r="348" spans="1:41" customFormat="1" ht="15" hidden="1" x14ac:dyDescent="0.25">
      <c r="A348" s="82">
        <v>45704</v>
      </c>
      <c r="B348" s="94" t="str">
        <f t="shared" si="60"/>
        <v>February</v>
      </c>
      <c r="C348" s="78"/>
      <c r="D348" s="79" t="s">
        <v>188</v>
      </c>
      <c r="E348" s="80" t="s">
        <v>1017</v>
      </c>
      <c r="F348" s="79" t="s">
        <v>1027</v>
      </c>
      <c r="G348" s="79" t="s">
        <v>34</v>
      </c>
      <c r="H348" s="79" t="s">
        <v>987</v>
      </c>
      <c r="I348" s="79">
        <v>156</v>
      </c>
      <c r="J348" s="79" t="s">
        <v>188</v>
      </c>
      <c r="K348" s="80" t="s">
        <v>469</v>
      </c>
      <c r="L348" s="79">
        <v>320</v>
      </c>
      <c r="M348" s="80">
        <f>L348+2</f>
        <v>322</v>
      </c>
      <c r="N348" s="81">
        <f t="shared" si="71"/>
        <v>2</v>
      </c>
      <c r="O348" s="78"/>
      <c r="P348" s="82">
        <f>R348-TIME(0,41,0)</f>
        <v>45703.28402777778</v>
      </c>
      <c r="Q348" s="82">
        <v>45703.249305555553</v>
      </c>
      <c r="R348" s="82">
        <v>45703.3125</v>
      </c>
      <c r="S348" s="81">
        <f t="shared" si="61"/>
        <v>90.578703706948247</v>
      </c>
      <c r="T348" s="81">
        <f t="shared" si="62"/>
        <v>40.810185182635905</v>
      </c>
      <c r="U348" s="79"/>
      <c r="V348" s="82">
        <v>45704.468055555553</v>
      </c>
      <c r="W348" s="82">
        <v>45704.606249999997</v>
      </c>
      <c r="X348" s="103">
        <f t="shared" si="63"/>
        <v>194.85416666575475</v>
      </c>
      <c r="Y348" s="82" t="s">
        <v>1048</v>
      </c>
      <c r="Z348" s="82">
        <v>45703.658333333333</v>
      </c>
      <c r="AA348" s="82">
        <f>Z348+TIME(0,56,0)</f>
        <v>45703.697222222225</v>
      </c>
      <c r="AB348" s="81">
        <f t="shared" si="64"/>
        <v>54.833333337664953</v>
      </c>
      <c r="AC348" s="80"/>
      <c r="AD348" s="83">
        <f t="shared" si="65"/>
        <v>0.34583333333284827</v>
      </c>
      <c r="AE348" s="80">
        <v>2</v>
      </c>
      <c r="AF348" s="84">
        <f t="shared" si="66"/>
        <v>1.6541666666671517</v>
      </c>
      <c r="AG348" s="83">
        <f t="shared" si="67"/>
        <v>8.2999999999883585</v>
      </c>
      <c r="AH348" s="83">
        <f t="shared" si="68"/>
        <v>0</v>
      </c>
      <c r="AI348" s="83">
        <f t="shared" si="69"/>
        <v>8.2999999999883585</v>
      </c>
      <c r="AJ348" s="83">
        <f t="shared" si="70"/>
        <v>18.795180722917927</v>
      </c>
      <c r="AK348" s="83"/>
      <c r="AL348" s="83"/>
      <c r="AM348" s="83"/>
      <c r="AN348" s="83"/>
      <c r="AO348" s="78"/>
    </row>
    <row r="349" spans="1:41" customFormat="1" ht="15" hidden="1" x14ac:dyDescent="0.25">
      <c r="A349" s="82">
        <v>45704</v>
      </c>
      <c r="B349" s="94" t="str">
        <f t="shared" si="60"/>
        <v>February</v>
      </c>
      <c r="C349" s="78"/>
      <c r="D349" s="79" t="s">
        <v>189</v>
      </c>
      <c r="E349" s="80" t="s">
        <v>1017</v>
      </c>
      <c r="F349" s="79" t="s">
        <v>1028</v>
      </c>
      <c r="G349" s="79" t="s">
        <v>45</v>
      </c>
      <c r="H349" s="79" t="s">
        <v>459</v>
      </c>
      <c r="I349" s="79">
        <v>156</v>
      </c>
      <c r="J349" s="79" t="s">
        <v>189</v>
      </c>
      <c r="K349" s="80" t="s">
        <v>469</v>
      </c>
      <c r="L349" s="80">
        <v>560</v>
      </c>
      <c r="M349" s="80">
        <f>L349+2</f>
        <v>562</v>
      </c>
      <c r="N349" s="81">
        <f t="shared" si="71"/>
        <v>2</v>
      </c>
      <c r="O349" s="78"/>
      <c r="P349" s="82">
        <f>R349-TIME(0,43,0)</f>
        <v>45703.701388888883</v>
      </c>
      <c r="Q349" s="82">
        <v>45703.695833333331</v>
      </c>
      <c r="R349" s="82">
        <v>45703.731249999997</v>
      </c>
      <c r="S349" s="81">
        <f t="shared" si="61"/>
        <v>50.763888887498375</v>
      </c>
      <c r="T349" s="81">
        <f t="shared" si="62"/>
        <v>42.80092592986572</v>
      </c>
      <c r="U349" s="79"/>
      <c r="V349" s="82">
        <v>45704.511805555558</v>
      </c>
      <c r="W349" s="82">
        <v>45704.664583333331</v>
      </c>
      <c r="X349" s="103">
        <f t="shared" si="63"/>
        <v>215.41666666096717</v>
      </c>
      <c r="Y349" s="82" t="s">
        <v>1044</v>
      </c>
      <c r="Z349" s="82">
        <v>45704.810416666667</v>
      </c>
      <c r="AA349" s="82">
        <v>45704.848611111112</v>
      </c>
      <c r="AB349" s="81">
        <f t="shared" si="64"/>
        <v>53.854166667806567</v>
      </c>
      <c r="AC349" s="80"/>
      <c r="AD349" s="83">
        <f t="shared" si="65"/>
        <v>1.0791666666700621</v>
      </c>
      <c r="AE349" s="80">
        <v>2</v>
      </c>
      <c r="AF349" s="84">
        <f t="shared" si="66"/>
        <v>0.92083333332993789</v>
      </c>
      <c r="AG349" s="83">
        <f t="shared" si="67"/>
        <v>25.900000000081491</v>
      </c>
      <c r="AH349" s="83">
        <f t="shared" si="68"/>
        <v>12</v>
      </c>
      <c r="AI349" s="83">
        <f t="shared" si="69"/>
        <v>13.900000000081491</v>
      </c>
      <c r="AJ349" s="83">
        <f t="shared" si="70"/>
        <v>11.223021582668016</v>
      </c>
      <c r="AK349" s="83"/>
      <c r="AL349" s="83"/>
      <c r="AM349" s="83"/>
      <c r="AN349" s="83"/>
      <c r="AO349" s="78"/>
    </row>
    <row r="350" spans="1:41" customFormat="1" ht="15" hidden="1" x14ac:dyDescent="0.25">
      <c r="A350" s="82">
        <v>45704</v>
      </c>
      <c r="B350" s="94" t="str">
        <f t="shared" si="60"/>
        <v>February</v>
      </c>
      <c r="C350" s="78"/>
      <c r="D350" s="79" t="s">
        <v>190</v>
      </c>
      <c r="E350" s="80" t="s">
        <v>1017</v>
      </c>
      <c r="F350" s="79" t="s">
        <v>1036</v>
      </c>
      <c r="G350" s="79" t="s">
        <v>36</v>
      </c>
      <c r="H350" s="79" t="s">
        <v>458</v>
      </c>
      <c r="I350" s="79">
        <v>156</v>
      </c>
      <c r="J350" s="79" t="s">
        <v>190</v>
      </c>
      <c r="K350" s="80" t="s">
        <v>469</v>
      </c>
      <c r="L350" s="80">
        <v>448</v>
      </c>
      <c r="M350" s="80">
        <f>L350+2</f>
        <v>450</v>
      </c>
      <c r="N350" s="81">
        <f t="shared" si="71"/>
        <v>2</v>
      </c>
      <c r="O350" s="78"/>
      <c r="P350" s="82">
        <f>R350-TIME(0,43,0)</f>
        <v>45702.485416666663</v>
      </c>
      <c r="Q350" s="82">
        <v>45702.512499999997</v>
      </c>
      <c r="R350" s="82">
        <v>45702.515277777777</v>
      </c>
      <c r="S350" s="81">
        <f t="shared" si="61"/>
        <v>3.9814814840307613</v>
      </c>
      <c r="T350" s="81">
        <f t="shared" si="62"/>
        <v>42.80092592986572</v>
      </c>
      <c r="U350" s="79"/>
      <c r="V350" s="82">
        <v>45703.837500000001</v>
      </c>
      <c r="W350" s="82">
        <f>V350+TIME(0,174,0)</f>
        <v>45703.958333333336</v>
      </c>
      <c r="X350" s="103">
        <f t="shared" si="63"/>
        <v>170.37500000136788</v>
      </c>
      <c r="Y350" s="82"/>
      <c r="Z350" s="82">
        <v>45704.762499999997</v>
      </c>
      <c r="AA350" s="82">
        <f>Z350+TIME(0,60,0)</f>
        <v>45704.804166666661</v>
      </c>
      <c r="AB350" s="81">
        <f t="shared" si="64"/>
        <v>58.7499999965803</v>
      </c>
      <c r="AC350" s="80"/>
      <c r="AD350" s="83">
        <f t="shared" si="65"/>
        <v>2.2472222222204437</v>
      </c>
      <c r="AE350" s="80">
        <v>2</v>
      </c>
      <c r="AF350" s="84">
        <f t="shared" si="66"/>
        <v>-0.24722222222044365</v>
      </c>
      <c r="AG350" s="83">
        <f t="shared" si="67"/>
        <v>53.933333333290648</v>
      </c>
      <c r="AH350" s="83">
        <f t="shared" si="68"/>
        <v>24</v>
      </c>
      <c r="AI350" s="83">
        <f t="shared" si="69"/>
        <v>29.933333333290648</v>
      </c>
      <c r="AJ350" s="83">
        <f t="shared" si="70"/>
        <v>5.2115812917668976</v>
      </c>
      <c r="AK350" s="83"/>
      <c r="AL350" s="83"/>
      <c r="AM350" s="83"/>
      <c r="AN350" s="83"/>
      <c r="AO350" s="78"/>
    </row>
    <row r="351" spans="1:41" customFormat="1" ht="15" hidden="1" x14ac:dyDescent="0.25">
      <c r="A351" s="82">
        <v>45704</v>
      </c>
      <c r="B351" s="94" t="str">
        <f t="shared" si="60"/>
        <v>February</v>
      </c>
      <c r="C351" s="78"/>
      <c r="D351" s="79" t="s">
        <v>191</v>
      </c>
      <c r="E351" s="80" t="s">
        <v>1017</v>
      </c>
      <c r="F351" s="79" t="s">
        <v>1030</v>
      </c>
      <c r="G351" s="79" t="s">
        <v>66</v>
      </c>
      <c r="H351" s="79" t="s">
        <v>455</v>
      </c>
      <c r="I351" s="79">
        <v>156</v>
      </c>
      <c r="J351" s="79" t="s">
        <v>191</v>
      </c>
      <c r="K351" s="80" t="s">
        <v>469</v>
      </c>
      <c r="L351" s="80">
        <v>580</v>
      </c>
      <c r="M351" s="80">
        <f>L351-1</f>
        <v>579</v>
      </c>
      <c r="N351" s="81">
        <f t="shared" si="71"/>
        <v>-1</v>
      </c>
      <c r="O351" s="78"/>
      <c r="P351" s="82">
        <f>R351-TIME(0,43,0)</f>
        <v>45702.901388888888</v>
      </c>
      <c r="Q351" s="82">
        <v>45702.92291666667</v>
      </c>
      <c r="R351" s="82">
        <v>45702.931250000001</v>
      </c>
      <c r="S351" s="81">
        <f t="shared" si="61"/>
        <v>11.944444441663412</v>
      </c>
      <c r="T351" s="81">
        <f t="shared" si="62"/>
        <v>42.80092592986572</v>
      </c>
      <c r="U351" s="79"/>
      <c r="V351" s="82">
        <v>45704.727777777778</v>
      </c>
      <c r="W351" s="82">
        <f>V351+TIME(0,174,0)</f>
        <v>45704.848611111112</v>
      </c>
      <c r="X351" s="103">
        <f t="shared" si="63"/>
        <v>170.37500000136788</v>
      </c>
      <c r="Y351" s="82"/>
      <c r="Z351" s="82">
        <v>45704.806944444441</v>
      </c>
      <c r="AA351" s="82">
        <f>Z351+TIME(0,58,0)</f>
        <v>45704.847222222219</v>
      </c>
      <c r="AB351" s="81">
        <f t="shared" si="64"/>
        <v>56.791666667122627</v>
      </c>
      <c r="AC351" s="80"/>
      <c r="AD351" s="83">
        <f t="shared" si="65"/>
        <v>1.8756944444394321</v>
      </c>
      <c r="AE351" s="80">
        <v>2</v>
      </c>
      <c r="AF351" s="84">
        <f t="shared" si="66"/>
        <v>0.12430555556056788</v>
      </c>
      <c r="AG351" s="83">
        <f t="shared" si="67"/>
        <v>45.016666666546371</v>
      </c>
      <c r="AH351" s="83">
        <f t="shared" si="68"/>
        <v>12</v>
      </c>
      <c r="AI351" s="83">
        <f t="shared" si="69"/>
        <v>33.016666666546371</v>
      </c>
      <c r="AJ351" s="83">
        <f t="shared" si="70"/>
        <v>4.7248864210167101</v>
      </c>
      <c r="AK351" s="83"/>
      <c r="AL351" s="83"/>
      <c r="AM351" s="83"/>
      <c r="AN351" s="83"/>
      <c r="AO351" s="78"/>
    </row>
    <row r="352" spans="1:41" customFormat="1" ht="15" hidden="1" x14ac:dyDescent="0.25">
      <c r="A352" s="82">
        <v>45704</v>
      </c>
      <c r="B352" s="94" t="str">
        <f t="shared" si="60"/>
        <v>February</v>
      </c>
      <c r="C352" s="78"/>
      <c r="D352" s="79" t="s">
        <v>853</v>
      </c>
      <c r="E352" s="80" t="s">
        <v>1016</v>
      </c>
      <c r="F352" s="79" t="s">
        <v>958</v>
      </c>
      <c r="G352" s="79" t="s">
        <v>975</v>
      </c>
      <c r="H352" s="79" t="s">
        <v>987</v>
      </c>
      <c r="I352" s="79">
        <v>153.6</v>
      </c>
      <c r="J352" s="79" t="s">
        <v>853</v>
      </c>
      <c r="K352" s="80" t="s">
        <v>469</v>
      </c>
      <c r="L352" s="79">
        <v>320</v>
      </c>
      <c r="M352" s="80">
        <f>L352+2</f>
        <v>322</v>
      </c>
      <c r="N352" s="81">
        <f t="shared" si="71"/>
        <v>2</v>
      </c>
      <c r="O352" s="78"/>
      <c r="P352" s="82">
        <f>R352-TIME(0,43,0)</f>
        <v>45702.808333333327</v>
      </c>
      <c r="Q352" s="82">
        <v>45702.776388888888</v>
      </c>
      <c r="R352" s="82">
        <v>45702.838194444441</v>
      </c>
      <c r="S352" s="81">
        <f t="shared" si="61"/>
        <v>88.587962959718425</v>
      </c>
      <c r="T352" s="81">
        <f t="shared" si="62"/>
        <v>42.80092592986572</v>
      </c>
      <c r="U352" s="79"/>
      <c r="V352" s="82">
        <v>45703.476388888892</v>
      </c>
      <c r="W352" s="82">
        <v>45703.605555555558</v>
      </c>
      <c r="X352" s="103">
        <f t="shared" si="63"/>
        <v>182.12499999863212</v>
      </c>
      <c r="Y352" s="82" t="s">
        <v>1050</v>
      </c>
      <c r="Z352" s="82">
        <v>45703.624305555553</v>
      </c>
      <c r="AA352" s="82">
        <f>Z352+TIME(0,60,0)</f>
        <v>45703.665972222218</v>
      </c>
      <c r="AB352" s="81">
        <f t="shared" si="64"/>
        <v>58.7499999965803</v>
      </c>
      <c r="AC352" s="80"/>
      <c r="AD352" s="83">
        <f t="shared" si="65"/>
        <v>0.78611111111240461</v>
      </c>
      <c r="AE352" s="80">
        <v>2</v>
      </c>
      <c r="AF352" s="84">
        <f t="shared" si="66"/>
        <v>1.2138888888875954</v>
      </c>
      <c r="AG352" s="83">
        <f t="shared" si="67"/>
        <v>18.866666666697711</v>
      </c>
      <c r="AH352" s="83">
        <f t="shared" si="68"/>
        <v>0</v>
      </c>
      <c r="AI352" s="83">
        <f t="shared" si="69"/>
        <v>18.866666666697711</v>
      </c>
      <c r="AJ352" s="83">
        <f t="shared" si="70"/>
        <v>8.1413427561703493</v>
      </c>
      <c r="AK352" s="83"/>
      <c r="AL352" s="83"/>
      <c r="AM352" s="83"/>
      <c r="AN352" s="83"/>
      <c r="AO352" s="78"/>
    </row>
    <row r="353" spans="1:41" customFormat="1" ht="15" hidden="1" x14ac:dyDescent="0.25">
      <c r="A353" s="82">
        <v>45704</v>
      </c>
      <c r="B353" s="94" t="str">
        <f t="shared" si="60"/>
        <v>February</v>
      </c>
      <c r="C353" s="78"/>
      <c r="D353" s="79" t="s">
        <v>854</v>
      </c>
      <c r="E353" s="80" t="s">
        <v>1016</v>
      </c>
      <c r="F353" s="79" t="s">
        <v>965</v>
      </c>
      <c r="G353" s="79" t="s">
        <v>980</v>
      </c>
      <c r="H353" s="79" t="s">
        <v>461</v>
      </c>
      <c r="I353" s="79">
        <v>153.6</v>
      </c>
      <c r="J353" s="79" t="s">
        <v>854</v>
      </c>
      <c r="K353" s="80" t="s">
        <v>469</v>
      </c>
      <c r="L353" s="80">
        <v>298</v>
      </c>
      <c r="M353" s="80">
        <f>L353+2</f>
        <v>300</v>
      </c>
      <c r="N353" s="81">
        <f t="shared" si="71"/>
        <v>2</v>
      </c>
      <c r="O353" s="78"/>
      <c r="P353" s="82">
        <f>R353-TIME(0,44,0)</f>
        <v>45702.780555555561</v>
      </c>
      <c r="Q353" s="82">
        <v>45702.755555555559</v>
      </c>
      <c r="R353" s="82">
        <v>45702.811111111114</v>
      </c>
      <c r="S353" s="81">
        <f t="shared" si="61"/>
        <v>79.629629628470866</v>
      </c>
      <c r="T353" s="81">
        <f t="shared" si="62"/>
        <v>43.796296293051761</v>
      </c>
      <c r="U353" s="79"/>
      <c r="V353" s="82">
        <v>45703.40347222222</v>
      </c>
      <c r="W353" s="82">
        <v>45703.486111111109</v>
      </c>
      <c r="X353" s="103">
        <f t="shared" si="63"/>
        <v>116.52083333356131</v>
      </c>
      <c r="Y353" s="82"/>
      <c r="Z353" s="82">
        <v>45703.693749999999</v>
      </c>
      <c r="AA353" s="82">
        <v>45703.734027777777</v>
      </c>
      <c r="AB353" s="81">
        <f t="shared" si="64"/>
        <v>56.791666667122627</v>
      </c>
      <c r="AC353" s="80"/>
      <c r="AD353" s="83">
        <f t="shared" si="65"/>
        <v>0.882638888884685</v>
      </c>
      <c r="AE353" s="80">
        <v>2</v>
      </c>
      <c r="AF353" s="84">
        <f t="shared" si="66"/>
        <v>1.117361111115315</v>
      </c>
      <c r="AG353" s="83">
        <f t="shared" si="67"/>
        <v>21.18333333323244</v>
      </c>
      <c r="AH353" s="83">
        <f t="shared" si="68"/>
        <v>0</v>
      </c>
      <c r="AI353" s="83">
        <f t="shared" si="69"/>
        <v>21.18333333323244</v>
      </c>
      <c r="AJ353" s="83">
        <f t="shared" si="70"/>
        <v>7.2509834776112463</v>
      </c>
      <c r="AK353" s="83"/>
      <c r="AL353" s="83"/>
      <c r="AM353" s="83"/>
      <c r="AN353" s="83"/>
      <c r="AO353" s="78"/>
    </row>
    <row r="354" spans="1:41" customFormat="1" ht="15" hidden="1" x14ac:dyDescent="0.25">
      <c r="A354" s="82">
        <v>45704</v>
      </c>
      <c r="B354" s="94" t="str">
        <f t="shared" si="60"/>
        <v>February</v>
      </c>
      <c r="C354" s="78"/>
      <c r="D354" s="79" t="s">
        <v>1007</v>
      </c>
      <c r="E354" s="80" t="s">
        <v>1016</v>
      </c>
      <c r="F354" s="79" t="s">
        <v>963</v>
      </c>
      <c r="G354" s="79" t="s">
        <v>60</v>
      </c>
      <c r="H354" s="79" t="s">
        <v>461</v>
      </c>
      <c r="I354" s="79">
        <v>153.6</v>
      </c>
      <c r="J354" s="79" t="s">
        <v>1007</v>
      </c>
      <c r="K354" s="80" t="s">
        <v>469</v>
      </c>
      <c r="L354" s="80">
        <v>298</v>
      </c>
      <c r="M354" s="80">
        <f>L354-1</f>
        <v>297</v>
      </c>
      <c r="N354" s="81">
        <f t="shared" si="71"/>
        <v>-1</v>
      </c>
      <c r="O354" s="78" t="s">
        <v>1041</v>
      </c>
      <c r="P354" s="82">
        <f>R354-TIME(0,44,0)</f>
        <v>45703.592361111114</v>
      </c>
      <c r="Q354" s="82">
        <v>45703.082638888889</v>
      </c>
      <c r="R354" s="82">
        <v>45703.622916666667</v>
      </c>
      <c r="S354" s="81">
        <f t="shared" si="61"/>
        <v>774.39814814861165</v>
      </c>
      <c r="T354" s="81">
        <f t="shared" si="62"/>
        <v>43.796296293051761</v>
      </c>
      <c r="U354" s="79"/>
      <c r="V354" s="82">
        <v>45703.837500000001</v>
      </c>
      <c r="W354" s="82">
        <f>V354+TIME(0,174,0)</f>
        <v>45703.958333333336</v>
      </c>
      <c r="X354" s="103">
        <f t="shared" si="63"/>
        <v>170.37500000136788</v>
      </c>
      <c r="Y354" s="82"/>
      <c r="Z354" s="82">
        <v>45704.806944444441</v>
      </c>
      <c r="AA354" s="82">
        <v>45704.844444444439</v>
      </c>
      <c r="AB354" s="81">
        <f t="shared" si="64"/>
        <v>52.87499999794818</v>
      </c>
      <c r="AC354" s="80"/>
      <c r="AD354" s="83">
        <f t="shared" si="65"/>
        <v>1.1840277777737356</v>
      </c>
      <c r="AE354" s="80">
        <v>2</v>
      </c>
      <c r="AF354" s="84">
        <f t="shared" si="66"/>
        <v>0.81597222222626442</v>
      </c>
      <c r="AG354" s="83">
        <f t="shared" si="67"/>
        <v>28.416666666569654</v>
      </c>
      <c r="AH354" s="83">
        <f t="shared" si="68"/>
        <v>12</v>
      </c>
      <c r="AI354" s="83">
        <f t="shared" si="69"/>
        <v>16.416666666569654</v>
      </c>
      <c r="AJ354" s="83">
        <f t="shared" si="70"/>
        <v>9.3563451777202644</v>
      </c>
      <c r="AK354" s="83"/>
      <c r="AL354" s="83"/>
      <c r="AM354" s="83"/>
      <c r="AN354" s="83"/>
      <c r="AO354" s="78"/>
    </row>
    <row r="355" spans="1:41" customFormat="1" ht="15" hidden="1" x14ac:dyDescent="0.25">
      <c r="A355" s="82">
        <v>45705</v>
      </c>
      <c r="B355" s="94" t="str">
        <f t="shared" si="60"/>
        <v>February</v>
      </c>
      <c r="C355" s="78"/>
      <c r="D355" s="79" t="s">
        <v>192</v>
      </c>
      <c r="E355" s="80" t="s">
        <v>1017</v>
      </c>
      <c r="F355" s="79"/>
      <c r="G355" s="79" t="s">
        <v>35</v>
      </c>
      <c r="H355" s="79" t="s">
        <v>451</v>
      </c>
      <c r="I355" s="79">
        <v>156</v>
      </c>
      <c r="J355" s="79" t="s">
        <v>192</v>
      </c>
      <c r="K355" s="80" t="s">
        <v>469</v>
      </c>
      <c r="L355" s="80">
        <v>790</v>
      </c>
      <c r="M355" s="80">
        <f>L355+2</f>
        <v>792</v>
      </c>
      <c r="N355" s="81">
        <f t="shared" si="71"/>
        <v>2</v>
      </c>
      <c r="O355" s="78"/>
      <c r="P355" s="82">
        <f>R355-TIME(0,41,0)</f>
        <v>45703.674305555556</v>
      </c>
      <c r="Q355" s="82">
        <v>45703.416666666664</v>
      </c>
      <c r="R355" s="82">
        <v>45703.702777777777</v>
      </c>
      <c r="S355" s="81">
        <f t="shared" si="61"/>
        <v>410.09259259444661</v>
      </c>
      <c r="T355" s="81">
        <f t="shared" si="62"/>
        <v>40.810185182635905</v>
      </c>
      <c r="U355" s="79"/>
      <c r="V355" s="82">
        <v>45704.468055555553</v>
      </c>
      <c r="W355" s="82">
        <v>45704.606249999997</v>
      </c>
      <c r="X355" s="103">
        <f t="shared" si="63"/>
        <v>194.85416666575475</v>
      </c>
      <c r="Y355" s="82" t="s">
        <v>1052</v>
      </c>
      <c r="Z355" s="82">
        <v>45704.810416666667</v>
      </c>
      <c r="AA355" s="82">
        <f>Z355+TIME(0,54,0)</f>
        <v>45704.847916666666</v>
      </c>
      <c r="AB355" s="81">
        <f t="shared" si="64"/>
        <v>52.87499999794818</v>
      </c>
      <c r="AC355" s="80"/>
      <c r="AD355" s="83">
        <f t="shared" si="65"/>
        <v>1.1076388888905058</v>
      </c>
      <c r="AE355" s="80">
        <v>3</v>
      </c>
      <c r="AF355" s="84">
        <f t="shared" si="66"/>
        <v>1.8923611111094942</v>
      </c>
      <c r="AG355" s="83">
        <f t="shared" si="67"/>
        <v>26.583333333372138</v>
      </c>
      <c r="AH355" s="83">
        <f t="shared" si="68"/>
        <v>12</v>
      </c>
      <c r="AI355" s="83">
        <f t="shared" si="69"/>
        <v>14.583333333372138</v>
      </c>
      <c r="AJ355" s="83">
        <f t="shared" si="70"/>
        <v>10.697142857114393</v>
      </c>
      <c r="AK355" s="83"/>
      <c r="AL355" s="83"/>
      <c r="AM355" s="83"/>
      <c r="AN355" s="83"/>
      <c r="AO355" s="78"/>
    </row>
    <row r="356" spans="1:41" customFormat="1" ht="15" hidden="1" x14ac:dyDescent="0.25">
      <c r="A356" s="82">
        <v>45705</v>
      </c>
      <c r="B356" s="94" t="str">
        <f t="shared" si="60"/>
        <v>February</v>
      </c>
      <c r="C356" s="78"/>
      <c r="D356" s="79" t="s">
        <v>193</v>
      </c>
      <c r="E356" s="80" t="s">
        <v>1017</v>
      </c>
      <c r="F356" s="79"/>
      <c r="G356" s="79" t="s">
        <v>58</v>
      </c>
      <c r="H356" s="79" t="s">
        <v>464</v>
      </c>
      <c r="I356" s="79">
        <v>156</v>
      </c>
      <c r="J356" s="79" t="s">
        <v>193</v>
      </c>
      <c r="K356" s="80" t="s">
        <v>469</v>
      </c>
      <c r="L356" s="79">
        <v>256</v>
      </c>
      <c r="M356" s="80">
        <f>L356+2</f>
        <v>258</v>
      </c>
      <c r="N356" s="81">
        <f t="shared" si="71"/>
        <v>2</v>
      </c>
      <c r="O356" s="78"/>
      <c r="P356" s="82">
        <f>R356-TIME(0,43,0)</f>
        <v>45703.660416666666</v>
      </c>
      <c r="Q356" s="82">
        <v>45703.458333333336</v>
      </c>
      <c r="R356" s="82">
        <v>45703.69027777778</v>
      </c>
      <c r="S356" s="81">
        <f t="shared" si="61"/>
        <v>332.45370370277669</v>
      </c>
      <c r="T356" s="81">
        <f t="shared" si="62"/>
        <v>42.80092592986572</v>
      </c>
      <c r="U356" s="79"/>
      <c r="V356" s="82">
        <v>45704.511805555558</v>
      </c>
      <c r="W356" s="82">
        <v>45704.664583333331</v>
      </c>
      <c r="X356" s="103">
        <f t="shared" si="63"/>
        <v>215.41666666096717</v>
      </c>
      <c r="Y356" s="82" t="s">
        <v>1048</v>
      </c>
      <c r="Z356" s="82">
        <v>45704.762499999997</v>
      </c>
      <c r="AA356" s="82">
        <v>45704.802777777775</v>
      </c>
      <c r="AB356" s="81">
        <f t="shared" si="64"/>
        <v>56.791666667122627</v>
      </c>
      <c r="AC356" s="80"/>
      <c r="AD356" s="83">
        <f t="shared" si="65"/>
        <v>1.0722222222175333</v>
      </c>
      <c r="AE356" s="80">
        <v>2</v>
      </c>
      <c r="AF356" s="84">
        <f t="shared" si="66"/>
        <v>0.92777777778246673</v>
      </c>
      <c r="AG356" s="83">
        <f t="shared" si="67"/>
        <v>25.733333333220799</v>
      </c>
      <c r="AH356" s="83">
        <f t="shared" si="68"/>
        <v>12</v>
      </c>
      <c r="AI356" s="83">
        <f t="shared" si="69"/>
        <v>13.733333333220799</v>
      </c>
      <c r="AJ356" s="83">
        <f t="shared" si="70"/>
        <v>11.359223301063954</v>
      </c>
      <c r="AK356" s="83"/>
      <c r="AL356" s="83"/>
      <c r="AM356" s="83"/>
      <c r="AN356" s="83"/>
      <c r="AO356" s="78"/>
    </row>
    <row r="357" spans="1:41" customFormat="1" ht="15" hidden="1" x14ac:dyDescent="0.25">
      <c r="A357" s="82">
        <v>45705</v>
      </c>
      <c r="B357" s="94" t="str">
        <f t="shared" si="60"/>
        <v>February</v>
      </c>
      <c r="C357" s="78"/>
      <c r="D357" s="79" t="s">
        <v>194</v>
      </c>
      <c r="E357" s="80" t="s">
        <v>1017</v>
      </c>
      <c r="F357" s="79"/>
      <c r="G357" s="79" t="s">
        <v>47</v>
      </c>
      <c r="H357" s="79" t="s">
        <v>452</v>
      </c>
      <c r="I357" s="79">
        <v>156</v>
      </c>
      <c r="J357" s="79" t="s">
        <v>194</v>
      </c>
      <c r="K357" s="80" t="s">
        <v>469</v>
      </c>
      <c r="L357" s="80">
        <v>690</v>
      </c>
      <c r="M357" s="80">
        <f>L357+2</f>
        <v>692</v>
      </c>
      <c r="N357" s="81">
        <f t="shared" si="71"/>
        <v>2</v>
      </c>
      <c r="O357" s="78"/>
      <c r="P357" s="82">
        <v>45703.418055555558</v>
      </c>
      <c r="Q357" s="82">
        <v>45703.375</v>
      </c>
      <c r="R357" s="82">
        <v>45703.447222222225</v>
      </c>
      <c r="S357" s="81">
        <f t="shared" si="61"/>
        <v>103.51851852222656</v>
      </c>
      <c r="T357" s="81">
        <f t="shared" si="62"/>
        <v>41.805555556250816</v>
      </c>
      <c r="U357" s="79"/>
      <c r="V357" s="82">
        <v>45704.727777777778</v>
      </c>
      <c r="W357" s="82">
        <f>V357+TIME(0,158,0)</f>
        <v>45704.837500000001</v>
      </c>
      <c r="X357" s="103">
        <f t="shared" si="63"/>
        <v>154.70833333492919</v>
      </c>
      <c r="Y357" s="82"/>
      <c r="Z357" s="82">
        <v>45703.624305555553</v>
      </c>
      <c r="AA357" s="82">
        <f>Z357+TIME(0,58,0)</f>
        <v>45703.664583333331</v>
      </c>
      <c r="AB357" s="81">
        <f t="shared" si="64"/>
        <v>56.791666667122627</v>
      </c>
      <c r="AC357" s="80"/>
      <c r="AD357" s="83">
        <f t="shared" si="65"/>
        <v>0.17708333332848269</v>
      </c>
      <c r="AE357" s="80">
        <v>3</v>
      </c>
      <c r="AF357" s="84">
        <f t="shared" si="66"/>
        <v>2.8229166666715173</v>
      </c>
      <c r="AG357" s="83">
        <f t="shared" si="67"/>
        <v>4.2499999998835847</v>
      </c>
      <c r="AH357" s="83">
        <f t="shared" si="68"/>
        <v>0</v>
      </c>
      <c r="AI357" s="83">
        <f t="shared" si="69"/>
        <v>4.2499999998835847</v>
      </c>
      <c r="AJ357" s="83">
        <f t="shared" si="70"/>
        <v>36.70588235394662</v>
      </c>
      <c r="AK357" s="83"/>
      <c r="AL357" s="83"/>
      <c r="AM357" s="83"/>
      <c r="AN357" s="83"/>
      <c r="AO357" s="78"/>
    </row>
    <row r="358" spans="1:41" customFormat="1" ht="15" hidden="1" x14ac:dyDescent="0.25">
      <c r="A358" s="82">
        <v>45705</v>
      </c>
      <c r="B358" s="94" t="str">
        <f t="shared" si="60"/>
        <v>February</v>
      </c>
      <c r="C358" s="78"/>
      <c r="D358" s="79" t="s">
        <v>195</v>
      </c>
      <c r="E358" s="80" t="s">
        <v>1017</v>
      </c>
      <c r="F358" s="79"/>
      <c r="G358" s="79" t="s">
        <v>49</v>
      </c>
      <c r="H358" s="79" t="s">
        <v>460</v>
      </c>
      <c r="I358" s="79">
        <v>156</v>
      </c>
      <c r="J358" s="79" t="s">
        <v>195</v>
      </c>
      <c r="K358" s="80" t="s">
        <v>469</v>
      </c>
      <c r="L358" s="80">
        <v>600</v>
      </c>
      <c r="M358" s="80">
        <f>L358+2</f>
        <v>602</v>
      </c>
      <c r="N358" s="81">
        <f t="shared" si="71"/>
        <v>2</v>
      </c>
      <c r="O358" s="78"/>
      <c r="P358" s="82">
        <v>45703.59097222222</v>
      </c>
      <c r="Q358" s="82">
        <v>45703.176388888889</v>
      </c>
      <c r="R358" s="82">
        <v>45703.620833333334</v>
      </c>
      <c r="S358" s="81">
        <f t="shared" si="61"/>
        <v>637.03703703819576</v>
      </c>
      <c r="T358" s="81">
        <f t="shared" si="62"/>
        <v>42.80092592986572</v>
      </c>
      <c r="U358" s="79"/>
      <c r="V358" s="82">
        <v>45703.40347222222</v>
      </c>
      <c r="W358" s="82">
        <v>45703.486111111109</v>
      </c>
      <c r="X358" s="103">
        <f t="shared" si="63"/>
        <v>116.52083333356131</v>
      </c>
      <c r="Y358" s="82"/>
      <c r="Z358" s="82">
        <v>45703.693749999999</v>
      </c>
      <c r="AA358" s="82">
        <v>45703.732638888891</v>
      </c>
      <c r="AB358" s="81">
        <f t="shared" si="64"/>
        <v>54.833333337664953</v>
      </c>
      <c r="AC358" s="80"/>
      <c r="AD358" s="83">
        <f t="shared" si="65"/>
        <v>7.2916666664241347E-2</v>
      </c>
      <c r="AE358" s="80">
        <v>3</v>
      </c>
      <c r="AF358" s="84">
        <f t="shared" si="66"/>
        <v>2.9270833333357587</v>
      </c>
      <c r="AG358" s="83">
        <f t="shared" si="67"/>
        <v>1.7499999999417923</v>
      </c>
      <c r="AH358" s="83">
        <f t="shared" si="68"/>
        <v>0</v>
      </c>
      <c r="AI358" s="83">
        <f t="shared" si="69"/>
        <v>1.7499999999417923</v>
      </c>
      <c r="AJ358" s="83">
        <f t="shared" si="70"/>
        <v>89.142857145822177</v>
      </c>
      <c r="AK358" s="83"/>
      <c r="AL358" s="83"/>
      <c r="AM358" s="83"/>
      <c r="AN358" s="83"/>
      <c r="AO358" s="78"/>
    </row>
    <row r="359" spans="1:41" customFormat="1" ht="15" hidden="1" x14ac:dyDescent="0.25">
      <c r="A359" s="82">
        <v>45705</v>
      </c>
      <c r="B359" s="94" t="str">
        <f t="shared" si="60"/>
        <v>February</v>
      </c>
      <c r="C359" s="78"/>
      <c r="D359" s="79" t="s">
        <v>196</v>
      </c>
      <c r="E359" s="80" t="s">
        <v>1017</v>
      </c>
      <c r="F359" s="79" t="s">
        <v>1037</v>
      </c>
      <c r="G359" s="79" t="s">
        <v>59</v>
      </c>
      <c r="H359" s="79" t="s">
        <v>448</v>
      </c>
      <c r="I359" s="79">
        <v>156</v>
      </c>
      <c r="J359" s="79" t="s">
        <v>196</v>
      </c>
      <c r="K359" s="80" t="s">
        <v>469</v>
      </c>
      <c r="L359" s="80">
        <v>560</v>
      </c>
      <c r="M359" s="80">
        <f>L359-2</f>
        <v>558</v>
      </c>
      <c r="N359" s="81">
        <f t="shared" si="71"/>
        <v>-2</v>
      </c>
      <c r="O359" s="78"/>
      <c r="P359" s="82">
        <f>R359-TIME(0,41,0)</f>
        <v>45702.592361111114</v>
      </c>
      <c r="Q359" s="82">
        <v>45702.613194444442</v>
      </c>
      <c r="R359" s="82">
        <v>45702.620833333334</v>
      </c>
      <c r="S359" s="81">
        <f t="shared" si="61"/>
        <v>10.949074078477375</v>
      </c>
      <c r="T359" s="81">
        <f t="shared" si="62"/>
        <v>40.810185182635905</v>
      </c>
      <c r="U359" s="79"/>
      <c r="V359" s="82">
        <v>45705.398611111108</v>
      </c>
      <c r="W359" s="82">
        <f>V359+TIME(0,172,0)</f>
        <v>45705.518055555549</v>
      </c>
      <c r="X359" s="103">
        <f t="shared" si="63"/>
        <v>168.41666666165111</v>
      </c>
      <c r="Y359" s="82"/>
      <c r="Z359" s="82">
        <v>45706.867361111108</v>
      </c>
      <c r="AA359" s="82">
        <f>Z359+TIME(0,58,0)</f>
        <v>45706.907638888886</v>
      </c>
      <c r="AB359" s="81">
        <f t="shared" si="64"/>
        <v>56.791666667122627</v>
      </c>
      <c r="AC359" s="80"/>
      <c r="AD359" s="83">
        <f t="shared" si="65"/>
        <v>4.2465277777737356</v>
      </c>
      <c r="AE359" s="80">
        <v>2</v>
      </c>
      <c r="AF359" s="84">
        <f t="shared" si="66"/>
        <v>-2.2465277777737356</v>
      </c>
      <c r="AG359" s="83">
        <f t="shared" si="67"/>
        <v>101.91666666656965</v>
      </c>
      <c r="AH359" s="83">
        <f t="shared" si="68"/>
        <v>48</v>
      </c>
      <c r="AI359" s="83">
        <f t="shared" si="69"/>
        <v>53.916666666569654</v>
      </c>
      <c r="AJ359" s="83">
        <f t="shared" si="70"/>
        <v>2.8933539412725939</v>
      </c>
      <c r="AK359" s="83"/>
      <c r="AL359" s="83"/>
      <c r="AM359" s="83"/>
      <c r="AN359" s="83"/>
      <c r="AO359" s="78"/>
    </row>
    <row r="360" spans="1:41" customFormat="1" ht="15" hidden="1" x14ac:dyDescent="0.25">
      <c r="A360" s="82">
        <v>45705</v>
      </c>
      <c r="B360" s="94" t="str">
        <f t="shared" si="60"/>
        <v>February</v>
      </c>
      <c r="C360" s="78"/>
      <c r="D360" s="79" t="s">
        <v>197</v>
      </c>
      <c r="E360" s="80" t="s">
        <v>1017</v>
      </c>
      <c r="F360" s="79" t="s">
        <v>1034</v>
      </c>
      <c r="G360" s="79" t="s">
        <v>53</v>
      </c>
      <c r="H360" s="79" t="s">
        <v>462</v>
      </c>
      <c r="I360" s="79">
        <v>156</v>
      </c>
      <c r="J360" s="79" t="s">
        <v>197</v>
      </c>
      <c r="K360" s="80" t="s">
        <v>469</v>
      </c>
      <c r="L360" s="80">
        <v>680</v>
      </c>
      <c r="M360" s="80">
        <f>L360-1</f>
        <v>679</v>
      </c>
      <c r="N360" s="81">
        <f t="shared" si="71"/>
        <v>-1</v>
      </c>
      <c r="O360" s="78"/>
      <c r="P360" s="82">
        <f>R360-TIME(0,44,0)</f>
        <v>45705.467361111114</v>
      </c>
      <c r="Q360" s="82">
        <v>45705.484722222223</v>
      </c>
      <c r="R360" s="82">
        <v>45705.497916666667</v>
      </c>
      <c r="S360" s="81">
        <f t="shared" si="61"/>
        <v>18.912037036110025</v>
      </c>
      <c r="T360" s="81">
        <f t="shared" si="62"/>
        <v>43.796296293051761</v>
      </c>
      <c r="U360" s="79"/>
      <c r="V360" s="82">
        <v>45705.711111111108</v>
      </c>
      <c r="W360" s="82">
        <v>45705.807638888888</v>
      </c>
      <c r="X360" s="103">
        <f t="shared" si="63"/>
        <v>136.10416666917445</v>
      </c>
      <c r="Y360" s="82"/>
      <c r="Z360" s="82">
        <v>45707.517361111109</v>
      </c>
      <c r="AA360" s="82">
        <f>Z360+TIME(0,50,0)</f>
        <v>45707.552083333328</v>
      </c>
      <c r="AB360" s="81">
        <f t="shared" si="64"/>
        <v>48.958333328773733</v>
      </c>
      <c r="AC360" s="80"/>
      <c r="AD360" s="83">
        <f t="shared" si="65"/>
        <v>2.0194444444423425</v>
      </c>
      <c r="AE360" s="80">
        <v>3</v>
      </c>
      <c r="AF360" s="84">
        <f t="shared" si="66"/>
        <v>0.9805555555576575</v>
      </c>
      <c r="AG360" s="83">
        <f t="shared" si="67"/>
        <v>48.46666666661622</v>
      </c>
      <c r="AH360" s="83">
        <f t="shared" si="68"/>
        <v>24</v>
      </c>
      <c r="AI360" s="83">
        <f t="shared" si="69"/>
        <v>24.46666666661622</v>
      </c>
      <c r="AJ360" s="83">
        <f t="shared" si="70"/>
        <v>6.376021798378269</v>
      </c>
      <c r="AK360" s="83"/>
      <c r="AL360" s="83"/>
      <c r="AM360" s="83"/>
      <c r="AN360" s="83"/>
      <c r="AO360" s="78"/>
    </row>
    <row r="361" spans="1:41" customFormat="1" ht="15" hidden="1" x14ac:dyDescent="0.25">
      <c r="A361" s="82">
        <v>45705</v>
      </c>
      <c r="B361" s="94" t="str">
        <f t="shared" si="60"/>
        <v>February</v>
      </c>
      <c r="C361" s="78"/>
      <c r="D361" s="79" t="s">
        <v>198</v>
      </c>
      <c r="E361" s="80" t="s">
        <v>1017</v>
      </c>
      <c r="F361" s="79"/>
      <c r="G361" s="79" t="s">
        <v>42</v>
      </c>
      <c r="H361" s="79" t="s">
        <v>451</v>
      </c>
      <c r="I361" s="79">
        <v>156</v>
      </c>
      <c r="J361" s="79" t="s">
        <v>198</v>
      </c>
      <c r="K361" s="80" t="s">
        <v>469</v>
      </c>
      <c r="L361" s="80">
        <v>790</v>
      </c>
      <c r="M361" s="80">
        <f>L361+2</f>
        <v>792</v>
      </c>
      <c r="N361" s="81">
        <f t="shared" si="71"/>
        <v>2</v>
      </c>
      <c r="O361" s="78"/>
      <c r="P361" s="82">
        <f>R361-TIME(0,44,0)</f>
        <v>45704.412500000006</v>
      </c>
      <c r="Q361" s="82">
        <v>45704.405555555561</v>
      </c>
      <c r="R361" s="82">
        <v>45704.443055555559</v>
      </c>
      <c r="S361" s="81">
        <f t="shared" si="61"/>
        <v>53.749999997914223</v>
      </c>
      <c r="T361" s="81">
        <f t="shared" si="62"/>
        <v>43.796296293051761</v>
      </c>
      <c r="U361" s="79"/>
      <c r="V361" s="82">
        <v>45704.362500000003</v>
      </c>
      <c r="W361" s="82">
        <v>45704.598611111112</v>
      </c>
      <c r="X361" s="103">
        <f t="shared" si="63"/>
        <v>332.91666666438687</v>
      </c>
      <c r="Y361" s="82" t="s">
        <v>1038</v>
      </c>
      <c r="Z361" s="82">
        <v>45705.402777777781</v>
      </c>
      <c r="AA361" s="82">
        <f>Z361+TIME(0,60,0)</f>
        <v>45705.444444444445</v>
      </c>
      <c r="AB361" s="81">
        <f t="shared" si="64"/>
        <v>58.7499999965803</v>
      </c>
      <c r="AC361" s="80"/>
      <c r="AD361" s="83">
        <f t="shared" si="65"/>
        <v>0.95972222222189885</v>
      </c>
      <c r="AE361" s="80">
        <v>2</v>
      </c>
      <c r="AF361" s="84">
        <f t="shared" si="66"/>
        <v>1.0402777777781012</v>
      </c>
      <c r="AG361" s="83">
        <f t="shared" si="67"/>
        <v>23.033333333325572</v>
      </c>
      <c r="AH361" s="83">
        <f t="shared" si="68"/>
        <v>0</v>
      </c>
      <c r="AI361" s="83">
        <f t="shared" si="69"/>
        <v>23.033333333325572</v>
      </c>
      <c r="AJ361" s="83">
        <f t="shared" si="70"/>
        <v>6.7727930535478684</v>
      </c>
      <c r="AK361" s="83"/>
      <c r="AL361" s="83"/>
      <c r="AM361" s="83"/>
      <c r="AN361" s="83"/>
      <c r="AO361" s="78"/>
    </row>
    <row r="362" spans="1:41" customFormat="1" ht="15" hidden="1" x14ac:dyDescent="0.25">
      <c r="A362" s="82">
        <v>45705</v>
      </c>
      <c r="B362" s="94" t="str">
        <f t="shared" si="60"/>
        <v>February</v>
      </c>
      <c r="C362" s="78"/>
      <c r="D362" s="79" t="s">
        <v>199</v>
      </c>
      <c r="E362" s="80" t="s">
        <v>1017</v>
      </c>
      <c r="F362" s="79" t="s">
        <v>1013</v>
      </c>
      <c r="G362" s="79" t="s">
        <v>56</v>
      </c>
      <c r="H362" s="79" t="s">
        <v>452</v>
      </c>
      <c r="I362" s="79">
        <v>156</v>
      </c>
      <c r="J362" s="79" t="s">
        <v>199</v>
      </c>
      <c r="K362" s="80" t="s">
        <v>469</v>
      </c>
      <c r="L362" s="80">
        <v>690</v>
      </c>
      <c r="M362" s="80">
        <f>L362-1</f>
        <v>689</v>
      </c>
      <c r="N362" s="81">
        <f t="shared" si="71"/>
        <v>-1</v>
      </c>
      <c r="O362" s="78"/>
      <c r="P362" s="82">
        <f>R362-TIME(0,41,0)</f>
        <v>45704.405555555561</v>
      </c>
      <c r="Q362" s="82">
        <v>45704.42569444445</v>
      </c>
      <c r="R362" s="82">
        <v>45704.434027777781</v>
      </c>
      <c r="S362" s="81">
        <f t="shared" si="61"/>
        <v>11.944444441663412</v>
      </c>
      <c r="T362" s="81">
        <f t="shared" si="62"/>
        <v>40.810185182635905</v>
      </c>
      <c r="U362" s="79"/>
      <c r="V362" s="82">
        <v>45704.645833333336</v>
      </c>
      <c r="W362" s="82">
        <v>45704.732638888891</v>
      </c>
      <c r="X362" s="103">
        <f t="shared" si="63"/>
        <v>122.39583333219343</v>
      </c>
      <c r="Y362" s="82"/>
      <c r="Z362" s="82">
        <v>45705.907638888886</v>
      </c>
      <c r="AA362" s="82">
        <f>Z362+TIME(0,60,0)</f>
        <v>45705.94930555555</v>
      </c>
      <c r="AB362" s="81">
        <f t="shared" si="64"/>
        <v>58.7499999965803</v>
      </c>
      <c r="AC362" s="80"/>
      <c r="AD362" s="83">
        <f t="shared" si="65"/>
        <v>1.4736111111051287</v>
      </c>
      <c r="AE362" s="80">
        <v>3</v>
      </c>
      <c r="AF362" s="84">
        <f t="shared" si="66"/>
        <v>1.5263888888948713</v>
      </c>
      <c r="AG362" s="83">
        <f t="shared" si="67"/>
        <v>35.366666666523088</v>
      </c>
      <c r="AH362" s="83">
        <f t="shared" si="68"/>
        <v>12</v>
      </c>
      <c r="AI362" s="83">
        <f t="shared" si="69"/>
        <v>23.366666666523088</v>
      </c>
      <c r="AJ362" s="83">
        <f t="shared" si="70"/>
        <v>6.676176890197941</v>
      </c>
      <c r="AK362" s="83"/>
      <c r="AL362" s="83"/>
      <c r="AM362" s="83"/>
      <c r="AN362" s="83"/>
      <c r="AO362" s="78"/>
    </row>
    <row r="363" spans="1:41" customFormat="1" ht="15" hidden="1" x14ac:dyDescent="0.25">
      <c r="A363" s="82">
        <v>45705</v>
      </c>
      <c r="B363" s="94" t="str">
        <f t="shared" si="60"/>
        <v>February</v>
      </c>
      <c r="C363" s="78"/>
      <c r="D363" s="79" t="s">
        <v>200</v>
      </c>
      <c r="E363" s="80" t="s">
        <v>1017</v>
      </c>
      <c r="F363" s="79"/>
      <c r="G363" s="79" t="s">
        <v>65</v>
      </c>
      <c r="H363" s="79" t="s">
        <v>452</v>
      </c>
      <c r="I363" s="79">
        <v>156</v>
      </c>
      <c r="J363" s="79" t="s">
        <v>200</v>
      </c>
      <c r="K363" s="80" t="s">
        <v>469</v>
      </c>
      <c r="L363" s="80">
        <v>690</v>
      </c>
      <c r="M363" s="80">
        <f>L363-2</f>
        <v>688</v>
      </c>
      <c r="N363" s="81">
        <f t="shared" si="71"/>
        <v>-2</v>
      </c>
      <c r="O363" s="78"/>
      <c r="P363" s="82">
        <f>R363-TIME(0,63,0)</f>
        <v>45704.354861111111</v>
      </c>
      <c r="Q363" s="82">
        <v>45704.332638888889</v>
      </c>
      <c r="R363" s="82">
        <v>45704.398611111108</v>
      </c>
      <c r="S363" s="81">
        <f t="shared" si="61"/>
        <v>94.560185180550135</v>
      </c>
      <c r="T363" s="81">
        <f t="shared" si="62"/>
        <v>62.708333329161782</v>
      </c>
      <c r="U363" s="79" t="s">
        <v>550</v>
      </c>
      <c r="V363" s="82">
        <v>45706.425000000003</v>
      </c>
      <c r="W363" s="82">
        <v>45706.530555555553</v>
      </c>
      <c r="X363" s="103">
        <f t="shared" si="63"/>
        <v>148.83333332603797</v>
      </c>
      <c r="Y363" s="82"/>
      <c r="Z363" s="82">
        <v>45705.456944444442</v>
      </c>
      <c r="AA363" s="82">
        <f>Z363+TIME(0,56,0)</f>
        <v>45705.495833333334</v>
      </c>
      <c r="AB363" s="81">
        <f t="shared" si="64"/>
        <v>54.833333337664953</v>
      </c>
      <c r="AC363" s="80"/>
      <c r="AD363" s="83">
        <f t="shared" si="65"/>
        <v>1.0583333333343035</v>
      </c>
      <c r="AE363" s="80">
        <v>2</v>
      </c>
      <c r="AF363" s="84">
        <f t="shared" si="66"/>
        <v>0.94166666666569654</v>
      </c>
      <c r="AG363" s="83">
        <f t="shared" si="67"/>
        <v>25.400000000023283</v>
      </c>
      <c r="AH363" s="83">
        <f t="shared" si="68"/>
        <v>12</v>
      </c>
      <c r="AI363" s="83">
        <f t="shared" si="69"/>
        <v>13.400000000023283</v>
      </c>
      <c r="AJ363" s="83">
        <f t="shared" si="70"/>
        <v>11.641791044755891</v>
      </c>
      <c r="AK363" s="83"/>
      <c r="AL363" s="83"/>
      <c r="AM363" s="83"/>
      <c r="AN363" s="83"/>
      <c r="AO363" s="78"/>
    </row>
    <row r="364" spans="1:41" customFormat="1" ht="15" hidden="1" x14ac:dyDescent="0.25">
      <c r="A364" s="82">
        <v>45705</v>
      </c>
      <c r="B364" s="94" t="str">
        <f t="shared" si="60"/>
        <v>February</v>
      </c>
      <c r="C364" s="78"/>
      <c r="D364" s="79" t="s">
        <v>201</v>
      </c>
      <c r="E364" s="80" t="s">
        <v>1017</v>
      </c>
      <c r="F364" s="79" t="s">
        <v>1026</v>
      </c>
      <c r="G364" s="79" t="s">
        <v>51</v>
      </c>
      <c r="H364" s="79" t="s">
        <v>462</v>
      </c>
      <c r="I364" s="79">
        <v>156</v>
      </c>
      <c r="J364" s="79" t="s">
        <v>201</v>
      </c>
      <c r="K364" s="80" t="s">
        <v>469</v>
      </c>
      <c r="L364" s="80">
        <v>680</v>
      </c>
      <c r="M364" s="80">
        <f>L364-2</f>
        <v>678</v>
      </c>
      <c r="N364" s="81">
        <f t="shared" si="71"/>
        <v>-2</v>
      </c>
      <c r="O364" s="78"/>
      <c r="P364" s="82">
        <f>R364-TIME(0,44,0)</f>
        <v>45703.494444444448</v>
      </c>
      <c r="Q364" s="82">
        <v>45703.509027777778</v>
      </c>
      <c r="R364" s="82">
        <v>45703.525000000001</v>
      </c>
      <c r="S364" s="81">
        <f t="shared" si="61"/>
        <v>22.893518520140788</v>
      </c>
      <c r="T364" s="81">
        <f t="shared" si="62"/>
        <v>43.796296293051761</v>
      </c>
      <c r="U364" s="79"/>
      <c r="V364" s="82">
        <v>45705.543055555558</v>
      </c>
      <c r="W364" s="82">
        <v>45705.674305555556</v>
      </c>
      <c r="X364" s="103">
        <f t="shared" si="63"/>
        <v>185.06249999794818</v>
      </c>
      <c r="Y364" s="82" t="s">
        <v>1044</v>
      </c>
      <c r="Z364" s="82">
        <v>45707.522222222222</v>
      </c>
      <c r="AA364" s="82">
        <f>Z364+TIME(0,53,0)</f>
        <v>45707.559027777781</v>
      </c>
      <c r="AB364" s="81">
        <f t="shared" si="64"/>
        <v>51.895833338348893</v>
      </c>
      <c r="AC364" s="80"/>
      <c r="AD364" s="83">
        <f t="shared" si="65"/>
        <v>3.9972222222204437</v>
      </c>
      <c r="AE364" s="80">
        <v>2</v>
      </c>
      <c r="AF364" s="84">
        <f t="shared" si="66"/>
        <v>-1.9972222222204437</v>
      </c>
      <c r="AG364" s="83">
        <f t="shared" si="67"/>
        <v>95.933333333290648</v>
      </c>
      <c r="AH364" s="83">
        <f t="shared" si="68"/>
        <v>36</v>
      </c>
      <c r="AI364" s="83">
        <f t="shared" si="69"/>
        <v>59.933333333290648</v>
      </c>
      <c r="AJ364" s="83">
        <f t="shared" si="70"/>
        <v>2.6028921023377825</v>
      </c>
      <c r="AK364" s="83"/>
      <c r="AL364" s="83"/>
      <c r="AM364" s="83"/>
      <c r="AN364" s="83"/>
      <c r="AO364" s="78"/>
    </row>
    <row r="365" spans="1:41" customFormat="1" ht="15" hidden="1" x14ac:dyDescent="0.25">
      <c r="A365" s="82">
        <v>45705</v>
      </c>
      <c r="B365" s="94" t="str">
        <f t="shared" si="60"/>
        <v>February</v>
      </c>
      <c r="C365" s="78"/>
      <c r="D365" s="79" t="s">
        <v>202</v>
      </c>
      <c r="E365" s="80" t="s">
        <v>1017</v>
      </c>
      <c r="F365" s="79" t="s">
        <v>1033</v>
      </c>
      <c r="G365" s="79" t="s">
        <v>41</v>
      </c>
      <c r="H365" s="79" t="s">
        <v>1284</v>
      </c>
      <c r="I365" s="79">
        <v>156</v>
      </c>
      <c r="J365" s="79" t="s">
        <v>202</v>
      </c>
      <c r="K365" s="80" t="s">
        <v>469</v>
      </c>
      <c r="L365" s="80">
        <v>620</v>
      </c>
      <c r="M365" s="80">
        <f>L365+2</f>
        <v>622</v>
      </c>
      <c r="N365" s="81">
        <f t="shared" si="71"/>
        <v>2</v>
      </c>
      <c r="O365" s="78"/>
      <c r="P365" s="82">
        <f>R365-TIME(0,44,0)</f>
        <v>45705.467361111114</v>
      </c>
      <c r="Q365" s="82">
        <v>45704.098611111112</v>
      </c>
      <c r="R365" s="82">
        <v>45705.497916666667</v>
      </c>
      <c r="S365" s="81">
        <f t="shared" si="61"/>
        <v>2005.6712962951376</v>
      </c>
      <c r="T365" s="81">
        <f t="shared" si="62"/>
        <v>43.796296293051761</v>
      </c>
      <c r="U365" s="79"/>
      <c r="V365" s="82">
        <v>45705.500694444447</v>
      </c>
      <c r="W365" s="82">
        <v>45705.659722222219</v>
      </c>
      <c r="X365" s="103">
        <f t="shared" si="63"/>
        <v>224.22916665891535</v>
      </c>
      <c r="Y365" s="82" t="s">
        <v>1049</v>
      </c>
      <c r="Z365" s="82">
        <v>45705.776388888888</v>
      </c>
      <c r="AA365" s="82">
        <f>Z365+TIME(0,60,0)</f>
        <v>45705.818055555552</v>
      </c>
      <c r="AB365" s="81">
        <f t="shared" si="64"/>
        <v>58.7499999965803</v>
      </c>
      <c r="AC365" s="80"/>
      <c r="AD365" s="83">
        <f t="shared" si="65"/>
        <v>0.27847222222044365</v>
      </c>
      <c r="AE365" s="80">
        <v>3</v>
      </c>
      <c r="AF365" s="84">
        <f t="shared" si="66"/>
        <v>2.7215277777795563</v>
      </c>
      <c r="AG365" s="83">
        <f t="shared" si="67"/>
        <v>6.6833333332906477</v>
      </c>
      <c r="AH365" s="83">
        <f t="shared" si="68"/>
        <v>0</v>
      </c>
      <c r="AI365" s="83">
        <f t="shared" si="69"/>
        <v>6.6833333332906477</v>
      </c>
      <c r="AJ365" s="83">
        <f t="shared" si="70"/>
        <v>23.341645885435863</v>
      </c>
      <c r="AK365" s="83"/>
      <c r="AL365" s="83"/>
      <c r="AM365" s="83"/>
      <c r="AN365" s="83"/>
      <c r="AO365" s="78"/>
    </row>
    <row r="366" spans="1:41" customFormat="1" ht="15" hidden="1" x14ac:dyDescent="0.25">
      <c r="A366" s="82">
        <v>45705</v>
      </c>
      <c r="B366" s="94" t="str">
        <f t="shared" si="60"/>
        <v>February</v>
      </c>
      <c r="C366" s="78"/>
      <c r="D366" s="79" t="s">
        <v>203</v>
      </c>
      <c r="E366" s="80" t="s">
        <v>1017</v>
      </c>
      <c r="F366" s="79" t="s">
        <v>1018</v>
      </c>
      <c r="G366" s="79" t="s">
        <v>39</v>
      </c>
      <c r="H366" s="79" t="s">
        <v>455</v>
      </c>
      <c r="I366" s="79">
        <v>156</v>
      </c>
      <c r="J366" s="79" t="s">
        <v>203</v>
      </c>
      <c r="K366" s="80" t="s">
        <v>469</v>
      </c>
      <c r="L366" s="80">
        <v>580</v>
      </c>
      <c r="M366" s="80">
        <f>L366+1</f>
        <v>581</v>
      </c>
      <c r="N366" s="81">
        <f t="shared" si="71"/>
        <v>1</v>
      </c>
      <c r="O366" s="78"/>
      <c r="P366" s="82">
        <v>45704.880555555552</v>
      </c>
      <c r="Q366" s="82">
        <v>45704.676388888889</v>
      </c>
      <c r="R366" s="82">
        <v>45704.910416666666</v>
      </c>
      <c r="S366" s="81">
        <f t="shared" si="61"/>
        <v>335.43981481319253</v>
      </c>
      <c r="T366" s="81">
        <f t="shared" si="62"/>
        <v>42.80092592986572</v>
      </c>
      <c r="U366" s="79"/>
      <c r="V366" s="82">
        <v>45704.509027777778</v>
      </c>
      <c r="W366" s="82">
        <v>45704.693055555559</v>
      </c>
      <c r="X366" s="103">
        <f t="shared" si="63"/>
        <v>259.47916667122627</v>
      </c>
      <c r="Y366" s="82" t="s">
        <v>1044</v>
      </c>
      <c r="Z366" s="82">
        <v>45705.495138888888</v>
      </c>
      <c r="AA366" s="82">
        <v>45705.535416666666</v>
      </c>
      <c r="AB366" s="81">
        <f t="shared" si="64"/>
        <v>56.791666667122627</v>
      </c>
      <c r="AC366" s="80"/>
      <c r="AD366" s="83">
        <f t="shared" si="65"/>
        <v>0.58472222222189885</v>
      </c>
      <c r="AE366" s="80">
        <v>2</v>
      </c>
      <c r="AF366" s="84">
        <f t="shared" si="66"/>
        <v>1.4152777777781012</v>
      </c>
      <c r="AG366" s="83">
        <f t="shared" si="67"/>
        <v>14.033333333325572</v>
      </c>
      <c r="AH366" s="83">
        <f t="shared" si="68"/>
        <v>0</v>
      </c>
      <c r="AI366" s="83">
        <f t="shared" si="69"/>
        <v>14.033333333325572</v>
      </c>
      <c r="AJ366" s="83">
        <f t="shared" si="70"/>
        <v>11.116389548699734</v>
      </c>
      <c r="AK366" s="83"/>
      <c r="AL366" s="83"/>
      <c r="AM366" s="83"/>
      <c r="AN366" s="83"/>
      <c r="AO366" s="78"/>
    </row>
    <row r="367" spans="1:41" customFormat="1" ht="15" hidden="1" x14ac:dyDescent="0.25">
      <c r="A367" s="82">
        <v>45705</v>
      </c>
      <c r="B367" s="94" t="str">
        <f t="shared" si="60"/>
        <v>February</v>
      </c>
      <c r="C367" s="78"/>
      <c r="D367" s="79" t="s">
        <v>855</v>
      </c>
      <c r="E367" s="80" t="s">
        <v>1016</v>
      </c>
      <c r="F367" s="79" t="s">
        <v>956</v>
      </c>
      <c r="G367" s="79" t="s">
        <v>973</v>
      </c>
      <c r="H367" s="79" t="s">
        <v>998</v>
      </c>
      <c r="I367" s="79">
        <v>153.6</v>
      </c>
      <c r="J367" s="79" t="s">
        <v>855</v>
      </c>
      <c r="K367" s="80" t="s">
        <v>469</v>
      </c>
      <c r="L367" s="80">
        <v>414</v>
      </c>
      <c r="M367" s="80">
        <f>L367-1</f>
        <v>413</v>
      </c>
      <c r="N367" s="81">
        <f t="shared" si="71"/>
        <v>-1</v>
      </c>
      <c r="O367" s="78"/>
      <c r="P367" s="82">
        <f>R367-TIME(0,44,0)</f>
        <v>45707.450000000004</v>
      </c>
      <c r="Q367" s="82">
        <v>45707.469444444447</v>
      </c>
      <c r="R367" s="82">
        <v>45707.480555555558</v>
      </c>
      <c r="S367" s="81">
        <f t="shared" si="61"/>
        <v>15.925925925694173</v>
      </c>
      <c r="T367" s="81">
        <f t="shared" si="62"/>
        <v>43.796296293051761</v>
      </c>
      <c r="U367" s="79"/>
      <c r="V367" s="82">
        <v>45705.795138888891</v>
      </c>
      <c r="W367" s="82">
        <v>45706.431250000001</v>
      </c>
      <c r="X367" s="103">
        <f t="shared" si="63"/>
        <v>896.91666666643869</v>
      </c>
      <c r="Y367" s="82" t="s">
        <v>1044</v>
      </c>
      <c r="Z367" s="82">
        <v>45708.29791666667</v>
      </c>
      <c r="AA367" s="82">
        <f>Z367+TIME(0,57,0)</f>
        <v>45708.337500000001</v>
      </c>
      <c r="AB367" s="81">
        <f t="shared" si="64"/>
        <v>55.81249999726424</v>
      </c>
      <c r="AC367" s="80"/>
      <c r="AD367" s="83">
        <f t="shared" si="65"/>
        <v>0.81736111111240461</v>
      </c>
      <c r="AE367" s="80">
        <v>2</v>
      </c>
      <c r="AF367" s="84">
        <f t="shared" si="66"/>
        <v>1.1826388888875954</v>
      </c>
      <c r="AG367" s="83">
        <f t="shared" si="67"/>
        <v>19.616666666697711</v>
      </c>
      <c r="AH367" s="83">
        <f t="shared" si="68"/>
        <v>0</v>
      </c>
      <c r="AI367" s="83">
        <f t="shared" si="69"/>
        <v>19.616666666697711</v>
      </c>
      <c r="AJ367" s="83">
        <f t="shared" si="70"/>
        <v>7.8300764655780926</v>
      </c>
      <c r="AK367" s="83"/>
      <c r="AL367" s="83"/>
      <c r="AM367" s="83"/>
      <c r="AN367" s="83"/>
      <c r="AO367" s="78"/>
    </row>
    <row r="368" spans="1:41" customFormat="1" ht="15" hidden="1" x14ac:dyDescent="0.25">
      <c r="A368" s="82">
        <v>45705</v>
      </c>
      <c r="B368" s="94" t="str">
        <f t="shared" si="60"/>
        <v>February</v>
      </c>
      <c r="C368" s="78"/>
      <c r="D368" s="79" t="s">
        <v>858</v>
      </c>
      <c r="E368" s="80" t="s">
        <v>1016</v>
      </c>
      <c r="F368" s="79" t="s">
        <v>955</v>
      </c>
      <c r="G368" s="79" t="s">
        <v>972</v>
      </c>
      <c r="H368" s="79" t="s">
        <v>1282</v>
      </c>
      <c r="I368" s="79">
        <v>153.6</v>
      </c>
      <c r="J368" s="79" t="s">
        <v>858</v>
      </c>
      <c r="K368" s="80" t="s">
        <v>469</v>
      </c>
      <c r="L368" s="79">
        <v>810</v>
      </c>
      <c r="M368" s="80">
        <f>L368+2</f>
        <v>812</v>
      </c>
      <c r="N368" s="81">
        <f t="shared" si="71"/>
        <v>2</v>
      </c>
      <c r="O368" s="78"/>
      <c r="P368" s="82">
        <f>R368-TIME(0,43,0)</f>
        <v>45704.548611111109</v>
      </c>
      <c r="Q368" s="82">
        <v>45704.554861111115</v>
      </c>
      <c r="R368" s="82">
        <v>45704.578472222223</v>
      </c>
      <c r="S368" s="81">
        <f t="shared" si="61"/>
        <v>33.842592588189291</v>
      </c>
      <c r="T368" s="81">
        <f t="shared" si="62"/>
        <v>42.80092592986572</v>
      </c>
      <c r="U368" s="79"/>
      <c r="V368" s="82">
        <v>45705.611111111109</v>
      </c>
      <c r="W368" s="82">
        <v>45705.745138888888</v>
      </c>
      <c r="X368" s="103">
        <f t="shared" si="63"/>
        <v>188.97916666712263</v>
      </c>
      <c r="Y368" s="82" t="s">
        <v>1044</v>
      </c>
      <c r="Z368" s="82">
        <v>45706.676388888889</v>
      </c>
      <c r="AA368" s="82">
        <f>Z368+TIME(0,48,0)</f>
        <v>45706.709722222222</v>
      </c>
      <c r="AB368" s="81">
        <f t="shared" si="64"/>
        <v>46.99999999931606</v>
      </c>
      <c r="AC368" s="80"/>
      <c r="AD368" s="83">
        <f t="shared" si="65"/>
        <v>2.0979166666656965</v>
      </c>
      <c r="AE368" s="80">
        <v>3</v>
      </c>
      <c r="AF368" s="84">
        <f t="shared" si="66"/>
        <v>0.90208333333430346</v>
      </c>
      <c r="AG368" s="83">
        <f t="shared" si="67"/>
        <v>50.349999999976717</v>
      </c>
      <c r="AH368" s="83">
        <f t="shared" si="68"/>
        <v>24</v>
      </c>
      <c r="AI368" s="83">
        <f t="shared" si="69"/>
        <v>26.349999999976717</v>
      </c>
      <c r="AJ368" s="83">
        <f t="shared" si="70"/>
        <v>5.8292220113903497</v>
      </c>
      <c r="AK368" s="83"/>
      <c r="AL368" s="83"/>
      <c r="AM368" s="83"/>
      <c r="AN368" s="83"/>
      <c r="AO368" s="78"/>
    </row>
    <row r="369" spans="1:41" customFormat="1" ht="15" hidden="1" x14ac:dyDescent="0.25">
      <c r="A369" s="82">
        <v>45705</v>
      </c>
      <c r="B369" s="94" t="str">
        <f t="shared" si="60"/>
        <v>February</v>
      </c>
      <c r="C369" s="78"/>
      <c r="D369" s="79" t="s">
        <v>856</v>
      </c>
      <c r="E369" s="80" t="s">
        <v>1016</v>
      </c>
      <c r="F369" s="79" t="s">
        <v>950</v>
      </c>
      <c r="G369" s="79" t="s">
        <v>967</v>
      </c>
      <c r="H369" s="79" t="s">
        <v>461</v>
      </c>
      <c r="I369" s="79">
        <v>153.6</v>
      </c>
      <c r="J369" s="79" t="s">
        <v>856</v>
      </c>
      <c r="K369" s="80" t="s">
        <v>469</v>
      </c>
      <c r="L369" s="80">
        <v>298</v>
      </c>
      <c r="M369" s="80">
        <f>L369+2</f>
        <v>300</v>
      </c>
      <c r="N369" s="81">
        <f t="shared" si="71"/>
        <v>2</v>
      </c>
      <c r="O369" s="78"/>
      <c r="P369" s="82">
        <v>45705.280555555561</v>
      </c>
      <c r="Q369" s="82">
        <v>45705.273611111115</v>
      </c>
      <c r="R369" s="82">
        <v>45705.309027777781</v>
      </c>
      <c r="S369" s="81">
        <f t="shared" si="61"/>
        <v>50.763888887498375</v>
      </c>
      <c r="T369" s="81">
        <f t="shared" si="62"/>
        <v>40.810185182635905</v>
      </c>
      <c r="U369" s="79"/>
      <c r="V369" s="82">
        <v>45706.461805555555</v>
      </c>
      <c r="W369" s="82">
        <v>45706.54583333333</v>
      </c>
      <c r="X369" s="103">
        <f t="shared" si="63"/>
        <v>118.47916666301899</v>
      </c>
      <c r="Y369" s="82"/>
      <c r="Z369" s="82">
        <v>45706.585416666669</v>
      </c>
      <c r="AA369" s="82">
        <f>Z369+TIME(0,57,0)</f>
        <v>45706.625</v>
      </c>
      <c r="AB369" s="81">
        <f t="shared" si="64"/>
        <v>55.81249999726424</v>
      </c>
      <c r="AC369" s="80"/>
      <c r="AD369" s="83">
        <f t="shared" si="65"/>
        <v>1.2763888888875954</v>
      </c>
      <c r="AE369" s="80">
        <v>2</v>
      </c>
      <c r="AF369" s="84">
        <f t="shared" si="66"/>
        <v>0.72361111111240461</v>
      </c>
      <c r="AG369" s="83">
        <f t="shared" si="67"/>
        <v>30.633333333302289</v>
      </c>
      <c r="AH369" s="83">
        <f t="shared" si="68"/>
        <v>12</v>
      </c>
      <c r="AI369" s="83">
        <f t="shared" si="69"/>
        <v>18.633333333302289</v>
      </c>
      <c r="AJ369" s="83">
        <f t="shared" si="70"/>
        <v>8.2432915921425352</v>
      </c>
      <c r="AK369" s="83"/>
      <c r="AL369" s="83"/>
      <c r="AM369" s="83"/>
      <c r="AN369" s="83"/>
      <c r="AO369" s="78"/>
    </row>
    <row r="370" spans="1:41" customFormat="1" ht="15" hidden="1" x14ac:dyDescent="0.25">
      <c r="A370" s="82">
        <v>45705</v>
      </c>
      <c r="B370" s="94" t="str">
        <f t="shared" si="60"/>
        <v>February</v>
      </c>
      <c r="C370" s="78"/>
      <c r="D370" s="79" t="s">
        <v>857</v>
      </c>
      <c r="E370" s="80" t="s">
        <v>1016</v>
      </c>
      <c r="F370" s="79" t="s">
        <v>953</v>
      </c>
      <c r="G370" s="79" t="s">
        <v>970</v>
      </c>
      <c r="H370" s="79" t="s">
        <v>1282</v>
      </c>
      <c r="I370" s="79">
        <v>153.6</v>
      </c>
      <c r="J370" s="79" t="s">
        <v>857</v>
      </c>
      <c r="K370" s="80" t="s">
        <v>469</v>
      </c>
      <c r="L370" s="79">
        <v>810</v>
      </c>
      <c r="M370" s="80">
        <f>L370-3</f>
        <v>807</v>
      </c>
      <c r="N370" s="81">
        <f t="shared" si="71"/>
        <v>-3</v>
      </c>
      <c r="O370" s="78"/>
      <c r="P370" s="82">
        <f>R370-TIME(0,43,0)</f>
        <v>45704.895833333328</v>
      </c>
      <c r="Q370" s="82">
        <v>45704.887499999997</v>
      </c>
      <c r="R370" s="82">
        <v>45704.925694444442</v>
      </c>
      <c r="S370" s="81">
        <f t="shared" si="61"/>
        <v>54.745370371529134</v>
      </c>
      <c r="T370" s="81">
        <f t="shared" si="62"/>
        <v>42.80092592986572</v>
      </c>
      <c r="U370" s="79"/>
      <c r="V370" s="82">
        <v>45705.649305555555</v>
      </c>
      <c r="W370" s="82">
        <v>45705.826388888891</v>
      </c>
      <c r="X370" s="103">
        <f t="shared" si="63"/>
        <v>249.6875000034197</v>
      </c>
      <c r="Y370" s="82" t="s">
        <v>1038</v>
      </c>
      <c r="Z370" s="82">
        <v>45705.650694444441</v>
      </c>
      <c r="AA370" s="82">
        <f>Z370+TIME(0,51,0)</f>
        <v>45705.686111111107</v>
      </c>
      <c r="AB370" s="81">
        <f t="shared" si="64"/>
        <v>49.93749999863212</v>
      </c>
      <c r="AC370" s="80"/>
      <c r="AD370" s="83">
        <f t="shared" si="65"/>
        <v>0.72499999999854481</v>
      </c>
      <c r="AE370" s="80">
        <v>2</v>
      </c>
      <c r="AF370" s="84">
        <f t="shared" si="66"/>
        <v>1.2750000000014552</v>
      </c>
      <c r="AG370" s="83">
        <f t="shared" si="67"/>
        <v>17.399999999965075</v>
      </c>
      <c r="AH370" s="83">
        <f t="shared" si="68"/>
        <v>0</v>
      </c>
      <c r="AI370" s="83">
        <f t="shared" si="69"/>
        <v>17.399999999965075</v>
      </c>
      <c r="AJ370" s="83">
        <f t="shared" si="70"/>
        <v>8.827586206914269</v>
      </c>
      <c r="AK370" s="83"/>
      <c r="AL370" s="83"/>
      <c r="AM370" s="83"/>
      <c r="AN370" s="83"/>
      <c r="AO370" s="78"/>
    </row>
    <row r="371" spans="1:41" customFormat="1" ht="15" hidden="1" x14ac:dyDescent="0.25">
      <c r="A371" s="82">
        <v>45705</v>
      </c>
      <c r="B371" s="94" t="str">
        <f t="shared" si="60"/>
        <v>February</v>
      </c>
      <c r="C371" s="78"/>
      <c r="D371" s="79" t="s">
        <v>1008</v>
      </c>
      <c r="E371" s="80" t="s">
        <v>1016</v>
      </c>
      <c r="F371" s="79" t="s">
        <v>952</v>
      </c>
      <c r="G371" s="79" t="s">
        <v>969</v>
      </c>
      <c r="H371" s="79" t="s">
        <v>994</v>
      </c>
      <c r="I371" s="79">
        <v>153.6</v>
      </c>
      <c r="J371" s="79" t="s">
        <v>1008</v>
      </c>
      <c r="K371" s="80" t="s">
        <v>469</v>
      </c>
      <c r="L371" s="80">
        <v>680</v>
      </c>
      <c r="M371" s="80">
        <f>L371+2</f>
        <v>682</v>
      </c>
      <c r="N371" s="81">
        <f t="shared" si="71"/>
        <v>2</v>
      </c>
      <c r="O371" s="78"/>
      <c r="P371" s="82">
        <f>R371-TIME(0,43,0)</f>
        <v>45704.884027777778</v>
      </c>
      <c r="Q371" s="82">
        <v>45704.850694444445</v>
      </c>
      <c r="R371" s="82">
        <v>45704.913888888892</v>
      </c>
      <c r="S371" s="81">
        <f t="shared" si="61"/>
        <v>90.578703706948247</v>
      </c>
      <c r="T371" s="81">
        <f t="shared" si="62"/>
        <v>42.80092592986572</v>
      </c>
      <c r="U371" s="79"/>
      <c r="V371" s="82">
        <v>45707.557638888888</v>
      </c>
      <c r="W371" s="82">
        <v>45707.643750000003</v>
      </c>
      <c r="X371" s="103">
        <f t="shared" si="63"/>
        <v>121.41666667259415</v>
      </c>
      <c r="Y371" s="82"/>
      <c r="Z371" s="82">
        <v>45707.683333333334</v>
      </c>
      <c r="AA371" s="82">
        <f>Z371+TIME(0,70,0)</f>
        <v>45707.731944444444</v>
      </c>
      <c r="AB371" s="81">
        <f t="shared" si="64"/>
        <v>68.541666664386867</v>
      </c>
      <c r="AC371" s="80" t="s">
        <v>1675</v>
      </c>
      <c r="AD371" s="83">
        <f t="shared" si="65"/>
        <v>2.7694444444423425</v>
      </c>
      <c r="AE371" s="80">
        <v>2</v>
      </c>
      <c r="AF371" s="84">
        <f t="shared" si="66"/>
        <v>-0.7694444444423425</v>
      </c>
      <c r="AG371" s="83">
        <f t="shared" si="67"/>
        <v>66.46666666661622</v>
      </c>
      <c r="AH371" s="83">
        <f t="shared" si="68"/>
        <v>24</v>
      </c>
      <c r="AI371" s="83">
        <f t="shared" si="69"/>
        <v>42.46666666661622</v>
      </c>
      <c r="AJ371" s="83">
        <f t="shared" si="70"/>
        <v>3.6169544741016275</v>
      </c>
      <c r="AK371" s="83"/>
      <c r="AL371" s="83"/>
      <c r="AM371" s="83"/>
      <c r="AN371" s="83"/>
      <c r="AO371" s="78"/>
    </row>
    <row r="372" spans="1:41" customFormat="1" ht="15" hidden="1" x14ac:dyDescent="0.25">
      <c r="A372" s="82">
        <v>45706</v>
      </c>
      <c r="B372" s="94" t="str">
        <f t="shared" si="60"/>
        <v>February</v>
      </c>
      <c r="C372" s="78"/>
      <c r="D372" s="79" t="s">
        <v>204</v>
      </c>
      <c r="E372" s="80" t="s">
        <v>1017</v>
      </c>
      <c r="F372" s="79"/>
      <c r="G372" s="79" t="s">
        <v>40</v>
      </c>
      <c r="H372" s="79" t="s">
        <v>987</v>
      </c>
      <c r="I372" s="79">
        <v>148.80000000000001</v>
      </c>
      <c r="J372" s="79" t="s">
        <v>204</v>
      </c>
      <c r="K372" s="80" t="s">
        <v>469</v>
      </c>
      <c r="L372" s="79">
        <v>320</v>
      </c>
      <c r="M372" s="80">
        <f>L372-1</f>
        <v>319</v>
      </c>
      <c r="N372" s="81">
        <f t="shared" si="71"/>
        <v>-1</v>
      </c>
      <c r="O372" s="78"/>
      <c r="P372" s="82">
        <f>R372-TIME(0,41,0)</f>
        <v>45704.737500000003</v>
      </c>
      <c r="Q372" s="82">
        <v>45704.75</v>
      </c>
      <c r="R372" s="82">
        <v>45704.765972222223</v>
      </c>
      <c r="S372" s="81">
        <f t="shared" si="61"/>
        <v>22.893518520140788</v>
      </c>
      <c r="T372" s="81">
        <f t="shared" si="62"/>
        <v>40.810185182635905</v>
      </c>
      <c r="U372" s="79"/>
      <c r="V372" s="82">
        <v>45705.370833333334</v>
      </c>
      <c r="W372" s="82">
        <v>45705.539583333331</v>
      </c>
      <c r="X372" s="103">
        <f t="shared" si="63"/>
        <v>237.93749999589636</v>
      </c>
      <c r="Y372" s="82" t="s">
        <v>1050</v>
      </c>
      <c r="Z372" s="82">
        <v>45707.683333333334</v>
      </c>
      <c r="AA372" s="82">
        <f>Z372+TIME(0,57,0)</f>
        <v>45707.722916666666</v>
      </c>
      <c r="AB372" s="81">
        <f t="shared" si="64"/>
        <v>55.81249999726424</v>
      </c>
      <c r="AC372" s="80"/>
      <c r="AD372" s="83">
        <f t="shared" si="65"/>
        <v>2.9173611111109494</v>
      </c>
      <c r="AE372" s="80">
        <v>2</v>
      </c>
      <c r="AF372" s="84">
        <f t="shared" si="66"/>
        <v>-0.91736111111094942</v>
      </c>
      <c r="AG372" s="83">
        <f t="shared" si="67"/>
        <v>70.016666666662786</v>
      </c>
      <c r="AH372" s="83">
        <f t="shared" si="68"/>
        <v>24</v>
      </c>
      <c r="AI372" s="83">
        <f t="shared" si="69"/>
        <v>46.016666666662786</v>
      </c>
      <c r="AJ372" s="83">
        <f t="shared" si="70"/>
        <v>3.2336110105037137</v>
      </c>
      <c r="AK372" s="83"/>
      <c r="AL372" s="83"/>
      <c r="AM372" s="83"/>
      <c r="AN372" s="83"/>
      <c r="AO372" s="78"/>
    </row>
    <row r="373" spans="1:41" customFormat="1" ht="15" hidden="1" x14ac:dyDescent="0.25">
      <c r="A373" s="82">
        <v>45706</v>
      </c>
      <c r="B373" s="94" t="str">
        <f t="shared" si="60"/>
        <v>February</v>
      </c>
      <c r="C373" s="78"/>
      <c r="D373" s="79" t="s">
        <v>205</v>
      </c>
      <c r="E373" s="80" t="s">
        <v>1017</v>
      </c>
      <c r="F373" s="79" t="s">
        <v>1014</v>
      </c>
      <c r="G373" s="79" t="s">
        <v>52</v>
      </c>
      <c r="H373" s="79" t="s">
        <v>449</v>
      </c>
      <c r="I373" s="79">
        <v>43.2</v>
      </c>
      <c r="J373" s="79" t="s">
        <v>205</v>
      </c>
      <c r="K373" s="80" t="s">
        <v>469</v>
      </c>
      <c r="L373" s="80">
        <v>790</v>
      </c>
      <c r="M373" s="80">
        <f>L373+2</f>
        <v>792</v>
      </c>
      <c r="N373" s="81">
        <f t="shared" si="71"/>
        <v>2</v>
      </c>
      <c r="O373" s="78"/>
      <c r="P373" s="82">
        <f>R373-TIME(0,44,0)</f>
        <v>45704.836805555555</v>
      </c>
      <c r="Q373" s="82">
        <v>45704.854166666664</v>
      </c>
      <c r="R373" s="82">
        <v>45704.867361111108</v>
      </c>
      <c r="S373" s="81">
        <f t="shared" si="61"/>
        <v>18.912037036110025</v>
      </c>
      <c r="T373" s="81">
        <f t="shared" si="62"/>
        <v>43.796296293051761</v>
      </c>
      <c r="U373" s="79"/>
      <c r="V373" s="82">
        <v>45705.615277777775</v>
      </c>
      <c r="W373" s="82">
        <v>45705.703472222223</v>
      </c>
      <c r="X373" s="103">
        <f t="shared" si="63"/>
        <v>124.35416667191021</v>
      </c>
      <c r="Y373" s="82"/>
      <c r="Z373" s="82">
        <v>45707.488194444442</v>
      </c>
      <c r="AA373" s="82">
        <f>Z373+TIME(0,56,0)</f>
        <v>45707.527083333334</v>
      </c>
      <c r="AB373" s="81">
        <f t="shared" si="64"/>
        <v>54.833333337664953</v>
      </c>
      <c r="AC373" s="80"/>
      <c r="AD373" s="83">
        <f t="shared" si="65"/>
        <v>2.6208333333343035</v>
      </c>
      <c r="AE373" s="80">
        <v>3</v>
      </c>
      <c r="AF373" s="84">
        <f t="shared" si="66"/>
        <v>0.37916666666569654</v>
      </c>
      <c r="AG373" s="83">
        <f t="shared" si="67"/>
        <v>62.900000000023283</v>
      </c>
      <c r="AH373" s="83">
        <f t="shared" si="68"/>
        <v>24</v>
      </c>
      <c r="AI373" s="83">
        <f t="shared" si="69"/>
        <v>38.900000000023283</v>
      </c>
      <c r="AJ373" s="83">
        <f t="shared" si="70"/>
        <v>1.11053984575769</v>
      </c>
      <c r="AK373" s="83"/>
      <c r="AL373" s="83"/>
      <c r="AM373" s="83"/>
      <c r="AN373" s="83"/>
      <c r="AO373" s="78"/>
    </row>
    <row r="374" spans="1:41" customFormat="1" ht="15" hidden="1" x14ac:dyDescent="0.25">
      <c r="A374" s="82">
        <v>45706</v>
      </c>
      <c r="B374" s="94" t="str">
        <f t="shared" si="60"/>
        <v>February</v>
      </c>
      <c r="C374" s="78"/>
      <c r="D374" s="79" t="s">
        <v>206</v>
      </c>
      <c r="E374" s="80" t="s">
        <v>1017</v>
      </c>
      <c r="F374" s="79"/>
      <c r="G374" s="79" t="s">
        <v>42</v>
      </c>
      <c r="H374" s="79" t="s">
        <v>451</v>
      </c>
      <c r="I374" s="79">
        <v>156</v>
      </c>
      <c r="J374" s="79" t="s">
        <v>206</v>
      </c>
      <c r="K374" s="80" t="s">
        <v>469</v>
      </c>
      <c r="L374" s="80">
        <v>790</v>
      </c>
      <c r="M374" s="80">
        <f>L374+2</f>
        <v>792</v>
      </c>
      <c r="N374" s="81">
        <f t="shared" si="71"/>
        <v>2</v>
      </c>
      <c r="O374" s="78"/>
      <c r="P374" s="82">
        <f>R374-TIME(0,43,0)</f>
        <v>45704.854166666664</v>
      </c>
      <c r="Q374" s="82">
        <v>45704.876388888886</v>
      </c>
      <c r="R374" s="82">
        <v>45704.884027777778</v>
      </c>
      <c r="S374" s="81">
        <f t="shared" si="61"/>
        <v>10.949074078477375</v>
      </c>
      <c r="T374" s="81">
        <f t="shared" si="62"/>
        <v>42.80092592986572</v>
      </c>
      <c r="U374" s="79"/>
      <c r="V374" s="82">
        <v>45706.519444444442</v>
      </c>
      <c r="W374" s="82">
        <v>45706.607638888891</v>
      </c>
      <c r="X374" s="103">
        <f t="shared" si="63"/>
        <v>124.35416667191021</v>
      </c>
      <c r="Y374" s="82"/>
      <c r="Z374" s="82">
        <v>45705.678472222222</v>
      </c>
      <c r="AA374" s="82">
        <f>Z374+TIME(0,51,0)</f>
        <v>45705.713888888888</v>
      </c>
      <c r="AB374" s="81">
        <f t="shared" si="64"/>
        <v>49.93749999863212</v>
      </c>
      <c r="AC374" s="80"/>
      <c r="AD374" s="83">
        <f t="shared" si="65"/>
        <v>0.79444444444379769</v>
      </c>
      <c r="AE374" s="80">
        <v>3</v>
      </c>
      <c r="AF374" s="84">
        <f t="shared" si="66"/>
        <v>2.2055555555562023</v>
      </c>
      <c r="AG374" s="83">
        <f t="shared" si="67"/>
        <v>19.066666666651145</v>
      </c>
      <c r="AH374" s="83">
        <f t="shared" si="68"/>
        <v>0</v>
      </c>
      <c r="AI374" s="83">
        <f t="shared" si="69"/>
        <v>19.066666666651145</v>
      </c>
      <c r="AJ374" s="83">
        <f t="shared" si="70"/>
        <v>8.181818181824843</v>
      </c>
      <c r="AK374" s="83"/>
      <c r="AL374" s="83"/>
      <c r="AM374" s="83"/>
      <c r="AN374" s="83"/>
      <c r="AO374" s="78"/>
    </row>
    <row r="375" spans="1:41" customFormat="1" ht="15" hidden="1" x14ac:dyDescent="0.25">
      <c r="A375" s="82">
        <v>45706</v>
      </c>
      <c r="B375" s="94" t="str">
        <f t="shared" si="60"/>
        <v>February</v>
      </c>
      <c r="C375" s="78"/>
      <c r="D375" s="79" t="s">
        <v>207</v>
      </c>
      <c r="E375" s="80" t="s">
        <v>1017</v>
      </c>
      <c r="F375" s="79" t="s">
        <v>1015</v>
      </c>
      <c r="G375" s="79" t="s">
        <v>43</v>
      </c>
      <c r="H375" s="79" t="s">
        <v>452</v>
      </c>
      <c r="I375" s="79">
        <v>156</v>
      </c>
      <c r="J375" s="79" t="s">
        <v>207</v>
      </c>
      <c r="K375" s="80" t="s">
        <v>469</v>
      </c>
      <c r="L375" s="80">
        <v>690</v>
      </c>
      <c r="M375" s="80">
        <f>L375+2</f>
        <v>692</v>
      </c>
      <c r="N375" s="81">
        <f t="shared" si="71"/>
        <v>2</v>
      </c>
      <c r="O375" s="78"/>
      <c r="P375" s="82">
        <f>R375-TIME(0,44,0)</f>
        <v>45705.431944444448</v>
      </c>
      <c r="Q375" s="82">
        <v>45705.405555555561</v>
      </c>
      <c r="R375" s="82">
        <v>45705.462500000001</v>
      </c>
      <c r="S375" s="81">
        <f t="shared" si="61"/>
        <v>81.62037036527181</v>
      </c>
      <c r="T375" s="81">
        <f t="shared" si="62"/>
        <v>43.796296293051761</v>
      </c>
      <c r="U375" s="79"/>
      <c r="V375" s="82">
        <v>45706.414583333331</v>
      </c>
      <c r="W375" s="82">
        <v>45706.613888888889</v>
      </c>
      <c r="X375" s="103">
        <f t="shared" si="63"/>
        <v>281.02083333629707</v>
      </c>
      <c r="Y375" s="82" t="s">
        <v>1044</v>
      </c>
      <c r="Z375" s="82">
        <v>45707.407638888886</v>
      </c>
      <c r="AA375" s="82">
        <f>Z375+TIME(0,57,0)</f>
        <v>45707.447222222218</v>
      </c>
      <c r="AB375" s="81">
        <f t="shared" si="64"/>
        <v>55.81249999726424</v>
      </c>
      <c r="AC375" s="80"/>
      <c r="AD375" s="83">
        <f t="shared" si="65"/>
        <v>1.945138888884685</v>
      </c>
      <c r="AE375" s="80">
        <v>3</v>
      </c>
      <c r="AF375" s="84">
        <f t="shared" si="66"/>
        <v>1.054861111115315</v>
      </c>
      <c r="AG375" s="83">
        <f t="shared" si="67"/>
        <v>46.68333333323244</v>
      </c>
      <c r="AH375" s="83">
        <f t="shared" si="68"/>
        <v>12</v>
      </c>
      <c r="AI375" s="83">
        <f t="shared" si="69"/>
        <v>34.68333333323244</v>
      </c>
      <c r="AJ375" s="83">
        <f t="shared" si="70"/>
        <v>4.4978375781005422</v>
      </c>
      <c r="AK375" s="83"/>
      <c r="AL375" s="83"/>
      <c r="AM375" s="83"/>
      <c r="AN375" s="83"/>
      <c r="AO375" s="78"/>
    </row>
    <row r="376" spans="1:41" customFormat="1" ht="15" hidden="1" x14ac:dyDescent="0.25">
      <c r="A376" s="82">
        <v>45706</v>
      </c>
      <c r="B376" s="94" t="str">
        <f t="shared" si="60"/>
        <v>February</v>
      </c>
      <c r="C376" s="78"/>
      <c r="D376" s="79" t="s">
        <v>208</v>
      </c>
      <c r="E376" s="80" t="s">
        <v>1017</v>
      </c>
      <c r="F376" s="79" t="s">
        <v>1027</v>
      </c>
      <c r="G376" s="79" t="s">
        <v>34</v>
      </c>
      <c r="H376" s="79" t="s">
        <v>454</v>
      </c>
      <c r="I376" s="79">
        <v>148.80000000000001</v>
      </c>
      <c r="J376" s="79" t="s">
        <v>208</v>
      </c>
      <c r="K376" s="80" t="s">
        <v>469</v>
      </c>
      <c r="L376" s="80">
        <v>304</v>
      </c>
      <c r="M376" s="80">
        <f>L376-2</f>
        <v>302</v>
      </c>
      <c r="N376" s="81">
        <f t="shared" si="71"/>
        <v>-2</v>
      </c>
      <c r="O376" s="78"/>
      <c r="P376" s="82">
        <f>R376-TIME(0,61,0)</f>
        <v>45705.333333333336</v>
      </c>
      <c r="Q376" s="82">
        <v>45705.370138888888</v>
      </c>
      <c r="R376" s="82">
        <v>45705.375694444447</v>
      </c>
      <c r="S376" s="81">
        <f t="shared" si="61"/>
        <v>7.9629629680615226</v>
      </c>
      <c r="T376" s="81">
        <f t="shared" si="62"/>
        <v>60.717592592360838</v>
      </c>
      <c r="U376" s="79" t="s">
        <v>550</v>
      </c>
      <c r="V376" s="82">
        <v>45705.359722222223</v>
      </c>
      <c r="W376" s="82">
        <v>45705.568055555559</v>
      </c>
      <c r="X376" s="103">
        <f t="shared" si="63"/>
        <v>293.7500000034197</v>
      </c>
      <c r="Y376" s="82" t="s">
        <v>1044</v>
      </c>
      <c r="Z376" s="82">
        <v>45708.29791666667</v>
      </c>
      <c r="AA376" s="82">
        <f>Z376+TIME(0,56,0)</f>
        <v>45708.336805555562</v>
      </c>
      <c r="AB376" s="81">
        <f t="shared" si="64"/>
        <v>54.833333337664953</v>
      </c>
      <c r="AC376" s="80"/>
      <c r="AD376" s="83">
        <f t="shared" si="65"/>
        <v>2.922222222223354</v>
      </c>
      <c r="AE376" s="80">
        <v>2</v>
      </c>
      <c r="AF376" s="84">
        <f t="shared" si="66"/>
        <v>-0.92222222222335404</v>
      </c>
      <c r="AG376" s="83">
        <f t="shared" si="67"/>
        <v>70.133333333360497</v>
      </c>
      <c r="AH376" s="83">
        <f t="shared" si="68"/>
        <v>24</v>
      </c>
      <c r="AI376" s="83">
        <f t="shared" si="69"/>
        <v>46.133333333360497</v>
      </c>
      <c r="AJ376" s="83">
        <f t="shared" si="70"/>
        <v>3.2254335260096618</v>
      </c>
      <c r="AK376" s="83"/>
      <c r="AL376" s="83"/>
      <c r="AM376" s="83"/>
      <c r="AN376" s="83"/>
      <c r="AO376" s="78"/>
    </row>
    <row r="377" spans="1:41" customFormat="1" ht="15" hidden="1" x14ac:dyDescent="0.25">
      <c r="A377" s="82">
        <v>45706</v>
      </c>
      <c r="B377" s="94" t="str">
        <f t="shared" si="60"/>
        <v>February</v>
      </c>
      <c r="C377" s="78"/>
      <c r="D377" s="79" t="s">
        <v>209</v>
      </c>
      <c r="E377" s="80" t="s">
        <v>1017</v>
      </c>
      <c r="F377" s="79" t="s">
        <v>960</v>
      </c>
      <c r="G377" s="79" t="s">
        <v>62</v>
      </c>
      <c r="H377" s="79" t="s">
        <v>453</v>
      </c>
      <c r="I377" s="79">
        <v>56</v>
      </c>
      <c r="J377" s="79" t="s">
        <v>209</v>
      </c>
      <c r="K377" s="80" t="s">
        <v>469</v>
      </c>
      <c r="L377" s="80">
        <v>464</v>
      </c>
      <c r="M377" s="80">
        <f>L377-1</f>
        <v>463</v>
      </c>
      <c r="N377" s="81">
        <f t="shared" si="71"/>
        <v>-1</v>
      </c>
      <c r="O377" s="78"/>
      <c r="P377" s="82">
        <f>R377-TIME(0,44,0)</f>
        <v>45704.922222222223</v>
      </c>
      <c r="Q377" s="82">
        <v>45704.936805555553</v>
      </c>
      <c r="R377" s="82">
        <v>45704.952777777777</v>
      </c>
      <c r="S377" s="81">
        <f t="shared" si="61"/>
        <v>22.893518520140788</v>
      </c>
      <c r="T377" s="81">
        <f t="shared" si="62"/>
        <v>43.796296293051761</v>
      </c>
      <c r="U377" s="79"/>
      <c r="V377" s="82">
        <v>45705.706250000003</v>
      </c>
      <c r="W377" s="82">
        <f>V377+TIME(0,174,0)</f>
        <v>45705.827083333337</v>
      </c>
      <c r="X377" s="103">
        <f t="shared" si="63"/>
        <v>170.37500000136788</v>
      </c>
      <c r="Y377" s="82"/>
      <c r="Z377" s="82">
        <v>45708.29791666667</v>
      </c>
      <c r="AA377" s="82">
        <f>Z377+TIME(0,76,0)</f>
        <v>45708.350694444445</v>
      </c>
      <c r="AB377" s="81">
        <f t="shared" si="64"/>
        <v>74.416666663018987</v>
      </c>
      <c r="AC377" s="80" t="s">
        <v>1678</v>
      </c>
      <c r="AD377" s="83">
        <f t="shared" si="65"/>
        <v>3.3451388888934162</v>
      </c>
      <c r="AE377" s="80">
        <v>3</v>
      </c>
      <c r="AF377" s="84">
        <f t="shared" si="66"/>
        <v>-0.34513888889341615</v>
      </c>
      <c r="AG377" s="83">
        <f t="shared" si="67"/>
        <v>80.283333333441988</v>
      </c>
      <c r="AH377" s="83">
        <f t="shared" si="68"/>
        <v>36</v>
      </c>
      <c r="AI377" s="83">
        <f t="shared" si="69"/>
        <v>44.283333333441988</v>
      </c>
      <c r="AJ377" s="83">
        <f t="shared" si="70"/>
        <v>1.2645841174225652</v>
      </c>
      <c r="AK377" s="83"/>
      <c r="AL377" s="83"/>
      <c r="AM377" s="83"/>
      <c r="AN377" s="83"/>
      <c r="AO377" s="78"/>
    </row>
    <row r="378" spans="1:41" customFormat="1" ht="15" hidden="1" x14ac:dyDescent="0.25">
      <c r="A378" s="82">
        <v>45706</v>
      </c>
      <c r="B378" s="94" t="str">
        <f t="shared" si="60"/>
        <v>February</v>
      </c>
      <c r="C378" s="78"/>
      <c r="D378" s="79" t="s">
        <v>210</v>
      </c>
      <c r="E378" s="80" t="s">
        <v>1017</v>
      </c>
      <c r="F378" s="79" t="s">
        <v>1031</v>
      </c>
      <c r="G378" s="79" t="s">
        <v>50</v>
      </c>
      <c r="H378" s="79" t="s">
        <v>1284</v>
      </c>
      <c r="I378" s="79">
        <v>156</v>
      </c>
      <c r="J378" s="79" t="s">
        <v>210</v>
      </c>
      <c r="K378" s="80" t="s">
        <v>469</v>
      </c>
      <c r="L378" s="80">
        <v>620</v>
      </c>
      <c r="M378" s="80">
        <f>L378-1</f>
        <v>619</v>
      </c>
      <c r="N378" s="81">
        <f t="shared" si="71"/>
        <v>-1</v>
      </c>
      <c r="O378" s="78"/>
      <c r="P378" s="82">
        <f>R378-TIME(0,43,0)</f>
        <v>45706.406944444439</v>
      </c>
      <c r="Q378" s="82">
        <v>45706.42083333333</v>
      </c>
      <c r="R378" s="82">
        <v>45706.436805555553</v>
      </c>
      <c r="S378" s="81">
        <f t="shared" si="61"/>
        <v>22.893518520140788</v>
      </c>
      <c r="T378" s="81">
        <f t="shared" si="62"/>
        <v>42.80092592986572</v>
      </c>
      <c r="U378" s="79"/>
      <c r="V378" s="82">
        <v>45705.390972222223</v>
      </c>
      <c r="W378" s="82">
        <v>45705.508333333331</v>
      </c>
      <c r="X378" s="103">
        <f t="shared" si="63"/>
        <v>165.47916666233505</v>
      </c>
      <c r="Y378" s="82"/>
      <c r="Z378" s="82">
        <v>45706.585416666669</v>
      </c>
      <c r="AA378" s="82">
        <f>Z378+TIME(0,51,0)</f>
        <v>45706.620833333334</v>
      </c>
      <c r="AB378" s="81">
        <f t="shared" si="64"/>
        <v>49.93749999863212</v>
      </c>
      <c r="AC378" s="80"/>
      <c r="AD378" s="83">
        <f t="shared" si="65"/>
        <v>0.148611111115315</v>
      </c>
      <c r="AE378" s="80">
        <v>2</v>
      </c>
      <c r="AF378" s="84">
        <f t="shared" si="66"/>
        <v>1.851388888884685</v>
      </c>
      <c r="AG378" s="83">
        <f t="shared" si="67"/>
        <v>3.5666666667675599</v>
      </c>
      <c r="AH378" s="83">
        <f t="shared" si="68"/>
        <v>0</v>
      </c>
      <c r="AI378" s="83">
        <f t="shared" si="69"/>
        <v>3.5666666667675599</v>
      </c>
      <c r="AJ378" s="83">
        <f t="shared" si="70"/>
        <v>43.73831775577208</v>
      </c>
      <c r="AK378" s="83"/>
      <c r="AL378" s="83"/>
      <c r="AM378" s="83"/>
      <c r="AN378" s="83"/>
      <c r="AO378" s="78"/>
    </row>
    <row r="379" spans="1:41" customFormat="1" ht="15" hidden="1" x14ac:dyDescent="0.25">
      <c r="A379" s="82">
        <v>45706</v>
      </c>
      <c r="B379" s="94" t="str">
        <f t="shared" si="60"/>
        <v>February</v>
      </c>
      <c r="C379" s="78"/>
      <c r="D379" s="79" t="s">
        <v>211</v>
      </c>
      <c r="E379" s="80" t="s">
        <v>1017</v>
      </c>
      <c r="F379" s="79" t="s">
        <v>1021</v>
      </c>
      <c r="G379" s="79" t="s">
        <v>57</v>
      </c>
      <c r="H379" s="79" t="s">
        <v>1284</v>
      </c>
      <c r="I379" s="79">
        <v>156</v>
      </c>
      <c r="J379" s="79" t="s">
        <v>211</v>
      </c>
      <c r="K379" s="80" t="s">
        <v>469</v>
      </c>
      <c r="L379" s="80">
        <v>620</v>
      </c>
      <c r="M379" s="80">
        <f>L379-3</f>
        <v>617</v>
      </c>
      <c r="N379" s="81">
        <f t="shared" si="71"/>
        <v>-3</v>
      </c>
      <c r="O379" s="78"/>
      <c r="P379" s="82">
        <f>R379-TIME(0,44,0)</f>
        <v>45706.322222222225</v>
      </c>
      <c r="Q379" s="82">
        <v>45706.336805555555</v>
      </c>
      <c r="R379" s="82">
        <v>45706.352777777778</v>
      </c>
      <c r="S379" s="81">
        <f t="shared" si="61"/>
        <v>22.893518520140788</v>
      </c>
      <c r="T379" s="81">
        <f t="shared" si="62"/>
        <v>43.796296293051761</v>
      </c>
      <c r="U379" s="79"/>
      <c r="V379" s="82">
        <v>45705.795138888891</v>
      </c>
      <c r="W379" s="82">
        <v>45706.431250000001</v>
      </c>
      <c r="X379" s="103">
        <f t="shared" si="63"/>
        <v>896.91666666643869</v>
      </c>
      <c r="Y379" s="82" t="s">
        <v>1051</v>
      </c>
      <c r="Z379" s="82">
        <v>45706.650694444441</v>
      </c>
      <c r="AA379" s="82">
        <f>Z379+TIME(0,51,0)</f>
        <v>45706.686111111107</v>
      </c>
      <c r="AB379" s="81">
        <f t="shared" si="64"/>
        <v>49.93749999863212</v>
      </c>
      <c r="AC379" s="80"/>
      <c r="AD379" s="83">
        <f t="shared" si="65"/>
        <v>0.29791666666278616</v>
      </c>
      <c r="AE379" s="80">
        <v>3</v>
      </c>
      <c r="AF379" s="84">
        <f t="shared" si="66"/>
        <v>2.7020833333372138</v>
      </c>
      <c r="AG379" s="83">
        <f t="shared" si="67"/>
        <v>7.1499999999068677</v>
      </c>
      <c r="AH379" s="83">
        <f t="shared" si="68"/>
        <v>0</v>
      </c>
      <c r="AI379" s="83">
        <f t="shared" si="69"/>
        <v>7.1499999999068677</v>
      </c>
      <c r="AJ379" s="83">
        <f t="shared" si="70"/>
        <v>21.818181818466012</v>
      </c>
      <c r="AK379" s="83"/>
      <c r="AL379" s="83"/>
      <c r="AM379" s="83"/>
      <c r="AN379" s="83"/>
      <c r="AO379" s="78"/>
    </row>
    <row r="380" spans="1:41" customFormat="1" ht="15" hidden="1" x14ac:dyDescent="0.25">
      <c r="A380" s="82">
        <v>45706</v>
      </c>
      <c r="B380" s="94" t="str">
        <f t="shared" si="60"/>
        <v>February</v>
      </c>
      <c r="C380" s="78"/>
      <c r="D380" s="79" t="s">
        <v>212</v>
      </c>
      <c r="E380" s="80" t="s">
        <v>1017</v>
      </c>
      <c r="F380" s="79" t="s">
        <v>1023</v>
      </c>
      <c r="G380" s="79" t="s">
        <v>61</v>
      </c>
      <c r="H380" s="79" t="s">
        <v>448</v>
      </c>
      <c r="I380" s="79">
        <v>148.80000000000001</v>
      </c>
      <c r="J380" s="79" t="s">
        <v>212</v>
      </c>
      <c r="K380" s="80" t="s">
        <v>469</v>
      </c>
      <c r="L380" s="80">
        <v>560</v>
      </c>
      <c r="M380" s="80">
        <f>L380+2</f>
        <v>562</v>
      </c>
      <c r="N380" s="81">
        <f t="shared" si="71"/>
        <v>2</v>
      </c>
      <c r="O380" s="78"/>
      <c r="P380" s="82">
        <f>R380-TIME(0,43,0)</f>
        <v>45706.352083333331</v>
      </c>
      <c r="Q380" s="82">
        <v>45706.357638888891</v>
      </c>
      <c r="R380" s="82">
        <v>45706.381944444445</v>
      </c>
      <c r="S380" s="81">
        <f t="shared" si="61"/>
        <v>34.837962961804202</v>
      </c>
      <c r="T380" s="81">
        <f t="shared" si="62"/>
        <v>42.80092592986572</v>
      </c>
      <c r="U380" s="79"/>
      <c r="V380" s="82">
        <v>45706.423611111109</v>
      </c>
      <c r="W380" s="82">
        <v>45706.539583333331</v>
      </c>
      <c r="X380" s="103">
        <f t="shared" si="63"/>
        <v>163.52083333287737</v>
      </c>
      <c r="Y380" s="82"/>
      <c r="Z380" s="82">
        <v>45707.683333333334</v>
      </c>
      <c r="AA380" s="82">
        <f>Z380+TIME(0,48,0)</f>
        <v>45707.716666666667</v>
      </c>
      <c r="AB380" s="81">
        <f t="shared" si="64"/>
        <v>46.99999999931606</v>
      </c>
      <c r="AC380" s="80"/>
      <c r="AD380" s="83">
        <f t="shared" si="65"/>
        <v>1.3013888888890506</v>
      </c>
      <c r="AE380" s="80">
        <v>2</v>
      </c>
      <c r="AF380" s="84">
        <f t="shared" si="66"/>
        <v>0.69861111111094942</v>
      </c>
      <c r="AG380" s="83">
        <f t="shared" si="67"/>
        <v>31.233333333337214</v>
      </c>
      <c r="AH380" s="83">
        <f t="shared" si="68"/>
        <v>12</v>
      </c>
      <c r="AI380" s="83">
        <f t="shared" si="69"/>
        <v>19.233333333337214</v>
      </c>
      <c r="AJ380" s="83">
        <f t="shared" si="70"/>
        <v>7.7365684575374347</v>
      </c>
      <c r="AK380" s="83"/>
      <c r="AL380" s="83"/>
      <c r="AM380" s="83"/>
      <c r="AN380" s="83"/>
      <c r="AO380" s="78"/>
    </row>
    <row r="381" spans="1:41" customFormat="1" ht="15" hidden="1" x14ac:dyDescent="0.25">
      <c r="A381" s="82">
        <v>45706</v>
      </c>
      <c r="B381" s="94" t="str">
        <f t="shared" si="60"/>
        <v>February</v>
      </c>
      <c r="C381" s="78"/>
      <c r="D381" s="79" t="s">
        <v>213</v>
      </c>
      <c r="E381" s="80" t="s">
        <v>1017</v>
      </c>
      <c r="F381" s="79" t="s">
        <v>1024</v>
      </c>
      <c r="G381" s="79" t="s">
        <v>63</v>
      </c>
      <c r="H381" s="79" t="s">
        <v>465</v>
      </c>
      <c r="I381" s="79">
        <v>148.80000000000001</v>
      </c>
      <c r="J381" s="79" t="s">
        <v>213</v>
      </c>
      <c r="K381" s="80" t="s">
        <v>469</v>
      </c>
      <c r="L381" s="80">
        <v>382</v>
      </c>
      <c r="M381" s="80">
        <f>L381+2</f>
        <v>384</v>
      </c>
      <c r="N381" s="81">
        <f t="shared" si="71"/>
        <v>2</v>
      </c>
      <c r="O381" s="78"/>
      <c r="P381" s="82">
        <f>R381-TIME(0,42,0)</f>
        <v>45706.42083333333</v>
      </c>
      <c r="Q381" s="82">
        <v>45706.435416666667</v>
      </c>
      <c r="R381" s="82">
        <v>45706.45</v>
      </c>
      <c r="S381" s="81">
        <f t="shared" si="61"/>
        <v>20.902777772910969</v>
      </c>
      <c r="T381" s="81">
        <f t="shared" si="62"/>
        <v>41.805555556250816</v>
      </c>
      <c r="U381" s="79"/>
      <c r="V381" s="82">
        <v>45706.461805555555</v>
      </c>
      <c r="W381" s="82">
        <v>45706.54583333333</v>
      </c>
      <c r="X381" s="103">
        <f t="shared" si="63"/>
        <v>118.47916666301899</v>
      </c>
      <c r="Y381" s="82"/>
      <c r="Z381" s="82">
        <v>45707.488194444442</v>
      </c>
      <c r="AA381" s="82">
        <f>Z381+TIME(0,57,0)</f>
        <v>45707.527777777774</v>
      </c>
      <c r="AB381" s="81">
        <f t="shared" si="64"/>
        <v>55.81249999726424</v>
      </c>
      <c r="AC381" s="80"/>
      <c r="AD381" s="83">
        <f t="shared" si="65"/>
        <v>1.0381944444452529</v>
      </c>
      <c r="AE381" s="80">
        <v>2</v>
      </c>
      <c r="AF381" s="84">
        <f t="shared" si="66"/>
        <v>0.96180555555474712</v>
      </c>
      <c r="AG381" s="83">
        <f t="shared" si="67"/>
        <v>24.916666666686069</v>
      </c>
      <c r="AH381" s="83">
        <f t="shared" si="68"/>
        <v>12</v>
      </c>
      <c r="AI381" s="83">
        <f t="shared" si="69"/>
        <v>12.916666666686069</v>
      </c>
      <c r="AJ381" s="83">
        <f t="shared" si="70"/>
        <v>11.519999999982696</v>
      </c>
      <c r="AK381" s="83"/>
      <c r="AL381" s="83"/>
      <c r="AM381" s="83"/>
      <c r="AN381" s="83"/>
      <c r="AO381" s="78"/>
    </row>
    <row r="382" spans="1:41" customFormat="1" ht="15" hidden="1" x14ac:dyDescent="0.25">
      <c r="A382" s="82">
        <v>45706</v>
      </c>
      <c r="B382" s="94" t="str">
        <f t="shared" si="60"/>
        <v>February</v>
      </c>
      <c r="C382" s="78"/>
      <c r="D382" s="79" t="s">
        <v>859</v>
      </c>
      <c r="E382" s="80" t="s">
        <v>1016</v>
      </c>
      <c r="F382" s="79" t="s">
        <v>964</v>
      </c>
      <c r="G382" s="79" t="s">
        <v>979</v>
      </c>
      <c r="H382" s="79" t="s">
        <v>991</v>
      </c>
      <c r="I382" s="79">
        <v>153.6</v>
      </c>
      <c r="J382" s="79" t="s">
        <v>859</v>
      </c>
      <c r="K382" s="80" t="s">
        <v>469</v>
      </c>
      <c r="L382" s="79">
        <v>20</v>
      </c>
      <c r="M382" s="80">
        <f>L382+1</f>
        <v>21</v>
      </c>
      <c r="N382" s="81">
        <f t="shared" si="71"/>
        <v>1</v>
      </c>
      <c r="O382" s="78"/>
      <c r="P382" s="82">
        <f>R382-TIME(0,43,0)</f>
        <v>45705.586111111108</v>
      </c>
      <c r="Q382" s="82">
        <v>45705.577777777777</v>
      </c>
      <c r="R382" s="82">
        <v>45705.615972222222</v>
      </c>
      <c r="S382" s="81">
        <f t="shared" si="61"/>
        <v>54.745370371529134</v>
      </c>
      <c r="T382" s="81">
        <f t="shared" si="62"/>
        <v>42.80092592986572</v>
      </c>
      <c r="U382" s="79"/>
      <c r="V382" s="82">
        <v>45705.615277777775</v>
      </c>
      <c r="W382" s="82">
        <v>45705.703472222223</v>
      </c>
      <c r="X382" s="103">
        <f t="shared" si="63"/>
        <v>124.35416667191021</v>
      </c>
      <c r="Y382" s="82"/>
      <c r="Z382" s="82">
        <v>45706.585416666669</v>
      </c>
      <c r="AA382" s="82">
        <f>Z382+TIME(0,56,0)</f>
        <v>45706.624305555561</v>
      </c>
      <c r="AB382" s="81">
        <f t="shared" si="64"/>
        <v>54.833333337664953</v>
      </c>
      <c r="AC382" s="80"/>
      <c r="AD382" s="83">
        <f t="shared" si="65"/>
        <v>0.96944444444670808</v>
      </c>
      <c r="AE382" s="80">
        <v>2</v>
      </c>
      <c r="AF382" s="84">
        <f t="shared" si="66"/>
        <v>1.0305555555532919</v>
      </c>
      <c r="AG382" s="83">
        <f t="shared" si="67"/>
        <v>23.266666666720994</v>
      </c>
      <c r="AH382" s="83">
        <f t="shared" si="68"/>
        <v>0</v>
      </c>
      <c r="AI382" s="83">
        <f t="shared" si="69"/>
        <v>23.266666666720994</v>
      </c>
      <c r="AJ382" s="83">
        <f t="shared" si="70"/>
        <v>6.6017191976923213</v>
      </c>
      <c r="AK382" s="83"/>
      <c r="AL382" s="83"/>
      <c r="AM382" s="83"/>
      <c r="AN382" s="83"/>
      <c r="AO382" s="78"/>
    </row>
    <row r="383" spans="1:41" customFormat="1" ht="15" hidden="1" x14ac:dyDescent="0.25">
      <c r="A383" s="82">
        <v>45706</v>
      </c>
      <c r="B383" s="94" t="str">
        <f t="shared" si="60"/>
        <v>February</v>
      </c>
      <c r="C383" s="78"/>
      <c r="D383" s="79" t="s">
        <v>860</v>
      </c>
      <c r="E383" s="80" t="s">
        <v>1016</v>
      </c>
      <c r="F383" s="79" t="s">
        <v>950</v>
      </c>
      <c r="G383" s="79" t="s">
        <v>967</v>
      </c>
      <c r="H383" s="79" t="s">
        <v>1282</v>
      </c>
      <c r="I383" s="79">
        <v>153.6</v>
      </c>
      <c r="J383" s="79" t="s">
        <v>860</v>
      </c>
      <c r="K383" s="80" t="s">
        <v>469</v>
      </c>
      <c r="L383" s="79">
        <v>810</v>
      </c>
      <c r="M383" s="80">
        <f>L383-1</f>
        <v>809</v>
      </c>
      <c r="N383" s="81">
        <f t="shared" si="71"/>
        <v>-1</v>
      </c>
      <c r="O383" s="78"/>
      <c r="P383" s="82">
        <f>R383-TIME(0,41,0)</f>
        <v>45705.540277777778</v>
      </c>
      <c r="Q383" s="82">
        <v>45705.555555555555</v>
      </c>
      <c r="R383" s="82">
        <v>45705.568749999999</v>
      </c>
      <c r="S383" s="81">
        <f t="shared" si="61"/>
        <v>18.912037036110025</v>
      </c>
      <c r="T383" s="81">
        <f t="shared" si="62"/>
        <v>40.810185182635905</v>
      </c>
      <c r="U383" s="79"/>
      <c r="V383" s="82">
        <v>45706.519444444442</v>
      </c>
      <c r="W383" s="82">
        <v>45706.607638888891</v>
      </c>
      <c r="X383" s="103">
        <f t="shared" si="63"/>
        <v>124.35416667191021</v>
      </c>
      <c r="Y383" s="82"/>
      <c r="Z383" s="82">
        <v>45705.650694444441</v>
      </c>
      <c r="AA383" s="82">
        <f>Z383+TIME(0,51,0)</f>
        <v>45705.686111111107</v>
      </c>
      <c r="AB383" s="81">
        <f t="shared" si="64"/>
        <v>49.93749999863212</v>
      </c>
      <c r="AC383" s="80"/>
      <c r="AD383" s="83">
        <f t="shared" si="65"/>
        <v>8.1944444442342501E-2</v>
      </c>
      <c r="AE383" s="80">
        <v>3</v>
      </c>
      <c r="AF383" s="84">
        <f t="shared" si="66"/>
        <v>2.9180555555576575</v>
      </c>
      <c r="AG383" s="83">
        <f t="shared" si="67"/>
        <v>1.96666666661622</v>
      </c>
      <c r="AH383" s="83">
        <f t="shared" si="68"/>
        <v>0</v>
      </c>
      <c r="AI383" s="83">
        <f t="shared" si="69"/>
        <v>1.96666666661622</v>
      </c>
      <c r="AJ383" s="83">
        <f t="shared" si="70"/>
        <v>78.101694917257603</v>
      </c>
      <c r="AK383" s="83"/>
      <c r="AL383" s="83"/>
      <c r="AM383" s="83"/>
      <c r="AN383" s="83"/>
      <c r="AO383" s="78"/>
    </row>
    <row r="384" spans="1:41" customFormat="1" ht="15" hidden="1" x14ac:dyDescent="0.25">
      <c r="A384" s="82">
        <v>45706</v>
      </c>
      <c r="B384" s="94" t="str">
        <f t="shared" si="60"/>
        <v>February</v>
      </c>
      <c r="C384" s="78"/>
      <c r="D384" s="79" t="s">
        <v>862</v>
      </c>
      <c r="E384" s="80" t="s">
        <v>1016</v>
      </c>
      <c r="F384" s="79" t="s">
        <v>958</v>
      </c>
      <c r="G384" s="79" t="s">
        <v>975</v>
      </c>
      <c r="H384" s="79" t="s">
        <v>1282</v>
      </c>
      <c r="I384" s="79">
        <v>153.6</v>
      </c>
      <c r="J384" s="79" t="s">
        <v>862</v>
      </c>
      <c r="K384" s="80" t="s">
        <v>469</v>
      </c>
      <c r="L384" s="79">
        <v>810</v>
      </c>
      <c r="M384" s="80">
        <f>L384-1</f>
        <v>809</v>
      </c>
      <c r="N384" s="81">
        <f t="shared" si="71"/>
        <v>-1</v>
      </c>
      <c r="O384" s="78"/>
      <c r="P384" s="82">
        <v>45705.554861111115</v>
      </c>
      <c r="Q384" s="82">
        <v>45705.573611111111</v>
      </c>
      <c r="R384" s="82">
        <v>45705.583333333336</v>
      </c>
      <c r="S384" s="81">
        <f t="shared" si="61"/>
        <v>13.935185188893229</v>
      </c>
      <c r="T384" s="81">
        <f t="shared" si="62"/>
        <v>40.810185182635905</v>
      </c>
      <c r="U384" s="79"/>
      <c r="V384" s="82">
        <v>45706.414583333331</v>
      </c>
      <c r="W384" s="82">
        <v>45706.613888888889</v>
      </c>
      <c r="X384" s="103">
        <f t="shared" si="63"/>
        <v>281.02083333629707</v>
      </c>
      <c r="Y384" s="82" t="s">
        <v>1047</v>
      </c>
      <c r="Z384" s="82">
        <v>45707.683333333334</v>
      </c>
      <c r="AA384" s="82">
        <f>Z384+TIME(0,57,0)</f>
        <v>45707.722916666666</v>
      </c>
      <c r="AB384" s="81">
        <f t="shared" si="64"/>
        <v>55.81249999726424</v>
      </c>
      <c r="AC384" s="80"/>
      <c r="AD384" s="83">
        <f t="shared" si="65"/>
        <v>2.0999999999985448</v>
      </c>
      <c r="AE384" s="80">
        <v>2</v>
      </c>
      <c r="AF384" s="84">
        <f t="shared" si="66"/>
        <v>-9.9999999998544808E-2</v>
      </c>
      <c r="AG384" s="83">
        <f t="shared" si="67"/>
        <v>50.399999999965075</v>
      </c>
      <c r="AH384" s="83">
        <f t="shared" si="68"/>
        <v>24</v>
      </c>
      <c r="AI384" s="83">
        <f t="shared" si="69"/>
        <v>26.399999999965075</v>
      </c>
      <c r="AJ384" s="83">
        <f t="shared" si="70"/>
        <v>5.8181818181895144</v>
      </c>
      <c r="AK384" s="83"/>
      <c r="AL384" s="83"/>
      <c r="AM384" s="83"/>
      <c r="AN384" s="83"/>
      <c r="AO384" s="78"/>
    </row>
    <row r="385" spans="1:41" customFormat="1" ht="15" hidden="1" x14ac:dyDescent="0.25">
      <c r="A385" s="82">
        <v>45706</v>
      </c>
      <c r="B385" s="94" t="str">
        <f t="shared" si="60"/>
        <v>February</v>
      </c>
      <c r="C385" s="78"/>
      <c r="D385" s="79" t="s">
        <v>863</v>
      </c>
      <c r="E385" s="80" t="s">
        <v>1016</v>
      </c>
      <c r="F385" s="79" t="s">
        <v>963</v>
      </c>
      <c r="G385" s="79" t="s">
        <v>60</v>
      </c>
      <c r="H385" s="79" t="s">
        <v>994</v>
      </c>
      <c r="I385" s="79">
        <v>156</v>
      </c>
      <c r="J385" s="79" t="s">
        <v>863</v>
      </c>
      <c r="K385" s="80" t="s">
        <v>469</v>
      </c>
      <c r="L385" s="80">
        <v>680</v>
      </c>
      <c r="M385" s="80">
        <f>L385-1</f>
        <v>679</v>
      </c>
      <c r="N385" s="81">
        <f t="shared" si="71"/>
        <v>-1</v>
      </c>
      <c r="O385" s="78"/>
      <c r="P385" s="82">
        <v>45706.759722222225</v>
      </c>
      <c r="Q385" s="82">
        <v>45706.768750000003</v>
      </c>
      <c r="R385" s="82">
        <v>45706.788194444445</v>
      </c>
      <c r="S385" s="81">
        <f t="shared" si="61"/>
        <v>27.870370367357584</v>
      </c>
      <c r="T385" s="81">
        <f t="shared" si="62"/>
        <v>40.810185182635905</v>
      </c>
      <c r="U385" s="79"/>
      <c r="V385" s="82">
        <v>45707.486111111109</v>
      </c>
      <c r="W385" s="82">
        <v>45707.611805555556</v>
      </c>
      <c r="X385" s="103">
        <f t="shared" si="63"/>
        <v>177.22916666985839</v>
      </c>
      <c r="Y385" s="82"/>
      <c r="Z385" s="82">
        <v>45707.683333333334</v>
      </c>
      <c r="AA385" s="82">
        <v>45707.722916666666</v>
      </c>
      <c r="AB385" s="81">
        <f t="shared" si="64"/>
        <v>55.81249999726424</v>
      </c>
      <c r="AC385" s="80"/>
      <c r="AD385" s="83">
        <f t="shared" si="65"/>
        <v>0.89513888888905058</v>
      </c>
      <c r="AE385" s="80">
        <v>3</v>
      </c>
      <c r="AF385" s="84">
        <f t="shared" si="66"/>
        <v>2.1048611111109494</v>
      </c>
      <c r="AG385" s="83">
        <f t="shared" si="67"/>
        <v>21.483333333337214</v>
      </c>
      <c r="AH385" s="83">
        <f t="shared" si="68"/>
        <v>0</v>
      </c>
      <c r="AI385" s="83">
        <f t="shared" si="69"/>
        <v>21.483333333337214</v>
      </c>
      <c r="AJ385" s="83">
        <f t="shared" si="70"/>
        <v>7.2614429790522186</v>
      </c>
      <c r="AK385" s="83"/>
      <c r="AL385" s="83"/>
      <c r="AM385" s="83"/>
      <c r="AN385" s="83"/>
      <c r="AO385" s="78"/>
    </row>
    <row r="386" spans="1:41" customFormat="1" ht="15" hidden="1" x14ac:dyDescent="0.25">
      <c r="A386" s="82">
        <v>45706</v>
      </c>
      <c r="B386" s="94" t="str">
        <f t="shared" ref="B386:B449" si="72">TEXT(A386, "MMMM")</f>
        <v>February</v>
      </c>
      <c r="C386" s="78"/>
      <c r="D386" s="79" t="s">
        <v>864</v>
      </c>
      <c r="E386" s="80" t="s">
        <v>1016</v>
      </c>
      <c r="F386" s="79" t="s">
        <v>965</v>
      </c>
      <c r="G386" s="79" t="s">
        <v>980</v>
      </c>
      <c r="H386" s="79" t="s">
        <v>982</v>
      </c>
      <c r="I386" s="79">
        <v>153.6</v>
      </c>
      <c r="J386" s="79" t="s">
        <v>864</v>
      </c>
      <c r="K386" s="80" t="s">
        <v>469</v>
      </c>
      <c r="L386" s="80">
        <v>298</v>
      </c>
      <c r="M386" s="80">
        <f>L386-3</f>
        <v>295</v>
      </c>
      <c r="N386" s="81">
        <f t="shared" si="71"/>
        <v>-3</v>
      </c>
      <c r="O386" s="78"/>
      <c r="P386" s="82">
        <f>R386-TIME(0,43,0)</f>
        <v>45706.724305555552</v>
      </c>
      <c r="Q386" s="82">
        <v>45706.739583333336</v>
      </c>
      <c r="R386" s="82">
        <v>45706.754166666666</v>
      </c>
      <c r="S386" s="81">
        <f t="shared" ref="S386:S449" si="73">(R386-Q386)*86000/60</f>
        <v>20.902777772910969</v>
      </c>
      <c r="T386" s="81">
        <f t="shared" ref="T386:T449" si="74">(R386-P386)*86000/60</f>
        <v>42.80092592986572</v>
      </c>
      <c r="U386" s="79"/>
      <c r="V386" s="82">
        <v>45705.359722222223</v>
      </c>
      <c r="W386" s="82">
        <v>45705.568055555559</v>
      </c>
      <c r="X386" s="103">
        <f t="shared" ref="X386:X449" si="75">(W386-V386)*84600/60</f>
        <v>293.7500000034197</v>
      </c>
      <c r="Y386" s="82" t="s">
        <v>1051</v>
      </c>
      <c r="Z386" s="82">
        <v>45707.488194444442</v>
      </c>
      <c r="AA386" s="82">
        <f>Z386+TIME(0,54,0)</f>
        <v>45707.525694444441</v>
      </c>
      <c r="AB386" s="81">
        <f t="shared" ref="AB386:AB449" si="76">(AA386-Z386)*84600/60</f>
        <v>52.87499999794818</v>
      </c>
      <c r="AC386" s="80"/>
      <c r="AD386" s="83">
        <f t="shared" ref="AD386:AD449" si="77">Z386-R386</f>
        <v>0.73402777777664596</v>
      </c>
      <c r="AE386" s="80">
        <v>2</v>
      </c>
      <c r="AF386" s="84">
        <f t="shared" ref="AF386:AF449" si="78">AE386-AD386</f>
        <v>1.265972222223354</v>
      </c>
      <c r="AG386" s="83">
        <f t="shared" ref="AG386:AG449" si="79">AD386*24</f>
        <v>17.616666666639503</v>
      </c>
      <c r="AH386" s="83">
        <f t="shared" ref="AH386:AH449" si="80">AG386-AI386</f>
        <v>0</v>
      </c>
      <c r="AI386" s="83">
        <f t="shared" ref="AI386:AI449" si="81" xml:space="preserve"> ((Z386 - R386) * 24) - (INT(Z386 - R386) * 12)</f>
        <v>17.616666666639503</v>
      </c>
      <c r="AJ386" s="83">
        <f t="shared" ref="AJ386:AJ449" si="82">I386/AI386</f>
        <v>8.7190160832679382</v>
      </c>
      <c r="AK386" s="83"/>
      <c r="AL386" s="83"/>
      <c r="AM386" s="83"/>
      <c r="AN386" s="83"/>
      <c r="AO386" s="78"/>
    </row>
    <row r="387" spans="1:41" customFormat="1" ht="15" hidden="1" x14ac:dyDescent="0.25">
      <c r="A387" s="82">
        <v>45706</v>
      </c>
      <c r="B387" s="94" t="str">
        <f t="shared" si="72"/>
        <v>February</v>
      </c>
      <c r="C387" s="78"/>
      <c r="D387" s="79" t="s">
        <v>861</v>
      </c>
      <c r="E387" s="80" t="s">
        <v>1016</v>
      </c>
      <c r="F387" s="79" t="s">
        <v>955</v>
      </c>
      <c r="G387" s="79" t="s">
        <v>972</v>
      </c>
      <c r="H387" s="79" t="s">
        <v>986</v>
      </c>
      <c r="I387" s="79">
        <v>153.6</v>
      </c>
      <c r="J387" s="79" t="s">
        <v>861</v>
      </c>
      <c r="K387" s="80" t="s">
        <v>469</v>
      </c>
      <c r="L387" s="79">
        <v>350</v>
      </c>
      <c r="M387" s="80">
        <f>L387+1</f>
        <v>351</v>
      </c>
      <c r="N387" s="81">
        <f t="shared" si="71"/>
        <v>1</v>
      </c>
      <c r="O387" s="78"/>
      <c r="P387" s="82">
        <f>R387-TIME(0,41,0)</f>
        <v>45705.855555555558</v>
      </c>
      <c r="Q387" s="82">
        <v>45705.416666666664</v>
      </c>
      <c r="R387" s="82">
        <v>45705.884027777778</v>
      </c>
      <c r="S387" s="81">
        <f t="shared" si="73"/>
        <v>669.88425926319906</v>
      </c>
      <c r="T387" s="81">
        <f t="shared" si="74"/>
        <v>40.810185182635905</v>
      </c>
      <c r="U387" s="79"/>
      <c r="V387" s="82">
        <v>45705.359722222223</v>
      </c>
      <c r="W387" s="82">
        <v>45705.568055555559</v>
      </c>
      <c r="X387" s="103">
        <f t="shared" si="75"/>
        <v>293.7500000034197</v>
      </c>
      <c r="Y387" s="82" t="s">
        <v>1040</v>
      </c>
      <c r="Z387" s="82">
        <v>45706.678472222222</v>
      </c>
      <c r="AA387" s="82">
        <f>Z387+TIME(0,76,0)</f>
        <v>45706.731249999997</v>
      </c>
      <c r="AB387" s="81">
        <f t="shared" si="76"/>
        <v>74.416666663018987</v>
      </c>
      <c r="AC387" s="80" t="s">
        <v>1675</v>
      </c>
      <c r="AD387" s="83">
        <f t="shared" si="77"/>
        <v>0.79444444444379769</v>
      </c>
      <c r="AE387" s="80">
        <v>2</v>
      </c>
      <c r="AF387" s="84">
        <f t="shared" si="78"/>
        <v>1.2055555555562023</v>
      </c>
      <c r="AG387" s="83">
        <f t="shared" si="79"/>
        <v>19.066666666651145</v>
      </c>
      <c r="AH387" s="83">
        <f t="shared" si="80"/>
        <v>0</v>
      </c>
      <c r="AI387" s="83">
        <f t="shared" si="81"/>
        <v>19.066666666651145</v>
      </c>
      <c r="AJ387" s="83">
        <f t="shared" si="82"/>
        <v>8.0559440559506132</v>
      </c>
      <c r="AK387" s="83"/>
      <c r="AL387" s="83"/>
      <c r="AM387" s="83"/>
      <c r="AN387" s="83"/>
      <c r="AO387" s="78"/>
    </row>
    <row r="388" spans="1:41" customFormat="1" ht="15" hidden="1" x14ac:dyDescent="0.25">
      <c r="A388" s="82">
        <v>45707</v>
      </c>
      <c r="B388" s="94" t="str">
        <f t="shared" si="72"/>
        <v>February</v>
      </c>
      <c r="C388" s="78"/>
      <c r="D388" s="79" t="s">
        <v>215</v>
      </c>
      <c r="E388" s="80" t="s">
        <v>1017</v>
      </c>
      <c r="F388" s="79" t="s">
        <v>1030</v>
      </c>
      <c r="G388" s="79" t="s">
        <v>55</v>
      </c>
      <c r="H388" s="79" t="s">
        <v>462</v>
      </c>
      <c r="I388" s="79">
        <v>156</v>
      </c>
      <c r="J388" s="79" t="s">
        <v>215</v>
      </c>
      <c r="K388" s="80" t="s">
        <v>469</v>
      </c>
      <c r="L388" s="80">
        <v>680</v>
      </c>
      <c r="M388" s="80">
        <f>L388+2</f>
        <v>682</v>
      </c>
      <c r="N388" s="81">
        <f t="shared" ref="N388:N451" si="83">M388-L388</f>
        <v>2</v>
      </c>
      <c r="O388" s="78"/>
      <c r="P388" s="82">
        <f>R388-TIME(0,44,0)</f>
        <v>45705.732638888891</v>
      </c>
      <c r="Q388" s="82">
        <v>45705.754861111112</v>
      </c>
      <c r="R388" s="82">
        <v>45705.763194444444</v>
      </c>
      <c r="S388" s="81">
        <f t="shared" si="73"/>
        <v>11.944444441663412</v>
      </c>
      <c r="T388" s="81">
        <f t="shared" si="74"/>
        <v>43.796296293051761</v>
      </c>
      <c r="U388" s="79"/>
      <c r="V388" s="82">
        <v>45706.393055555556</v>
      </c>
      <c r="W388" s="82">
        <v>45706.543055555558</v>
      </c>
      <c r="X388" s="103">
        <f t="shared" si="75"/>
        <v>211.50000000205182</v>
      </c>
      <c r="Y388" s="82" t="s">
        <v>1049</v>
      </c>
      <c r="Z388" s="82">
        <v>45707.30972222222</v>
      </c>
      <c r="AA388" s="82">
        <v>45707.345138888886</v>
      </c>
      <c r="AB388" s="81">
        <f t="shared" si="76"/>
        <v>49.93749999863212</v>
      </c>
      <c r="AC388" s="80"/>
      <c r="AD388" s="83">
        <f t="shared" si="77"/>
        <v>1.546527777776646</v>
      </c>
      <c r="AE388" s="80">
        <v>2</v>
      </c>
      <c r="AF388" s="84">
        <f t="shared" si="78"/>
        <v>0.45347222222335404</v>
      </c>
      <c r="AG388" s="83">
        <f t="shared" si="79"/>
        <v>37.116666666639503</v>
      </c>
      <c r="AH388" s="83">
        <f t="shared" si="80"/>
        <v>12</v>
      </c>
      <c r="AI388" s="83">
        <f t="shared" si="81"/>
        <v>25.116666666639503</v>
      </c>
      <c r="AJ388" s="83">
        <f t="shared" si="82"/>
        <v>6.2110152621168702</v>
      </c>
      <c r="AK388" s="83"/>
      <c r="AL388" s="83"/>
      <c r="AM388" s="83"/>
      <c r="AN388" s="83"/>
      <c r="AO388" s="78"/>
    </row>
    <row r="389" spans="1:41" customFormat="1" ht="15" hidden="1" x14ac:dyDescent="0.25">
      <c r="A389" s="82">
        <v>45707</v>
      </c>
      <c r="B389" s="94" t="str">
        <f t="shared" si="72"/>
        <v>February</v>
      </c>
      <c r="C389" s="78"/>
      <c r="D389" s="79" t="s">
        <v>216</v>
      </c>
      <c r="E389" s="80" t="s">
        <v>1017</v>
      </c>
      <c r="F389" s="79"/>
      <c r="G389" s="79" t="s">
        <v>49</v>
      </c>
      <c r="H389" s="79" t="s">
        <v>454</v>
      </c>
      <c r="I389" s="79">
        <v>156</v>
      </c>
      <c r="J389" s="79" t="s">
        <v>216</v>
      </c>
      <c r="K389" s="80" t="s">
        <v>469</v>
      </c>
      <c r="L389" s="80">
        <v>304</v>
      </c>
      <c r="M389" s="80">
        <f>L389-2</f>
        <v>302</v>
      </c>
      <c r="N389" s="81">
        <f t="shared" si="83"/>
        <v>-2</v>
      </c>
      <c r="O389" s="78"/>
      <c r="P389" s="82">
        <v>45705.852777777778</v>
      </c>
      <c r="Q389" s="82">
        <v>45705.868055555562</v>
      </c>
      <c r="R389" s="82">
        <v>45705.882638888892</v>
      </c>
      <c r="S389" s="81">
        <f t="shared" si="73"/>
        <v>20.902777772910969</v>
      </c>
      <c r="T389" s="81">
        <f t="shared" si="74"/>
        <v>42.80092592986572</v>
      </c>
      <c r="U389" s="79"/>
      <c r="V389" s="82">
        <v>45706.488194444442</v>
      </c>
      <c r="W389" s="82">
        <v>45706.620138888888</v>
      </c>
      <c r="X389" s="103">
        <f t="shared" si="75"/>
        <v>186.04166666780657</v>
      </c>
      <c r="Y389" s="82" t="s">
        <v>1046</v>
      </c>
      <c r="Z389" s="82">
        <v>45709.541666666664</v>
      </c>
      <c r="AA389" s="82">
        <f>Z389+TIME(0,48,0)</f>
        <v>45709.574999999997</v>
      </c>
      <c r="AB389" s="81">
        <f t="shared" si="76"/>
        <v>46.99999999931606</v>
      </c>
      <c r="AC389" s="80"/>
      <c r="AD389" s="83">
        <f t="shared" si="77"/>
        <v>3.6590277777722804</v>
      </c>
      <c r="AE389" s="80">
        <v>2</v>
      </c>
      <c r="AF389" s="84">
        <f t="shared" si="78"/>
        <v>-1.6590277777722804</v>
      </c>
      <c r="AG389" s="83">
        <f t="shared" si="79"/>
        <v>87.816666666534729</v>
      </c>
      <c r="AH389" s="83">
        <f t="shared" si="80"/>
        <v>36</v>
      </c>
      <c r="AI389" s="83">
        <f t="shared" si="81"/>
        <v>51.816666666534729</v>
      </c>
      <c r="AJ389" s="83">
        <f t="shared" si="82"/>
        <v>3.010614345456363</v>
      </c>
      <c r="AK389" s="83"/>
      <c r="AL389" s="83"/>
      <c r="AM389" s="83"/>
      <c r="AN389" s="83"/>
      <c r="AO389" s="78"/>
    </row>
    <row r="390" spans="1:41" customFormat="1" ht="15" hidden="1" x14ac:dyDescent="0.25">
      <c r="A390" s="82">
        <v>45707</v>
      </c>
      <c r="B390" s="94" t="str">
        <f t="shared" si="72"/>
        <v>February</v>
      </c>
      <c r="C390" s="78"/>
      <c r="D390" s="79" t="s">
        <v>217</v>
      </c>
      <c r="E390" s="80" t="s">
        <v>1017</v>
      </c>
      <c r="F390" s="79" t="s">
        <v>1036</v>
      </c>
      <c r="G390" s="79" t="s">
        <v>36</v>
      </c>
      <c r="H390" s="79" t="s">
        <v>465</v>
      </c>
      <c r="I390" s="79">
        <v>156</v>
      </c>
      <c r="J390" s="79" t="s">
        <v>217</v>
      </c>
      <c r="K390" s="80" t="s">
        <v>469</v>
      </c>
      <c r="L390" s="80">
        <v>382</v>
      </c>
      <c r="M390" s="80">
        <f>L390-3</f>
        <v>379</v>
      </c>
      <c r="N390" s="81">
        <f t="shared" si="83"/>
        <v>-3</v>
      </c>
      <c r="O390" s="78"/>
      <c r="P390" s="82">
        <v>45705.677777777782</v>
      </c>
      <c r="Q390" s="82">
        <v>45705.686805555561</v>
      </c>
      <c r="R390" s="82">
        <v>45705.706250000003</v>
      </c>
      <c r="S390" s="81">
        <f t="shared" si="73"/>
        <v>27.870370367357584</v>
      </c>
      <c r="T390" s="81">
        <f t="shared" si="74"/>
        <v>40.810185182635905</v>
      </c>
      <c r="U390" s="79"/>
      <c r="V390" s="82">
        <v>45706.677083333336</v>
      </c>
      <c r="W390" s="82">
        <v>45706.763888888891</v>
      </c>
      <c r="X390" s="103">
        <f t="shared" si="75"/>
        <v>122.39583333219343</v>
      </c>
      <c r="Y390" s="82"/>
      <c r="Z390" s="82">
        <v>45706.569444444445</v>
      </c>
      <c r="AA390" s="82">
        <f>Z390+TIME(0,56,0)</f>
        <v>45706.608333333337</v>
      </c>
      <c r="AB390" s="81">
        <f t="shared" si="76"/>
        <v>54.833333337664953</v>
      </c>
      <c r="AC390" s="80"/>
      <c r="AD390" s="83">
        <f t="shared" si="77"/>
        <v>0.8631944444423425</v>
      </c>
      <c r="AE390" s="80">
        <v>2</v>
      </c>
      <c r="AF390" s="84">
        <f t="shared" si="78"/>
        <v>1.1368055555576575</v>
      </c>
      <c r="AG390" s="83">
        <f t="shared" si="79"/>
        <v>20.71666666661622</v>
      </c>
      <c r="AH390" s="83">
        <f t="shared" si="80"/>
        <v>0</v>
      </c>
      <c r="AI390" s="83">
        <f t="shared" si="81"/>
        <v>20.71666666661622</v>
      </c>
      <c r="AJ390" s="83">
        <f t="shared" si="82"/>
        <v>7.5301689461164862</v>
      </c>
      <c r="AK390" s="83"/>
      <c r="AL390" s="83"/>
      <c r="AM390" s="83"/>
      <c r="AN390" s="83"/>
      <c r="AO390" s="78"/>
    </row>
    <row r="391" spans="1:41" customFormat="1" ht="15" hidden="1" x14ac:dyDescent="0.25">
      <c r="A391" s="82">
        <v>45707</v>
      </c>
      <c r="B391" s="94" t="str">
        <f t="shared" si="72"/>
        <v>February</v>
      </c>
      <c r="C391" s="78"/>
      <c r="D391" s="79" t="s">
        <v>218</v>
      </c>
      <c r="E391" s="80" t="s">
        <v>1017</v>
      </c>
      <c r="F391" s="79" t="s">
        <v>1013</v>
      </c>
      <c r="G391" s="79" t="s">
        <v>56</v>
      </c>
      <c r="H391" s="79" t="s">
        <v>458</v>
      </c>
      <c r="I391" s="79">
        <v>156</v>
      </c>
      <c r="J391" s="79" t="s">
        <v>218</v>
      </c>
      <c r="K391" s="80" t="s">
        <v>469</v>
      </c>
      <c r="L391" s="80">
        <v>448</v>
      </c>
      <c r="M391" s="80">
        <f>L391+1</f>
        <v>449</v>
      </c>
      <c r="N391" s="81">
        <f t="shared" si="83"/>
        <v>1</v>
      </c>
      <c r="O391" s="78"/>
      <c r="P391" s="82">
        <f>R391-TIME(0,41,0)</f>
        <v>45705.71597222222</v>
      </c>
      <c r="Q391" s="82">
        <v>45705.741666666661</v>
      </c>
      <c r="R391" s="82">
        <v>45705.744444444441</v>
      </c>
      <c r="S391" s="81">
        <f t="shared" si="73"/>
        <v>3.9814814840307613</v>
      </c>
      <c r="T391" s="81">
        <f t="shared" si="74"/>
        <v>40.810185182635905</v>
      </c>
      <c r="U391" s="79"/>
      <c r="V391" s="82">
        <v>45707.754166666666</v>
      </c>
      <c r="W391" s="82">
        <v>45707.845138888886</v>
      </c>
      <c r="X391" s="103">
        <f t="shared" si="75"/>
        <v>128.27083333082555</v>
      </c>
      <c r="Y391" s="82"/>
      <c r="Z391" s="82">
        <v>45710.59652777778</v>
      </c>
      <c r="AA391" s="82">
        <f>Z391+TIME(0,57,0)</f>
        <v>45710.636111111111</v>
      </c>
      <c r="AB391" s="81">
        <f t="shared" si="76"/>
        <v>55.81249999726424</v>
      </c>
      <c r="AC391" s="80"/>
      <c r="AD391" s="83">
        <f t="shared" si="77"/>
        <v>4.852083333338669</v>
      </c>
      <c r="AE391" s="80">
        <v>2</v>
      </c>
      <c r="AF391" s="84">
        <f t="shared" si="78"/>
        <v>-2.852083333338669</v>
      </c>
      <c r="AG391" s="83">
        <f t="shared" si="79"/>
        <v>116.45000000012806</v>
      </c>
      <c r="AH391" s="83">
        <f t="shared" si="80"/>
        <v>48</v>
      </c>
      <c r="AI391" s="83">
        <f t="shared" si="81"/>
        <v>68.450000000128057</v>
      </c>
      <c r="AJ391" s="83">
        <f t="shared" si="82"/>
        <v>2.2790357925450424</v>
      </c>
      <c r="AK391" s="83"/>
      <c r="AL391" s="83"/>
      <c r="AM391" s="83"/>
      <c r="AN391" s="83"/>
      <c r="AO391" s="78"/>
    </row>
    <row r="392" spans="1:41" customFormat="1" ht="15" hidden="1" x14ac:dyDescent="0.25">
      <c r="A392" s="82">
        <v>45707</v>
      </c>
      <c r="B392" s="94" t="str">
        <f t="shared" si="72"/>
        <v>February</v>
      </c>
      <c r="C392" s="78"/>
      <c r="D392" s="79" t="s">
        <v>219</v>
      </c>
      <c r="E392" s="80" t="s">
        <v>1017</v>
      </c>
      <c r="F392" s="79" t="s">
        <v>1035</v>
      </c>
      <c r="G392" s="79" t="s">
        <v>44</v>
      </c>
      <c r="H392" s="79" t="s">
        <v>456</v>
      </c>
      <c r="I392" s="79">
        <v>156</v>
      </c>
      <c r="J392" s="79" t="s">
        <v>219</v>
      </c>
      <c r="K392" s="80" t="s">
        <v>469</v>
      </c>
      <c r="L392" s="80">
        <v>670</v>
      </c>
      <c r="M392" s="80">
        <f>L392+1</f>
        <v>671</v>
      </c>
      <c r="N392" s="81">
        <f t="shared" si="83"/>
        <v>1</v>
      </c>
      <c r="O392" s="78"/>
      <c r="P392" s="82">
        <v>45706.905555555553</v>
      </c>
      <c r="Q392" s="82">
        <v>45706.920833333337</v>
      </c>
      <c r="R392" s="82">
        <v>45706.935416666667</v>
      </c>
      <c r="S392" s="81">
        <f t="shared" si="73"/>
        <v>20.902777772910969</v>
      </c>
      <c r="T392" s="81">
        <f t="shared" si="74"/>
        <v>42.80092592986572</v>
      </c>
      <c r="U392" s="79"/>
      <c r="V392" s="82">
        <v>45705.597222222219</v>
      </c>
      <c r="W392" s="82">
        <v>45705.7</v>
      </c>
      <c r="X392" s="103">
        <f t="shared" si="75"/>
        <v>144.91666666712263</v>
      </c>
      <c r="Y392" s="82"/>
      <c r="Z392" s="82">
        <v>45708.723611111112</v>
      </c>
      <c r="AA392" s="82">
        <f>Z392+TIME(0,56,0)</f>
        <v>45708.762500000004</v>
      </c>
      <c r="AB392" s="81">
        <f t="shared" si="76"/>
        <v>54.833333337664953</v>
      </c>
      <c r="AC392" s="80"/>
      <c r="AD392" s="83">
        <f t="shared" si="77"/>
        <v>1.7881944444452529</v>
      </c>
      <c r="AE392" s="80">
        <v>2</v>
      </c>
      <c r="AF392" s="84">
        <f t="shared" si="78"/>
        <v>0.21180555555474712</v>
      </c>
      <c r="AG392" s="83">
        <f t="shared" si="79"/>
        <v>42.916666666686069</v>
      </c>
      <c r="AH392" s="83">
        <f t="shared" si="80"/>
        <v>12</v>
      </c>
      <c r="AI392" s="83">
        <f t="shared" si="81"/>
        <v>30.916666666686069</v>
      </c>
      <c r="AJ392" s="83">
        <f t="shared" si="82"/>
        <v>5.0458221024227097</v>
      </c>
      <c r="AK392" s="83"/>
      <c r="AL392" s="83"/>
      <c r="AM392" s="83"/>
      <c r="AN392" s="83"/>
      <c r="AO392" s="78"/>
    </row>
    <row r="393" spans="1:41" customFormat="1" ht="15" hidden="1" x14ac:dyDescent="0.25">
      <c r="A393" s="82">
        <v>45707</v>
      </c>
      <c r="B393" s="94" t="str">
        <f t="shared" si="72"/>
        <v>February</v>
      </c>
      <c r="C393" s="78"/>
      <c r="D393" s="79" t="s">
        <v>220</v>
      </c>
      <c r="E393" s="80" t="s">
        <v>1017</v>
      </c>
      <c r="F393" s="79"/>
      <c r="G393" s="79" t="s">
        <v>58</v>
      </c>
      <c r="H393" s="79" t="s">
        <v>463</v>
      </c>
      <c r="I393" s="79">
        <v>156</v>
      </c>
      <c r="J393" s="79" t="s">
        <v>220</v>
      </c>
      <c r="K393" s="80" t="s">
        <v>469</v>
      </c>
      <c r="L393" s="80">
        <v>414</v>
      </c>
      <c r="M393" s="80">
        <f>L393+2</f>
        <v>416</v>
      </c>
      <c r="N393" s="81">
        <f t="shared" si="83"/>
        <v>2</v>
      </c>
      <c r="O393" s="78"/>
      <c r="P393" s="82">
        <v>45706.625694444439</v>
      </c>
      <c r="Q393" s="82">
        <v>45706.620833333334</v>
      </c>
      <c r="R393" s="82">
        <v>45706.655555555553</v>
      </c>
      <c r="S393" s="81">
        <f t="shared" si="73"/>
        <v>49.768518513883464</v>
      </c>
      <c r="T393" s="81">
        <f t="shared" si="74"/>
        <v>42.80092592986572</v>
      </c>
      <c r="U393" s="79"/>
      <c r="V393" s="82">
        <v>45706.904166666667</v>
      </c>
      <c r="W393" s="82">
        <f>V393+TIME(0,180,0)</f>
        <v>45707.029166666667</v>
      </c>
      <c r="X393" s="103">
        <f t="shared" si="75"/>
        <v>176.25</v>
      </c>
      <c r="Y393" s="82"/>
      <c r="Z393" s="82">
        <v>45710.805555555555</v>
      </c>
      <c r="AA393" s="82">
        <v>45710.844444444447</v>
      </c>
      <c r="AB393" s="81">
        <f t="shared" si="76"/>
        <v>54.833333337664953</v>
      </c>
      <c r="AC393" s="80"/>
      <c r="AD393" s="83">
        <f t="shared" si="77"/>
        <v>4.1500000000014552</v>
      </c>
      <c r="AE393" s="80">
        <v>3</v>
      </c>
      <c r="AF393" s="84">
        <f t="shared" si="78"/>
        <v>-1.1500000000014552</v>
      </c>
      <c r="AG393" s="83">
        <f t="shared" si="79"/>
        <v>99.600000000034925</v>
      </c>
      <c r="AH393" s="83">
        <f t="shared" si="80"/>
        <v>48</v>
      </c>
      <c r="AI393" s="83">
        <f t="shared" si="81"/>
        <v>51.600000000034925</v>
      </c>
      <c r="AJ393" s="83">
        <f t="shared" si="82"/>
        <v>3.0232558139514421</v>
      </c>
      <c r="AK393" s="83"/>
      <c r="AL393" s="83"/>
      <c r="AM393" s="83"/>
      <c r="AN393" s="83"/>
      <c r="AO393" s="78"/>
    </row>
    <row r="394" spans="1:41" customFormat="1" ht="15" hidden="1" x14ac:dyDescent="0.25">
      <c r="A394" s="82">
        <v>45707</v>
      </c>
      <c r="B394" s="94" t="str">
        <f t="shared" si="72"/>
        <v>February</v>
      </c>
      <c r="C394" s="78"/>
      <c r="D394" s="79" t="s">
        <v>221</v>
      </c>
      <c r="E394" s="80" t="s">
        <v>1017</v>
      </c>
      <c r="F394" s="79" t="s">
        <v>1037</v>
      </c>
      <c r="G394" s="79" t="s">
        <v>59</v>
      </c>
      <c r="H394" s="79" t="s">
        <v>455</v>
      </c>
      <c r="I394" s="79">
        <v>156</v>
      </c>
      <c r="J394" s="79" t="s">
        <v>221</v>
      </c>
      <c r="K394" s="80" t="s">
        <v>469</v>
      </c>
      <c r="L394" s="80">
        <v>580</v>
      </c>
      <c r="M394" s="80">
        <f>L394+2</f>
        <v>582</v>
      </c>
      <c r="N394" s="81">
        <f t="shared" si="83"/>
        <v>2</v>
      </c>
      <c r="O394" s="78"/>
      <c r="P394" s="82">
        <f>R394-TIME(0,44,0)</f>
        <v>45706.798611111117</v>
      </c>
      <c r="Q394" s="82">
        <v>45706.809722222228</v>
      </c>
      <c r="R394" s="82">
        <v>45706.82916666667</v>
      </c>
      <c r="S394" s="81">
        <f t="shared" si="73"/>
        <v>27.870370367357584</v>
      </c>
      <c r="T394" s="81">
        <f t="shared" si="74"/>
        <v>43.796296293051761</v>
      </c>
      <c r="U394" s="79"/>
      <c r="V394" s="82">
        <v>45706.565972222219</v>
      </c>
      <c r="W394" s="82">
        <v>45706.671527777777</v>
      </c>
      <c r="X394" s="103">
        <f t="shared" si="75"/>
        <v>148.83333333629707</v>
      </c>
      <c r="Y394" s="82"/>
      <c r="Z394" s="82">
        <v>45707.692361111112</v>
      </c>
      <c r="AA394" s="82">
        <f>Z394+TIME(0,57,0)</f>
        <v>45707.731944444444</v>
      </c>
      <c r="AB394" s="81">
        <f t="shared" si="76"/>
        <v>55.81249999726424</v>
      </c>
      <c r="AC394" s="80"/>
      <c r="AD394" s="83">
        <f t="shared" si="77"/>
        <v>0.8631944444423425</v>
      </c>
      <c r="AE394" s="80">
        <v>2</v>
      </c>
      <c r="AF394" s="84">
        <f t="shared" si="78"/>
        <v>1.1368055555576575</v>
      </c>
      <c r="AG394" s="83">
        <f t="shared" si="79"/>
        <v>20.71666666661622</v>
      </c>
      <c r="AH394" s="83">
        <f t="shared" si="80"/>
        <v>0</v>
      </c>
      <c r="AI394" s="83">
        <f t="shared" si="81"/>
        <v>20.71666666661622</v>
      </c>
      <c r="AJ394" s="83">
        <f t="shared" si="82"/>
        <v>7.5301689461164862</v>
      </c>
      <c r="AK394" s="83"/>
      <c r="AL394" s="83"/>
      <c r="AM394" s="83"/>
      <c r="AN394" s="83"/>
      <c r="AO394" s="78"/>
    </row>
    <row r="395" spans="1:41" customFormat="1" ht="15" hidden="1" x14ac:dyDescent="0.25">
      <c r="A395" s="82">
        <v>45707</v>
      </c>
      <c r="B395" s="94" t="str">
        <f t="shared" si="72"/>
        <v>February</v>
      </c>
      <c r="C395" s="78"/>
      <c r="D395" s="79" t="s">
        <v>222</v>
      </c>
      <c r="E395" s="80" t="s">
        <v>1017</v>
      </c>
      <c r="F395" s="79" t="s">
        <v>1019</v>
      </c>
      <c r="G395" s="79" t="s">
        <v>37</v>
      </c>
      <c r="H395" s="79" t="s">
        <v>460</v>
      </c>
      <c r="I395" s="79">
        <v>156</v>
      </c>
      <c r="J395" s="79" t="s">
        <v>222</v>
      </c>
      <c r="K395" s="80" t="s">
        <v>469</v>
      </c>
      <c r="L395" s="80">
        <v>600</v>
      </c>
      <c r="M395" s="80">
        <f>L395+2</f>
        <v>602</v>
      </c>
      <c r="N395" s="81">
        <f t="shared" si="83"/>
        <v>2</v>
      </c>
      <c r="O395" s="78"/>
      <c r="P395" s="82">
        <f>R395-TIME(0,43,0)</f>
        <v>45706.724305555552</v>
      </c>
      <c r="Q395" s="82">
        <v>45706.739583333336</v>
      </c>
      <c r="R395" s="82">
        <v>45706.754166666666</v>
      </c>
      <c r="S395" s="81">
        <f t="shared" si="73"/>
        <v>20.902777772910969</v>
      </c>
      <c r="T395" s="81">
        <f t="shared" si="74"/>
        <v>42.80092592986572</v>
      </c>
      <c r="U395" s="79"/>
      <c r="V395" s="82">
        <v>45706.448611111111</v>
      </c>
      <c r="W395" s="82">
        <v>45706.554166666669</v>
      </c>
      <c r="X395" s="103">
        <f t="shared" si="75"/>
        <v>148.83333333629707</v>
      </c>
      <c r="Y395" s="82"/>
      <c r="Z395" s="82">
        <v>45707.724999999999</v>
      </c>
      <c r="AA395" s="82">
        <f>Z395+TIME(0,55,0)</f>
        <v>45707.763194444444</v>
      </c>
      <c r="AB395" s="81">
        <f t="shared" si="76"/>
        <v>53.854166667806567</v>
      </c>
      <c r="AC395" s="80"/>
      <c r="AD395" s="83">
        <f t="shared" si="77"/>
        <v>0.97083333333284827</v>
      </c>
      <c r="AE395" s="80">
        <v>3</v>
      </c>
      <c r="AF395" s="84">
        <f t="shared" si="78"/>
        <v>2.0291666666671517</v>
      </c>
      <c r="AG395" s="83">
        <f t="shared" si="79"/>
        <v>23.299999999988358</v>
      </c>
      <c r="AH395" s="83">
        <f t="shared" si="80"/>
        <v>0</v>
      </c>
      <c r="AI395" s="83">
        <f t="shared" si="81"/>
        <v>23.299999999988358</v>
      </c>
      <c r="AJ395" s="83">
        <f t="shared" si="82"/>
        <v>6.6952789699604267</v>
      </c>
      <c r="AK395" s="83"/>
      <c r="AL395" s="83"/>
      <c r="AM395" s="83"/>
      <c r="AN395" s="83"/>
      <c r="AO395" s="78"/>
    </row>
    <row r="396" spans="1:41" customFormat="1" ht="15" hidden="1" x14ac:dyDescent="0.25">
      <c r="A396" s="82">
        <v>45707</v>
      </c>
      <c r="B396" s="94" t="str">
        <f t="shared" si="72"/>
        <v>February</v>
      </c>
      <c r="C396" s="78"/>
      <c r="D396" s="79" t="s">
        <v>214</v>
      </c>
      <c r="E396" s="80" t="s">
        <v>1017</v>
      </c>
      <c r="F396" s="79" t="s">
        <v>1033</v>
      </c>
      <c r="G396" s="79" t="s">
        <v>41</v>
      </c>
      <c r="H396" s="79" t="s">
        <v>451</v>
      </c>
      <c r="I396" s="79">
        <v>148.80000000000001</v>
      </c>
      <c r="J396" s="79" t="s">
        <v>214</v>
      </c>
      <c r="K396" s="80" t="s">
        <v>469</v>
      </c>
      <c r="L396" s="80">
        <v>790</v>
      </c>
      <c r="M396" s="80">
        <f>L396-2</f>
        <v>788</v>
      </c>
      <c r="N396" s="81">
        <f t="shared" si="83"/>
        <v>-2</v>
      </c>
      <c r="O396" s="78"/>
      <c r="P396" s="82">
        <v>45706.540972222218</v>
      </c>
      <c r="Q396" s="82">
        <v>45706.556250000001</v>
      </c>
      <c r="R396" s="82">
        <v>45706.570833333331</v>
      </c>
      <c r="S396" s="81">
        <f t="shared" si="73"/>
        <v>20.902777772910969</v>
      </c>
      <c r="T396" s="81">
        <f t="shared" si="74"/>
        <v>42.80092592986572</v>
      </c>
      <c r="U396" s="79"/>
      <c r="V396" s="82">
        <v>45706.643055555556</v>
      </c>
      <c r="W396" s="82">
        <v>45706.832638888889</v>
      </c>
      <c r="X396" s="103">
        <f t="shared" si="75"/>
        <v>267.31249999931606</v>
      </c>
      <c r="Y396" s="82" t="s">
        <v>1044</v>
      </c>
      <c r="Z396" s="82">
        <v>45707.430555555555</v>
      </c>
      <c r="AA396" s="82">
        <v>45707.467361111114</v>
      </c>
      <c r="AB396" s="81">
        <f t="shared" si="76"/>
        <v>51.895833338348893</v>
      </c>
      <c r="AC396" s="80"/>
      <c r="AD396" s="83">
        <f t="shared" si="77"/>
        <v>0.85972222222335404</v>
      </c>
      <c r="AE396" s="80">
        <v>3</v>
      </c>
      <c r="AF396" s="84">
        <f t="shared" si="78"/>
        <v>2.140277777776646</v>
      </c>
      <c r="AG396" s="83">
        <f t="shared" si="79"/>
        <v>20.633333333360497</v>
      </c>
      <c r="AH396" s="83">
        <f t="shared" si="80"/>
        <v>0</v>
      </c>
      <c r="AI396" s="83">
        <f t="shared" si="81"/>
        <v>20.633333333360497</v>
      </c>
      <c r="AJ396" s="83">
        <f t="shared" si="82"/>
        <v>7.211631663964658</v>
      </c>
      <c r="AK396" s="83"/>
      <c r="AL396" s="83"/>
      <c r="AM396" s="83"/>
      <c r="AN396" s="83"/>
      <c r="AO396" s="78"/>
    </row>
    <row r="397" spans="1:41" customFormat="1" ht="15" hidden="1" x14ac:dyDescent="0.25">
      <c r="A397" s="82">
        <v>45707</v>
      </c>
      <c r="B397" s="94" t="str">
        <f t="shared" si="72"/>
        <v>February</v>
      </c>
      <c r="C397" s="78"/>
      <c r="D397" s="79" t="s">
        <v>223</v>
      </c>
      <c r="E397" s="80" t="s">
        <v>1017</v>
      </c>
      <c r="F397" s="79" t="s">
        <v>1018</v>
      </c>
      <c r="G397" s="79" t="s">
        <v>39</v>
      </c>
      <c r="H397" s="79" t="s">
        <v>1284</v>
      </c>
      <c r="I397" s="79">
        <v>156</v>
      </c>
      <c r="J397" s="79" t="s">
        <v>223</v>
      </c>
      <c r="K397" s="80" t="s">
        <v>469</v>
      </c>
      <c r="L397" s="80">
        <v>620</v>
      </c>
      <c r="M397" s="80">
        <f>L397+2</f>
        <v>622</v>
      </c>
      <c r="N397" s="81">
        <f t="shared" si="83"/>
        <v>2</v>
      </c>
      <c r="O397" s="78"/>
      <c r="P397" s="82">
        <v>45706.822916666664</v>
      </c>
      <c r="Q397" s="82">
        <v>45706.849305555552</v>
      </c>
      <c r="R397" s="82">
        <v>45706.852083333331</v>
      </c>
      <c r="S397" s="81">
        <f t="shared" si="73"/>
        <v>3.9814814840307613</v>
      </c>
      <c r="T397" s="81">
        <f t="shared" si="74"/>
        <v>41.805555556250816</v>
      </c>
      <c r="U397" s="79"/>
      <c r="V397" s="82">
        <v>45707.413194444445</v>
      </c>
      <c r="W397" s="82">
        <v>45707.518055555556</v>
      </c>
      <c r="X397" s="103">
        <f t="shared" si="75"/>
        <v>147.85416666643869</v>
      </c>
      <c r="Y397" s="82"/>
      <c r="Z397" s="82">
        <v>45707.621527777781</v>
      </c>
      <c r="AA397" s="82">
        <f>Z397+TIME(0,70,0)</f>
        <v>45707.670138888891</v>
      </c>
      <c r="AB397" s="81">
        <f t="shared" si="76"/>
        <v>68.541666664386867</v>
      </c>
      <c r="AC397" s="80" t="s">
        <v>1675</v>
      </c>
      <c r="AD397" s="83">
        <f t="shared" si="77"/>
        <v>0.76944444444961846</v>
      </c>
      <c r="AE397" s="80">
        <v>2</v>
      </c>
      <c r="AF397" s="84">
        <f t="shared" si="78"/>
        <v>1.2305555555503815</v>
      </c>
      <c r="AG397" s="83">
        <f t="shared" si="79"/>
        <v>18.466666666790843</v>
      </c>
      <c r="AH397" s="83">
        <f t="shared" si="80"/>
        <v>0</v>
      </c>
      <c r="AI397" s="83">
        <f t="shared" si="81"/>
        <v>18.466666666790843</v>
      </c>
      <c r="AJ397" s="83">
        <f t="shared" si="82"/>
        <v>8.447653429546083</v>
      </c>
      <c r="AK397" s="83"/>
      <c r="AL397" s="83"/>
      <c r="AM397" s="83"/>
      <c r="AN397" s="83"/>
      <c r="AO397" s="78"/>
    </row>
    <row r="398" spans="1:41" customFormat="1" ht="15" hidden="1" x14ac:dyDescent="0.25">
      <c r="A398" s="82">
        <v>45707</v>
      </c>
      <c r="B398" s="94" t="str">
        <f t="shared" si="72"/>
        <v>February</v>
      </c>
      <c r="C398" s="78"/>
      <c r="D398" s="79" t="s">
        <v>865</v>
      </c>
      <c r="E398" s="80" t="s">
        <v>1016</v>
      </c>
      <c r="F398" s="79" t="s">
        <v>952</v>
      </c>
      <c r="G398" s="79" t="s">
        <v>969</v>
      </c>
      <c r="H398" s="79" t="s">
        <v>983</v>
      </c>
      <c r="I398" s="79">
        <v>153.6</v>
      </c>
      <c r="J398" s="79" t="s">
        <v>865</v>
      </c>
      <c r="K398" s="80" t="s">
        <v>469</v>
      </c>
      <c r="L398" s="80">
        <v>150</v>
      </c>
      <c r="M398" s="80">
        <f>L398-1</f>
        <v>149</v>
      </c>
      <c r="N398" s="81">
        <f t="shared" si="83"/>
        <v>-1</v>
      </c>
      <c r="O398" s="78"/>
      <c r="P398" s="82">
        <f>R398-TIME(0,44,0)</f>
        <v>45706.878472222226</v>
      </c>
      <c r="Q398" s="82">
        <v>45706.885416666672</v>
      </c>
      <c r="R398" s="82">
        <v>45706.90902777778</v>
      </c>
      <c r="S398" s="81">
        <f t="shared" si="73"/>
        <v>33.842592588189291</v>
      </c>
      <c r="T398" s="81">
        <f t="shared" si="74"/>
        <v>43.796296293051761</v>
      </c>
      <c r="U398" s="79"/>
      <c r="V398" s="82">
        <v>45707.456250000003</v>
      </c>
      <c r="W398" s="82">
        <v>45707.69027777778</v>
      </c>
      <c r="X398" s="103">
        <f t="shared" si="75"/>
        <v>329.97916666507081</v>
      </c>
      <c r="Y398" s="82" t="s">
        <v>1052</v>
      </c>
      <c r="Z398" s="82">
        <v>45707.543055555558</v>
      </c>
      <c r="AA398" s="82">
        <f>Z398+TIME(0,57,0)</f>
        <v>45707.582638888889</v>
      </c>
      <c r="AB398" s="81">
        <f t="shared" si="76"/>
        <v>55.81249999726424</v>
      </c>
      <c r="AC398" s="80"/>
      <c r="AD398" s="83">
        <f t="shared" si="77"/>
        <v>0.63402777777810115</v>
      </c>
      <c r="AE398" s="80">
        <v>1</v>
      </c>
      <c r="AF398" s="84">
        <f t="shared" si="78"/>
        <v>0.36597222222189885</v>
      </c>
      <c r="AG398" s="83">
        <f t="shared" si="79"/>
        <v>15.216666666674428</v>
      </c>
      <c r="AH398" s="83">
        <f t="shared" si="80"/>
        <v>0</v>
      </c>
      <c r="AI398" s="83">
        <f t="shared" si="81"/>
        <v>15.216666666674428</v>
      </c>
      <c r="AJ398" s="83">
        <f t="shared" si="82"/>
        <v>10.094194961659692</v>
      </c>
      <c r="AK398" s="83"/>
      <c r="AL398" s="83"/>
      <c r="AM398" s="83"/>
      <c r="AN398" s="83"/>
      <c r="AO398" s="78"/>
    </row>
    <row r="399" spans="1:41" customFormat="1" ht="15" hidden="1" x14ac:dyDescent="0.25">
      <c r="A399" s="82">
        <v>45708</v>
      </c>
      <c r="B399" s="94" t="str">
        <f t="shared" si="72"/>
        <v>February</v>
      </c>
      <c r="C399" s="78"/>
      <c r="D399" s="79" t="s">
        <v>224</v>
      </c>
      <c r="E399" s="80" t="s">
        <v>1017</v>
      </c>
      <c r="F399" s="79" t="s">
        <v>1025</v>
      </c>
      <c r="G399" s="79" t="s">
        <v>54</v>
      </c>
      <c r="H399" s="79" t="s">
        <v>451</v>
      </c>
      <c r="I399" s="79">
        <v>148.80000000000001</v>
      </c>
      <c r="J399" s="79" t="s">
        <v>224</v>
      </c>
      <c r="K399" s="80" t="s">
        <v>469</v>
      </c>
      <c r="L399" s="80">
        <v>790</v>
      </c>
      <c r="M399" s="80">
        <f>L399+2</f>
        <v>792</v>
      </c>
      <c r="N399" s="81">
        <f t="shared" si="83"/>
        <v>2</v>
      </c>
      <c r="O399" s="78"/>
      <c r="P399" s="82">
        <f>R399-TIME(0,44,0)</f>
        <v>45706.625694444447</v>
      </c>
      <c r="Q399" s="82">
        <v>45706.599305555559</v>
      </c>
      <c r="R399" s="82">
        <v>45706.65625</v>
      </c>
      <c r="S399" s="81">
        <f t="shared" si="73"/>
        <v>81.62037036527181</v>
      </c>
      <c r="T399" s="81">
        <f t="shared" si="74"/>
        <v>43.796296293051761</v>
      </c>
      <c r="U399" s="79"/>
      <c r="V399" s="82">
        <v>45707.444444444445</v>
      </c>
      <c r="W399" s="82">
        <v>45707.672222222223</v>
      </c>
      <c r="X399" s="103">
        <f t="shared" si="75"/>
        <v>321.16666666712263</v>
      </c>
      <c r="Y399" s="82" t="s">
        <v>1044</v>
      </c>
      <c r="Z399" s="82">
        <v>45707.507638888892</v>
      </c>
      <c r="AA399" s="82">
        <v>45707.544444444451</v>
      </c>
      <c r="AB399" s="81">
        <f t="shared" si="76"/>
        <v>51.895833338348893</v>
      </c>
      <c r="AC399" s="80"/>
      <c r="AD399" s="83">
        <f t="shared" si="77"/>
        <v>0.85138888889196096</v>
      </c>
      <c r="AE399" s="80">
        <v>2</v>
      </c>
      <c r="AF399" s="84">
        <f t="shared" si="78"/>
        <v>1.148611111108039</v>
      </c>
      <c r="AG399" s="83">
        <f t="shared" si="79"/>
        <v>20.433333333407063</v>
      </c>
      <c r="AH399" s="83">
        <f t="shared" si="80"/>
        <v>0</v>
      </c>
      <c r="AI399" s="83">
        <f t="shared" si="81"/>
        <v>20.433333333407063</v>
      </c>
      <c r="AJ399" s="83">
        <f t="shared" si="82"/>
        <v>7.2822185970373452</v>
      </c>
      <c r="AK399" s="83"/>
      <c r="AL399" s="83"/>
      <c r="AM399" s="83"/>
      <c r="AN399" s="83"/>
      <c r="AO399" s="78"/>
    </row>
    <row r="400" spans="1:41" customFormat="1" ht="15" hidden="1" x14ac:dyDescent="0.25">
      <c r="A400" s="82">
        <v>45708</v>
      </c>
      <c r="B400" s="94" t="str">
        <f t="shared" si="72"/>
        <v>February</v>
      </c>
      <c r="C400" s="78"/>
      <c r="D400" s="79" t="s">
        <v>225</v>
      </c>
      <c r="E400" s="80" t="s">
        <v>1017</v>
      </c>
      <c r="F400" s="79"/>
      <c r="G400" s="79" t="s">
        <v>67</v>
      </c>
      <c r="H400" s="79" t="s">
        <v>987</v>
      </c>
      <c r="I400" s="79">
        <v>156</v>
      </c>
      <c r="J400" s="79" t="s">
        <v>225</v>
      </c>
      <c r="K400" s="80" t="s">
        <v>469</v>
      </c>
      <c r="L400" s="79">
        <v>320</v>
      </c>
      <c r="M400" s="80">
        <f>L400-3</f>
        <v>317</v>
      </c>
      <c r="N400" s="81">
        <f t="shared" si="83"/>
        <v>-3</v>
      </c>
      <c r="O400" s="78"/>
      <c r="P400" s="82">
        <f>R400-TIME(0,43,0)</f>
        <v>45707.652083333327</v>
      </c>
      <c r="Q400" s="82">
        <v>45707.631249999999</v>
      </c>
      <c r="R400" s="82">
        <v>45707.681944444441</v>
      </c>
      <c r="S400" s="81">
        <f t="shared" si="73"/>
        <v>72.662037034024252</v>
      </c>
      <c r="T400" s="81">
        <f t="shared" si="74"/>
        <v>42.80092592986572</v>
      </c>
      <c r="U400" s="79"/>
      <c r="V400" s="82">
        <v>45707.724305555559</v>
      </c>
      <c r="W400" s="82">
        <f>V400+TIME(0,173,0)</f>
        <v>45707.844444444447</v>
      </c>
      <c r="X400" s="103">
        <f t="shared" si="75"/>
        <v>169.39583333150949</v>
      </c>
      <c r="Y400" s="82"/>
      <c r="Z400" s="82">
        <v>45708.714583333334</v>
      </c>
      <c r="AA400" s="82">
        <v>45708.751388888893</v>
      </c>
      <c r="AB400" s="81">
        <f t="shared" si="76"/>
        <v>51.895833338348893</v>
      </c>
      <c r="AC400" s="80"/>
      <c r="AD400" s="83">
        <f t="shared" si="77"/>
        <v>1.0326388888934162</v>
      </c>
      <c r="AE400" s="80">
        <v>2</v>
      </c>
      <c r="AF400" s="84">
        <f t="shared" si="78"/>
        <v>0.96736111110658385</v>
      </c>
      <c r="AG400" s="83">
        <f t="shared" si="79"/>
        <v>24.783333333441988</v>
      </c>
      <c r="AH400" s="83">
        <f t="shared" si="80"/>
        <v>12</v>
      </c>
      <c r="AI400" s="83">
        <f t="shared" si="81"/>
        <v>12.783333333441988</v>
      </c>
      <c r="AJ400" s="83">
        <f t="shared" si="82"/>
        <v>12.203389830404749</v>
      </c>
      <c r="AK400" s="83"/>
      <c r="AL400" s="83"/>
      <c r="AM400" s="83"/>
      <c r="AN400" s="83"/>
      <c r="AO400" s="78"/>
    </row>
    <row r="401" spans="1:41" customFormat="1" ht="15" hidden="1" x14ac:dyDescent="0.25">
      <c r="A401" s="82">
        <v>45708</v>
      </c>
      <c r="B401" s="94" t="str">
        <f t="shared" si="72"/>
        <v>February</v>
      </c>
      <c r="C401" s="78"/>
      <c r="D401" s="79" t="s">
        <v>226</v>
      </c>
      <c r="E401" s="80" t="s">
        <v>1017</v>
      </c>
      <c r="F401" s="79"/>
      <c r="G401" s="79" t="s">
        <v>47</v>
      </c>
      <c r="H401" s="79" t="s">
        <v>449</v>
      </c>
      <c r="I401" s="79">
        <v>156</v>
      </c>
      <c r="J401" s="79" t="s">
        <v>226</v>
      </c>
      <c r="K401" s="80" t="s">
        <v>469</v>
      </c>
      <c r="L401" s="80">
        <v>790</v>
      </c>
      <c r="M401" s="80">
        <f>L401-2</f>
        <v>788</v>
      </c>
      <c r="N401" s="81">
        <f t="shared" si="83"/>
        <v>-2</v>
      </c>
      <c r="O401" s="78"/>
      <c r="P401" s="82">
        <v>45706.602083333331</v>
      </c>
      <c r="Q401" s="82">
        <v>45706.570138888892</v>
      </c>
      <c r="R401" s="82">
        <v>45706.631944444445</v>
      </c>
      <c r="S401" s="81">
        <f t="shared" si="73"/>
        <v>88.587962959718425</v>
      </c>
      <c r="T401" s="81">
        <f t="shared" si="74"/>
        <v>42.80092592986572</v>
      </c>
      <c r="U401" s="79"/>
      <c r="V401" s="82">
        <v>45705.877083333333</v>
      </c>
      <c r="W401" s="82">
        <v>45706.526388888888</v>
      </c>
      <c r="X401" s="103">
        <f t="shared" si="75"/>
        <v>915.52083333219343</v>
      </c>
      <c r="Y401" s="82" t="s">
        <v>1049</v>
      </c>
      <c r="Z401" s="82">
        <v>45707.636805555558</v>
      </c>
      <c r="AA401" s="82">
        <f>Z401+TIME(0,48,0)</f>
        <v>45707.670138888891</v>
      </c>
      <c r="AB401" s="81">
        <f t="shared" si="76"/>
        <v>46.99999999931606</v>
      </c>
      <c r="AC401" s="80"/>
      <c r="AD401" s="83">
        <f t="shared" si="77"/>
        <v>1.0048611111124046</v>
      </c>
      <c r="AE401" s="80">
        <v>2</v>
      </c>
      <c r="AF401" s="84">
        <f t="shared" si="78"/>
        <v>0.99513888888759539</v>
      </c>
      <c r="AG401" s="83">
        <f t="shared" si="79"/>
        <v>24.116666666697711</v>
      </c>
      <c r="AH401" s="83">
        <f t="shared" si="80"/>
        <v>12</v>
      </c>
      <c r="AI401" s="83">
        <f t="shared" si="81"/>
        <v>12.116666666697711</v>
      </c>
      <c r="AJ401" s="83">
        <f t="shared" si="82"/>
        <v>12.87482806048971</v>
      </c>
      <c r="AK401" s="83"/>
      <c r="AL401" s="83"/>
      <c r="AM401" s="83"/>
      <c r="AN401" s="83"/>
      <c r="AO401" s="78"/>
    </row>
    <row r="402" spans="1:41" customFormat="1" ht="15" hidden="1" x14ac:dyDescent="0.25">
      <c r="A402" s="82">
        <v>45708</v>
      </c>
      <c r="B402" s="94" t="str">
        <f t="shared" si="72"/>
        <v>February</v>
      </c>
      <c r="C402" s="78"/>
      <c r="D402" s="79" t="s">
        <v>227</v>
      </c>
      <c r="E402" s="80" t="s">
        <v>1017</v>
      </c>
      <c r="F402" s="79" t="s">
        <v>1028</v>
      </c>
      <c r="G402" s="79" t="s">
        <v>45</v>
      </c>
      <c r="H402" s="79" t="s">
        <v>987</v>
      </c>
      <c r="I402" s="79">
        <v>156</v>
      </c>
      <c r="J402" s="79" t="s">
        <v>227</v>
      </c>
      <c r="K402" s="80" t="s">
        <v>469</v>
      </c>
      <c r="L402" s="79">
        <v>320</v>
      </c>
      <c r="M402" s="80">
        <f>L402-265</f>
        <v>55</v>
      </c>
      <c r="N402" s="81">
        <f t="shared" si="83"/>
        <v>-265</v>
      </c>
      <c r="O402" s="78"/>
      <c r="P402" s="82">
        <v>45708.356250000004</v>
      </c>
      <c r="Q402" s="82">
        <v>45707.631249999999</v>
      </c>
      <c r="R402" s="82">
        <v>45708.384722222225</v>
      </c>
      <c r="S402" s="81">
        <f t="shared" si="73"/>
        <v>1079.9768518576457</v>
      </c>
      <c r="T402" s="81">
        <f t="shared" si="74"/>
        <v>40.810185182635905</v>
      </c>
      <c r="U402" s="79"/>
      <c r="V402" s="82">
        <v>45706.393055555556</v>
      </c>
      <c r="W402" s="82">
        <v>45706.543055555558</v>
      </c>
      <c r="X402" s="103">
        <f t="shared" si="75"/>
        <v>211.50000000205182</v>
      </c>
      <c r="Y402" s="82" t="s">
        <v>1066</v>
      </c>
      <c r="Z402" s="82">
        <v>45708.488194444442</v>
      </c>
      <c r="AA402" s="82">
        <f>Z402+TIME(0,53,0)</f>
        <v>45708.525000000001</v>
      </c>
      <c r="AB402" s="81">
        <f t="shared" si="76"/>
        <v>51.895833338348893</v>
      </c>
      <c r="AC402" s="80"/>
      <c r="AD402" s="83">
        <f t="shared" si="77"/>
        <v>0.10347222221753327</v>
      </c>
      <c r="AE402" s="80">
        <v>2</v>
      </c>
      <c r="AF402" s="84">
        <f t="shared" si="78"/>
        <v>1.8965277777824667</v>
      </c>
      <c r="AG402" s="83">
        <f t="shared" si="79"/>
        <v>2.4833333332207985</v>
      </c>
      <c r="AH402" s="83">
        <f t="shared" si="80"/>
        <v>0</v>
      </c>
      <c r="AI402" s="83">
        <f t="shared" si="81"/>
        <v>2.4833333332207985</v>
      </c>
      <c r="AJ402" s="83">
        <f t="shared" si="82"/>
        <v>62.818791949155425</v>
      </c>
      <c r="AK402" s="83"/>
      <c r="AL402" s="83"/>
      <c r="AM402" s="83"/>
      <c r="AN402" s="83"/>
      <c r="AO402" s="78"/>
    </row>
    <row r="403" spans="1:41" customFormat="1" ht="15" hidden="1" x14ac:dyDescent="0.25">
      <c r="A403" s="82">
        <v>45708</v>
      </c>
      <c r="B403" s="94" t="str">
        <f t="shared" si="72"/>
        <v>February</v>
      </c>
      <c r="C403" s="78"/>
      <c r="D403" s="79" t="s">
        <v>228</v>
      </c>
      <c r="E403" s="80" t="s">
        <v>1017</v>
      </c>
      <c r="F403" s="79" t="s">
        <v>1021</v>
      </c>
      <c r="G403" s="79" t="s">
        <v>57</v>
      </c>
      <c r="H403" s="79" t="s">
        <v>458</v>
      </c>
      <c r="I403" s="79">
        <v>134.4</v>
      </c>
      <c r="J403" s="79" t="s">
        <v>228</v>
      </c>
      <c r="K403" s="80" t="s">
        <v>469</v>
      </c>
      <c r="L403" s="80">
        <v>448</v>
      </c>
      <c r="M403" s="80">
        <f>L403-3</f>
        <v>445</v>
      </c>
      <c r="N403" s="81">
        <f t="shared" si="83"/>
        <v>-3</v>
      </c>
      <c r="O403" s="78"/>
      <c r="P403" s="82">
        <f>R403-TIME(0,56,0)</f>
        <v>45706.397916666661</v>
      </c>
      <c r="Q403" s="82">
        <v>45705.875</v>
      </c>
      <c r="R403" s="82">
        <v>45706.436805555553</v>
      </c>
      <c r="S403" s="81">
        <f t="shared" si="73"/>
        <v>805.25462962638505</v>
      </c>
      <c r="T403" s="81">
        <f t="shared" si="74"/>
        <v>55.740740745144045</v>
      </c>
      <c r="U403" s="79"/>
      <c r="V403" s="82">
        <v>45706.677083333336</v>
      </c>
      <c r="W403" s="82">
        <v>45706.763888888891</v>
      </c>
      <c r="X403" s="103">
        <f t="shared" si="75"/>
        <v>122.39583333219343</v>
      </c>
      <c r="Y403" s="82"/>
      <c r="Z403" s="82">
        <v>45707.407638888886</v>
      </c>
      <c r="AA403" s="82">
        <v>45707.448611111111</v>
      </c>
      <c r="AB403" s="81">
        <f t="shared" si="76"/>
        <v>57.770833336981013</v>
      </c>
      <c r="AC403" s="80"/>
      <c r="AD403" s="83">
        <f t="shared" si="77"/>
        <v>0.97083333333284827</v>
      </c>
      <c r="AE403" s="80">
        <v>2</v>
      </c>
      <c r="AF403" s="84">
        <f t="shared" si="78"/>
        <v>1.0291666666671517</v>
      </c>
      <c r="AG403" s="83">
        <f t="shared" si="79"/>
        <v>23.299999999988358</v>
      </c>
      <c r="AH403" s="83">
        <f t="shared" si="80"/>
        <v>0</v>
      </c>
      <c r="AI403" s="83">
        <f t="shared" si="81"/>
        <v>23.299999999988358</v>
      </c>
      <c r="AJ403" s="83">
        <f t="shared" si="82"/>
        <v>5.7682403433505218</v>
      </c>
      <c r="AK403" s="83"/>
      <c r="AL403" s="83"/>
      <c r="AM403" s="83"/>
      <c r="AN403" s="83"/>
      <c r="AO403" s="78"/>
    </row>
    <row r="404" spans="1:41" customFormat="1" ht="15" hidden="1" x14ac:dyDescent="0.25">
      <c r="A404" s="82">
        <v>45708</v>
      </c>
      <c r="B404" s="94" t="str">
        <f t="shared" si="72"/>
        <v>February</v>
      </c>
      <c r="C404" s="78"/>
      <c r="D404" s="79" t="s">
        <v>229</v>
      </c>
      <c r="E404" s="80" t="s">
        <v>1017</v>
      </c>
      <c r="F404" s="79" t="s">
        <v>1031</v>
      </c>
      <c r="G404" s="79" t="s">
        <v>50</v>
      </c>
      <c r="H404" s="79" t="s">
        <v>454</v>
      </c>
      <c r="I404" s="79">
        <v>156</v>
      </c>
      <c r="J404" s="79" t="s">
        <v>229</v>
      </c>
      <c r="K404" s="80" t="s">
        <v>469</v>
      </c>
      <c r="L404" s="80">
        <v>304</v>
      </c>
      <c r="M404" s="80">
        <f>L404+2</f>
        <v>306</v>
      </c>
      <c r="N404" s="81">
        <f t="shared" si="83"/>
        <v>2</v>
      </c>
      <c r="O404" s="78"/>
      <c r="P404" s="82">
        <v>45707.354861111111</v>
      </c>
      <c r="Q404" s="82">
        <v>45706.320833333331</v>
      </c>
      <c r="R404" s="82">
        <v>45707.384722222225</v>
      </c>
      <c r="S404" s="81">
        <f t="shared" si="73"/>
        <v>1524.9074074138964</v>
      </c>
      <c r="T404" s="81">
        <f t="shared" si="74"/>
        <v>42.80092592986572</v>
      </c>
      <c r="U404" s="79"/>
      <c r="V404" s="82">
        <v>45705.597222222219</v>
      </c>
      <c r="W404" s="82">
        <v>45705.7</v>
      </c>
      <c r="X404" s="103">
        <f t="shared" si="75"/>
        <v>144.91666666712263</v>
      </c>
      <c r="Y404" s="82"/>
      <c r="Z404" s="82">
        <v>45707.543055555558</v>
      </c>
      <c r="AA404" s="82">
        <f>Z404+TIME(0,56,0)</f>
        <v>45707.58194444445</v>
      </c>
      <c r="AB404" s="81">
        <f t="shared" si="76"/>
        <v>54.833333337664953</v>
      </c>
      <c r="AC404" s="80"/>
      <c r="AD404" s="83">
        <f t="shared" si="77"/>
        <v>0.15833333333284827</v>
      </c>
      <c r="AE404" s="80">
        <v>2</v>
      </c>
      <c r="AF404" s="84">
        <f t="shared" si="78"/>
        <v>1.8416666666671517</v>
      </c>
      <c r="AG404" s="83">
        <f t="shared" si="79"/>
        <v>3.7999999999883585</v>
      </c>
      <c r="AH404" s="83">
        <f t="shared" si="80"/>
        <v>0</v>
      </c>
      <c r="AI404" s="83">
        <f t="shared" si="81"/>
        <v>3.7999999999883585</v>
      </c>
      <c r="AJ404" s="83">
        <f t="shared" si="82"/>
        <v>41.052631579073136</v>
      </c>
      <c r="AK404" s="83"/>
      <c r="AL404" s="83"/>
      <c r="AM404" s="83"/>
      <c r="AN404" s="83"/>
      <c r="AO404" s="78"/>
    </row>
    <row r="405" spans="1:41" customFormat="1" ht="15" hidden="1" x14ac:dyDescent="0.25">
      <c r="A405" s="82">
        <v>45708</v>
      </c>
      <c r="B405" s="94" t="str">
        <f t="shared" si="72"/>
        <v>February</v>
      </c>
      <c r="C405" s="78"/>
      <c r="D405" s="79" t="s">
        <v>230</v>
      </c>
      <c r="E405" s="80" t="s">
        <v>1017</v>
      </c>
      <c r="F405" s="79" t="s">
        <v>1026</v>
      </c>
      <c r="G405" s="79" t="s">
        <v>51</v>
      </c>
      <c r="H405" s="79" t="s">
        <v>460</v>
      </c>
      <c r="I405" s="79">
        <v>148.80000000000001</v>
      </c>
      <c r="J405" s="79" t="s">
        <v>230</v>
      </c>
      <c r="K405" s="80" t="s">
        <v>469</v>
      </c>
      <c r="L405" s="80">
        <v>600</v>
      </c>
      <c r="M405" s="80">
        <f>L405-3</f>
        <v>597</v>
      </c>
      <c r="N405" s="81">
        <f t="shared" si="83"/>
        <v>-3</v>
      </c>
      <c r="O405" s="78"/>
      <c r="P405" s="82">
        <v>45706.407638888886</v>
      </c>
      <c r="Q405" s="82">
        <v>45705.875</v>
      </c>
      <c r="R405" s="82">
        <v>45706.436805555553</v>
      </c>
      <c r="S405" s="81">
        <f t="shared" si="73"/>
        <v>805.25462962638505</v>
      </c>
      <c r="T405" s="81">
        <f t="shared" si="74"/>
        <v>41.805555556250816</v>
      </c>
      <c r="U405" s="79"/>
      <c r="V405" s="82">
        <v>45707.444444444445</v>
      </c>
      <c r="W405" s="82">
        <f>V405+TIME(0,172,0)</f>
        <v>45707.563888888886</v>
      </c>
      <c r="X405" s="103">
        <f t="shared" si="75"/>
        <v>168.41666666165111</v>
      </c>
      <c r="Y405" s="82"/>
      <c r="Z405" s="82">
        <v>45708.714583333334</v>
      </c>
      <c r="AA405" s="82">
        <f>Z405+TIME(0,57,0)</f>
        <v>45708.754166666666</v>
      </c>
      <c r="AB405" s="81">
        <f t="shared" si="76"/>
        <v>55.81249999726424</v>
      </c>
      <c r="AC405" s="80"/>
      <c r="AD405" s="83">
        <f t="shared" si="77"/>
        <v>2.2777777777810115</v>
      </c>
      <c r="AE405" s="80">
        <v>3</v>
      </c>
      <c r="AF405" s="84">
        <f t="shared" si="78"/>
        <v>0.72222222221898846</v>
      </c>
      <c r="AG405" s="83">
        <f t="shared" si="79"/>
        <v>54.666666666744277</v>
      </c>
      <c r="AH405" s="83">
        <f t="shared" si="80"/>
        <v>24</v>
      </c>
      <c r="AI405" s="83">
        <f t="shared" si="81"/>
        <v>30.666666666744277</v>
      </c>
      <c r="AJ405" s="83">
        <f t="shared" si="82"/>
        <v>4.8521739130311987</v>
      </c>
      <c r="AK405" s="83"/>
      <c r="AL405" s="83"/>
      <c r="AM405" s="83"/>
      <c r="AN405" s="83"/>
      <c r="AO405" s="78"/>
    </row>
    <row r="406" spans="1:41" customFormat="1" ht="15" hidden="1" x14ac:dyDescent="0.25">
      <c r="A406" s="82">
        <v>45708</v>
      </c>
      <c r="B406" s="94" t="str">
        <f t="shared" si="72"/>
        <v>February</v>
      </c>
      <c r="C406" s="78"/>
      <c r="D406" s="79" t="s">
        <v>231</v>
      </c>
      <c r="E406" s="80" t="s">
        <v>1017</v>
      </c>
      <c r="F406" s="79" t="s">
        <v>1036</v>
      </c>
      <c r="G406" s="79" t="s">
        <v>36</v>
      </c>
      <c r="H406" s="79" t="s">
        <v>448</v>
      </c>
      <c r="I406" s="79">
        <v>156</v>
      </c>
      <c r="J406" s="79" t="s">
        <v>231</v>
      </c>
      <c r="K406" s="80" t="s">
        <v>469</v>
      </c>
      <c r="L406" s="80">
        <v>560</v>
      </c>
      <c r="M406" s="80">
        <f>L406-2</f>
        <v>558</v>
      </c>
      <c r="N406" s="81">
        <f t="shared" si="83"/>
        <v>-2</v>
      </c>
      <c r="O406" s="78"/>
      <c r="P406" s="82">
        <v>45706.324305555558</v>
      </c>
      <c r="Q406" s="82">
        <v>45705.8125</v>
      </c>
      <c r="R406" s="82">
        <v>45706.352777777778</v>
      </c>
      <c r="S406" s="81">
        <f t="shared" si="73"/>
        <v>774.39814814861165</v>
      </c>
      <c r="T406" s="81">
        <f t="shared" si="74"/>
        <v>40.810185182635905</v>
      </c>
      <c r="U406" s="79"/>
      <c r="V406" s="82">
        <v>45707.456250000003</v>
      </c>
      <c r="W406" s="82">
        <v>45707.69027777778</v>
      </c>
      <c r="X406" s="103">
        <f t="shared" si="75"/>
        <v>329.97916666507081</v>
      </c>
      <c r="Y406" s="82" t="s">
        <v>1038</v>
      </c>
      <c r="Z406" s="82">
        <v>45708.748611111114</v>
      </c>
      <c r="AA406" s="82">
        <f>Z406+TIME(0,56,0)</f>
        <v>45708.787500000006</v>
      </c>
      <c r="AB406" s="81">
        <f t="shared" si="76"/>
        <v>54.833333337664953</v>
      </c>
      <c r="AC406" s="80"/>
      <c r="AD406" s="83">
        <f t="shared" si="77"/>
        <v>2.3958333333357587</v>
      </c>
      <c r="AE406" s="80">
        <v>2</v>
      </c>
      <c r="AF406" s="84">
        <f t="shared" si="78"/>
        <v>-0.39583333333575865</v>
      </c>
      <c r="AG406" s="83">
        <f t="shared" si="79"/>
        <v>57.500000000058208</v>
      </c>
      <c r="AH406" s="83">
        <f t="shared" si="80"/>
        <v>24</v>
      </c>
      <c r="AI406" s="83">
        <f t="shared" si="81"/>
        <v>33.500000000058208</v>
      </c>
      <c r="AJ406" s="83">
        <f t="shared" si="82"/>
        <v>4.6567164179023566</v>
      </c>
      <c r="AK406" s="83"/>
      <c r="AL406" s="83"/>
      <c r="AM406" s="83"/>
      <c r="AN406" s="83"/>
      <c r="AO406" s="78"/>
    </row>
    <row r="407" spans="1:41" customFormat="1" ht="15" hidden="1" x14ac:dyDescent="0.25">
      <c r="A407" s="82">
        <v>45708</v>
      </c>
      <c r="B407" s="94" t="str">
        <f t="shared" si="72"/>
        <v>February</v>
      </c>
      <c r="C407" s="78"/>
      <c r="D407" s="79" t="s">
        <v>232</v>
      </c>
      <c r="E407" s="80" t="s">
        <v>1017</v>
      </c>
      <c r="F407" s="79"/>
      <c r="G407" s="79" t="s">
        <v>40</v>
      </c>
      <c r="H407" s="79" t="s">
        <v>451</v>
      </c>
      <c r="I407" s="79">
        <v>156</v>
      </c>
      <c r="J407" s="79" t="s">
        <v>232</v>
      </c>
      <c r="K407" s="80" t="s">
        <v>469</v>
      </c>
      <c r="L407" s="80">
        <v>790</v>
      </c>
      <c r="M407" s="80">
        <f>L407+2</f>
        <v>792</v>
      </c>
      <c r="N407" s="81">
        <f t="shared" si="83"/>
        <v>2</v>
      </c>
      <c r="O407" s="78"/>
      <c r="P407" s="82">
        <f>R407-TIME(0,41,0)</f>
        <v>45707.759722222225</v>
      </c>
      <c r="Q407" s="82">
        <v>45706.817361111112</v>
      </c>
      <c r="R407" s="82">
        <v>45707.788194444445</v>
      </c>
      <c r="S407" s="81">
        <f t="shared" si="73"/>
        <v>1391.5277777770825</v>
      </c>
      <c r="T407" s="81">
        <f t="shared" si="74"/>
        <v>40.810185182635905</v>
      </c>
      <c r="U407" s="79"/>
      <c r="V407" s="82">
        <v>45707.724305555559</v>
      </c>
      <c r="W407" s="82">
        <f>V407+TIME(0,170,0)</f>
        <v>45707.842361111114</v>
      </c>
      <c r="X407" s="103">
        <f t="shared" si="75"/>
        <v>166.45833333219343</v>
      </c>
      <c r="Y407" s="82"/>
      <c r="Z407" s="82">
        <v>45709.541666666664</v>
      </c>
      <c r="AA407" s="82">
        <f>Z407+TIME(0,56,0)</f>
        <v>45709.580555555556</v>
      </c>
      <c r="AB407" s="81">
        <f t="shared" si="76"/>
        <v>54.833333337664953</v>
      </c>
      <c r="AC407" s="80"/>
      <c r="AD407" s="83">
        <f t="shared" si="77"/>
        <v>1.7534722222189885</v>
      </c>
      <c r="AE407" s="80">
        <v>3</v>
      </c>
      <c r="AF407" s="84">
        <f t="shared" si="78"/>
        <v>1.2465277777810115</v>
      </c>
      <c r="AG407" s="83">
        <f t="shared" si="79"/>
        <v>42.083333333255723</v>
      </c>
      <c r="AH407" s="83">
        <f t="shared" si="80"/>
        <v>12</v>
      </c>
      <c r="AI407" s="83">
        <f t="shared" si="81"/>
        <v>30.083333333255723</v>
      </c>
      <c r="AJ407" s="83">
        <f t="shared" si="82"/>
        <v>5.185595567880414</v>
      </c>
      <c r="AK407" s="83"/>
      <c r="AL407" s="83"/>
      <c r="AM407" s="83"/>
      <c r="AN407" s="83"/>
      <c r="AO407" s="78"/>
    </row>
    <row r="408" spans="1:41" customFormat="1" ht="15" hidden="1" x14ac:dyDescent="0.25">
      <c r="A408" s="82">
        <v>45708</v>
      </c>
      <c r="B408" s="94" t="str">
        <f t="shared" si="72"/>
        <v>February</v>
      </c>
      <c r="C408" s="78"/>
      <c r="D408" s="79" t="s">
        <v>233</v>
      </c>
      <c r="E408" s="80" t="s">
        <v>1017</v>
      </c>
      <c r="F408" s="79"/>
      <c r="G408" s="79" t="s">
        <v>35</v>
      </c>
      <c r="H408" s="79" t="s">
        <v>456</v>
      </c>
      <c r="I408" s="79">
        <v>148.80000000000001</v>
      </c>
      <c r="J408" s="79" t="s">
        <v>233</v>
      </c>
      <c r="K408" s="80" t="s">
        <v>469</v>
      </c>
      <c r="L408" s="80">
        <v>670</v>
      </c>
      <c r="M408" s="80">
        <f>L408+2</f>
        <v>672</v>
      </c>
      <c r="N408" s="81">
        <f t="shared" si="83"/>
        <v>2</v>
      </c>
      <c r="O408" s="78"/>
      <c r="P408" s="82">
        <f>R408-TIME(0,44,0)</f>
        <v>45706.732638888891</v>
      </c>
      <c r="Q408" s="82">
        <v>45706.176388888889</v>
      </c>
      <c r="R408" s="82">
        <v>45706.763194444444</v>
      </c>
      <c r="S408" s="81">
        <f t="shared" si="73"/>
        <v>841.08796296180424</v>
      </c>
      <c r="T408" s="81">
        <f t="shared" si="74"/>
        <v>43.796296293051761</v>
      </c>
      <c r="U408" s="79"/>
      <c r="V408" s="82">
        <v>45706.493055555555</v>
      </c>
      <c r="W408" s="82">
        <v>45706.720138888886</v>
      </c>
      <c r="X408" s="103">
        <f t="shared" si="75"/>
        <v>320.18749999726424</v>
      </c>
      <c r="Y408" s="82" t="s">
        <v>1040</v>
      </c>
      <c r="Z408" s="82">
        <v>45707.507638888892</v>
      </c>
      <c r="AA408" s="82">
        <f>Z408+TIME(0,76,0)</f>
        <v>45707.560416666667</v>
      </c>
      <c r="AB408" s="81">
        <f t="shared" si="76"/>
        <v>74.416666663018987</v>
      </c>
      <c r="AC408" s="80" t="s">
        <v>1678</v>
      </c>
      <c r="AD408" s="83">
        <f t="shared" si="77"/>
        <v>0.74444444444816327</v>
      </c>
      <c r="AE408" s="80">
        <v>2</v>
      </c>
      <c r="AF408" s="84">
        <f t="shared" si="78"/>
        <v>1.2555555555518367</v>
      </c>
      <c r="AG408" s="83">
        <f t="shared" si="79"/>
        <v>17.866666666755918</v>
      </c>
      <c r="AH408" s="83">
        <f t="shared" si="80"/>
        <v>0</v>
      </c>
      <c r="AI408" s="83">
        <f t="shared" si="81"/>
        <v>17.866666666755918</v>
      </c>
      <c r="AJ408" s="83">
        <f t="shared" si="82"/>
        <v>8.3283582089136203</v>
      </c>
      <c r="AK408" s="83"/>
      <c r="AL408" s="83"/>
      <c r="AM408" s="83"/>
      <c r="AN408" s="83"/>
      <c r="AO408" s="78"/>
    </row>
    <row r="409" spans="1:41" customFormat="1" ht="15" hidden="1" x14ac:dyDescent="0.25">
      <c r="A409" s="82">
        <v>45708</v>
      </c>
      <c r="B409" s="94" t="str">
        <f t="shared" si="72"/>
        <v>February</v>
      </c>
      <c r="C409" s="78"/>
      <c r="D409" s="79" t="s">
        <v>234</v>
      </c>
      <c r="E409" s="80" t="s">
        <v>1017</v>
      </c>
      <c r="F409" s="79" t="s">
        <v>1034</v>
      </c>
      <c r="G409" s="79" t="s">
        <v>53</v>
      </c>
      <c r="H409" s="79" t="s">
        <v>465</v>
      </c>
      <c r="I409" s="79">
        <v>156</v>
      </c>
      <c r="J409" s="79" t="s">
        <v>234</v>
      </c>
      <c r="K409" s="80" t="s">
        <v>469</v>
      </c>
      <c r="L409" s="80">
        <v>382</v>
      </c>
      <c r="M409" s="80">
        <f>L409-3</f>
        <v>379</v>
      </c>
      <c r="N409" s="81">
        <f t="shared" si="83"/>
        <v>-3</v>
      </c>
      <c r="O409" s="78"/>
      <c r="P409" s="82">
        <v>45706.676388888889</v>
      </c>
      <c r="Q409" s="82">
        <v>45706.176388888889</v>
      </c>
      <c r="R409" s="82">
        <v>45706.706250000003</v>
      </c>
      <c r="S409" s="81">
        <f t="shared" si="73"/>
        <v>759.46759259653243</v>
      </c>
      <c r="T409" s="81">
        <f t="shared" si="74"/>
        <v>42.80092592986572</v>
      </c>
      <c r="U409" s="79"/>
      <c r="V409" s="82">
        <v>45705.877083333333</v>
      </c>
      <c r="W409" s="82">
        <v>45706.526388888888</v>
      </c>
      <c r="X409" s="103">
        <f t="shared" si="75"/>
        <v>915.52083333219343</v>
      </c>
      <c r="Y409" s="82" t="s">
        <v>1044</v>
      </c>
      <c r="Z409" s="82">
        <v>45707.636805555558</v>
      </c>
      <c r="AA409" s="82">
        <f>Z409+TIME(0,48,0)</f>
        <v>45707.670138888891</v>
      </c>
      <c r="AB409" s="81">
        <f t="shared" si="76"/>
        <v>46.99999999931606</v>
      </c>
      <c r="AC409" s="80"/>
      <c r="AD409" s="83">
        <f t="shared" si="77"/>
        <v>0.93055555555474712</v>
      </c>
      <c r="AE409" s="80">
        <v>2</v>
      </c>
      <c r="AF409" s="84">
        <f t="shared" si="78"/>
        <v>1.0694444444452529</v>
      </c>
      <c r="AG409" s="83">
        <f t="shared" si="79"/>
        <v>22.333333333313931</v>
      </c>
      <c r="AH409" s="83">
        <f t="shared" si="80"/>
        <v>0</v>
      </c>
      <c r="AI409" s="83">
        <f t="shared" si="81"/>
        <v>22.333333333313931</v>
      </c>
      <c r="AJ409" s="83">
        <f t="shared" si="82"/>
        <v>6.9850746268717403</v>
      </c>
      <c r="AK409" s="83"/>
      <c r="AL409" s="83"/>
      <c r="AM409" s="83"/>
      <c r="AN409" s="83"/>
      <c r="AO409" s="78"/>
    </row>
    <row r="410" spans="1:41" customFormat="1" ht="15" hidden="1" x14ac:dyDescent="0.25">
      <c r="A410" s="82">
        <v>45708</v>
      </c>
      <c r="B410" s="94" t="str">
        <f t="shared" si="72"/>
        <v>February</v>
      </c>
      <c r="C410" s="78"/>
      <c r="D410" s="79" t="s">
        <v>235</v>
      </c>
      <c r="E410" s="80" t="s">
        <v>1017</v>
      </c>
      <c r="F410" s="79"/>
      <c r="G410" s="79" t="s">
        <v>68</v>
      </c>
      <c r="H410" s="79" t="s">
        <v>455</v>
      </c>
      <c r="I410" s="79">
        <v>156</v>
      </c>
      <c r="J410" s="79" t="s">
        <v>235</v>
      </c>
      <c r="K410" s="80" t="s">
        <v>469</v>
      </c>
      <c r="L410" s="80">
        <v>580</v>
      </c>
      <c r="M410" s="80">
        <f>L410-1</f>
        <v>579</v>
      </c>
      <c r="N410" s="81">
        <f t="shared" si="83"/>
        <v>-1</v>
      </c>
      <c r="O410" s="78"/>
      <c r="P410" s="82">
        <f>R410-TIME(0,44,0)</f>
        <v>45706.629861111112</v>
      </c>
      <c r="Q410" s="82">
        <v>45706.601388888885</v>
      </c>
      <c r="R410" s="82">
        <v>45706.660416666666</v>
      </c>
      <c r="S410" s="81">
        <f t="shared" si="73"/>
        <v>84.606481486116536</v>
      </c>
      <c r="T410" s="81">
        <f t="shared" si="74"/>
        <v>43.796296293051761</v>
      </c>
      <c r="U410" s="79"/>
      <c r="V410" s="82">
        <v>45708.582638888889</v>
      </c>
      <c r="W410" s="82">
        <v>45708.67083333333</v>
      </c>
      <c r="X410" s="103">
        <f t="shared" si="75"/>
        <v>124.35416666165111</v>
      </c>
      <c r="Y410" s="82"/>
      <c r="Z410" s="82">
        <v>45710.348611111112</v>
      </c>
      <c r="AA410" s="82">
        <f>Z410+TIME(0,57,0)</f>
        <v>45710.388194444444</v>
      </c>
      <c r="AB410" s="81">
        <f t="shared" si="76"/>
        <v>55.81249999726424</v>
      </c>
      <c r="AC410" s="80"/>
      <c r="AD410" s="83">
        <f t="shared" si="77"/>
        <v>3.6881944444467081</v>
      </c>
      <c r="AE410" s="80">
        <v>2</v>
      </c>
      <c r="AF410" s="84">
        <f t="shared" si="78"/>
        <v>-1.6881944444467081</v>
      </c>
      <c r="AG410" s="83">
        <f t="shared" si="79"/>
        <v>88.516666666720994</v>
      </c>
      <c r="AH410" s="83">
        <f t="shared" si="80"/>
        <v>36</v>
      </c>
      <c r="AI410" s="83">
        <f t="shared" si="81"/>
        <v>52.516666666720994</v>
      </c>
      <c r="AJ410" s="83">
        <f t="shared" si="82"/>
        <v>2.9704855601365652</v>
      </c>
      <c r="AK410" s="83"/>
      <c r="AL410" s="83"/>
      <c r="AM410" s="83"/>
      <c r="AN410" s="83"/>
      <c r="AO410" s="78"/>
    </row>
    <row r="411" spans="1:41" customFormat="1" ht="15" hidden="1" x14ac:dyDescent="0.25">
      <c r="A411" s="82">
        <v>45708</v>
      </c>
      <c r="B411" s="94" t="str">
        <f t="shared" si="72"/>
        <v>February</v>
      </c>
      <c r="C411" s="78"/>
      <c r="D411" s="79" t="s">
        <v>866</v>
      </c>
      <c r="E411" s="80" t="s">
        <v>1016</v>
      </c>
      <c r="F411" s="79" t="s">
        <v>966</v>
      </c>
      <c r="G411" s="79" t="s">
        <v>981</v>
      </c>
      <c r="H411" s="79" t="s">
        <v>991</v>
      </c>
      <c r="I411" s="79">
        <v>153.6</v>
      </c>
      <c r="J411" s="79" t="s">
        <v>866</v>
      </c>
      <c r="K411" s="80" t="s">
        <v>469</v>
      </c>
      <c r="L411" s="79">
        <v>20</v>
      </c>
      <c r="M411" s="80">
        <f>L411+2</f>
        <v>22</v>
      </c>
      <c r="N411" s="81">
        <f t="shared" si="83"/>
        <v>2</v>
      </c>
      <c r="O411" s="78"/>
      <c r="P411" s="82">
        <f>R411-TIME(0,44,0)</f>
        <v>45708.476388888892</v>
      </c>
      <c r="Q411" s="82">
        <v>45708.498611111114</v>
      </c>
      <c r="R411" s="82">
        <v>45708.506944444445</v>
      </c>
      <c r="S411" s="81">
        <f t="shared" si="73"/>
        <v>11.944444441663412</v>
      </c>
      <c r="T411" s="81">
        <f t="shared" si="74"/>
        <v>43.796296293051761</v>
      </c>
      <c r="U411" s="79"/>
      <c r="V411" s="82">
        <v>45707.615277777775</v>
      </c>
      <c r="W411" s="82">
        <v>45707.704861111109</v>
      </c>
      <c r="X411" s="103">
        <f t="shared" si="75"/>
        <v>126.31250000136788</v>
      </c>
      <c r="Y411" s="82"/>
      <c r="Z411" s="82">
        <v>45708.723611111112</v>
      </c>
      <c r="AA411" s="82">
        <f>Z411+TIME(0,60,0)</f>
        <v>45708.765277777777</v>
      </c>
      <c r="AB411" s="81">
        <f t="shared" si="76"/>
        <v>58.7499999965803</v>
      </c>
      <c r="AC411" s="80"/>
      <c r="AD411" s="83">
        <f t="shared" si="77"/>
        <v>0.21666666666715173</v>
      </c>
      <c r="AE411" s="80">
        <v>2</v>
      </c>
      <c r="AF411" s="84">
        <f t="shared" si="78"/>
        <v>1.7833333333328483</v>
      </c>
      <c r="AG411" s="83">
        <f t="shared" si="79"/>
        <v>5.2000000000116415</v>
      </c>
      <c r="AH411" s="83">
        <f t="shared" si="80"/>
        <v>0</v>
      </c>
      <c r="AI411" s="83">
        <f t="shared" si="81"/>
        <v>5.2000000000116415</v>
      </c>
      <c r="AJ411" s="83">
        <f t="shared" si="82"/>
        <v>29.538461538395406</v>
      </c>
      <c r="AK411" s="83"/>
      <c r="AL411" s="83"/>
      <c r="AM411" s="83"/>
      <c r="AN411" s="83"/>
      <c r="AO411" s="78"/>
    </row>
    <row r="412" spans="1:41" customFormat="1" ht="15" hidden="1" x14ac:dyDescent="0.25">
      <c r="A412" s="82">
        <v>45708</v>
      </c>
      <c r="B412" s="94" t="str">
        <f t="shared" si="72"/>
        <v>February</v>
      </c>
      <c r="C412" s="78"/>
      <c r="D412" s="79" t="s">
        <v>868</v>
      </c>
      <c r="E412" s="80" t="s">
        <v>1016</v>
      </c>
      <c r="F412" s="79" t="s">
        <v>952</v>
      </c>
      <c r="G412" s="79" t="s">
        <v>969</v>
      </c>
      <c r="H412" s="79" t="s">
        <v>986</v>
      </c>
      <c r="I412" s="79">
        <v>153.6</v>
      </c>
      <c r="J412" s="79" t="s">
        <v>868</v>
      </c>
      <c r="K412" s="80" t="s">
        <v>469</v>
      </c>
      <c r="L412" s="79">
        <v>350</v>
      </c>
      <c r="M412" s="80">
        <f>L412+2</f>
        <v>352</v>
      </c>
      <c r="N412" s="81">
        <f t="shared" si="83"/>
        <v>2</v>
      </c>
      <c r="O412" s="78"/>
      <c r="P412" s="82">
        <v>45708.375</v>
      </c>
      <c r="Q412" s="82">
        <v>45708.385416666672</v>
      </c>
      <c r="R412" s="82">
        <v>45708.404861111114</v>
      </c>
      <c r="S412" s="81">
        <f t="shared" si="73"/>
        <v>27.870370367357584</v>
      </c>
      <c r="T412" s="81">
        <f t="shared" si="74"/>
        <v>42.80092592986572</v>
      </c>
      <c r="U412" s="79"/>
      <c r="V412" s="82">
        <v>45707.676388888889</v>
      </c>
      <c r="W412" s="82">
        <v>45707.838194444441</v>
      </c>
      <c r="X412" s="103">
        <f t="shared" si="75"/>
        <v>228.14583332808979</v>
      </c>
      <c r="Y412" s="82" t="s">
        <v>1049</v>
      </c>
      <c r="Z412" s="82">
        <v>45708.723611111112</v>
      </c>
      <c r="AA412" s="82">
        <v>45708.761111111111</v>
      </c>
      <c r="AB412" s="81">
        <f t="shared" si="76"/>
        <v>52.87499999794818</v>
      </c>
      <c r="AC412" s="80"/>
      <c r="AD412" s="83">
        <f t="shared" si="77"/>
        <v>0.31874999999854481</v>
      </c>
      <c r="AE412" s="80">
        <v>2</v>
      </c>
      <c r="AF412" s="84">
        <f t="shared" si="78"/>
        <v>1.6812500000014552</v>
      </c>
      <c r="AG412" s="83">
        <f t="shared" si="79"/>
        <v>7.6499999999650754</v>
      </c>
      <c r="AH412" s="83">
        <f t="shared" si="80"/>
        <v>0</v>
      </c>
      <c r="AI412" s="83">
        <f t="shared" si="81"/>
        <v>7.6499999999650754</v>
      </c>
      <c r="AJ412" s="83">
        <f t="shared" si="82"/>
        <v>20.078431372640683</v>
      </c>
      <c r="AK412" s="83"/>
      <c r="AL412" s="83"/>
      <c r="AM412" s="83"/>
      <c r="AN412" s="83"/>
      <c r="AO412" s="78"/>
    </row>
    <row r="413" spans="1:41" customFormat="1" ht="15" hidden="1" x14ac:dyDescent="0.25">
      <c r="A413" s="82">
        <v>45708</v>
      </c>
      <c r="B413" s="94" t="str">
        <f t="shared" si="72"/>
        <v>February</v>
      </c>
      <c r="C413" s="78"/>
      <c r="D413" s="79" t="s">
        <v>869</v>
      </c>
      <c r="E413" s="80" t="s">
        <v>1016</v>
      </c>
      <c r="F413" s="79" t="s">
        <v>962</v>
      </c>
      <c r="G413" s="79" t="s">
        <v>978</v>
      </c>
      <c r="H413" s="79" t="s">
        <v>1282</v>
      </c>
      <c r="I413" s="79">
        <v>153.6</v>
      </c>
      <c r="J413" s="79" t="s">
        <v>869</v>
      </c>
      <c r="K413" s="80" t="s">
        <v>469</v>
      </c>
      <c r="L413" s="79">
        <v>810</v>
      </c>
      <c r="M413" s="80">
        <f>L413-1</f>
        <v>809</v>
      </c>
      <c r="N413" s="81">
        <f t="shared" si="83"/>
        <v>-1</v>
      </c>
      <c r="O413" s="78"/>
      <c r="P413" s="82">
        <f>R413-TIME(0,40,0)</f>
        <v>45708.424999999996</v>
      </c>
      <c r="Q413" s="82">
        <v>45708.396527777775</v>
      </c>
      <c r="R413" s="82">
        <v>45708.452777777777</v>
      </c>
      <c r="S413" s="81">
        <f t="shared" si="73"/>
        <v>80.62500000208577</v>
      </c>
      <c r="T413" s="81">
        <f t="shared" si="74"/>
        <v>39.814814819449872</v>
      </c>
      <c r="U413" s="79"/>
      <c r="V413" s="82">
        <v>45709.488194444442</v>
      </c>
      <c r="W413" s="82">
        <v>45709.574305555558</v>
      </c>
      <c r="X413" s="103">
        <f t="shared" si="75"/>
        <v>121.41666667259415</v>
      </c>
      <c r="Y413" s="82"/>
      <c r="Z413" s="82">
        <v>45710.805555555555</v>
      </c>
      <c r="AA413" s="82">
        <f>Z413+TIME(0,57,0)</f>
        <v>45710.845138888886</v>
      </c>
      <c r="AB413" s="81">
        <f t="shared" si="76"/>
        <v>55.81249999726424</v>
      </c>
      <c r="AC413" s="80"/>
      <c r="AD413" s="83">
        <f t="shared" si="77"/>
        <v>2.3527777777781012</v>
      </c>
      <c r="AE413" s="80">
        <v>2</v>
      </c>
      <c r="AF413" s="84">
        <f t="shared" si="78"/>
        <v>-0.35277777777810115</v>
      </c>
      <c r="AG413" s="83">
        <f t="shared" si="79"/>
        <v>56.466666666674428</v>
      </c>
      <c r="AH413" s="83">
        <f t="shared" si="80"/>
        <v>24</v>
      </c>
      <c r="AI413" s="83">
        <f t="shared" si="81"/>
        <v>32.466666666674428</v>
      </c>
      <c r="AJ413" s="83">
        <f t="shared" si="82"/>
        <v>4.7310061601631404</v>
      </c>
      <c r="AK413" s="83"/>
      <c r="AL413" s="83"/>
      <c r="AM413" s="83"/>
      <c r="AN413" s="83"/>
      <c r="AO413" s="78"/>
    </row>
    <row r="414" spans="1:41" customFormat="1" ht="15" hidden="1" x14ac:dyDescent="0.25">
      <c r="A414" s="82">
        <v>45708</v>
      </c>
      <c r="B414" s="94" t="str">
        <f t="shared" si="72"/>
        <v>February</v>
      </c>
      <c r="C414" s="78"/>
      <c r="D414" s="79" t="s">
        <v>867</v>
      </c>
      <c r="E414" s="80" t="s">
        <v>1016</v>
      </c>
      <c r="F414" s="79" t="s">
        <v>961</v>
      </c>
      <c r="G414" s="79" t="s">
        <v>977</v>
      </c>
      <c r="H414" s="79" t="s">
        <v>1282</v>
      </c>
      <c r="I414" s="79">
        <v>153.6</v>
      </c>
      <c r="J414" s="79" t="s">
        <v>867</v>
      </c>
      <c r="K414" s="80" t="s">
        <v>469</v>
      </c>
      <c r="L414" s="79">
        <v>810</v>
      </c>
      <c r="M414" s="80">
        <f>L414+2</f>
        <v>812</v>
      </c>
      <c r="N414" s="81">
        <f t="shared" si="83"/>
        <v>2</v>
      </c>
      <c r="O414" s="78"/>
      <c r="P414" s="82">
        <f>R414-TIME(0,43,0)</f>
        <v>45707.875</v>
      </c>
      <c r="Q414" s="82">
        <v>45707.885416666672</v>
      </c>
      <c r="R414" s="82">
        <v>45707.904861111114</v>
      </c>
      <c r="S414" s="81">
        <f t="shared" si="73"/>
        <v>27.870370367357584</v>
      </c>
      <c r="T414" s="81">
        <f t="shared" si="74"/>
        <v>42.80092592986572</v>
      </c>
      <c r="U414" s="79"/>
      <c r="V414" s="82">
        <v>45707.343055555553</v>
      </c>
      <c r="W414" s="82">
        <v>45707.673611111109</v>
      </c>
      <c r="X414" s="103">
        <f t="shared" si="75"/>
        <v>466.08333333424525</v>
      </c>
      <c r="Y414" s="82" t="s">
        <v>1044</v>
      </c>
      <c r="Z414" s="82">
        <v>45709.321527777778</v>
      </c>
      <c r="AA414" s="82">
        <v>45709.359027777777</v>
      </c>
      <c r="AB414" s="81">
        <f t="shared" si="76"/>
        <v>52.87499999794818</v>
      </c>
      <c r="AC414" s="80"/>
      <c r="AD414" s="83">
        <f t="shared" si="77"/>
        <v>1.4166666666642413</v>
      </c>
      <c r="AE414" s="80">
        <v>2</v>
      </c>
      <c r="AF414" s="84">
        <f t="shared" si="78"/>
        <v>0.58333333333575865</v>
      </c>
      <c r="AG414" s="83">
        <f t="shared" si="79"/>
        <v>33.999999999941792</v>
      </c>
      <c r="AH414" s="83">
        <f t="shared" si="80"/>
        <v>12</v>
      </c>
      <c r="AI414" s="83">
        <f t="shared" si="81"/>
        <v>21.999999999941792</v>
      </c>
      <c r="AJ414" s="83">
        <f t="shared" si="82"/>
        <v>6.9818181818366538</v>
      </c>
      <c r="AK414" s="83"/>
      <c r="AL414" s="83"/>
      <c r="AM414" s="83"/>
      <c r="AN414" s="83"/>
      <c r="AO414" s="78"/>
    </row>
    <row r="415" spans="1:41" customFormat="1" ht="15" hidden="1" x14ac:dyDescent="0.25">
      <c r="A415" s="82">
        <v>45709</v>
      </c>
      <c r="B415" s="94" t="str">
        <f t="shared" si="72"/>
        <v>February</v>
      </c>
      <c r="C415" s="78"/>
      <c r="D415" s="79" t="s">
        <v>236</v>
      </c>
      <c r="E415" s="80" t="s">
        <v>1017</v>
      </c>
      <c r="F415" s="79" t="s">
        <v>1023</v>
      </c>
      <c r="G415" s="79" t="s">
        <v>61</v>
      </c>
      <c r="H415" s="79" t="s">
        <v>448</v>
      </c>
      <c r="I415" s="79">
        <v>156</v>
      </c>
      <c r="J415" s="79" t="s">
        <v>236</v>
      </c>
      <c r="K415" s="80" t="s">
        <v>469</v>
      </c>
      <c r="L415" s="80">
        <v>560</v>
      </c>
      <c r="M415" s="80">
        <f>L415+2</f>
        <v>562</v>
      </c>
      <c r="N415" s="81">
        <f t="shared" si="83"/>
        <v>2</v>
      </c>
      <c r="O415" s="78"/>
      <c r="P415" s="82">
        <f>R415-TIME(0,44,0)</f>
        <v>45707.981944444444</v>
      </c>
      <c r="Q415" s="82">
        <v>45707.999305555553</v>
      </c>
      <c r="R415" s="82">
        <v>45708.012499999997</v>
      </c>
      <c r="S415" s="81">
        <f t="shared" si="73"/>
        <v>18.912037036110025</v>
      </c>
      <c r="T415" s="81">
        <f t="shared" si="74"/>
        <v>43.796296293051761</v>
      </c>
      <c r="U415" s="79"/>
      <c r="V415" s="82">
        <v>45707.533333333333</v>
      </c>
      <c r="W415" s="82">
        <v>45707.7</v>
      </c>
      <c r="X415" s="103">
        <f t="shared" si="75"/>
        <v>234.9999999965803</v>
      </c>
      <c r="Y415" s="82" t="s">
        <v>1051</v>
      </c>
      <c r="Z415" s="82">
        <v>45708.334027777775</v>
      </c>
      <c r="AA415" s="82">
        <f>Z415+TIME(0,76,0)</f>
        <v>45708.38680555555</v>
      </c>
      <c r="AB415" s="81">
        <f t="shared" si="76"/>
        <v>74.416666663018987</v>
      </c>
      <c r="AC415" s="80" t="s">
        <v>1678</v>
      </c>
      <c r="AD415" s="83">
        <f t="shared" si="77"/>
        <v>0.32152777777810115</v>
      </c>
      <c r="AE415" s="80">
        <v>2</v>
      </c>
      <c r="AF415" s="84">
        <f t="shared" si="78"/>
        <v>1.6784722222218988</v>
      </c>
      <c r="AG415" s="83">
        <f t="shared" si="79"/>
        <v>7.7166666666744277</v>
      </c>
      <c r="AH415" s="83">
        <f t="shared" si="80"/>
        <v>0</v>
      </c>
      <c r="AI415" s="83">
        <f t="shared" si="81"/>
        <v>7.7166666666744277</v>
      </c>
      <c r="AJ415" s="83">
        <f t="shared" si="82"/>
        <v>20.215982721361957</v>
      </c>
      <c r="AK415" s="83"/>
      <c r="AL415" s="83"/>
      <c r="AM415" s="83"/>
      <c r="AN415" s="83"/>
      <c r="AO415" s="78"/>
    </row>
    <row r="416" spans="1:41" customFormat="1" ht="15" hidden="1" x14ac:dyDescent="0.25">
      <c r="A416" s="82">
        <v>45709</v>
      </c>
      <c r="B416" s="94" t="str">
        <f t="shared" si="72"/>
        <v>February</v>
      </c>
      <c r="C416" s="78"/>
      <c r="D416" s="79" t="s">
        <v>237</v>
      </c>
      <c r="E416" s="80" t="s">
        <v>1017</v>
      </c>
      <c r="F416" s="79" t="s">
        <v>1015</v>
      </c>
      <c r="G416" s="79" t="s">
        <v>43</v>
      </c>
      <c r="H416" s="79" t="s">
        <v>458</v>
      </c>
      <c r="I416" s="79">
        <v>33.6</v>
      </c>
      <c r="J416" s="79" t="s">
        <v>237</v>
      </c>
      <c r="K416" s="80" t="s">
        <v>469</v>
      </c>
      <c r="L416" s="80">
        <v>448</v>
      </c>
      <c r="M416" s="80">
        <f>L416+2</f>
        <v>450</v>
      </c>
      <c r="N416" s="81">
        <f t="shared" si="83"/>
        <v>2</v>
      </c>
      <c r="O416" s="78"/>
      <c r="P416" s="82">
        <v>45707.804166666669</v>
      </c>
      <c r="Q416" s="82">
        <v>45707.817361111112</v>
      </c>
      <c r="R416" s="82">
        <v>45707.833333333336</v>
      </c>
      <c r="S416" s="81">
        <f t="shared" si="73"/>
        <v>22.893518520140788</v>
      </c>
      <c r="T416" s="81">
        <f t="shared" si="74"/>
        <v>41.805555556250816</v>
      </c>
      <c r="U416" s="79"/>
      <c r="V416" s="82">
        <v>45707.456250000003</v>
      </c>
      <c r="W416" s="82">
        <v>45707.54583333333</v>
      </c>
      <c r="X416" s="103">
        <f t="shared" si="75"/>
        <v>126.31249999110878</v>
      </c>
      <c r="Y416" s="82"/>
      <c r="Z416" s="82">
        <v>45708.289583333331</v>
      </c>
      <c r="AA416" s="82">
        <f>Z416+TIME(0,56,0)</f>
        <v>45708.328472222223</v>
      </c>
      <c r="AB416" s="81">
        <f t="shared" si="76"/>
        <v>54.833333337664953</v>
      </c>
      <c r="AC416" s="80"/>
      <c r="AD416" s="83">
        <f t="shared" si="77"/>
        <v>0.45624999999563443</v>
      </c>
      <c r="AE416" s="80">
        <v>2</v>
      </c>
      <c r="AF416" s="84">
        <f t="shared" si="78"/>
        <v>1.5437500000043656</v>
      </c>
      <c r="AG416" s="83">
        <f t="shared" si="79"/>
        <v>10.949999999895226</v>
      </c>
      <c r="AH416" s="83">
        <f t="shared" si="80"/>
        <v>0</v>
      </c>
      <c r="AI416" s="83">
        <f t="shared" si="81"/>
        <v>10.949999999895226</v>
      </c>
      <c r="AJ416" s="83">
        <f t="shared" si="82"/>
        <v>3.0684931507142923</v>
      </c>
      <c r="AK416" s="83"/>
      <c r="AL416" s="83"/>
      <c r="AM416" s="83"/>
      <c r="AN416" s="83"/>
      <c r="AO416" s="78"/>
    </row>
    <row r="417" spans="1:41" customFormat="1" ht="15" hidden="1" x14ac:dyDescent="0.25">
      <c r="A417" s="82">
        <v>45709</v>
      </c>
      <c r="B417" s="94" t="str">
        <f t="shared" si="72"/>
        <v>February</v>
      </c>
      <c r="C417" s="78"/>
      <c r="D417" s="79" t="s">
        <v>238</v>
      </c>
      <c r="E417" s="80" t="s">
        <v>1017</v>
      </c>
      <c r="F417" s="79"/>
      <c r="G417" s="79" t="s">
        <v>69</v>
      </c>
      <c r="H417" s="79" t="s">
        <v>458</v>
      </c>
      <c r="I417" s="79">
        <v>156</v>
      </c>
      <c r="J417" s="79" t="s">
        <v>238</v>
      </c>
      <c r="K417" s="80" t="s">
        <v>469</v>
      </c>
      <c r="L417" s="80">
        <v>448</v>
      </c>
      <c r="M417" s="80">
        <f>L417+1</f>
        <v>449</v>
      </c>
      <c r="N417" s="81">
        <f t="shared" si="83"/>
        <v>1</v>
      </c>
      <c r="O417" s="78"/>
      <c r="P417" s="82">
        <f>R417-TIME(0,43,0)</f>
        <v>45707.85555555555</v>
      </c>
      <c r="Q417" s="82">
        <v>45707.869444444441</v>
      </c>
      <c r="R417" s="82">
        <v>45707.885416666664</v>
      </c>
      <c r="S417" s="81">
        <f t="shared" si="73"/>
        <v>22.893518520140788</v>
      </c>
      <c r="T417" s="81">
        <f t="shared" si="74"/>
        <v>42.80092592986572</v>
      </c>
      <c r="U417" s="79"/>
      <c r="V417" s="82">
        <v>45707.76666666667</v>
      </c>
      <c r="W417" s="82">
        <f>V417+TIME(0,173,0)</f>
        <v>45707.886805555558</v>
      </c>
      <c r="X417" s="103">
        <f t="shared" si="75"/>
        <v>169.39583333150949</v>
      </c>
      <c r="Y417" s="82"/>
      <c r="Z417" s="82">
        <v>45709.365277777775</v>
      </c>
      <c r="AA417" s="82">
        <f>Z417+TIME(0,56,0)</f>
        <v>45709.404166666667</v>
      </c>
      <c r="AB417" s="81">
        <f t="shared" si="76"/>
        <v>54.833333337664953</v>
      </c>
      <c r="AC417" s="80"/>
      <c r="AD417" s="83">
        <f t="shared" si="77"/>
        <v>1.4798611111109494</v>
      </c>
      <c r="AE417" s="80">
        <v>2</v>
      </c>
      <c r="AF417" s="84">
        <f t="shared" si="78"/>
        <v>0.52013888888905058</v>
      </c>
      <c r="AG417" s="83">
        <f t="shared" si="79"/>
        <v>35.516666666662786</v>
      </c>
      <c r="AH417" s="83">
        <f t="shared" si="80"/>
        <v>12</v>
      </c>
      <c r="AI417" s="83">
        <f t="shared" si="81"/>
        <v>23.516666666662786</v>
      </c>
      <c r="AJ417" s="83">
        <f t="shared" si="82"/>
        <v>6.6335931963157648</v>
      </c>
      <c r="AK417" s="83"/>
      <c r="AL417" s="83"/>
      <c r="AM417" s="83"/>
      <c r="AN417" s="83"/>
      <c r="AO417" s="78"/>
    </row>
    <row r="418" spans="1:41" customFormat="1" ht="15" hidden="1" x14ac:dyDescent="0.25">
      <c r="A418" s="82">
        <v>45709</v>
      </c>
      <c r="B418" s="94" t="str">
        <f t="shared" si="72"/>
        <v>February</v>
      </c>
      <c r="C418" s="78"/>
      <c r="D418" s="79" t="s">
        <v>239</v>
      </c>
      <c r="E418" s="80" t="s">
        <v>1017</v>
      </c>
      <c r="F418" s="79"/>
      <c r="G418" s="79" t="s">
        <v>64</v>
      </c>
      <c r="H418" s="79" t="s">
        <v>987</v>
      </c>
      <c r="I418" s="79">
        <v>156</v>
      </c>
      <c r="J418" s="79" t="s">
        <v>239</v>
      </c>
      <c r="K418" s="80" t="s">
        <v>469</v>
      </c>
      <c r="L418" s="79">
        <v>320</v>
      </c>
      <c r="M418" s="80">
        <f>L418-1</f>
        <v>319</v>
      </c>
      <c r="N418" s="81">
        <f t="shared" si="83"/>
        <v>-1</v>
      </c>
      <c r="O418" s="78"/>
      <c r="P418" s="82">
        <v>45707.447916666664</v>
      </c>
      <c r="Q418" s="82">
        <v>45707.459722222222</v>
      </c>
      <c r="R418" s="82">
        <v>45707.477777777778</v>
      </c>
      <c r="S418" s="81">
        <f t="shared" si="73"/>
        <v>25.879629630556639</v>
      </c>
      <c r="T418" s="81">
        <f t="shared" si="74"/>
        <v>42.80092592986572</v>
      </c>
      <c r="U418" s="79"/>
      <c r="V418" s="82">
        <v>45708.62222222222</v>
      </c>
      <c r="W418" s="82">
        <v>45708.745138888888</v>
      </c>
      <c r="X418" s="103">
        <f t="shared" si="75"/>
        <v>173.31250000068394</v>
      </c>
      <c r="Y418" s="82"/>
      <c r="Z418" s="82">
        <v>45709.365277777775</v>
      </c>
      <c r="AA418" s="82">
        <v>45709.404166666667</v>
      </c>
      <c r="AB418" s="81">
        <f t="shared" si="76"/>
        <v>54.833333337664953</v>
      </c>
      <c r="AC418" s="80"/>
      <c r="AD418" s="83">
        <f t="shared" si="77"/>
        <v>1.8874999999970896</v>
      </c>
      <c r="AE418" s="80">
        <v>2</v>
      </c>
      <c r="AF418" s="84">
        <f t="shared" si="78"/>
        <v>0.11250000000291038</v>
      </c>
      <c r="AG418" s="83">
        <f t="shared" si="79"/>
        <v>45.299999999930151</v>
      </c>
      <c r="AH418" s="83">
        <f t="shared" si="80"/>
        <v>12</v>
      </c>
      <c r="AI418" s="83">
        <f t="shared" si="81"/>
        <v>33.299999999930151</v>
      </c>
      <c r="AJ418" s="83">
        <f t="shared" si="82"/>
        <v>4.6846846846945107</v>
      </c>
      <c r="AK418" s="83"/>
      <c r="AL418" s="83"/>
      <c r="AM418" s="83"/>
      <c r="AN418" s="83"/>
      <c r="AO418" s="78"/>
    </row>
    <row r="419" spans="1:41" customFormat="1" ht="15" hidden="1" x14ac:dyDescent="0.25">
      <c r="A419" s="82">
        <v>45709</v>
      </c>
      <c r="B419" s="94" t="str">
        <f t="shared" si="72"/>
        <v>February</v>
      </c>
      <c r="C419" s="78"/>
      <c r="D419" s="79" t="s">
        <v>240</v>
      </c>
      <c r="E419" s="80" t="s">
        <v>1017</v>
      </c>
      <c r="F419" s="79"/>
      <c r="G419" s="79" t="s">
        <v>70</v>
      </c>
      <c r="H419" s="79" t="s">
        <v>452</v>
      </c>
      <c r="I419" s="79">
        <v>156</v>
      </c>
      <c r="J419" s="79" t="s">
        <v>240</v>
      </c>
      <c r="K419" s="80" t="s">
        <v>469</v>
      </c>
      <c r="L419" s="80">
        <v>690</v>
      </c>
      <c r="M419" s="80">
        <f>L419-2</f>
        <v>688</v>
      </c>
      <c r="N419" s="81">
        <f t="shared" si="83"/>
        <v>-2</v>
      </c>
      <c r="O419" s="78"/>
      <c r="P419" s="82">
        <f>R419-TIME(0,43,0)</f>
        <v>45707.814583333333</v>
      </c>
      <c r="Q419" s="82">
        <v>45707.825000000004</v>
      </c>
      <c r="R419" s="82">
        <v>45707.844444444447</v>
      </c>
      <c r="S419" s="81">
        <f t="shared" si="73"/>
        <v>27.870370367357584</v>
      </c>
      <c r="T419" s="81">
        <f t="shared" si="74"/>
        <v>42.80092592986572</v>
      </c>
      <c r="U419" s="96"/>
      <c r="V419" s="82">
        <v>45707.518750000003</v>
      </c>
      <c r="W419" s="82">
        <v>45707.586805555555</v>
      </c>
      <c r="X419" s="103">
        <f t="shared" si="75"/>
        <v>95.958333328089793</v>
      </c>
      <c r="Y419" s="82"/>
      <c r="Z419" s="82">
        <v>45708.679166666669</v>
      </c>
      <c r="AA419" s="82">
        <f>Z419+TIME(0,51,0)</f>
        <v>45708.714583333334</v>
      </c>
      <c r="AB419" s="81">
        <f t="shared" si="76"/>
        <v>49.93749999863212</v>
      </c>
      <c r="AC419" s="80"/>
      <c r="AD419" s="83">
        <f t="shared" si="77"/>
        <v>0.83472222222189885</v>
      </c>
      <c r="AE419" s="80">
        <v>3</v>
      </c>
      <c r="AF419" s="84">
        <f t="shared" si="78"/>
        <v>2.1652777777781012</v>
      </c>
      <c r="AG419" s="83">
        <f t="shared" si="79"/>
        <v>20.033333333325572</v>
      </c>
      <c r="AH419" s="83">
        <f t="shared" si="80"/>
        <v>0</v>
      </c>
      <c r="AI419" s="83">
        <f t="shared" si="81"/>
        <v>20.033333333325572</v>
      </c>
      <c r="AJ419" s="83">
        <f t="shared" si="82"/>
        <v>7.787021630618657</v>
      </c>
      <c r="AK419" s="83"/>
      <c r="AL419" s="83"/>
      <c r="AM419" s="83"/>
      <c r="AN419" s="83"/>
      <c r="AO419" s="78"/>
    </row>
    <row r="420" spans="1:41" customFormat="1" ht="15" hidden="1" x14ac:dyDescent="0.25">
      <c r="A420" s="82">
        <v>45709</v>
      </c>
      <c r="B420" s="94" t="str">
        <f t="shared" si="72"/>
        <v>February</v>
      </c>
      <c r="C420" s="78"/>
      <c r="D420" s="79" t="s">
        <v>241</v>
      </c>
      <c r="E420" s="80" t="s">
        <v>1017</v>
      </c>
      <c r="F420" s="79" t="s">
        <v>1035</v>
      </c>
      <c r="G420" s="79" t="s">
        <v>44</v>
      </c>
      <c r="H420" s="79" t="s">
        <v>451</v>
      </c>
      <c r="I420" s="79">
        <v>156</v>
      </c>
      <c r="J420" s="79" t="s">
        <v>241</v>
      </c>
      <c r="K420" s="80" t="s">
        <v>469</v>
      </c>
      <c r="L420" s="80">
        <v>150</v>
      </c>
      <c r="M420" s="80">
        <f>L420+2</f>
        <v>152</v>
      </c>
      <c r="N420" s="81">
        <f t="shared" si="83"/>
        <v>2</v>
      </c>
      <c r="O420" s="78"/>
      <c r="P420" s="82">
        <f>R420-TIME(0,41,0)</f>
        <v>45706.906944444447</v>
      </c>
      <c r="Q420" s="82">
        <v>45706.713194444441</v>
      </c>
      <c r="R420" s="82">
        <v>45706.935416666667</v>
      </c>
      <c r="S420" s="81">
        <f t="shared" si="73"/>
        <v>318.51851852431236</v>
      </c>
      <c r="T420" s="81">
        <f t="shared" si="74"/>
        <v>40.810185182635905</v>
      </c>
      <c r="U420" s="79"/>
      <c r="V420" s="82"/>
      <c r="W420" s="82">
        <f>V420+TIME(0,180,0)</f>
        <v>0.125</v>
      </c>
      <c r="X420" s="103">
        <f t="shared" si="75"/>
        <v>176.25</v>
      </c>
      <c r="Y420" s="82"/>
      <c r="Z420" s="82">
        <v>45708.714583333334</v>
      </c>
      <c r="AA420" s="82">
        <v>45708.751388888893</v>
      </c>
      <c r="AB420" s="81">
        <f t="shared" si="76"/>
        <v>51.895833338348893</v>
      </c>
      <c r="AC420" s="80"/>
      <c r="AD420" s="83">
        <f t="shared" si="77"/>
        <v>1.7791666666671517</v>
      </c>
      <c r="AE420" s="80">
        <v>3</v>
      </c>
      <c r="AF420" s="84">
        <f t="shared" si="78"/>
        <v>1.2208333333328483</v>
      </c>
      <c r="AG420" s="83">
        <f t="shared" si="79"/>
        <v>42.700000000011642</v>
      </c>
      <c r="AH420" s="83">
        <f t="shared" si="80"/>
        <v>12</v>
      </c>
      <c r="AI420" s="83">
        <f t="shared" si="81"/>
        <v>30.700000000011642</v>
      </c>
      <c r="AJ420" s="83">
        <f t="shared" si="82"/>
        <v>5.0814332247537735</v>
      </c>
      <c r="AK420" s="83"/>
      <c r="AL420" s="83"/>
      <c r="AM420" s="83"/>
      <c r="AN420" s="83"/>
      <c r="AO420" s="78"/>
    </row>
    <row r="421" spans="1:41" customFormat="1" ht="15" hidden="1" x14ac:dyDescent="0.25">
      <c r="A421" s="82">
        <v>45709</v>
      </c>
      <c r="B421" s="94" t="str">
        <f t="shared" si="72"/>
        <v>February</v>
      </c>
      <c r="C421" s="78"/>
      <c r="D421" s="79" t="s">
        <v>242</v>
      </c>
      <c r="E421" s="80" t="s">
        <v>1017</v>
      </c>
      <c r="F421" s="79" t="s">
        <v>1029</v>
      </c>
      <c r="G421" s="79" t="s">
        <v>38</v>
      </c>
      <c r="H421" s="79" t="s">
        <v>450</v>
      </c>
      <c r="I421" s="79">
        <v>156</v>
      </c>
      <c r="J421" s="79" t="s">
        <v>242</v>
      </c>
      <c r="K421" s="80" t="s">
        <v>469</v>
      </c>
      <c r="L421" s="80">
        <v>288</v>
      </c>
      <c r="M421" s="80">
        <f>L421-3</f>
        <v>285</v>
      </c>
      <c r="N421" s="81">
        <f t="shared" si="83"/>
        <v>-3</v>
      </c>
      <c r="O421" s="78"/>
      <c r="P421" s="82">
        <f>R421-TIME(0,40,0)</f>
        <v>45707.546527777777</v>
      </c>
      <c r="Q421" s="82">
        <v>45707.565972222226</v>
      </c>
      <c r="R421" s="82">
        <v>45707.574305555558</v>
      </c>
      <c r="S421" s="81">
        <f t="shared" si="73"/>
        <v>11.944444441663412</v>
      </c>
      <c r="T421" s="81">
        <f t="shared" si="74"/>
        <v>39.814814819449872</v>
      </c>
      <c r="U421" s="79"/>
      <c r="V421" s="82">
        <v>45709.712500000001</v>
      </c>
      <c r="W421" s="82">
        <v>45709.799305555556</v>
      </c>
      <c r="X421" s="103">
        <f t="shared" si="75"/>
        <v>122.39583333219343</v>
      </c>
      <c r="Y421" s="82"/>
      <c r="Z421" s="82">
        <v>45708.55972222222</v>
      </c>
      <c r="AA421" s="82">
        <f>Z421+TIME(0,56,0)</f>
        <v>45708.598611111112</v>
      </c>
      <c r="AB421" s="81">
        <f t="shared" si="76"/>
        <v>54.833333337664953</v>
      </c>
      <c r="AC421" s="80"/>
      <c r="AD421" s="83">
        <f t="shared" si="77"/>
        <v>0.98541666666278616</v>
      </c>
      <c r="AE421" s="80">
        <v>2</v>
      </c>
      <c r="AF421" s="84">
        <f t="shared" si="78"/>
        <v>1.0145833333372138</v>
      </c>
      <c r="AG421" s="83">
        <f t="shared" si="79"/>
        <v>23.649999999906868</v>
      </c>
      <c r="AH421" s="83">
        <f t="shared" si="80"/>
        <v>0</v>
      </c>
      <c r="AI421" s="83">
        <f t="shared" si="81"/>
        <v>23.649999999906868</v>
      </c>
      <c r="AJ421" s="83">
        <f t="shared" si="82"/>
        <v>6.5961945031972231</v>
      </c>
      <c r="AK421" s="83"/>
      <c r="AL421" s="83"/>
      <c r="AM421" s="83"/>
      <c r="AN421" s="83"/>
      <c r="AO421" s="78"/>
    </row>
    <row r="422" spans="1:41" customFormat="1" ht="15" hidden="1" x14ac:dyDescent="0.25">
      <c r="A422" s="82">
        <v>45709</v>
      </c>
      <c r="B422" s="94" t="str">
        <f t="shared" si="72"/>
        <v>February</v>
      </c>
      <c r="C422" s="78"/>
      <c r="D422" s="79" t="s">
        <v>243</v>
      </c>
      <c r="E422" s="80" t="s">
        <v>1017</v>
      </c>
      <c r="F422" s="79" t="s">
        <v>1019</v>
      </c>
      <c r="G422" s="79" t="s">
        <v>37</v>
      </c>
      <c r="H422" s="79" t="s">
        <v>1284</v>
      </c>
      <c r="I422" s="79">
        <v>156</v>
      </c>
      <c r="J422" s="79" t="s">
        <v>243</v>
      </c>
      <c r="K422" s="80" t="s">
        <v>469</v>
      </c>
      <c r="L422" s="80">
        <v>620</v>
      </c>
      <c r="M422" s="80">
        <f>L422+2</f>
        <v>622</v>
      </c>
      <c r="N422" s="81">
        <f t="shared" si="83"/>
        <v>2</v>
      </c>
      <c r="O422" s="78"/>
      <c r="P422" s="82">
        <f>R422-TIME(0,44,0)</f>
        <v>45709.842361111114</v>
      </c>
      <c r="Q422" s="82">
        <v>45709.822222222225</v>
      </c>
      <c r="R422" s="82">
        <v>45709.872916666667</v>
      </c>
      <c r="S422" s="81">
        <f t="shared" si="73"/>
        <v>72.662037034024252</v>
      </c>
      <c r="T422" s="81">
        <f t="shared" si="74"/>
        <v>43.796296293051761</v>
      </c>
      <c r="U422" s="79"/>
      <c r="V422" s="82">
        <v>45708.453472222223</v>
      </c>
      <c r="W422" s="82">
        <v>45708.517361111109</v>
      </c>
      <c r="X422" s="103">
        <f t="shared" si="75"/>
        <v>90.083333329457673</v>
      </c>
      <c r="Y422" s="82"/>
      <c r="Z422" s="82">
        <v>45710.288888888892</v>
      </c>
      <c r="AA422" s="82">
        <f>Z422+TIME(0,60,0)</f>
        <v>45710.330555555556</v>
      </c>
      <c r="AB422" s="81">
        <f t="shared" si="76"/>
        <v>58.7499999965803</v>
      </c>
      <c r="AC422" s="80"/>
      <c r="AD422" s="83">
        <f t="shared" si="77"/>
        <v>0.41597222222480923</v>
      </c>
      <c r="AE422" s="80">
        <v>2</v>
      </c>
      <c r="AF422" s="84">
        <f t="shared" si="78"/>
        <v>1.5840277777751908</v>
      </c>
      <c r="AG422" s="83">
        <f t="shared" si="79"/>
        <v>9.9833333333954215</v>
      </c>
      <c r="AH422" s="83">
        <f t="shared" si="80"/>
        <v>0</v>
      </c>
      <c r="AI422" s="83">
        <f t="shared" si="81"/>
        <v>9.9833333333954215</v>
      </c>
      <c r="AJ422" s="83">
        <f t="shared" si="82"/>
        <v>15.626043405578946</v>
      </c>
      <c r="AK422" s="83"/>
      <c r="AL422" s="83"/>
      <c r="AM422" s="83"/>
      <c r="AN422" s="83"/>
      <c r="AO422" s="78"/>
    </row>
    <row r="423" spans="1:41" customFormat="1" ht="15" hidden="1" x14ac:dyDescent="0.25">
      <c r="A423" s="82">
        <v>45709</v>
      </c>
      <c r="B423" s="94" t="str">
        <f t="shared" si="72"/>
        <v>February</v>
      </c>
      <c r="C423" s="78"/>
      <c r="D423" s="79" t="s">
        <v>244</v>
      </c>
      <c r="E423" s="80" t="s">
        <v>1017</v>
      </c>
      <c r="F423" s="79" t="s">
        <v>1027</v>
      </c>
      <c r="G423" s="79" t="s">
        <v>34</v>
      </c>
      <c r="H423" s="79" t="s">
        <v>458</v>
      </c>
      <c r="I423" s="79">
        <v>148.80000000000001</v>
      </c>
      <c r="J423" s="79" t="s">
        <v>244</v>
      </c>
      <c r="K423" s="80" t="s">
        <v>469</v>
      </c>
      <c r="L423" s="80">
        <v>448</v>
      </c>
      <c r="M423" s="80">
        <f>L423+2</f>
        <v>450</v>
      </c>
      <c r="N423" s="81">
        <f t="shared" si="83"/>
        <v>2</v>
      </c>
      <c r="O423" s="78"/>
      <c r="P423" s="82">
        <v>45709.540277777778</v>
      </c>
      <c r="Q423" s="82">
        <v>45709.530555555561</v>
      </c>
      <c r="R423" s="82">
        <v>45709.570138888892</v>
      </c>
      <c r="S423" s="81">
        <f t="shared" si="73"/>
        <v>56.736111108330078</v>
      </c>
      <c r="T423" s="81">
        <f t="shared" si="74"/>
        <v>42.80092592986572</v>
      </c>
      <c r="U423" s="79"/>
      <c r="V423" s="82">
        <v>45708.688194444447</v>
      </c>
      <c r="W423" s="82">
        <v>45708.785416666666</v>
      </c>
      <c r="X423" s="103">
        <f t="shared" si="75"/>
        <v>137.08333332877373</v>
      </c>
      <c r="Y423" s="82"/>
      <c r="Z423" s="82">
        <v>45710.345138888886</v>
      </c>
      <c r="AA423" s="82">
        <f>Z423+TIME(0,56,0)</f>
        <v>45710.384027777778</v>
      </c>
      <c r="AB423" s="81">
        <f t="shared" si="76"/>
        <v>54.833333337664953</v>
      </c>
      <c r="AC423" s="80"/>
      <c r="AD423" s="83">
        <f t="shared" si="77"/>
        <v>0.77499999999417923</v>
      </c>
      <c r="AE423" s="80">
        <v>2</v>
      </c>
      <c r="AF423" s="84">
        <f t="shared" si="78"/>
        <v>1.2250000000058208</v>
      </c>
      <c r="AG423" s="83">
        <f t="shared" si="79"/>
        <v>18.599999999860302</v>
      </c>
      <c r="AH423" s="83">
        <f t="shared" si="80"/>
        <v>0</v>
      </c>
      <c r="AI423" s="83">
        <f t="shared" si="81"/>
        <v>18.599999999860302</v>
      </c>
      <c r="AJ423" s="83">
        <f t="shared" si="82"/>
        <v>8.0000000000600853</v>
      </c>
      <c r="AK423" s="83"/>
      <c r="AL423" s="83"/>
      <c r="AM423" s="83"/>
      <c r="AN423" s="83"/>
      <c r="AO423" s="78"/>
    </row>
    <row r="424" spans="1:41" customFormat="1" ht="15" hidden="1" x14ac:dyDescent="0.25">
      <c r="A424" s="82">
        <v>45709</v>
      </c>
      <c r="B424" s="94" t="str">
        <f t="shared" si="72"/>
        <v>February</v>
      </c>
      <c r="C424" s="78"/>
      <c r="D424" s="79" t="s">
        <v>245</v>
      </c>
      <c r="E424" s="80" t="s">
        <v>1017</v>
      </c>
      <c r="F424" s="79" t="s">
        <v>1024</v>
      </c>
      <c r="G424" s="79" t="s">
        <v>63</v>
      </c>
      <c r="H424" s="79" t="s">
        <v>458</v>
      </c>
      <c r="I424" s="79">
        <v>156</v>
      </c>
      <c r="J424" s="79" t="s">
        <v>245</v>
      </c>
      <c r="K424" s="80" t="s">
        <v>469</v>
      </c>
      <c r="L424" s="80">
        <v>448</v>
      </c>
      <c r="M424" s="80">
        <f>L424-1</f>
        <v>447</v>
      </c>
      <c r="N424" s="81">
        <f t="shared" si="83"/>
        <v>-1</v>
      </c>
      <c r="O424" s="78"/>
      <c r="P424" s="82">
        <v>45709.467361111114</v>
      </c>
      <c r="Q424" s="82">
        <v>45709.434722222228</v>
      </c>
      <c r="R424" s="82">
        <v>45709.496527777781</v>
      </c>
      <c r="S424" s="81">
        <f t="shared" si="73"/>
        <v>88.587962959718425</v>
      </c>
      <c r="T424" s="81">
        <f t="shared" si="74"/>
        <v>41.805555556250816</v>
      </c>
      <c r="U424" s="79"/>
      <c r="V424" s="82">
        <v>45708.831944444442</v>
      </c>
      <c r="W424" s="82">
        <f>V424+TIME(0,174,0)</f>
        <v>45708.952777777777</v>
      </c>
      <c r="X424" s="103">
        <f t="shared" si="75"/>
        <v>170.37500000136788</v>
      </c>
      <c r="Y424" s="82"/>
      <c r="Z424" s="82">
        <v>45711.261111111111</v>
      </c>
      <c r="AA424" s="82">
        <f>Z424+TIME(0,51,0)</f>
        <v>45711.296527777777</v>
      </c>
      <c r="AB424" s="81">
        <f t="shared" si="76"/>
        <v>49.93749999863212</v>
      </c>
      <c r="AC424" s="80"/>
      <c r="AD424" s="83">
        <f t="shared" si="77"/>
        <v>1.7645833333299379</v>
      </c>
      <c r="AE424" s="80">
        <v>2</v>
      </c>
      <c r="AF424" s="84">
        <f t="shared" si="78"/>
        <v>0.23541666667006211</v>
      </c>
      <c r="AG424" s="83">
        <f t="shared" si="79"/>
        <v>42.349999999918509</v>
      </c>
      <c r="AH424" s="83">
        <f t="shared" si="80"/>
        <v>12</v>
      </c>
      <c r="AI424" s="83">
        <f t="shared" si="81"/>
        <v>30.349999999918509</v>
      </c>
      <c r="AJ424" s="83">
        <f t="shared" si="82"/>
        <v>5.1400329489429613</v>
      </c>
      <c r="AK424" s="83"/>
      <c r="AL424" s="83"/>
      <c r="AM424" s="83"/>
      <c r="AN424" s="83"/>
      <c r="AO424" s="78"/>
    </row>
    <row r="425" spans="1:41" customFormat="1" ht="15" hidden="1" x14ac:dyDescent="0.25">
      <c r="A425" s="82">
        <v>45709</v>
      </c>
      <c r="B425" s="94" t="str">
        <f t="shared" si="72"/>
        <v>February</v>
      </c>
      <c r="C425" s="78"/>
      <c r="D425" s="79" t="s">
        <v>246</v>
      </c>
      <c r="E425" s="80" t="s">
        <v>1017</v>
      </c>
      <c r="F425" s="79" t="s">
        <v>1014</v>
      </c>
      <c r="G425" s="79" t="s">
        <v>52</v>
      </c>
      <c r="H425" s="79" t="s">
        <v>454</v>
      </c>
      <c r="I425" s="79">
        <v>156</v>
      </c>
      <c r="J425" s="79" t="s">
        <v>246</v>
      </c>
      <c r="K425" s="80" t="s">
        <v>469</v>
      </c>
      <c r="L425" s="80">
        <v>304</v>
      </c>
      <c r="M425" s="80">
        <f>L425+2</f>
        <v>306</v>
      </c>
      <c r="N425" s="81">
        <f t="shared" si="83"/>
        <v>2</v>
      </c>
      <c r="O425" s="78"/>
      <c r="P425" s="82">
        <f>R425-TIME(0,43,0)</f>
        <v>45709.549305555556</v>
      </c>
      <c r="Q425" s="82">
        <v>45709.5625</v>
      </c>
      <c r="R425" s="82">
        <v>45709.57916666667</v>
      </c>
      <c r="S425" s="81">
        <f t="shared" si="73"/>
        <v>23.888888893755695</v>
      </c>
      <c r="T425" s="81">
        <f t="shared" si="74"/>
        <v>42.80092592986572</v>
      </c>
      <c r="U425" s="79"/>
      <c r="V425" s="82">
        <v>45708.702777777777</v>
      </c>
      <c r="W425" s="82">
        <v>45708.793055555558</v>
      </c>
      <c r="X425" s="103">
        <f t="shared" si="75"/>
        <v>127.29166667122627</v>
      </c>
      <c r="Y425" s="82"/>
      <c r="Z425" s="82">
        <v>45711.261111111111</v>
      </c>
      <c r="AA425" s="82">
        <f>Z425+TIME(0,56,0)</f>
        <v>45711.3</v>
      </c>
      <c r="AB425" s="81">
        <f t="shared" si="76"/>
        <v>54.833333337664953</v>
      </c>
      <c r="AC425" s="80"/>
      <c r="AD425" s="83">
        <f t="shared" si="77"/>
        <v>1.6819444444408873</v>
      </c>
      <c r="AE425" s="80">
        <v>2</v>
      </c>
      <c r="AF425" s="84">
        <f t="shared" si="78"/>
        <v>0.31805555555911269</v>
      </c>
      <c r="AG425" s="83">
        <f t="shared" si="79"/>
        <v>40.366666666581295</v>
      </c>
      <c r="AH425" s="83">
        <f t="shared" si="80"/>
        <v>12</v>
      </c>
      <c r="AI425" s="83">
        <f t="shared" si="81"/>
        <v>28.366666666581295</v>
      </c>
      <c r="AJ425" s="83">
        <f t="shared" si="82"/>
        <v>5.499412455950746</v>
      </c>
      <c r="AK425" s="83"/>
      <c r="AL425" s="83"/>
      <c r="AM425" s="83"/>
      <c r="AN425" s="83"/>
      <c r="AO425" s="78"/>
    </row>
    <row r="426" spans="1:41" customFormat="1" ht="15" hidden="1" x14ac:dyDescent="0.25">
      <c r="A426" s="82">
        <v>45709</v>
      </c>
      <c r="B426" s="94" t="str">
        <f t="shared" si="72"/>
        <v>February</v>
      </c>
      <c r="C426" s="78"/>
      <c r="D426" s="79" t="s">
        <v>871</v>
      </c>
      <c r="E426" s="80" t="s">
        <v>1016</v>
      </c>
      <c r="F426" s="79" t="s">
        <v>958</v>
      </c>
      <c r="G426" s="79" t="s">
        <v>975</v>
      </c>
      <c r="H426" s="79" t="s">
        <v>991</v>
      </c>
      <c r="I426" s="79">
        <v>153.6</v>
      </c>
      <c r="J426" s="79" t="s">
        <v>871</v>
      </c>
      <c r="K426" s="80" t="s">
        <v>469</v>
      </c>
      <c r="L426" s="79">
        <v>20</v>
      </c>
      <c r="M426" s="80">
        <f>L426-1</f>
        <v>19</v>
      </c>
      <c r="N426" s="81">
        <f t="shared" si="83"/>
        <v>-1</v>
      </c>
      <c r="O426" s="78"/>
      <c r="P426" s="82">
        <v>45709.328472222216</v>
      </c>
      <c r="Q426" s="82">
        <v>45709.35555555555</v>
      </c>
      <c r="R426" s="82">
        <v>45709.35833333333</v>
      </c>
      <c r="S426" s="81">
        <f t="shared" si="73"/>
        <v>3.9814814840307613</v>
      </c>
      <c r="T426" s="81">
        <f t="shared" si="74"/>
        <v>42.80092592986572</v>
      </c>
      <c r="U426" s="79"/>
      <c r="V426" s="82">
        <v>45707.661805555559</v>
      </c>
      <c r="W426" s="82">
        <v>45707.754861111112</v>
      </c>
      <c r="X426" s="103">
        <f t="shared" si="75"/>
        <v>131.20833333014161</v>
      </c>
      <c r="Y426" s="82"/>
      <c r="Z426" s="82">
        <v>45710.39166666667</v>
      </c>
      <c r="AA426" s="82">
        <f>Z426+TIME(0,57,0)</f>
        <v>45710.431250000001</v>
      </c>
      <c r="AB426" s="81">
        <f t="shared" si="76"/>
        <v>55.81249999726424</v>
      </c>
      <c r="AC426" s="80"/>
      <c r="AD426" s="83">
        <f t="shared" si="77"/>
        <v>1.0333333333401242</v>
      </c>
      <c r="AE426" s="80">
        <v>3</v>
      </c>
      <c r="AF426" s="84">
        <f t="shared" si="78"/>
        <v>1.9666666666598758</v>
      </c>
      <c r="AG426" s="83">
        <f t="shared" si="79"/>
        <v>24.800000000162981</v>
      </c>
      <c r="AH426" s="83">
        <f t="shared" si="80"/>
        <v>12</v>
      </c>
      <c r="AI426" s="83">
        <f t="shared" si="81"/>
        <v>12.800000000162981</v>
      </c>
      <c r="AJ426" s="83">
        <f t="shared" si="82"/>
        <v>11.999999999847205</v>
      </c>
      <c r="AK426" s="83"/>
      <c r="AL426" s="83"/>
      <c r="AM426" s="83"/>
      <c r="AN426" s="83"/>
      <c r="AO426" s="78"/>
    </row>
    <row r="427" spans="1:41" customFormat="1" ht="15" hidden="1" x14ac:dyDescent="0.25">
      <c r="A427" s="82">
        <v>45709</v>
      </c>
      <c r="B427" s="94" t="str">
        <f t="shared" si="72"/>
        <v>February</v>
      </c>
      <c r="C427" s="78"/>
      <c r="D427" s="79" t="s">
        <v>872</v>
      </c>
      <c r="E427" s="80" t="s">
        <v>1016</v>
      </c>
      <c r="F427" s="79" t="s">
        <v>956</v>
      </c>
      <c r="G427" s="79" t="s">
        <v>973</v>
      </c>
      <c r="H427" s="79" t="s">
        <v>1282</v>
      </c>
      <c r="I427" s="79">
        <v>153.6</v>
      </c>
      <c r="J427" s="79" t="s">
        <v>872</v>
      </c>
      <c r="K427" s="80" t="s">
        <v>469</v>
      </c>
      <c r="L427" s="79">
        <v>810</v>
      </c>
      <c r="M427" s="80">
        <f>L427-3</f>
        <v>807</v>
      </c>
      <c r="N427" s="81">
        <f t="shared" si="83"/>
        <v>-3</v>
      </c>
      <c r="O427" s="78"/>
      <c r="P427" s="82">
        <v>45709.390277777777</v>
      </c>
      <c r="Q427" s="82">
        <v>45709.402083333327</v>
      </c>
      <c r="R427" s="82">
        <v>45709.418749999997</v>
      </c>
      <c r="S427" s="81">
        <f t="shared" si="73"/>
        <v>23.888888893755695</v>
      </c>
      <c r="T427" s="81">
        <f t="shared" si="74"/>
        <v>40.810185182635905</v>
      </c>
      <c r="U427" s="79"/>
      <c r="V427" s="82">
        <v>45708.62777777778</v>
      </c>
      <c r="W427" s="82">
        <v>45708.720833333333</v>
      </c>
      <c r="X427" s="103">
        <f t="shared" si="75"/>
        <v>131.20833333014161</v>
      </c>
      <c r="Y427" s="82"/>
      <c r="Z427" s="82">
        <v>45710.316666666666</v>
      </c>
      <c r="AA427" s="82">
        <v>45710.351388888885</v>
      </c>
      <c r="AB427" s="81">
        <f t="shared" si="76"/>
        <v>48.958333328773733</v>
      </c>
      <c r="AC427" s="80"/>
      <c r="AD427" s="83">
        <f t="shared" si="77"/>
        <v>0.89791666666860692</v>
      </c>
      <c r="AE427" s="80">
        <v>2</v>
      </c>
      <c r="AF427" s="84">
        <f t="shared" si="78"/>
        <v>1.1020833333313931</v>
      </c>
      <c r="AG427" s="83">
        <f t="shared" si="79"/>
        <v>21.550000000046566</v>
      </c>
      <c r="AH427" s="83">
        <f t="shared" si="80"/>
        <v>0</v>
      </c>
      <c r="AI427" s="83">
        <f t="shared" si="81"/>
        <v>21.550000000046566</v>
      </c>
      <c r="AJ427" s="83">
        <f t="shared" si="82"/>
        <v>7.1276102088013031</v>
      </c>
      <c r="AK427" s="83"/>
      <c r="AL427" s="83"/>
      <c r="AM427" s="83"/>
      <c r="AN427" s="83"/>
      <c r="AO427" s="78"/>
    </row>
    <row r="428" spans="1:41" customFormat="1" ht="15" hidden="1" x14ac:dyDescent="0.25">
      <c r="A428" s="82">
        <v>45709</v>
      </c>
      <c r="B428" s="94" t="str">
        <f t="shared" si="72"/>
        <v>February</v>
      </c>
      <c r="C428" s="79" t="s">
        <v>2161</v>
      </c>
      <c r="D428" s="79" t="s">
        <v>875</v>
      </c>
      <c r="E428" s="80" t="s">
        <v>1016</v>
      </c>
      <c r="F428" s="79" t="s">
        <v>954</v>
      </c>
      <c r="G428" s="79" t="s">
        <v>971</v>
      </c>
      <c r="H428" s="79" t="s">
        <v>984</v>
      </c>
      <c r="I428" s="79">
        <v>153.6</v>
      </c>
      <c r="J428" s="79" t="s">
        <v>875</v>
      </c>
      <c r="K428" s="80" t="s">
        <v>469</v>
      </c>
      <c r="L428" s="80">
        <v>382</v>
      </c>
      <c r="M428" s="80">
        <f>L428+2</f>
        <v>384</v>
      </c>
      <c r="N428" s="81">
        <f t="shared" si="83"/>
        <v>2</v>
      </c>
      <c r="O428" s="78"/>
      <c r="P428" s="82">
        <v>45708.572916666672</v>
      </c>
      <c r="Q428" s="82">
        <v>45708.58194444445</v>
      </c>
      <c r="R428" s="82">
        <v>45708.601388888892</v>
      </c>
      <c r="S428" s="81">
        <f t="shared" si="73"/>
        <v>27.870370367357584</v>
      </c>
      <c r="T428" s="81">
        <f t="shared" si="74"/>
        <v>40.810185182635905</v>
      </c>
      <c r="U428" s="79"/>
      <c r="V428" s="82">
        <v>45708.605555555558</v>
      </c>
      <c r="W428" s="82">
        <v>45708.666666666664</v>
      </c>
      <c r="X428" s="103">
        <f t="shared" si="75"/>
        <v>86.166666660283227</v>
      </c>
      <c r="Y428" s="82"/>
      <c r="Z428" s="82">
        <v>45709.363888888889</v>
      </c>
      <c r="AA428" s="82">
        <v>45709.401388888888</v>
      </c>
      <c r="AB428" s="81">
        <f t="shared" si="76"/>
        <v>52.87499999794818</v>
      </c>
      <c r="AC428" s="80"/>
      <c r="AD428" s="83">
        <f t="shared" si="77"/>
        <v>0.76249999999708962</v>
      </c>
      <c r="AE428" s="80">
        <v>2</v>
      </c>
      <c r="AF428" s="84">
        <f t="shared" si="78"/>
        <v>1.2375000000029104</v>
      </c>
      <c r="AG428" s="83">
        <f t="shared" si="79"/>
        <v>18.299999999930151</v>
      </c>
      <c r="AH428" s="83">
        <f t="shared" si="80"/>
        <v>0</v>
      </c>
      <c r="AI428" s="83">
        <f t="shared" si="81"/>
        <v>18.299999999930151</v>
      </c>
      <c r="AJ428" s="83">
        <f t="shared" si="82"/>
        <v>8.3934426229828567</v>
      </c>
      <c r="AK428" s="83"/>
      <c r="AL428" s="83"/>
      <c r="AM428" s="83"/>
      <c r="AN428" s="83"/>
      <c r="AO428" s="78"/>
    </row>
    <row r="429" spans="1:41" customFormat="1" ht="15" hidden="1" x14ac:dyDescent="0.25">
      <c r="A429" s="82">
        <v>45709</v>
      </c>
      <c r="B429" s="94" t="str">
        <f t="shared" si="72"/>
        <v>February</v>
      </c>
      <c r="C429" s="78"/>
      <c r="D429" s="79" t="s">
        <v>876</v>
      </c>
      <c r="E429" s="80" t="s">
        <v>1016</v>
      </c>
      <c r="F429" s="79" t="s">
        <v>966</v>
      </c>
      <c r="G429" s="79" t="s">
        <v>981</v>
      </c>
      <c r="H429" s="79" t="s">
        <v>986</v>
      </c>
      <c r="I429" s="79">
        <v>153.6</v>
      </c>
      <c r="J429" s="79" t="s">
        <v>876</v>
      </c>
      <c r="K429" s="80" t="s">
        <v>469</v>
      </c>
      <c r="L429" s="79">
        <v>350</v>
      </c>
      <c r="M429" s="80">
        <f>L429+2</f>
        <v>352</v>
      </c>
      <c r="N429" s="81">
        <f t="shared" si="83"/>
        <v>2</v>
      </c>
      <c r="O429" s="78"/>
      <c r="P429" s="82">
        <f>R429-TIME(0,44,0)</f>
        <v>45708.486805555556</v>
      </c>
      <c r="Q429" s="82">
        <v>45708.481944444444</v>
      </c>
      <c r="R429" s="82">
        <v>45708.517361111109</v>
      </c>
      <c r="S429" s="81">
        <f t="shared" si="73"/>
        <v>50.763888887498375</v>
      </c>
      <c r="T429" s="81">
        <f t="shared" si="74"/>
        <v>43.796296293051761</v>
      </c>
      <c r="U429" s="79"/>
      <c r="V429" s="82">
        <v>45708.795138888891</v>
      </c>
      <c r="W429" s="82">
        <f>V429+TIME(0,173,0)</f>
        <v>45708.915277777778</v>
      </c>
      <c r="X429" s="103">
        <f t="shared" si="75"/>
        <v>169.39583333150949</v>
      </c>
      <c r="Y429" s="82"/>
      <c r="Z429" s="82">
        <v>45709.364583333336</v>
      </c>
      <c r="AA429" s="82">
        <f>Z429+TIME(0,56,0)</f>
        <v>45709.403472222228</v>
      </c>
      <c r="AB429" s="81">
        <f t="shared" si="76"/>
        <v>54.833333337664953</v>
      </c>
      <c r="AC429" s="80"/>
      <c r="AD429" s="83">
        <f t="shared" si="77"/>
        <v>0.84722222222626442</v>
      </c>
      <c r="AE429" s="80">
        <v>2</v>
      </c>
      <c r="AF429" s="84">
        <f t="shared" si="78"/>
        <v>1.1527777777737356</v>
      </c>
      <c r="AG429" s="83">
        <f t="shared" si="79"/>
        <v>20.333333333430346</v>
      </c>
      <c r="AH429" s="83">
        <f t="shared" si="80"/>
        <v>0</v>
      </c>
      <c r="AI429" s="83">
        <f t="shared" si="81"/>
        <v>20.333333333430346</v>
      </c>
      <c r="AJ429" s="83">
        <f t="shared" si="82"/>
        <v>7.5540983606196956</v>
      </c>
      <c r="AK429" s="83"/>
      <c r="AL429" s="83"/>
      <c r="AM429" s="83"/>
      <c r="AN429" s="83"/>
      <c r="AO429" s="78"/>
    </row>
    <row r="430" spans="1:41" customFormat="1" ht="15" hidden="1" x14ac:dyDescent="0.25">
      <c r="A430" s="82">
        <v>45709</v>
      </c>
      <c r="B430" s="94" t="str">
        <f t="shared" si="72"/>
        <v>February</v>
      </c>
      <c r="C430" s="78"/>
      <c r="D430" s="79" t="s">
        <v>877</v>
      </c>
      <c r="E430" s="80" t="s">
        <v>1016</v>
      </c>
      <c r="F430" s="79" t="s">
        <v>952</v>
      </c>
      <c r="G430" s="79" t="s">
        <v>969</v>
      </c>
      <c r="H430" s="79" t="s">
        <v>998</v>
      </c>
      <c r="I430" s="79">
        <v>153.6</v>
      </c>
      <c r="J430" s="79" t="s">
        <v>877</v>
      </c>
      <c r="K430" s="80" t="s">
        <v>469</v>
      </c>
      <c r="L430" s="80">
        <v>414</v>
      </c>
      <c r="M430" s="80">
        <f>L430+2</f>
        <v>416</v>
      </c>
      <c r="N430" s="81">
        <f t="shared" si="83"/>
        <v>2</v>
      </c>
      <c r="O430" s="78"/>
      <c r="P430" s="82">
        <v>45708.532638888893</v>
      </c>
      <c r="Q430" s="82">
        <v>45708.54791666667</v>
      </c>
      <c r="R430" s="82">
        <v>45708.561111111114</v>
      </c>
      <c r="S430" s="81">
        <f t="shared" si="73"/>
        <v>18.912037036110025</v>
      </c>
      <c r="T430" s="81">
        <f t="shared" si="74"/>
        <v>40.810185182635905</v>
      </c>
      <c r="U430" s="79"/>
      <c r="V430" s="82">
        <v>45708.573611111111</v>
      </c>
      <c r="W430" s="82">
        <v>45708.852083333331</v>
      </c>
      <c r="X430" s="103">
        <f t="shared" si="75"/>
        <v>392.64583333082555</v>
      </c>
      <c r="Y430" s="82" t="s">
        <v>1051</v>
      </c>
      <c r="Z430" s="82">
        <v>45709.537499999999</v>
      </c>
      <c r="AA430" s="82">
        <f>Z430+TIME(0,56,0)</f>
        <v>45709.576388888891</v>
      </c>
      <c r="AB430" s="81">
        <f t="shared" si="76"/>
        <v>54.833333337664953</v>
      </c>
      <c r="AC430" s="80"/>
      <c r="AD430" s="83">
        <f t="shared" si="77"/>
        <v>0.976388888884685</v>
      </c>
      <c r="AE430" s="80">
        <v>2</v>
      </c>
      <c r="AF430" s="84">
        <f t="shared" si="78"/>
        <v>1.023611111115315</v>
      </c>
      <c r="AG430" s="83">
        <f t="shared" si="79"/>
        <v>23.43333333323244</v>
      </c>
      <c r="AH430" s="83">
        <f t="shared" si="80"/>
        <v>0</v>
      </c>
      <c r="AI430" s="83">
        <f t="shared" si="81"/>
        <v>23.43333333323244</v>
      </c>
      <c r="AJ430" s="83">
        <f t="shared" si="82"/>
        <v>6.5547652916356185</v>
      </c>
      <c r="AK430" s="83"/>
      <c r="AL430" s="83"/>
      <c r="AM430" s="83"/>
      <c r="AN430" s="83"/>
      <c r="AO430" s="78"/>
    </row>
    <row r="431" spans="1:41" customFormat="1" ht="15" hidden="1" x14ac:dyDescent="0.25">
      <c r="A431" s="82">
        <v>45709</v>
      </c>
      <c r="B431" s="94" t="str">
        <f t="shared" si="72"/>
        <v>February</v>
      </c>
      <c r="C431" s="78"/>
      <c r="D431" s="79" t="s">
        <v>878</v>
      </c>
      <c r="E431" s="80" t="s">
        <v>1016</v>
      </c>
      <c r="F431" s="79" t="s">
        <v>964</v>
      </c>
      <c r="G431" s="79" t="s">
        <v>979</v>
      </c>
      <c r="H431" s="79" t="s">
        <v>987</v>
      </c>
      <c r="I431" s="79">
        <v>153.6</v>
      </c>
      <c r="J431" s="79" t="s">
        <v>878</v>
      </c>
      <c r="K431" s="80" t="s">
        <v>469</v>
      </c>
      <c r="L431" s="79">
        <v>320</v>
      </c>
      <c r="M431" s="80">
        <f>L431-1</f>
        <v>319</v>
      </c>
      <c r="N431" s="81">
        <f t="shared" si="83"/>
        <v>-1</v>
      </c>
      <c r="O431" s="78"/>
      <c r="P431" s="82">
        <v>45708.507638888885</v>
      </c>
      <c r="Q431" s="82">
        <v>45708.490972222222</v>
      </c>
      <c r="R431" s="82">
        <v>45708.537499999999</v>
      </c>
      <c r="S431" s="81">
        <f t="shared" si="73"/>
        <v>66.689814813192541</v>
      </c>
      <c r="T431" s="81">
        <f t="shared" si="74"/>
        <v>42.80092592986572</v>
      </c>
      <c r="U431" s="79"/>
      <c r="V431" s="82">
        <v>45709.702777777777</v>
      </c>
      <c r="W431" s="82">
        <f>V431+TIME(0,174,0)</f>
        <v>45709.823611111111</v>
      </c>
      <c r="X431" s="103">
        <f t="shared" si="75"/>
        <v>170.37500000136788</v>
      </c>
      <c r="Y431" s="82"/>
      <c r="Z431" s="82">
        <v>45709.690972222219</v>
      </c>
      <c r="AA431" s="82">
        <f>Z431+TIME(0,51,0)</f>
        <v>45709.726388888885</v>
      </c>
      <c r="AB431" s="81">
        <f t="shared" si="76"/>
        <v>49.93749999863212</v>
      </c>
      <c r="AC431" s="80"/>
      <c r="AD431" s="83">
        <f t="shared" si="77"/>
        <v>1.1534722222204437</v>
      </c>
      <c r="AE431" s="80">
        <v>2</v>
      </c>
      <c r="AF431" s="84">
        <f t="shared" si="78"/>
        <v>0.84652777777955635</v>
      </c>
      <c r="AG431" s="83">
        <f t="shared" si="79"/>
        <v>27.683333333290648</v>
      </c>
      <c r="AH431" s="83">
        <f t="shared" si="80"/>
        <v>12</v>
      </c>
      <c r="AI431" s="83">
        <f t="shared" si="81"/>
        <v>15.683333333290648</v>
      </c>
      <c r="AJ431" s="83">
        <f t="shared" si="82"/>
        <v>9.793836344341214</v>
      </c>
      <c r="AK431" s="83"/>
      <c r="AL431" s="83"/>
      <c r="AM431" s="83"/>
      <c r="AN431" s="83"/>
      <c r="AO431" s="78"/>
    </row>
    <row r="432" spans="1:41" customFormat="1" ht="15" hidden="1" x14ac:dyDescent="0.25">
      <c r="A432" s="82">
        <v>45709</v>
      </c>
      <c r="B432" s="94" t="str">
        <f t="shared" si="72"/>
        <v>February</v>
      </c>
      <c r="C432" s="78"/>
      <c r="D432" s="79" t="s">
        <v>879</v>
      </c>
      <c r="E432" s="80" t="s">
        <v>1016</v>
      </c>
      <c r="F432" s="79" t="s">
        <v>963</v>
      </c>
      <c r="G432" s="79" t="s">
        <v>60</v>
      </c>
      <c r="H432" s="79" t="s">
        <v>999</v>
      </c>
      <c r="I432" s="79">
        <v>156</v>
      </c>
      <c r="J432" s="79" t="s">
        <v>879</v>
      </c>
      <c r="K432" s="80" t="s">
        <v>469</v>
      </c>
      <c r="L432" s="80">
        <v>288</v>
      </c>
      <c r="M432" s="80">
        <f>L432+2</f>
        <v>290</v>
      </c>
      <c r="N432" s="81">
        <f t="shared" si="83"/>
        <v>2</v>
      </c>
      <c r="O432" s="78"/>
      <c r="P432" s="82">
        <v>45708.90347222222</v>
      </c>
      <c r="Q432" s="82">
        <v>45708.926388888882</v>
      </c>
      <c r="R432" s="82">
        <v>45708.931944444441</v>
      </c>
      <c r="S432" s="81">
        <f t="shared" si="73"/>
        <v>7.9629629680615226</v>
      </c>
      <c r="T432" s="81">
        <f t="shared" si="74"/>
        <v>40.810185182635905</v>
      </c>
      <c r="U432" s="79"/>
      <c r="V432" s="82">
        <v>45708.456250000003</v>
      </c>
      <c r="W432" s="82">
        <v>45708.5625</v>
      </c>
      <c r="X432" s="103">
        <f t="shared" si="75"/>
        <v>149.81249999589636</v>
      </c>
      <c r="Y432" s="82"/>
      <c r="Z432" s="82">
        <v>45711.258333333331</v>
      </c>
      <c r="AA432" s="82">
        <f>Z432+TIME(0,50,0)</f>
        <v>45711.29305555555</v>
      </c>
      <c r="AB432" s="81">
        <f t="shared" si="76"/>
        <v>48.958333328773733</v>
      </c>
      <c r="AC432" s="80"/>
      <c r="AD432" s="83">
        <f t="shared" si="77"/>
        <v>2.3263888888905058</v>
      </c>
      <c r="AE432" s="80">
        <v>2</v>
      </c>
      <c r="AF432" s="84">
        <f t="shared" si="78"/>
        <v>-0.32638888889050577</v>
      </c>
      <c r="AG432" s="83">
        <f t="shared" si="79"/>
        <v>55.833333333372138</v>
      </c>
      <c r="AH432" s="83">
        <f t="shared" si="80"/>
        <v>24</v>
      </c>
      <c r="AI432" s="83">
        <f t="shared" si="81"/>
        <v>31.833333333372138</v>
      </c>
      <c r="AJ432" s="83">
        <f t="shared" si="82"/>
        <v>4.9005235602034505</v>
      </c>
      <c r="AK432" s="83"/>
      <c r="AL432" s="83"/>
      <c r="AM432" s="83"/>
      <c r="AN432" s="83"/>
      <c r="AO432" s="78"/>
    </row>
    <row r="433" spans="1:41" customFormat="1" ht="15" hidden="1" x14ac:dyDescent="0.25">
      <c r="A433" s="82">
        <v>45709</v>
      </c>
      <c r="B433" s="94" t="str">
        <f t="shared" si="72"/>
        <v>February</v>
      </c>
      <c r="C433" s="78"/>
      <c r="D433" s="79" t="s">
        <v>874</v>
      </c>
      <c r="E433" s="80" t="s">
        <v>1016</v>
      </c>
      <c r="F433" s="79" t="s">
        <v>955</v>
      </c>
      <c r="G433" s="79" t="s">
        <v>972</v>
      </c>
      <c r="H433" s="79" t="s">
        <v>987</v>
      </c>
      <c r="I433" s="79">
        <v>153.6</v>
      </c>
      <c r="J433" s="79" t="s">
        <v>874</v>
      </c>
      <c r="K433" s="80" t="s">
        <v>469</v>
      </c>
      <c r="L433" s="79">
        <v>320</v>
      </c>
      <c r="M433" s="80">
        <f>L433+2</f>
        <v>322</v>
      </c>
      <c r="N433" s="81">
        <f t="shared" si="83"/>
        <v>2</v>
      </c>
      <c r="O433" s="78"/>
      <c r="P433" s="82">
        <v>45708.422916666663</v>
      </c>
      <c r="Q433" s="82">
        <v>45708.320833333331</v>
      </c>
      <c r="R433" s="82">
        <v>45708.452777777777</v>
      </c>
      <c r="S433" s="81">
        <f t="shared" si="73"/>
        <v>189.12037037152913</v>
      </c>
      <c r="T433" s="81">
        <f t="shared" si="74"/>
        <v>42.80092592986572</v>
      </c>
      <c r="U433" s="79"/>
      <c r="V433" s="82">
        <v>45708.605555555558</v>
      </c>
      <c r="W433" s="82">
        <v>45708.666666666664</v>
      </c>
      <c r="X433" s="103">
        <f t="shared" si="75"/>
        <v>86.166666660283227</v>
      </c>
      <c r="Y433" s="82"/>
      <c r="Z433" s="82">
        <v>45708.748611111114</v>
      </c>
      <c r="AA433" s="82">
        <v>45708.785416666673</v>
      </c>
      <c r="AB433" s="81">
        <f t="shared" si="76"/>
        <v>51.895833338348893</v>
      </c>
      <c r="AC433" s="80"/>
      <c r="AD433" s="83">
        <f t="shared" si="77"/>
        <v>0.29583333333721384</v>
      </c>
      <c r="AE433" s="80">
        <v>2</v>
      </c>
      <c r="AF433" s="84">
        <f t="shared" si="78"/>
        <v>1.7041666666627862</v>
      </c>
      <c r="AG433" s="83">
        <f t="shared" si="79"/>
        <v>7.1000000000931323</v>
      </c>
      <c r="AH433" s="83">
        <f t="shared" si="80"/>
        <v>0</v>
      </c>
      <c r="AI433" s="83">
        <f t="shared" si="81"/>
        <v>7.1000000000931323</v>
      </c>
      <c r="AJ433" s="83">
        <f t="shared" si="82"/>
        <v>21.633802816617631</v>
      </c>
      <c r="AK433" s="83"/>
      <c r="AL433" s="83"/>
      <c r="AM433" s="83"/>
      <c r="AN433" s="83"/>
      <c r="AO433" s="78"/>
    </row>
    <row r="434" spans="1:41" customFormat="1" ht="15" hidden="1" x14ac:dyDescent="0.25">
      <c r="A434" s="82">
        <v>45709</v>
      </c>
      <c r="B434" s="94" t="str">
        <f t="shared" si="72"/>
        <v>February</v>
      </c>
      <c r="C434" s="78"/>
      <c r="D434" s="79" t="s">
        <v>873</v>
      </c>
      <c r="E434" s="80" t="s">
        <v>1016</v>
      </c>
      <c r="F434" s="79" t="s">
        <v>965</v>
      </c>
      <c r="G434" s="79" t="s">
        <v>980</v>
      </c>
      <c r="H434" s="79" t="s">
        <v>1000</v>
      </c>
      <c r="I434" s="79">
        <v>153.6</v>
      </c>
      <c r="J434" s="79" t="s">
        <v>873</v>
      </c>
      <c r="K434" s="80" t="s">
        <v>469</v>
      </c>
      <c r="L434" s="80">
        <v>560</v>
      </c>
      <c r="M434" s="80">
        <f>L434+1</f>
        <v>561</v>
      </c>
      <c r="N434" s="81">
        <f t="shared" si="83"/>
        <v>1</v>
      </c>
      <c r="O434" s="78"/>
      <c r="P434" s="82">
        <f>R434-TIME(0,41,0)</f>
        <v>45708.376388888893</v>
      </c>
      <c r="Q434" s="82">
        <v>45708.154861111114</v>
      </c>
      <c r="R434" s="82">
        <v>45708.404861111114</v>
      </c>
      <c r="S434" s="81">
        <f t="shared" si="73"/>
        <v>358.33333333333331</v>
      </c>
      <c r="T434" s="81">
        <f t="shared" si="74"/>
        <v>40.810185182635905</v>
      </c>
      <c r="U434" s="79"/>
      <c r="V434" s="82">
        <v>45708.795138888891</v>
      </c>
      <c r="W434" s="82">
        <f>V434+TIME(0,174,0)</f>
        <v>45708.915972222225</v>
      </c>
      <c r="X434" s="103">
        <f t="shared" si="75"/>
        <v>170.37500000136788</v>
      </c>
      <c r="Y434" s="82"/>
      <c r="Z434" s="82">
        <v>45709.507638888892</v>
      </c>
      <c r="AA434" s="82">
        <f>Z434+TIME(0,51,0)</f>
        <v>45709.543055555558</v>
      </c>
      <c r="AB434" s="81">
        <f t="shared" si="76"/>
        <v>49.93749999863212</v>
      </c>
      <c r="AC434" s="80"/>
      <c r="AD434" s="83">
        <f t="shared" si="77"/>
        <v>1.1027777777781012</v>
      </c>
      <c r="AE434" s="80">
        <v>3</v>
      </c>
      <c r="AF434" s="84">
        <f t="shared" si="78"/>
        <v>1.8972222222218988</v>
      </c>
      <c r="AG434" s="83">
        <f t="shared" si="79"/>
        <v>26.466666666674428</v>
      </c>
      <c r="AH434" s="83">
        <f t="shared" si="80"/>
        <v>12</v>
      </c>
      <c r="AI434" s="83">
        <f t="shared" si="81"/>
        <v>14.466666666674428</v>
      </c>
      <c r="AJ434" s="83">
        <f t="shared" si="82"/>
        <v>10.617511520731631</v>
      </c>
      <c r="AK434" s="83"/>
      <c r="AL434" s="83"/>
      <c r="AM434" s="83"/>
      <c r="AN434" s="83"/>
      <c r="AO434" s="78"/>
    </row>
    <row r="435" spans="1:41" customFormat="1" ht="15" hidden="1" x14ac:dyDescent="0.25">
      <c r="A435" s="82">
        <v>45709</v>
      </c>
      <c r="B435" s="94" t="str">
        <f t="shared" si="72"/>
        <v>February</v>
      </c>
      <c r="C435" s="78"/>
      <c r="D435" s="79" t="s">
        <v>870</v>
      </c>
      <c r="E435" s="80" t="s">
        <v>1016</v>
      </c>
      <c r="F435" s="79" t="s">
        <v>950</v>
      </c>
      <c r="G435" s="79" t="s">
        <v>967</v>
      </c>
      <c r="H435" s="79" t="s">
        <v>986</v>
      </c>
      <c r="I435" s="79">
        <v>153.6</v>
      </c>
      <c r="J435" s="79" t="s">
        <v>870</v>
      </c>
      <c r="K435" s="80" t="s">
        <v>469</v>
      </c>
      <c r="L435" s="79">
        <v>350</v>
      </c>
      <c r="M435" s="80">
        <f>L435-2</f>
        <v>348</v>
      </c>
      <c r="N435" s="81">
        <f t="shared" si="83"/>
        <v>-2</v>
      </c>
      <c r="O435" s="78"/>
      <c r="P435" s="82">
        <v>45708.375</v>
      </c>
      <c r="Q435" s="82">
        <v>45707.854166666664</v>
      </c>
      <c r="R435" s="82">
        <v>45708.404861111114</v>
      </c>
      <c r="S435" s="81">
        <f t="shared" si="73"/>
        <v>789.32870371111983</v>
      </c>
      <c r="T435" s="81">
        <f t="shared" si="74"/>
        <v>42.80092592986572</v>
      </c>
      <c r="U435" s="79"/>
      <c r="V435" s="82">
        <v>45708.856249999997</v>
      </c>
      <c r="W435" s="82">
        <f>V435+TIME(0,173,0)</f>
        <v>45708.976388888885</v>
      </c>
      <c r="X435" s="103">
        <f t="shared" si="75"/>
        <v>169.39583333150949</v>
      </c>
      <c r="Y435" s="82"/>
      <c r="Z435" s="82">
        <v>45711.647916666669</v>
      </c>
      <c r="AA435" s="82">
        <f>Z435+TIME(0,56,0)</f>
        <v>45711.686805555561</v>
      </c>
      <c r="AB435" s="81">
        <f t="shared" si="76"/>
        <v>54.833333337664953</v>
      </c>
      <c r="AC435" s="80"/>
      <c r="AD435" s="83">
        <f t="shared" si="77"/>
        <v>3.2430555555547471</v>
      </c>
      <c r="AE435" s="80">
        <v>2</v>
      </c>
      <c r="AF435" s="84">
        <f t="shared" si="78"/>
        <v>-1.2430555555547471</v>
      </c>
      <c r="AG435" s="83">
        <f t="shared" si="79"/>
        <v>77.833333333313931</v>
      </c>
      <c r="AH435" s="83">
        <f t="shared" si="80"/>
        <v>36</v>
      </c>
      <c r="AI435" s="83">
        <f t="shared" si="81"/>
        <v>41.833333333313931</v>
      </c>
      <c r="AJ435" s="83">
        <f t="shared" si="82"/>
        <v>3.6717131474120612</v>
      </c>
      <c r="AK435" s="83"/>
      <c r="AL435" s="83"/>
      <c r="AM435" s="83"/>
      <c r="AN435" s="83"/>
      <c r="AO435" s="78"/>
    </row>
    <row r="436" spans="1:41" customFormat="1" ht="15" hidden="1" x14ac:dyDescent="0.25">
      <c r="A436" s="82">
        <v>45710</v>
      </c>
      <c r="B436" s="94" t="str">
        <f t="shared" si="72"/>
        <v>February</v>
      </c>
      <c r="C436" s="78"/>
      <c r="D436" s="79" t="s">
        <v>247</v>
      </c>
      <c r="E436" s="80" t="s">
        <v>1017</v>
      </c>
      <c r="F436" s="79"/>
      <c r="G436" s="79" t="s">
        <v>42</v>
      </c>
      <c r="H436" s="79" t="s">
        <v>462</v>
      </c>
      <c r="I436" s="79">
        <v>156</v>
      </c>
      <c r="J436" s="79" t="s">
        <v>247</v>
      </c>
      <c r="K436" s="80" t="s">
        <v>469</v>
      </c>
      <c r="L436" s="80">
        <v>680</v>
      </c>
      <c r="M436" s="80">
        <f>L436-1</f>
        <v>679</v>
      </c>
      <c r="N436" s="81">
        <f t="shared" si="83"/>
        <v>-1</v>
      </c>
      <c r="O436" s="78"/>
      <c r="P436" s="82">
        <f>R436-TIME(0,41,0)</f>
        <v>45708.376388888893</v>
      </c>
      <c r="Q436" s="82">
        <v>45708.154861111114</v>
      </c>
      <c r="R436" s="82">
        <v>45708.404861111114</v>
      </c>
      <c r="S436" s="81">
        <f t="shared" si="73"/>
        <v>358.33333333333331</v>
      </c>
      <c r="T436" s="81">
        <f t="shared" si="74"/>
        <v>40.810185182635905</v>
      </c>
      <c r="U436" s="79"/>
      <c r="V436" s="82">
        <v>45708.727777777778</v>
      </c>
      <c r="W436" s="82">
        <v>45708.830555555556</v>
      </c>
      <c r="X436" s="103">
        <f t="shared" si="75"/>
        <v>144.91666666712263</v>
      </c>
      <c r="Y436" s="82"/>
      <c r="Z436" s="82">
        <v>45709.321527777778</v>
      </c>
      <c r="AA436" s="82">
        <v>45709.36041666667</v>
      </c>
      <c r="AB436" s="81">
        <f t="shared" si="76"/>
        <v>54.833333337664953</v>
      </c>
      <c r="AC436" s="80"/>
      <c r="AD436" s="83">
        <f t="shared" si="77"/>
        <v>0.91666666666424135</v>
      </c>
      <c r="AE436" s="80">
        <v>3</v>
      </c>
      <c r="AF436" s="84">
        <f t="shared" si="78"/>
        <v>2.0833333333357587</v>
      </c>
      <c r="AG436" s="83">
        <f t="shared" si="79"/>
        <v>21.999999999941792</v>
      </c>
      <c r="AH436" s="83">
        <f t="shared" si="80"/>
        <v>0</v>
      </c>
      <c r="AI436" s="83">
        <f t="shared" si="81"/>
        <v>21.999999999941792</v>
      </c>
      <c r="AJ436" s="83">
        <f t="shared" si="82"/>
        <v>7.0909090909278518</v>
      </c>
      <c r="AK436" s="83"/>
      <c r="AL436" s="83"/>
      <c r="AM436" s="83"/>
      <c r="AN436" s="83"/>
      <c r="AO436" s="78"/>
    </row>
    <row r="437" spans="1:41" customFormat="1" ht="15" hidden="1" x14ac:dyDescent="0.25">
      <c r="A437" s="82">
        <v>45710</v>
      </c>
      <c r="B437" s="94" t="str">
        <f t="shared" si="72"/>
        <v>February</v>
      </c>
      <c r="C437" s="78"/>
      <c r="D437" s="79" t="s">
        <v>248</v>
      </c>
      <c r="E437" s="80" t="s">
        <v>1017</v>
      </c>
      <c r="F437" s="79" t="s">
        <v>1013</v>
      </c>
      <c r="G437" s="79" t="s">
        <v>56</v>
      </c>
      <c r="H437" s="79" t="s">
        <v>452</v>
      </c>
      <c r="I437" s="79">
        <v>156</v>
      </c>
      <c r="J437" s="79" t="s">
        <v>248</v>
      </c>
      <c r="K437" s="80" t="s">
        <v>469</v>
      </c>
      <c r="L437" s="80">
        <v>690</v>
      </c>
      <c r="M437" s="80">
        <f>L437-1</f>
        <v>689</v>
      </c>
      <c r="N437" s="81">
        <f t="shared" si="83"/>
        <v>-1</v>
      </c>
      <c r="O437" s="78"/>
      <c r="P437" s="82">
        <f>R437-TIME(0,43,0)</f>
        <v>45708.422916666663</v>
      </c>
      <c r="Q437" s="82">
        <v>45708.320833333331</v>
      </c>
      <c r="R437" s="82">
        <v>45708.452777777777</v>
      </c>
      <c r="S437" s="81">
        <f t="shared" si="73"/>
        <v>189.12037037152913</v>
      </c>
      <c r="T437" s="81">
        <f t="shared" si="74"/>
        <v>42.80092592986572</v>
      </c>
      <c r="U437" s="79"/>
      <c r="V437" s="82">
        <v>45708.46597222222</v>
      </c>
      <c r="W437" s="82">
        <v>45708.794444444444</v>
      </c>
      <c r="X437" s="103">
        <f t="shared" si="75"/>
        <v>463.14583333492919</v>
      </c>
      <c r="Y437" s="82" t="s">
        <v>1050</v>
      </c>
      <c r="Z437" s="82">
        <v>45708.874305555553</v>
      </c>
      <c r="AA437" s="82">
        <f>Z437+TIME(0,57,0)</f>
        <v>45708.913888888885</v>
      </c>
      <c r="AB437" s="81">
        <f t="shared" si="76"/>
        <v>55.81249999726424</v>
      </c>
      <c r="AC437" s="80"/>
      <c r="AD437" s="83">
        <f t="shared" si="77"/>
        <v>0.42152777777664596</v>
      </c>
      <c r="AE437" s="80">
        <v>3</v>
      </c>
      <c r="AF437" s="84">
        <f t="shared" si="78"/>
        <v>2.578472222223354</v>
      </c>
      <c r="AG437" s="83">
        <f t="shared" si="79"/>
        <v>10.116666666639503</v>
      </c>
      <c r="AH437" s="83">
        <f t="shared" si="80"/>
        <v>0</v>
      </c>
      <c r="AI437" s="83">
        <f t="shared" si="81"/>
        <v>10.116666666639503</v>
      </c>
      <c r="AJ437" s="83">
        <f t="shared" si="82"/>
        <v>15.420098846828882</v>
      </c>
      <c r="AK437" s="83"/>
      <c r="AL437" s="83"/>
      <c r="AM437" s="83"/>
      <c r="AN437" s="83"/>
      <c r="AO437" s="78"/>
    </row>
    <row r="438" spans="1:41" customFormat="1" ht="15" hidden="1" x14ac:dyDescent="0.25">
      <c r="A438" s="82">
        <v>45710</v>
      </c>
      <c r="B438" s="94" t="str">
        <f t="shared" si="72"/>
        <v>February</v>
      </c>
      <c r="C438" s="78"/>
      <c r="D438" s="79" t="s">
        <v>249</v>
      </c>
      <c r="E438" s="80" t="s">
        <v>1017</v>
      </c>
      <c r="F438" s="79"/>
      <c r="G438" s="79" t="s">
        <v>58</v>
      </c>
      <c r="H438" s="79" t="s">
        <v>464</v>
      </c>
      <c r="I438" s="79">
        <v>43.2</v>
      </c>
      <c r="J438" s="79" t="s">
        <v>249</v>
      </c>
      <c r="K438" s="80" t="s">
        <v>469</v>
      </c>
      <c r="L438" s="79">
        <v>256</v>
      </c>
      <c r="M438" s="80">
        <f>L438+2</f>
        <v>258</v>
      </c>
      <c r="N438" s="81">
        <f t="shared" si="83"/>
        <v>2</v>
      </c>
      <c r="O438" s="78"/>
      <c r="P438" s="82">
        <f>R438-TIME(0,43,0)</f>
        <v>45708.908333333333</v>
      </c>
      <c r="Q438" s="82">
        <v>45708.104166666664</v>
      </c>
      <c r="R438" s="82">
        <v>45708.938194444447</v>
      </c>
      <c r="S438" s="81">
        <f t="shared" si="73"/>
        <v>1195.4398148215357</v>
      </c>
      <c r="T438" s="81">
        <f t="shared" si="74"/>
        <v>42.80092592986572</v>
      </c>
      <c r="U438" s="79"/>
      <c r="V438" s="82">
        <v>45708.684027777781</v>
      </c>
      <c r="W438" s="82">
        <f>V438+TIME(0,180,0)</f>
        <v>45708.809027777781</v>
      </c>
      <c r="X438" s="103">
        <f t="shared" si="75"/>
        <v>176.25</v>
      </c>
      <c r="Y438" s="82"/>
      <c r="Z438" s="82">
        <v>45709.862500000003</v>
      </c>
      <c r="AA438" s="82">
        <f>Z438+TIME(0,60,0)</f>
        <v>45709.904166666667</v>
      </c>
      <c r="AB438" s="81">
        <f t="shared" si="76"/>
        <v>58.7499999965803</v>
      </c>
      <c r="AC438" s="80"/>
      <c r="AD438" s="83">
        <f t="shared" si="77"/>
        <v>0.92430555555620231</v>
      </c>
      <c r="AE438" s="80">
        <v>2</v>
      </c>
      <c r="AF438" s="84">
        <f t="shared" si="78"/>
        <v>1.0756944444437977</v>
      </c>
      <c r="AG438" s="83">
        <f t="shared" si="79"/>
        <v>22.183333333348855</v>
      </c>
      <c r="AH438" s="83">
        <f t="shared" si="80"/>
        <v>0</v>
      </c>
      <c r="AI438" s="83">
        <f t="shared" si="81"/>
        <v>22.183333333348855</v>
      </c>
      <c r="AJ438" s="83">
        <f t="shared" si="82"/>
        <v>1.9474079639355271</v>
      </c>
      <c r="AK438" s="83"/>
      <c r="AL438" s="83"/>
      <c r="AM438" s="83"/>
      <c r="AN438" s="83"/>
      <c r="AO438" s="78"/>
    </row>
    <row r="439" spans="1:41" customFormat="1" ht="15" hidden="1" x14ac:dyDescent="0.25">
      <c r="A439" s="82">
        <v>45710</v>
      </c>
      <c r="B439" s="94" t="str">
        <f t="shared" si="72"/>
        <v>February</v>
      </c>
      <c r="C439" s="78"/>
      <c r="D439" s="79" t="s">
        <v>250</v>
      </c>
      <c r="E439" s="80" t="s">
        <v>1017</v>
      </c>
      <c r="F439" s="79" t="s">
        <v>1033</v>
      </c>
      <c r="G439" s="79" t="s">
        <v>41</v>
      </c>
      <c r="H439" s="79" t="s">
        <v>452</v>
      </c>
      <c r="I439" s="79">
        <v>156</v>
      </c>
      <c r="J439" s="79" t="s">
        <v>250</v>
      </c>
      <c r="K439" s="80" t="s">
        <v>469</v>
      </c>
      <c r="L439" s="80">
        <v>690</v>
      </c>
      <c r="M439" s="80">
        <f>L439-2</f>
        <v>688</v>
      </c>
      <c r="N439" s="81">
        <f t="shared" si="83"/>
        <v>-2</v>
      </c>
      <c r="O439" s="78"/>
      <c r="P439" s="82">
        <f>R439-TIME(0,40,0)</f>
        <v>45709.503472222219</v>
      </c>
      <c r="Q439" s="82">
        <v>45709.518055555556</v>
      </c>
      <c r="R439" s="82">
        <v>45709.53125</v>
      </c>
      <c r="S439" s="81">
        <f t="shared" si="73"/>
        <v>18.912037036110025</v>
      </c>
      <c r="T439" s="81">
        <f t="shared" si="74"/>
        <v>39.814814819449872</v>
      </c>
      <c r="U439" s="79"/>
      <c r="V439" s="82">
        <v>45710.508333333331</v>
      </c>
      <c r="W439" s="82">
        <v>45710.837500000001</v>
      </c>
      <c r="X439" s="103">
        <f t="shared" si="75"/>
        <v>464.12500000478758</v>
      </c>
      <c r="Y439" s="82" t="s">
        <v>1044</v>
      </c>
      <c r="Z439" s="82">
        <v>45710.754861111112</v>
      </c>
      <c r="AA439" s="82">
        <f>Z439+TIME(0,53,0)</f>
        <v>45710.791666666672</v>
      </c>
      <c r="AB439" s="81">
        <f t="shared" si="76"/>
        <v>51.895833338348893</v>
      </c>
      <c r="AC439" s="80"/>
      <c r="AD439" s="83">
        <f t="shared" si="77"/>
        <v>1.2236111111124046</v>
      </c>
      <c r="AE439" s="80">
        <v>2</v>
      </c>
      <c r="AF439" s="84">
        <f t="shared" si="78"/>
        <v>0.77638888888759539</v>
      </c>
      <c r="AG439" s="83">
        <f t="shared" si="79"/>
        <v>29.366666666697711</v>
      </c>
      <c r="AH439" s="83">
        <f t="shared" si="80"/>
        <v>12</v>
      </c>
      <c r="AI439" s="83">
        <f t="shared" si="81"/>
        <v>17.366666666697711</v>
      </c>
      <c r="AJ439" s="83">
        <f t="shared" si="82"/>
        <v>8.9827255278150364</v>
      </c>
      <c r="AK439" s="83"/>
      <c r="AL439" s="83"/>
      <c r="AM439" s="83"/>
      <c r="AN439" s="83"/>
      <c r="AO439" s="78"/>
    </row>
    <row r="440" spans="1:41" customFormat="1" ht="15" hidden="1" x14ac:dyDescent="0.25">
      <c r="A440" s="82">
        <v>45710</v>
      </c>
      <c r="B440" s="94" t="str">
        <f t="shared" si="72"/>
        <v>February</v>
      </c>
      <c r="C440" s="78"/>
      <c r="D440" s="79" t="s">
        <v>251</v>
      </c>
      <c r="E440" s="80" t="s">
        <v>1017</v>
      </c>
      <c r="F440" s="79"/>
      <c r="G440" s="79" t="s">
        <v>49</v>
      </c>
      <c r="H440" s="79" t="s">
        <v>451</v>
      </c>
      <c r="I440" s="79">
        <v>156</v>
      </c>
      <c r="J440" s="79" t="s">
        <v>251</v>
      </c>
      <c r="K440" s="80" t="s">
        <v>469</v>
      </c>
      <c r="L440" s="80">
        <v>790</v>
      </c>
      <c r="M440" s="80">
        <f>L440-1</f>
        <v>789</v>
      </c>
      <c r="N440" s="81">
        <f t="shared" si="83"/>
        <v>-1</v>
      </c>
      <c r="O440" s="78"/>
      <c r="P440" s="82">
        <f>R440-TIME(0,65,0)</f>
        <v>45710.311805555553</v>
      </c>
      <c r="Q440" s="82">
        <v>45710.337500000001</v>
      </c>
      <c r="R440" s="82">
        <v>45710.356944444444</v>
      </c>
      <c r="S440" s="81">
        <f t="shared" si="73"/>
        <v>27.870370367357584</v>
      </c>
      <c r="T440" s="81">
        <f t="shared" si="74"/>
        <v>64.699074076391597</v>
      </c>
      <c r="U440" s="79"/>
      <c r="V440" s="82">
        <v>45709.729861111111</v>
      </c>
      <c r="W440" s="82">
        <v>45709.817361111112</v>
      </c>
      <c r="X440" s="103">
        <f t="shared" si="75"/>
        <v>123.37500000205182</v>
      </c>
      <c r="Y440" s="82"/>
      <c r="Z440" s="82">
        <v>45710.493750000001</v>
      </c>
      <c r="AA440" s="82">
        <v>45710.529166666667</v>
      </c>
      <c r="AB440" s="81">
        <f t="shared" si="76"/>
        <v>49.93749999863212</v>
      </c>
      <c r="AC440" s="80"/>
      <c r="AD440" s="83">
        <f t="shared" si="77"/>
        <v>0.1368055555576575</v>
      </c>
      <c r="AE440" s="80">
        <v>2</v>
      </c>
      <c r="AF440" s="84">
        <f t="shared" si="78"/>
        <v>1.8631944444423425</v>
      </c>
      <c r="AG440" s="83">
        <f t="shared" si="79"/>
        <v>3.28333333338378</v>
      </c>
      <c r="AH440" s="83">
        <f t="shared" si="80"/>
        <v>0</v>
      </c>
      <c r="AI440" s="83">
        <f t="shared" si="81"/>
        <v>3.28333333338378</v>
      </c>
      <c r="AJ440" s="83">
        <f t="shared" si="82"/>
        <v>47.51269035459994</v>
      </c>
      <c r="AK440" s="83"/>
      <c r="AL440" s="83"/>
      <c r="AM440" s="83"/>
      <c r="AN440" s="83"/>
      <c r="AO440" s="78"/>
    </row>
    <row r="441" spans="1:41" customFormat="1" ht="15" hidden="1" x14ac:dyDescent="0.25">
      <c r="A441" s="82">
        <v>45710</v>
      </c>
      <c r="B441" s="94" t="str">
        <f t="shared" si="72"/>
        <v>February</v>
      </c>
      <c r="C441" s="78"/>
      <c r="D441" s="79" t="s">
        <v>252</v>
      </c>
      <c r="E441" s="80" t="s">
        <v>1017</v>
      </c>
      <c r="F441" s="79" t="s">
        <v>1037</v>
      </c>
      <c r="G441" s="79" t="s">
        <v>59</v>
      </c>
      <c r="H441" s="79" t="s">
        <v>987</v>
      </c>
      <c r="I441" s="79">
        <v>156</v>
      </c>
      <c r="J441" s="79" t="s">
        <v>252</v>
      </c>
      <c r="K441" s="80" t="s">
        <v>469</v>
      </c>
      <c r="L441" s="79">
        <v>320</v>
      </c>
      <c r="M441" s="80">
        <f>L441+1</f>
        <v>321</v>
      </c>
      <c r="N441" s="81">
        <f t="shared" si="83"/>
        <v>1</v>
      </c>
      <c r="O441" s="78"/>
      <c r="P441" s="82">
        <f>R441-TIME(0,44,0)</f>
        <v>45709.959722222222</v>
      </c>
      <c r="Q441" s="82">
        <v>45709.981944444444</v>
      </c>
      <c r="R441" s="82">
        <v>45709.990277777775</v>
      </c>
      <c r="S441" s="81">
        <f t="shared" si="73"/>
        <v>11.944444441663412</v>
      </c>
      <c r="T441" s="81">
        <f t="shared" si="74"/>
        <v>43.796296293051761</v>
      </c>
      <c r="U441" s="79"/>
      <c r="V441" s="82">
        <v>45709.558333333334</v>
      </c>
      <c r="W441" s="82">
        <v>45709.698611111111</v>
      </c>
      <c r="X441" s="103">
        <f t="shared" si="75"/>
        <v>197.79166666507081</v>
      </c>
      <c r="Y441" s="82" t="s">
        <v>1044</v>
      </c>
      <c r="Z441" s="82">
        <v>45710.318055555559</v>
      </c>
      <c r="AA441" s="82">
        <f>Z441+TIME(0,57,0)</f>
        <v>45710.357638888891</v>
      </c>
      <c r="AB441" s="81">
        <f t="shared" si="76"/>
        <v>55.81249999726424</v>
      </c>
      <c r="AC441" s="80"/>
      <c r="AD441" s="83">
        <f t="shared" si="77"/>
        <v>0.32777777778392192</v>
      </c>
      <c r="AE441" s="80">
        <v>2</v>
      </c>
      <c r="AF441" s="84">
        <f t="shared" si="78"/>
        <v>1.6722222222160781</v>
      </c>
      <c r="AG441" s="83">
        <f t="shared" si="79"/>
        <v>7.8666666668141261</v>
      </c>
      <c r="AH441" s="83">
        <f t="shared" si="80"/>
        <v>0</v>
      </c>
      <c r="AI441" s="83">
        <f t="shared" si="81"/>
        <v>7.8666666668141261</v>
      </c>
      <c r="AJ441" s="83">
        <f t="shared" si="82"/>
        <v>19.830508474204553</v>
      </c>
      <c r="AK441" s="83"/>
      <c r="AL441" s="83"/>
      <c r="AM441" s="83"/>
      <c r="AN441" s="83"/>
      <c r="AO441" s="78"/>
    </row>
    <row r="442" spans="1:41" customFormat="1" ht="15" hidden="1" x14ac:dyDescent="0.25">
      <c r="A442" s="82">
        <v>45710</v>
      </c>
      <c r="B442" s="94" t="str">
        <f t="shared" si="72"/>
        <v>February</v>
      </c>
      <c r="C442" s="78"/>
      <c r="D442" s="79" t="s">
        <v>253</v>
      </c>
      <c r="E442" s="80" t="s">
        <v>1017</v>
      </c>
      <c r="F442" s="79" t="s">
        <v>1028</v>
      </c>
      <c r="G442" s="79" t="s">
        <v>45</v>
      </c>
      <c r="H442" s="79" t="s">
        <v>987</v>
      </c>
      <c r="I442" s="79">
        <v>156</v>
      </c>
      <c r="J442" s="79" t="s">
        <v>253</v>
      </c>
      <c r="K442" s="80" t="s">
        <v>469</v>
      </c>
      <c r="L442" s="79">
        <v>320</v>
      </c>
      <c r="M442" s="80">
        <f>L442-1</f>
        <v>319</v>
      </c>
      <c r="N442" s="81">
        <f t="shared" si="83"/>
        <v>-1</v>
      </c>
      <c r="O442" s="78"/>
      <c r="P442" s="82">
        <f>R442-TIME(0,41,0)</f>
        <v>45709.788194444445</v>
      </c>
      <c r="Q442" s="82">
        <v>45709.802083333336</v>
      </c>
      <c r="R442" s="82">
        <v>45709.816666666666</v>
      </c>
      <c r="S442" s="81">
        <f t="shared" si="73"/>
        <v>20.902777772910969</v>
      </c>
      <c r="T442" s="81">
        <f t="shared" si="74"/>
        <v>40.810185182635905</v>
      </c>
      <c r="U442" s="79"/>
      <c r="V442" s="82">
        <v>45708.9</v>
      </c>
      <c r="W442" s="82">
        <v>45709.45416666667</v>
      </c>
      <c r="X442" s="103">
        <f t="shared" si="75"/>
        <v>781.37500000273576</v>
      </c>
      <c r="Y442" s="82" t="s">
        <v>1038</v>
      </c>
      <c r="Z442" s="82">
        <v>45710.640277777777</v>
      </c>
      <c r="AA442" s="82">
        <f>Z442+TIME(0,57,0)</f>
        <v>45710.679861111108</v>
      </c>
      <c r="AB442" s="81">
        <f t="shared" si="76"/>
        <v>55.81249999726424</v>
      </c>
      <c r="AC442" s="80"/>
      <c r="AD442" s="83">
        <f t="shared" si="77"/>
        <v>0.82361111111094942</v>
      </c>
      <c r="AE442" s="80">
        <v>2</v>
      </c>
      <c r="AF442" s="84">
        <f t="shared" si="78"/>
        <v>1.1763888888890506</v>
      </c>
      <c r="AG442" s="83">
        <f t="shared" si="79"/>
        <v>19.766666666662786</v>
      </c>
      <c r="AH442" s="83">
        <f t="shared" si="80"/>
        <v>0</v>
      </c>
      <c r="AI442" s="83">
        <f t="shared" si="81"/>
        <v>19.766666666662786</v>
      </c>
      <c r="AJ442" s="83">
        <f t="shared" si="82"/>
        <v>7.8920741989897447</v>
      </c>
      <c r="AK442" s="83"/>
      <c r="AL442" s="83"/>
      <c r="AM442" s="83"/>
      <c r="AN442" s="83"/>
      <c r="AO442" s="78"/>
    </row>
    <row r="443" spans="1:41" customFormat="1" ht="15" hidden="1" x14ac:dyDescent="0.25">
      <c r="A443" s="82">
        <v>45710</v>
      </c>
      <c r="B443" s="94" t="str">
        <f t="shared" si="72"/>
        <v>February</v>
      </c>
      <c r="C443" s="78"/>
      <c r="D443" s="79" t="s">
        <v>254</v>
      </c>
      <c r="E443" s="80" t="s">
        <v>1017</v>
      </c>
      <c r="F443" s="79" t="s">
        <v>1030</v>
      </c>
      <c r="G443" s="79" t="s">
        <v>55</v>
      </c>
      <c r="H443" s="79" t="s">
        <v>455</v>
      </c>
      <c r="I443" s="79">
        <v>117</v>
      </c>
      <c r="J443" s="79" t="s">
        <v>254</v>
      </c>
      <c r="K443" s="80" t="s">
        <v>469</v>
      </c>
      <c r="L443" s="80">
        <v>580</v>
      </c>
      <c r="M443" s="80">
        <f>L443+1</f>
        <v>581</v>
      </c>
      <c r="N443" s="81">
        <f t="shared" si="83"/>
        <v>1</v>
      </c>
      <c r="O443" s="78"/>
      <c r="P443" s="82">
        <f>R443-TIME(0,43,0)</f>
        <v>45709.895833333328</v>
      </c>
      <c r="Q443" s="82">
        <v>45709.866666666661</v>
      </c>
      <c r="R443" s="82">
        <v>45709.925694444442</v>
      </c>
      <c r="S443" s="81">
        <f t="shared" si="73"/>
        <v>84.606481486116536</v>
      </c>
      <c r="T443" s="81">
        <f t="shared" si="74"/>
        <v>42.80092592986572</v>
      </c>
      <c r="U443" s="79"/>
      <c r="V443" s="82">
        <v>45709.439583333333</v>
      </c>
      <c r="W443" s="82">
        <v>45709.543055555558</v>
      </c>
      <c r="X443" s="103">
        <f t="shared" si="75"/>
        <v>145.89583333698101</v>
      </c>
      <c r="Y443" s="82"/>
      <c r="Z443" s="82">
        <v>45710.476388888892</v>
      </c>
      <c r="AA443" s="82">
        <f>Z443+TIME(0,53,0)</f>
        <v>45710.513194444451</v>
      </c>
      <c r="AB443" s="81">
        <f t="shared" si="76"/>
        <v>51.895833338348893</v>
      </c>
      <c r="AC443" s="80"/>
      <c r="AD443" s="83">
        <f t="shared" si="77"/>
        <v>0.55069444444961846</v>
      </c>
      <c r="AE443" s="80">
        <v>2</v>
      </c>
      <c r="AF443" s="84">
        <f t="shared" si="78"/>
        <v>1.4493055555503815</v>
      </c>
      <c r="AG443" s="83">
        <f t="shared" si="79"/>
        <v>13.216666666790843</v>
      </c>
      <c r="AH443" s="83">
        <f t="shared" si="80"/>
        <v>0</v>
      </c>
      <c r="AI443" s="83">
        <f t="shared" si="81"/>
        <v>13.216666666790843</v>
      </c>
      <c r="AJ443" s="83">
        <f t="shared" si="82"/>
        <v>8.8524590163102701</v>
      </c>
      <c r="AK443" s="83"/>
      <c r="AL443" s="83"/>
      <c r="AM443" s="83"/>
      <c r="AN443" s="83"/>
      <c r="AO443" s="78"/>
    </row>
    <row r="444" spans="1:41" customFormat="1" ht="15" hidden="1" x14ac:dyDescent="0.25">
      <c r="A444" s="82">
        <v>45710</v>
      </c>
      <c r="B444" s="94" t="str">
        <f t="shared" si="72"/>
        <v>February</v>
      </c>
      <c r="C444" s="78"/>
      <c r="D444" s="79" t="s">
        <v>255</v>
      </c>
      <c r="E444" s="80" t="s">
        <v>1017</v>
      </c>
      <c r="F444" s="79" t="s">
        <v>1034</v>
      </c>
      <c r="G444" s="79" t="s">
        <v>53</v>
      </c>
      <c r="H444" s="79" t="s">
        <v>461</v>
      </c>
      <c r="I444" s="79">
        <v>156</v>
      </c>
      <c r="J444" s="79" t="s">
        <v>255</v>
      </c>
      <c r="K444" s="80" t="s">
        <v>469</v>
      </c>
      <c r="L444" s="80">
        <v>298</v>
      </c>
      <c r="M444" s="80">
        <f>L444-2</f>
        <v>296</v>
      </c>
      <c r="N444" s="81">
        <f t="shared" si="83"/>
        <v>-2</v>
      </c>
      <c r="O444" s="78"/>
      <c r="P444" s="82">
        <f>R444-TIME(0,43,0)</f>
        <v>45709.88958333333</v>
      </c>
      <c r="Q444" s="82">
        <v>45709.9</v>
      </c>
      <c r="R444" s="82">
        <v>45709.919444444444</v>
      </c>
      <c r="S444" s="81">
        <f t="shared" si="73"/>
        <v>27.870370367357584</v>
      </c>
      <c r="T444" s="81">
        <f t="shared" si="74"/>
        <v>42.80092592986572</v>
      </c>
      <c r="U444" s="79"/>
      <c r="V444" s="82">
        <v>45710.449305555558</v>
      </c>
      <c r="W444" s="82">
        <v>45710.702777777777</v>
      </c>
      <c r="X444" s="103">
        <f t="shared" si="75"/>
        <v>357.39583332877373</v>
      </c>
      <c r="Y444" s="82" t="s">
        <v>1044</v>
      </c>
      <c r="Z444" s="82">
        <v>45710.586805555555</v>
      </c>
      <c r="AA444" s="82">
        <f>Z444+TIME(0,55,0)</f>
        <v>45710.625</v>
      </c>
      <c r="AB444" s="81">
        <f t="shared" si="76"/>
        <v>53.854166667806567</v>
      </c>
      <c r="AC444" s="80"/>
      <c r="AD444" s="83">
        <f t="shared" si="77"/>
        <v>0.66736111111094942</v>
      </c>
      <c r="AE444" s="80">
        <v>2</v>
      </c>
      <c r="AF444" s="84">
        <f t="shared" si="78"/>
        <v>1.3326388888890506</v>
      </c>
      <c r="AG444" s="83">
        <f t="shared" si="79"/>
        <v>16.016666666662786</v>
      </c>
      <c r="AH444" s="83">
        <f t="shared" si="80"/>
        <v>0</v>
      </c>
      <c r="AI444" s="83">
        <f t="shared" si="81"/>
        <v>16.016666666662786</v>
      </c>
      <c r="AJ444" s="83">
        <f t="shared" si="82"/>
        <v>9.7398543184206741</v>
      </c>
      <c r="AK444" s="83"/>
      <c r="AL444" s="83"/>
      <c r="AM444" s="83"/>
      <c r="AN444" s="83"/>
      <c r="AO444" s="78"/>
    </row>
    <row r="445" spans="1:41" customFormat="1" ht="15" hidden="1" x14ac:dyDescent="0.25">
      <c r="A445" s="82">
        <v>45710</v>
      </c>
      <c r="B445" s="94" t="str">
        <f t="shared" si="72"/>
        <v>February</v>
      </c>
      <c r="C445" s="78"/>
      <c r="D445" s="79" t="s">
        <v>256</v>
      </c>
      <c r="E445" s="80" t="s">
        <v>1017</v>
      </c>
      <c r="F445" s="79" t="s">
        <v>960</v>
      </c>
      <c r="G445" s="79" t="s">
        <v>62</v>
      </c>
      <c r="H445" s="79" t="s">
        <v>458</v>
      </c>
      <c r="I445" s="79">
        <v>156</v>
      </c>
      <c r="J445" s="79" t="s">
        <v>256</v>
      </c>
      <c r="K445" s="80" t="s">
        <v>469</v>
      </c>
      <c r="L445" s="80">
        <v>448</v>
      </c>
      <c r="M445" s="80">
        <f>L445-3</f>
        <v>445</v>
      </c>
      <c r="N445" s="81">
        <f t="shared" si="83"/>
        <v>-3</v>
      </c>
      <c r="O445" s="78"/>
      <c r="P445" s="82">
        <f>R445-TIME(0,43,0)</f>
        <v>45709.865972222222</v>
      </c>
      <c r="Q445" s="82">
        <v>45709.890277777777</v>
      </c>
      <c r="R445" s="82">
        <v>45709.895833333336</v>
      </c>
      <c r="S445" s="81">
        <f t="shared" si="73"/>
        <v>7.9629629680615226</v>
      </c>
      <c r="T445" s="81">
        <f t="shared" si="74"/>
        <v>42.80092592986572</v>
      </c>
      <c r="U445" s="79"/>
      <c r="V445" s="82">
        <v>45709.452777777777</v>
      </c>
      <c r="W445" s="82">
        <v>45709.79583333333</v>
      </c>
      <c r="X445" s="103">
        <f t="shared" si="75"/>
        <v>483.70833333014161</v>
      </c>
      <c r="Y445" s="82" t="s">
        <v>1052</v>
      </c>
      <c r="Z445" s="82">
        <v>45712.717361111114</v>
      </c>
      <c r="AA445" s="82">
        <f>Z445+TIME(0,52,0)</f>
        <v>45712.753472222226</v>
      </c>
      <c r="AB445" s="81">
        <f t="shared" si="76"/>
        <v>50.916666668490507</v>
      </c>
      <c r="AC445" s="80"/>
      <c r="AD445" s="83">
        <f t="shared" si="77"/>
        <v>2.8215277777781012</v>
      </c>
      <c r="AE445" s="80">
        <v>2</v>
      </c>
      <c r="AF445" s="84">
        <f t="shared" si="78"/>
        <v>-0.82152777777810115</v>
      </c>
      <c r="AG445" s="83">
        <f t="shared" si="79"/>
        <v>67.716666666674428</v>
      </c>
      <c r="AH445" s="83">
        <f t="shared" si="80"/>
        <v>24</v>
      </c>
      <c r="AI445" s="83">
        <f t="shared" si="81"/>
        <v>43.716666666674428</v>
      </c>
      <c r="AJ445" s="83">
        <f t="shared" si="82"/>
        <v>3.5684330918788936</v>
      </c>
      <c r="AK445" s="83"/>
      <c r="AL445" s="83"/>
      <c r="AM445" s="83"/>
      <c r="AN445" s="83"/>
      <c r="AO445" s="78"/>
    </row>
    <row r="446" spans="1:41" customFormat="1" ht="15" hidden="1" x14ac:dyDescent="0.25">
      <c r="A446" s="82">
        <v>45710</v>
      </c>
      <c r="B446" s="94" t="str">
        <f t="shared" si="72"/>
        <v>February</v>
      </c>
      <c r="C446" s="78"/>
      <c r="D446" s="79" t="s">
        <v>257</v>
      </c>
      <c r="E446" s="80" t="s">
        <v>1017</v>
      </c>
      <c r="F446" s="79"/>
      <c r="G446" s="79" t="s">
        <v>47</v>
      </c>
      <c r="H446" s="79" t="s">
        <v>460</v>
      </c>
      <c r="I446" s="79">
        <v>156</v>
      </c>
      <c r="J446" s="79" t="s">
        <v>257</v>
      </c>
      <c r="K446" s="80" t="s">
        <v>469</v>
      </c>
      <c r="L446" s="80">
        <v>600</v>
      </c>
      <c r="M446" s="80">
        <f>L446+2</f>
        <v>602</v>
      </c>
      <c r="N446" s="81">
        <f t="shared" si="83"/>
        <v>2</v>
      </c>
      <c r="O446" s="78"/>
      <c r="P446" s="82">
        <f>R446-TIME(0,44,0)</f>
        <v>45709.863888888889</v>
      </c>
      <c r="Q446" s="82">
        <v>45709.886111111111</v>
      </c>
      <c r="R446" s="82">
        <v>45709.894444444442</v>
      </c>
      <c r="S446" s="81">
        <f t="shared" si="73"/>
        <v>11.944444441663412</v>
      </c>
      <c r="T446" s="81">
        <f t="shared" si="74"/>
        <v>43.796296293051761</v>
      </c>
      <c r="U446" s="79"/>
      <c r="V446" s="82">
        <v>45709.661805555559</v>
      </c>
      <c r="W446" s="82">
        <f>V446+TIME(0,174,0)</f>
        <v>45709.782638888893</v>
      </c>
      <c r="X446" s="103">
        <f t="shared" si="75"/>
        <v>170.37500000136788</v>
      </c>
      <c r="Y446" s="82"/>
      <c r="Z446" s="82">
        <v>45710.487500000003</v>
      </c>
      <c r="AA446" s="82">
        <v>45710.522916666669</v>
      </c>
      <c r="AB446" s="81">
        <f t="shared" si="76"/>
        <v>49.93749999863212</v>
      </c>
      <c r="AC446" s="80"/>
      <c r="AD446" s="83">
        <f t="shared" si="77"/>
        <v>0.59305555556056788</v>
      </c>
      <c r="AE446" s="80">
        <v>3</v>
      </c>
      <c r="AF446" s="84">
        <f t="shared" si="78"/>
        <v>2.4069444444394321</v>
      </c>
      <c r="AG446" s="83">
        <f t="shared" si="79"/>
        <v>14.233333333453629</v>
      </c>
      <c r="AH446" s="83">
        <f t="shared" si="80"/>
        <v>0</v>
      </c>
      <c r="AI446" s="83">
        <f t="shared" si="81"/>
        <v>14.233333333453629</v>
      </c>
      <c r="AJ446" s="83">
        <f t="shared" si="82"/>
        <v>10.960187353537345</v>
      </c>
      <c r="AK446" s="83"/>
      <c r="AL446" s="83"/>
      <c r="AM446" s="83"/>
      <c r="AN446" s="83"/>
      <c r="AO446" s="78"/>
    </row>
    <row r="447" spans="1:41" customFormat="1" ht="15" hidden="1" x14ac:dyDescent="0.25">
      <c r="A447" s="82">
        <v>45710</v>
      </c>
      <c r="B447" s="94" t="str">
        <f t="shared" si="72"/>
        <v>February</v>
      </c>
      <c r="C447" s="78"/>
      <c r="D447" s="79" t="s">
        <v>258</v>
      </c>
      <c r="E447" s="80" t="s">
        <v>1017</v>
      </c>
      <c r="F447" s="79"/>
      <c r="G447" s="79" t="s">
        <v>35</v>
      </c>
      <c r="H447" s="79" t="s">
        <v>458</v>
      </c>
      <c r="I447" s="79">
        <v>156</v>
      </c>
      <c r="J447" s="79" t="s">
        <v>258</v>
      </c>
      <c r="K447" s="80" t="s">
        <v>469</v>
      </c>
      <c r="L447" s="80">
        <v>448</v>
      </c>
      <c r="M447" s="80">
        <f>L447-3</f>
        <v>445</v>
      </c>
      <c r="N447" s="81">
        <f t="shared" si="83"/>
        <v>-3</v>
      </c>
      <c r="O447" s="78"/>
      <c r="P447" s="82">
        <f>R447-TIME(0,44,0)</f>
        <v>45709.796527777777</v>
      </c>
      <c r="Q447" s="82">
        <v>45709.8125</v>
      </c>
      <c r="R447" s="82">
        <v>45709.82708333333</v>
      </c>
      <c r="S447" s="81">
        <f t="shared" si="73"/>
        <v>20.902777772910969</v>
      </c>
      <c r="T447" s="81">
        <f t="shared" si="74"/>
        <v>43.796296293051761</v>
      </c>
      <c r="U447" s="79"/>
      <c r="V447" s="82">
        <v>45710.638194444444</v>
      </c>
      <c r="W447" s="82">
        <v>45710.725694444445</v>
      </c>
      <c r="X447" s="103">
        <f t="shared" si="75"/>
        <v>123.37500000205182</v>
      </c>
      <c r="Y447" s="82"/>
      <c r="Z447" s="82">
        <v>45711.661111111112</v>
      </c>
      <c r="AA447" s="82">
        <v>45711.698611111111</v>
      </c>
      <c r="AB447" s="81">
        <f t="shared" si="76"/>
        <v>52.87499999794818</v>
      </c>
      <c r="AC447" s="80"/>
      <c r="AD447" s="83">
        <f t="shared" si="77"/>
        <v>1.8340277777824667</v>
      </c>
      <c r="AE447" s="80">
        <v>2</v>
      </c>
      <c r="AF447" s="84">
        <f t="shared" si="78"/>
        <v>0.16597222221753327</v>
      </c>
      <c r="AG447" s="83">
        <f t="shared" si="79"/>
        <v>44.016666666779201</v>
      </c>
      <c r="AH447" s="83">
        <f t="shared" si="80"/>
        <v>12</v>
      </c>
      <c r="AI447" s="83">
        <f t="shared" si="81"/>
        <v>32.016666666779201</v>
      </c>
      <c r="AJ447" s="83">
        <f t="shared" si="82"/>
        <v>4.8724622592228535</v>
      </c>
      <c r="AK447" s="83"/>
      <c r="AL447" s="83"/>
      <c r="AM447" s="83"/>
      <c r="AN447" s="83"/>
      <c r="AO447" s="78"/>
    </row>
    <row r="448" spans="1:41" customFormat="1" ht="15" hidden="1" x14ac:dyDescent="0.25">
      <c r="A448" s="82">
        <v>45710</v>
      </c>
      <c r="B448" s="94" t="str">
        <f t="shared" si="72"/>
        <v>February</v>
      </c>
      <c r="C448" s="78"/>
      <c r="D448" s="79" t="s">
        <v>881</v>
      </c>
      <c r="E448" s="80" t="s">
        <v>1016</v>
      </c>
      <c r="F448" s="79" t="s">
        <v>950</v>
      </c>
      <c r="G448" s="79" t="s">
        <v>967</v>
      </c>
      <c r="H448" s="79" t="s">
        <v>1002</v>
      </c>
      <c r="I448" s="79">
        <v>153.6</v>
      </c>
      <c r="J448" s="79" t="s">
        <v>881</v>
      </c>
      <c r="K448" s="80" t="s">
        <v>469</v>
      </c>
      <c r="L448" s="80">
        <v>560</v>
      </c>
      <c r="M448" s="80">
        <f>L448+2</f>
        <v>562</v>
      </c>
      <c r="N448" s="81">
        <f t="shared" si="83"/>
        <v>2</v>
      </c>
      <c r="O448" s="78"/>
      <c r="P448" s="82">
        <f>R448-TIME(0,41,0)</f>
        <v>45709.582638888889</v>
      </c>
      <c r="Q448" s="82">
        <v>45709.591666666667</v>
      </c>
      <c r="R448" s="82">
        <v>45709.611111111109</v>
      </c>
      <c r="S448" s="81">
        <f t="shared" si="73"/>
        <v>27.870370367357584</v>
      </c>
      <c r="T448" s="81">
        <f t="shared" si="74"/>
        <v>40.810185182635905</v>
      </c>
      <c r="U448" s="79"/>
      <c r="V448" s="82">
        <v>45710.367361111108</v>
      </c>
      <c r="W448" s="82">
        <v>45710.523611111108</v>
      </c>
      <c r="X448" s="103">
        <f t="shared" si="75"/>
        <v>220.3125</v>
      </c>
      <c r="Y448" s="82" t="s">
        <v>1039</v>
      </c>
      <c r="Z448" s="82">
        <v>45710.810416666667</v>
      </c>
      <c r="AA448" s="82">
        <v>45710.845833333333</v>
      </c>
      <c r="AB448" s="81">
        <f t="shared" si="76"/>
        <v>49.93749999863212</v>
      </c>
      <c r="AC448" s="80"/>
      <c r="AD448" s="83">
        <f t="shared" si="77"/>
        <v>1.1993055555576575</v>
      </c>
      <c r="AE448" s="80">
        <v>2</v>
      </c>
      <c r="AF448" s="84">
        <f t="shared" si="78"/>
        <v>0.8006944444423425</v>
      </c>
      <c r="AG448" s="83">
        <f t="shared" si="79"/>
        <v>28.78333333338378</v>
      </c>
      <c r="AH448" s="83">
        <f t="shared" si="80"/>
        <v>12</v>
      </c>
      <c r="AI448" s="83">
        <f t="shared" si="81"/>
        <v>16.78333333338378</v>
      </c>
      <c r="AJ448" s="83">
        <f t="shared" si="82"/>
        <v>9.1519364448582898</v>
      </c>
      <c r="AK448" s="83"/>
      <c r="AL448" s="83"/>
      <c r="AM448" s="83"/>
      <c r="AN448" s="83"/>
      <c r="AO448" s="78"/>
    </row>
    <row r="449" spans="1:41" customFormat="1" ht="15" hidden="1" x14ac:dyDescent="0.25">
      <c r="A449" s="82">
        <v>45710</v>
      </c>
      <c r="B449" s="94" t="str">
        <f t="shared" si="72"/>
        <v>February</v>
      </c>
      <c r="C449" s="78"/>
      <c r="D449" s="79" t="s">
        <v>880</v>
      </c>
      <c r="E449" s="80" t="s">
        <v>1016</v>
      </c>
      <c r="F449" s="79" t="s">
        <v>958</v>
      </c>
      <c r="G449" s="79" t="s">
        <v>975</v>
      </c>
      <c r="H449" s="79" t="s">
        <v>1003</v>
      </c>
      <c r="I449" s="79">
        <v>153.6</v>
      </c>
      <c r="J449" s="79" t="s">
        <v>880</v>
      </c>
      <c r="K449" s="80" t="s">
        <v>469</v>
      </c>
      <c r="L449" s="80">
        <v>302</v>
      </c>
      <c r="M449" s="80">
        <f>L449+2</f>
        <v>304</v>
      </c>
      <c r="N449" s="81">
        <f t="shared" si="83"/>
        <v>2</v>
      </c>
      <c r="O449" s="78"/>
      <c r="P449" s="82">
        <f>R449-TIME(0,40,0)</f>
        <v>45709.883333333331</v>
      </c>
      <c r="Q449" s="82">
        <v>45709.90347222222</v>
      </c>
      <c r="R449" s="82">
        <v>45709.911111111112</v>
      </c>
      <c r="S449" s="81">
        <f t="shared" si="73"/>
        <v>10.949074078477375</v>
      </c>
      <c r="T449" s="81">
        <f t="shared" si="74"/>
        <v>39.814814819449872</v>
      </c>
      <c r="U449" s="79"/>
      <c r="V449" s="82">
        <v>45709.492361111108</v>
      </c>
      <c r="W449" s="82">
        <v>45709.715277777781</v>
      </c>
      <c r="X449" s="103">
        <f t="shared" si="75"/>
        <v>314.31250000889122</v>
      </c>
      <c r="Y449" s="82" t="s">
        <v>1040</v>
      </c>
      <c r="Z449" s="82">
        <v>45710.748611111114</v>
      </c>
      <c r="AA449" s="82">
        <f>Z449+TIME(0,60,0)</f>
        <v>45710.790277777778</v>
      </c>
      <c r="AB449" s="81">
        <f t="shared" si="76"/>
        <v>58.7499999965803</v>
      </c>
      <c r="AC449" s="80"/>
      <c r="AD449" s="83">
        <f t="shared" si="77"/>
        <v>0.83750000000145519</v>
      </c>
      <c r="AE449" s="80">
        <v>2</v>
      </c>
      <c r="AF449" s="84">
        <f t="shared" si="78"/>
        <v>1.1624999999985448</v>
      </c>
      <c r="AG449" s="83">
        <f t="shared" si="79"/>
        <v>20.100000000034925</v>
      </c>
      <c r="AH449" s="83">
        <f t="shared" si="80"/>
        <v>0</v>
      </c>
      <c r="AI449" s="83">
        <f t="shared" si="81"/>
        <v>20.100000000034925</v>
      </c>
      <c r="AJ449" s="83">
        <f t="shared" si="82"/>
        <v>7.641791044762841</v>
      </c>
      <c r="AK449" s="83"/>
      <c r="AL449" s="83"/>
      <c r="AM449" s="83"/>
      <c r="AN449" s="83"/>
      <c r="AO449" s="78"/>
    </row>
    <row r="450" spans="1:41" customFormat="1" ht="15" hidden="1" x14ac:dyDescent="0.25">
      <c r="A450" s="82">
        <v>45711</v>
      </c>
      <c r="B450" s="94" t="str">
        <f t="shared" ref="B450:B513" si="84">TEXT(A450, "MMMM")</f>
        <v>February</v>
      </c>
      <c r="C450" s="78"/>
      <c r="D450" s="79" t="s">
        <v>259</v>
      </c>
      <c r="E450" s="80" t="s">
        <v>1017</v>
      </c>
      <c r="F450" s="79" t="s">
        <v>1026</v>
      </c>
      <c r="G450" s="79" t="s">
        <v>51</v>
      </c>
      <c r="H450" s="79" t="s">
        <v>462</v>
      </c>
      <c r="I450" s="79">
        <v>156</v>
      </c>
      <c r="J450" s="79" t="s">
        <v>259</v>
      </c>
      <c r="K450" s="80" t="s">
        <v>469</v>
      </c>
      <c r="L450" s="80">
        <v>680</v>
      </c>
      <c r="M450" s="80">
        <f>L450-2</f>
        <v>678</v>
      </c>
      <c r="N450" s="81">
        <f t="shared" si="83"/>
        <v>-2</v>
      </c>
      <c r="O450" s="78"/>
      <c r="P450" s="82">
        <f>R450-TIME(0,43,0)</f>
        <v>45709.756249999999</v>
      </c>
      <c r="Q450" s="82">
        <v>45709.76666666667</v>
      </c>
      <c r="R450" s="82">
        <v>45709.786111111112</v>
      </c>
      <c r="S450" s="81">
        <f t="shared" ref="S450:S513" si="85">(R450-Q450)*86000/60</f>
        <v>27.870370367357584</v>
      </c>
      <c r="T450" s="81">
        <f t="shared" ref="T450:T513" si="86">(R450-P450)*86000/60</f>
        <v>42.80092592986572</v>
      </c>
      <c r="U450" s="79"/>
      <c r="V450" s="82">
        <v>45710.383333333331</v>
      </c>
      <c r="W450" s="82">
        <v>45710.561805555553</v>
      </c>
      <c r="X450" s="103">
        <f t="shared" ref="X450:X513" si="87">(W450-V450)*84600/60</f>
        <v>251.64583333287737</v>
      </c>
      <c r="Y450" s="82" t="s">
        <v>1044</v>
      </c>
      <c r="Z450" s="82">
        <v>45710.431944444441</v>
      </c>
      <c r="AA450" s="82">
        <f>Z450+TIME(0,56,0)</f>
        <v>45710.470833333333</v>
      </c>
      <c r="AB450" s="81">
        <f t="shared" ref="AB450:AB513" si="88">(AA450-Z450)*84600/60</f>
        <v>54.833333337664953</v>
      </c>
      <c r="AC450" s="80"/>
      <c r="AD450" s="83">
        <f t="shared" ref="AD450:AD513" si="89">Z450-R450</f>
        <v>0.64583333332848269</v>
      </c>
      <c r="AE450" s="80">
        <v>2</v>
      </c>
      <c r="AF450" s="84">
        <f t="shared" ref="AF450:AF513" si="90">AE450-AD450</f>
        <v>1.3541666666715173</v>
      </c>
      <c r="AG450" s="83">
        <f t="shared" ref="AG450:AG513" si="91">AD450*24</f>
        <v>15.499999999883585</v>
      </c>
      <c r="AH450" s="83">
        <f t="shared" ref="AH450:AH513" si="92">AG450-AI450</f>
        <v>0</v>
      </c>
      <c r="AI450" s="83">
        <f t="shared" ref="AI450:AI513" si="93" xml:space="preserve"> ((Z450 - R450) * 24) - (INT(Z450 - R450) * 12)</f>
        <v>15.499999999883585</v>
      </c>
      <c r="AJ450" s="83">
        <f t="shared" ref="AJ450:AJ513" si="94">I450/AI450</f>
        <v>10.064516129107849</v>
      </c>
      <c r="AK450" s="83"/>
      <c r="AL450" s="83"/>
      <c r="AM450" s="83"/>
      <c r="AN450" s="83"/>
      <c r="AO450" s="78"/>
    </row>
    <row r="451" spans="1:41" customFormat="1" ht="15" hidden="1" x14ac:dyDescent="0.25">
      <c r="A451" s="82">
        <v>45711</v>
      </c>
      <c r="B451" s="94" t="str">
        <f t="shared" si="84"/>
        <v>February</v>
      </c>
      <c r="C451" s="78"/>
      <c r="D451" s="79" t="s">
        <v>260</v>
      </c>
      <c r="E451" s="80" t="s">
        <v>1017</v>
      </c>
      <c r="F451" s="79" t="s">
        <v>1029</v>
      </c>
      <c r="G451" s="79" t="s">
        <v>38</v>
      </c>
      <c r="H451" s="79" t="s">
        <v>459</v>
      </c>
      <c r="I451" s="79">
        <v>156</v>
      </c>
      <c r="J451" s="79" t="s">
        <v>260</v>
      </c>
      <c r="K451" s="80" t="s">
        <v>469</v>
      </c>
      <c r="L451" s="80">
        <v>810</v>
      </c>
      <c r="M451" s="80">
        <f>L451+2</f>
        <v>812</v>
      </c>
      <c r="N451" s="81">
        <f t="shared" si="83"/>
        <v>2</v>
      </c>
      <c r="O451" s="78"/>
      <c r="P451" s="82">
        <f>R451-TIME(0,40,0)</f>
        <v>45709.542361111111</v>
      </c>
      <c r="Q451" s="82">
        <v>45708.902777777781</v>
      </c>
      <c r="R451" s="82">
        <v>45709.570138888892</v>
      </c>
      <c r="S451" s="81">
        <f t="shared" si="85"/>
        <v>956.55092592569417</v>
      </c>
      <c r="T451" s="81">
        <f t="shared" si="86"/>
        <v>39.814814819449872</v>
      </c>
      <c r="U451" s="79"/>
      <c r="V451" s="82">
        <v>45709.729861111111</v>
      </c>
      <c r="W451" s="82">
        <v>45709.817361111112</v>
      </c>
      <c r="X451" s="103">
        <f t="shared" si="87"/>
        <v>123.37500000205182</v>
      </c>
      <c r="Y451" s="82"/>
      <c r="Z451" s="82">
        <v>45710.321527777778</v>
      </c>
      <c r="AA451" s="82">
        <f>Z451+TIME(0,60,0)</f>
        <v>45710.363194444442</v>
      </c>
      <c r="AB451" s="81">
        <f t="shared" si="88"/>
        <v>58.7499999965803</v>
      </c>
      <c r="AC451" s="80"/>
      <c r="AD451" s="83">
        <f t="shared" si="89"/>
        <v>0.75138888888614019</v>
      </c>
      <c r="AE451" s="80">
        <v>3</v>
      </c>
      <c r="AF451" s="84">
        <f t="shared" si="90"/>
        <v>2.2486111111138598</v>
      </c>
      <c r="AG451" s="83">
        <f t="shared" si="91"/>
        <v>18.033333333267365</v>
      </c>
      <c r="AH451" s="83">
        <f t="shared" si="92"/>
        <v>0</v>
      </c>
      <c r="AI451" s="83">
        <f t="shared" si="93"/>
        <v>18.033333333267365</v>
      </c>
      <c r="AJ451" s="83">
        <f t="shared" si="94"/>
        <v>8.6506469501240666</v>
      </c>
      <c r="AK451" s="83"/>
      <c r="AL451" s="83"/>
      <c r="AM451" s="83"/>
      <c r="AN451" s="83"/>
      <c r="AO451" s="78"/>
    </row>
    <row r="452" spans="1:41" customFormat="1" ht="15" hidden="1" x14ac:dyDescent="0.25">
      <c r="A452" s="82">
        <v>45711</v>
      </c>
      <c r="B452" s="94" t="str">
        <f t="shared" si="84"/>
        <v>February</v>
      </c>
      <c r="C452" s="78"/>
      <c r="D452" s="79" t="s">
        <v>261</v>
      </c>
      <c r="E452" s="80" t="s">
        <v>1017</v>
      </c>
      <c r="F452" s="79" t="s">
        <v>1021</v>
      </c>
      <c r="G452" s="79" t="s">
        <v>57</v>
      </c>
      <c r="H452" s="79" t="s">
        <v>464</v>
      </c>
      <c r="I452" s="79">
        <v>156</v>
      </c>
      <c r="J452" s="79" t="s">
        <v>261</v>
      </c>
      <c r="K452" s="80" t="s">
        <v>469</v>
      </c>
      <c r="L452" s="79">
        <v>256</v>
      </c>
      <c r="M452" s="80">
        <f>L452+2</f>
        <v>258</v>
      </c>
      <c r="N452" s="81">
        <f t="shared" ref="N452:N515" si="95">M452-L452</f>
        <v>2</v>
      </c>
      <c r="O452" s="78"/>
      <c r="P452" s="82">
        <f>R452-TIME(0,43,0)</f>
        <v>45709.454166666663</v>
      </c>
      <c r="Q452" s="82">
        <v>45709.154861111114</v>
      </c>
      <c r="R452" s="82">
        <v>45709.484027777777</v>
      </c>
      <c r="S452" s="81">
        <f t="shared" si="85"/>
        <v>471.80555554999347</v>
      </c>
      <c r="T452" s="81">
        <f t="shared" si="86"/>
        <v>42.80092592986572</v>
      </c>
      <c r="U452" s="79"/>
      <c r="V452" s="82">
        <v>45709.558333333334</v>
      </c>
      <c r="W452" s="82">
        <v>45709.698611111111</v>
      </c>
      <c r="X452" s="103">
        <f t="shared" si="87"/>
        <v>197.79166666507081</v>
      </c>
      <c r="Y452" s="82" t="s">
        <v>1049</v>
      </c>
      <c r="Z452" s="82">
        <v>45712.717361111114</v>
      </c>
      <c r="AA452" s="82">
        <f>Z452+TIME(0,60,0)</f>
        <v>45712.759027777778</v>
      </c>
      <c r="AB452" s="81">
        <f t="shared" si="88"/>
        <v>58.7499999965803</v>
      </c>
      <c r="AC452" s="80"/>
      <c r="AD452" s="83">
        <f t="shared" si="89"/>
        <v>3.2333333333372138</v>
      </c>
      <c r="AE452" s="80">
        <v>2</v>
      </c>
      <c r="AF452" s="84">
        <f t="shared" si="90"/>
        <v>-1.2333333333372138</v>
      </c>
      <c r="AG452" s="83">
        <f t="shared" si="91"/>
        <v>77.600000000093132</v>
      </c>
      <c r="AH452" s="83">
        <f t="shared" si="92"/>
        <v>36</v>
      </c>
      <c r="AI452" s="83">
        <f t="shared" si="93"/>
        <v>41.600000000093132</v>
      </c>
      <c r="AJ452" s="83">
        <f t="shared" si="94"/>
        <v>3.7499999999916045</v>
      </c>
      <c r="AK452" s="83"/>
      <c r="AL452" s="83"/>
      <c r="AM452" s="83"/>
      <c r="AN452" s="83"/>
      <c r="AO452" s="78"/>
    </row>
    <row r="453" spans="1:41" customFormat="1" ht="15" hidden="1" x14ac:dyDescent="0.25">
      <c r="A453" s="82">
        <v>45711</v>
      </c>
      <c r="B453" s="94" t="str">
        <f t="shared" si="84"/>
        <v>February</v>
      </c>
      <c r="C453" s="78"/>
      <c r="D453" s="79" t="s">
        <v>262</v>
      </c>
      <c r="E453" s="80" t="s">
        <v>1017</v>
      </c>
      <c r="F453" s="79" t="s">
        <v>1015</v>
      </c>
      <c r="G453" s="79" t="s">
        <v>43</v>
      </c>
      <c r="H453" s="79" t="s">
        <v>451</v>
      </c>
      <c r="I453" s="79">
        <v>156</v>
      </c>
      <c r="J453" s="79" t="s">
        <v>262</v>
      </c>
      <c r="K453" s="80" t="s">
        <v>469</v>
      </c>
      <c r="L453" s="80">
        <v>400</v>
      </c>
      <c r="M453" s="80">
        <f>L453+2</f>
        <v>402</v>
      </c>
      <c r="N453" s="81">
        <f t="shared" si="95"/>
        <v>2</v>
      </c>
      <c r="O453" s="78"/>
      <c r="P453" s="82">
        <f>R453-TIME(0,44,0)</f>
        <v>45709.465972222228</v>
      </c>
      <c r="Q453" s="82">
        <v>45709.082638888889</v>
      </c>
      <c r="R453" s="82">
        <v>45709.496527777781</v>
      </c>
      <c r="S453" s="81">
        <f t="shared" si="85"/>
        <v>593.24074074514408</v>
      </c>
      <c r="T453" s="81">
        <f t="shared" si="86"/>
        <v>43.796296293051761</v>
      </c>
      <c r="U453" s="79"/>
      <c r="V453" s="82">
        <v>45708.9</v>
      </c>
      <c r="W453" s="82">
        <v>45709.45416666667</v>
      </c>
      <c r="X453" s="103">
        <f t="shared" si="87"/>
        <v>781.37500000273576</v>
      </c>
      <c r="Y453" s="82" t="s">
        <v>1044</v>
      </c>
      <c r="Z453" s="82">
        <v>45710.748611111114</v>
      </c>
      <c r="AA453" s="82">
        <f>Z453+TIME(0,54,0)</f>
        <v>45710.786111111112</v>
      </c>
      <c r="AB453" s="81">
        <f t="shared" si="88"/>
        <v>52.87499999794818</v>
      </c>
      <c r="AC453" s="80"/>
      <c r="AD453" s="83">
        <f t="shared" si="89"/>
        <v>1.2520833333328483</v>
      </c>
      <c r="AE453" s="80">
        <v>3</v>
      </c>
      <c r="AF453" s="84">
        <f t="shared" si="90"/>
        <v>1.7479166666671517</v>
      </c>
      <c r="AG453" s="83">
        <f t="shared" si="91"/>
        <v>30.049999999988358</v>
      </c>
      <c r="AH453" s="83">
        <f t="shared" si="92"/>
        <v>12</v>
      </c>
      <c r="AI453" s="83">
        <f t="shared" si="93"/>
        <v>18.049999999988358</v>
      </c>
      <c r="AJ453" s="83">
        <f t="shared" si="94"/>
        <v>8.6426592797839668</v>
      </c>
      <c r="AK453" s="83"/>
      <c r="AL453" s="83"/>
      <c r="AM453" s="83"/>
      <c r="AN453" s="83"/>
      <c r="AO453" s="78"/>
    </row>
    <row r="454" spans="1:41" customFormat="1" ht="15" hidden="1" x14ac:dyDescent="0.25">
      <c r="A454" s="82">
        <v>45711</v>
      </c>
      <c r="B454" s="94" t="str">
        <f t="shared" si="84"/>
        <v>February</v>
      </c>
      <c r="C454" s="78"/>
      <c r="D454" s="79" t="s">
        <v>263</v>
      </c>
      <c r="E454" s="80" t="s">
        <v>1017</v>
      </c>
      <c r="F454" s="79" t="s">
        <v>963</v>
      </c>
      <c r="G454" s="79" t="s">
        <v>60</v>
      </c>
      <c r="H454" s="79" t="s">
        <v>458</v>
      </c>
      <c r="I454" s="79">
        <v>156</v>
      </c>
      <c r="J454" s="79" t="s">
        <v>263</v>
      </c>
      <c r="K454" s="80" t="s">
        <v>469</v>
      </c>
      <c r="L454" s="80">
        <v>448</v>
      </c>
      <c r="M454" s="80">
        <f>L454+1</f>
        <v>449</v>
      </c>
      <c r="N454" s="81">
        <f t="shared" si="95"/>
        <v>1</v>
      </c>
      <c r="O454" s="78"/>
      <c r="P454" s="82">
        <f>R454-TIME(0,43,0)</f>
        <v>45709.843055555553</v>
      </c>
      <c r="Q454" s="82">
        <v>45709.136805555558</v>
      </c>
      <c r="R454" s="82">
        <v>45709.872916666667</v>
      </c>
      <c r="S454" s="81">
        <f t="shared" si="85"/>
        <v>1055.092592590275</v>
      </c>
      <c r="T454" s="81">
        <f t="shared" si="86"/>
        <v>42.80092592986572</v>
      </c>
      <c r="U454" s="79"/>
      <c r="V454" s="82">
        <v>45710.742361111108</v>
      </c>
      <c r="W454" s="82">
        <v>45711.42291666667</v>
      </c>
      <c r="X454" s="103">
        <f t="shared" si="87"/>
        <v>959.58333334245253</v>
      </c>
      <c r="Y454" s="82" t="s">
        <v>1049</v>
      </c>
      <c r="Z454" s="82">
        <v>45710.810416666667</v>
      </c>
      <c r="AA454" s="82">
        <f>Z454+TIME(0,51,0)</f>
        <v>45710.845833333333</v>
      </c>
      <c r="AB454" s="81">
        <f t="shared" si="88"/>
        <v>49.93749999863212</v>
      </c>
      <c r="AC454" s="80"/>
      <c r="AD454" s="83">
        <f t="shared" si="89"/>
        <v>0.9375</v>
      </c>
      <c r="AE454" s="80">
        <v>2</v>
      </c>
      <c r="AF454" s="84">
        <f t="shared" si="90"/>
        <v>1.0625</v>
      </c>
      <c r="AG454" s="83">
        <f t="shared" si="91"/>
        <v>22.5</v>
      </c>
      <c r="AH454" s="83">
        <f t="shared" si="92"/>
        <v>0</v>
      </c>
      <c r="AI454" s="83">
        <f t="shared" si="93"/>
        <v>22.5</v>
      </c>
      <c r="AJ454" s="83">
        <f t="shared" si="94"/>
        <v>6.9333333333333336</v>
      </c>
      <c r="AK454" s="83"/>
      <c r="AL454" s="83"/>
      <c r="AM454" s="83"/>
      <c r="AN454" s="83"/>
      <c r="AO454" s="78"/>
    </row>
    <row r="455" spans="1:41" customFormat="1" ht="15" hidden="1" x14ac:dyDescent="0.25">
      <c r="A455" s="82">
        <v>45711</v>
      </c>
      <c r="B455" s="94" t="str">
        <f t="shared" si="84"/>
        <v>February</v>
      </c>
      <c r="C455" s="78"/>
      <c r="D455" s="79" t="s">
        <v>264</v>
      </c>
      <c r="E455" s="80" t="s">
        <v>1017</v>
      </c>
      <c r="F455" s="79" t="s">
        <v>1018</v>
      </c>
      <c r="G455" s="79" t="s">
        <v>39</v>
      </c>
      <c r="H455" s="79" t="s">
        <v>454</v>
      </c>
      <c r="I455" s="79">
        <v>156</v>
      </c>
      <c r="J455" s="79" t="s">
        <v>264</v>
      </c>
      <c r="K455" s="80" t="s">
        <v>469</v>
      </c>
      <c r="L455" s="80">
        <v>304</v>
      </c>
      <c r="M455" s="80">
        <f>L455+2</f>
        <v>306</v>
      </c>
      <c r="N455" s="81">
        <f t="shared" si="95"/>
        <v>2</v>
      </c>
      <c r="O455" s="78"/>
      <c r="P455" s="82">
        <v>45709.84375</v>
      </c>
      <c r="Q455" s="82">
        <v>45709.136805555558</v>
      </c>
      <c r="R455" s="82">
        <v>45709.872916666667</v>
      </c>
      <c r="S455" s="81">
        <f t="shared" si="85"/>
        <v>1055.092592590275</v>
      </c>
      <c r="T455" s="81">
        <f t="shared" si="86"/>
        <v>41.805555556250816</v>
      </c>
      <c r="U455" s="79"/>
      <c r="V455" s="82">
        <v>45710.383333333331</v>
      </c>
      <c r="W455" s="82">
        <v>45710.561805555553</v>
      </c>
      <c r="X455" s="103">
        <f t="shared" si="87"/>
        <v>251.64583333287737</v>
      </c>
      <c r="Y455" s="82" t="s">
        <v>1046</v>
      </c>
      <c r="Z455" s="82">
        <v>45710.754861111112</v>
      </c>
      <c r="AA455" s="82">
        <f>Z455+TIME(0,57,0)</f>
        <v>45710.794444444444</v>
      </c>
      <c r="AB455" s="81">
        <f t="shared" si="88"/>
        <v>55.81249999726424</v>
      </c>
      <c r="AC455" s="80"/>
      <c r="AD455" s="83">
        <f t="shared" si="89"/>
        <v>0.88194444444525288</v>
      </c>
      <c r="AE455" s="80">
        <v>2</v>
      </c>
      <c r="AF455" s="84">
        <f t="shared" si="90"/>
        <v>1.1180555555547471</v>
      </c>
      <c r="AG455" s="83">
        <f t="shared" si="91"/>
        <v>21.166666666686069</v>
      </c>
      <c r="AH455" s="83">
        <f t="shared" si="92"/>
        <v>0</v>
      </c>
      <c r="AI455" s="83">
        <f t="shared" si="93"/>
        <v>21.166666666686069</v>
      </c>
      <c r="AJ455" s="83">
        <f t="shared" si="94"/>
        <v>7.3700787401507242</v>
      </c>
      <c r="AK455" s="83"/>
      <c r="AL455" s="83"/>
      <c r="AM455" s="83"/>
      <c r="AN455" s="83"/>
      <c r="AO455" s="78"/>
    </row>
    <row r="456" spans="1:41" customFormat="1" ht="15" hidden="1" x14ac:dyDescent="0.25">
      <c r="A456" s="82">
        <v>45711</v>
      </c>
      <c r="B456" s="94" t="str">
        <f t="shared" si="84"/>
        <v>February</v>
      </c>
      <c r="C456" s="78"/>
      <c r="D456" s="79" t="s">
        <v>265</v>
      </c>
      <c r="E456" s="80" t="s">
        <v>1017</v>
      </c>
      <c r="F456" s="79" t="s">
        <v>1019</v>
      </c>
      <c r="G456" s="79" t="s">
        <v>37</v>
      </c>
      <c r="H456" s="79" t="s">
        <v>460</v>
      </c>
      <c r="I456" s="79">
        <v>156</v>
      </c>
      <c r="J456" s="79" t="s">
        <v>265</v>
      </c>
      <c r="K456" s="80" t="s">
        <v>469</v>
      </c>
      <c r="L456" s="80">
        <v>600</v>
      </c>
      <c r="M456" s="80">
        <f>L456+2</f>
        <v>602</v>
      </c>
      <c r="N456" s="81">
        <f t="shared" si="95"/>
        <v>2</v>
      </c>
      <c r="O456" s="78"/>
      <c r="P456" s="82">
        <f>R456-TIME(0,44,0)</f>
        <v>45709.539583333339</v>
      </c>
      <c r="Q456" s="82">
        <v>45708.902777777781</v>
      </c>
      <c r="R456" s="82">
        <v>45709.570138888892</v>
      </c>
      <c r="S456" s="81">
        <f t="shared" si="85"/>
        <v>956.55092592569417</v>
      </c>
      <c r="T456" s="81">
        <f t="shared" si="86"/>
        <v>43.796296293051761</v>
      </c>
      <c r="U456" s="79"/>
      <c r="V456" s="82">
        <v>45710.449305555558</v>
      </c>
      <c r="W456" s="82">
        <v>45710.702777777777</v>
      </c>
      <c r="X456" s="103">
        <f t="shared" si="87"/>
        <v>357.39583332877373</v>
      </c>
      <c r="Y456" s="82" t="s">
        <v>1044</v>
      </c>
      <c r="Z456" s="82">
        <v>45712.717361111114</v>
      </c>
      <c r="AA456" s="82">
        <f>Z456+TIME(0,76,0)</f>
        <v>45712.770138888889</v>
      </c>
      <c r="AB456" s="81">
        <f t="shared" si="88"/>
        <v>74.416666663018987</v>
      </c>
      <c r="AC456" s="80" t="s">
        <v>1675</v>
      </c>
      <c r="AD456" s="83">
        <f t="shared" si="89"/>
        <v>3.1472222222218988</v>
      </c>
      <c r="AE456" s="80">
        <v>3</v>
      </c>
      <c r="AF456" s="84">
        <f t="shared" si="90"/>
        <v>-0.14722222222189885</v>
      </c>
      <c r="AG456" s="83">
        <f t="shared" si="91"/>
        <v>75.533333333325572</v>
      </c>
      <c r="AH456" s="83">
        <f t="shared" si="92"/>
        <v>36</v>
      </c>
      <c r="AI456" s="83">
        <f t="shared" si="93"/>
        <v>39.533333333325572</v>
      </c>
      <c r="AJ456" s="83">
        <f t="shared" si="94"/>
        <v>3.9460370994948724</v>
      </c>
      <c r="AK456" s="83"/>
      <c r="AL456" s="83"/>
      <c r="AM456" s="83"/>
      <c r="AN456" s="83"/>
      <c r="AO456" s="78"/>
    </row>
    <row r="457" spans="1:41" customFormat="1" ht="15" hidden="1" x14ac:dyDescent="0.25">
      <c r="A457" s="82">
        <v>45711</v>
      </c>
      <c r="B457" s="94" t="str">
        <f t="shared" si="84"/>
        <v>February</v>
      </c>
      <c r="C457" s="78"/>
      <c r="D457" s="79" t="s">
        <v>266</v>
      </c>
      <c r="E457" s="80" t="s">
        <v>1017</v>
      </c>
      <c r="F457" s="79"/>
      <c r="G457" s="79" t="s">
        <v>67</v>
      </c>
      <c r="H457" s="79" t="s">
        <v>454</v>
      </c>
      <c r="I457" s="79">
        <v>156</v>
      </c>
      <c r="J457" s="79" t="s">
        <v>266</v>
      </c>
      <c r="K457" s="80" t="s">
        <v>469</v>
      </c>
      <c r="L457" s="80">
        <v>304</v>
      </c>
      <c r="M457" s="80">
        <f>L457+2</f>
        <v>306</v>
      </c>
      <c r="N457" s="81">
        <f t="shared" si="95"/>
        <v>2</v>
      </c>
      <c r="O457" s="78"/>
      <c r="P457" s="82">
        <f>R457-TIME(0,42,0)</f>
        <v>45709.467361111114</v>
      </c>
      <c r="Q457" s="82">
        <v>45709.082638888889</v>
      </c>
      <c r="R457" s="82">
        <v>45709.496527777781</v>
      </c>
      <c r="S457" s="81">
        <f t="shared" si="85"/>
        <v>593.24074074514408</v>
      </c>
      <c r="T457" s="81">
        <f t="shared" si="86"/>
        <v>41.805555556250816</v>
      </c>
      <c r="U457" s="79"/>
      <c r="V457" s="82">
        <v>45710.367361111108</v>
      </c>
      <c r="W457" s="82">
        <v>45710.523611111108</v>
      </c>
      <c r="X457" s="103">
        <f t="shared" si="87"/>
        <v>220.3125</v>
      </c>
      <c r="Y457" s="82" t="s">
        <v>1050</v>
      </c>
      <c r="Z457" s="82">
        <v>45710.748611111114</v>
      </c>
      <c r="AA457" s="82">
        <f>Z457+TIME(0,60,0)</f>
        <v>45710.790277777778</v>
      </c>
      <c r="AB457" s="81">
        <f t="shared" si="88"/>
        <v>58.7499999965803</v>
      </c>
      <c r="AC457" s="80"/>
      <c r="AD457" s="83">
        <f t="shared" si="89"/>
        <v>1.2520833333328483</v>
      </c>
      <c r="AE457" s="80">
        <v>2</v>
      </c>
      <c r="AF457" s="84">
        <f t="shared" si="90"/>
        <v>0.74791666666715173</v>
      </c>
      <c r="AG457" s="83">
        <f t="shared" si="91"/>
        <v>30.049999999988358</v>
      </c>
      <c r="AH457" s="83">
        <f t="shared" si="92"/>
        <v>12</v>
      </c>
      <c r="AI457" s="83">
        <f t="shared" si="93"/>
        <v>18.049999999988358</v>
      </c>
      <c r="AJ457" s="83">
        <f t="shared" si="94"/>
        <v>8.6426592797839668</v>
      </c>
      <c r="AK457" s="83"/>
      <c r="AL457" s="83"/>
      <c r="AM457" s="83"/>
      <c r="AN457" s="83"/>
      <c r="AO457" s="78"/>
    </row>
    <row r="458" spans="1:41" customFormat="1" ht="15" hidden="1" x14ac:dyDescent="0.25">
      <c r="A458" s="82">
        <v>45711</v>
      </c>
      <c r="B458" s="94" t="str">
        <f t="shared" si="84"/>
        <v>February</v>
      </c>
      <c r="C458" s="78"/>
      <c r="D458" s="79" t="s">
        <v>267</v>
      </c>
      <c r="E458" s="80" t="s">
        <v>1017</v>
      </c>
      <c r="F458" s="79" t="s">
        <v>1025</v>
      </c>
      <c r="G458" s="79" t="s">
        <v>54</v>
      </c>
      <c r="H458" s="79" t="s">
        <v>454</v>
      </c>
      <c r="I458" s="79">
        <v>156</v>
      </c>
      <c r="J458" s="79" t="s">
        <v>267</v>
      </c>
      <c r="K458" s="80" t="s">
        <v>469</v>
      </c>
      <c r="L458" s="80">
        <v>304</v>
      </c>
      <c r="M458" s="80">
        <f>L458+2</f>
        <v>306</v>
      </c>
      <c r="N458" s="81">
        <f t="shared" si="95"/>
        <v>2</v>
      </c>
      <c r="O458" s="78"/>
      <c r="P458" s="82">
        <f>R458-TIME(0,44,0)</f>
        <v>45709.548611111117</v>
      </c>
      <c r="Q458" s="82">
        <v>45709.179861111108</v>
      </c>
      <c r="R458" s="82">
        <v>45709.57916666667</v>
      </c>
      <c r="S458" s="81">
        <f t="shared" si="85"/>
        <v>572.33796297223307</v>
      </c>
      <c r="T458" s="81">
        <f t="shared" si="86"/>
        <v>43.796296293051761</v>
      </c>
      <c r="U458" s="79"/>
      <c r="V458" s="82">
        <v>45710.638194444444</v>
      </c>
      <c r="W458" s="82">
        <v>45710.725694444445</v>
      </c>
      <c r="X458" s="103">
        <f t="shared" si="87"/>
        <v>123.37500000205182</v>
      </c>
      <c r="Y458" s="82"/>
      <c r="Z458" s="82">
        <v>45711.526388888888</v>
      </c>
      <c r="AA458" s="82">
        <f>Z458+TIME(0,58,0)</f>
        <v>45711.566666666666</v>
      </c>
      <c r="AB458" s="81">
        <f t="shared" si="88"/>
        <v>56.791666667122627</v>
      </c>
      <c r="AC458" s="80"/>
      <c r="AD458" s="83">
        <f t="shared" si="89"/>
        <v>1.9472222222175333</v>
      </c>
      <c r="AE458" s="80">
        <v>2</v>
      </c>
      <c r="AF458" s="84">
        <f t="shared" si="90"/>
        <v>5.2777777782466728E-2</v>
      </c>
      <c r="AG458" s="83">
        <f t="shared" si="91"/>
        <v>46.733333333220799</v>
      </c>
      <c r="AH458" s="83">
        <f t="shared" si="92"/>
        <v>12</v>
      </c>
      <c r="AI458" s="83">
        <f t="shared" si="93"/>
        <v>34.733333333220799</v>
      </c>
      <c r="AJ458" s="83">
        <f t="shared" si="94"/>
        <v>4.4913627639300993</v>
      </c>
      <c r="AK458" s="83"/>
      <c r="AL458" s="83"/>
      <c r="AM458" s="83"/>
      <c r="AN458" s="83"/>
      <c r="AO458" s="78"/>
    </row>
    <row r="459" spans="1:41" customFormat="1" ht="15" hidden="1" x14ac:dyDescent="0.25">
      <c r="A459" s="82">
        <v>45711</v>
      </c>
      <c r="B459" s="94" t="str">
        <f t="shared" si="84"/>
        <v>February</v>
      </c>
      <c r="C459" s="78"/>
      <c r="D459" s="79" t="s">
        <v>268</v>
      </c>
      <c r="E459" s="80" t="s">
        <v>1017</v>
      </c>
      <c r="F459" s="79" t="s">
        <v>1036</v>
      </c>
      <c r="G459" s="79" t="s">
        <v>36</v>
      </c>
      <c r="H459" s="79" t="s">
        <v>458</v>
      </c>
      <c r="I459" s="79">
        <v>156</v>
      </c>
      <c r="J459" s="79" t="s">
        <v>268</v>
      </c>
      <c r="K459" s="80" t="s">
        <v>469</v>
      </c>
      <c r="L459" s="80">
        <v>448</v>
      </c>
      <c r="M459" s="80">
        <f>L459+2</f>
        <v>450</v>
      </c>
      <c r="N459" s="81">
        <f t="shared" si="95"/>
        <v>2</v>
      </c>
      <c r="O459" s="78"/>
      <c r="P459" s="82">
        <f>R459-TIME(0,41,0)</f>
        <v>45709.455555555556</v>
      </c>
      <c r="Q459" s="82">
        <v>45709.154861111114</v>
      </c>
      <c r="R459" s="82">
        <v>45709.484027777777</v>
      </c>
      <c r="S459" s="81">
        <f t="shared" si="85"/>
        <v>471.80555554999347</v>
      </c>
      <c r="T459" s="81">
        <f t="shared" si="86"/>
        <v>40.810185182635905</v>
      </c>
      <c r="U459" s="79"/>
      <c r="V459" s="82">
        <v>45709.793055555558</v>
      </c>
      <c r="W459" s="82">
        <f>V459+TIME(0,172,0)</f>
        <v>45709.912499999999</v>
      </c>
      <c r="X459" s="103">
        <f t="shared" si="87"/>
        <v>168.41666666165111</v>
      </c>
      <c r="Y459" s="82"/>
      <c r="Z459" s="82">
        <v>45710.810416666667</v>
      </c>
      <c r="AA459" s="82">
        <v>45710.849305555559</v>
      </c>
      <c r="AB459" s="81">
        <f t="shared" si="88"/>
        <v>54.833333337664953</v>
      </c>
      <c r="AC459" s="80"/>
      <c r="AD459" s="83">
        <f t="shared" si="89"/>
        <v>1.3263888888905058</v>
      </c>
      <c r="AE459" s="80">
        <v>2</v>
      </c>
      <c r="AF459" s="84">
        <f t="shared" si="90"/>
        <v>0.67361111110949423</v>
      </c>
      <c r="AG459" s="83">
        <f t="shared" si="91"/>
        <v>31.833333333372138</v>
      </c>
      <c r="AH459" s="83">
        <f t="shared" si="92"/>
        <v>12</v>
      </c>
      <c r="AI459" s="83">
        <f t="shared" si="93"/>
        <v>19.833333333372138</v>
      </c>
      <c r="AJ459" s="83">
        <f t="shared" si="94"/>
        <v>7.865546218472006</v>
      </c>
      <c r="AK459" s="83"/>
      <c r="AL459" s="83"/>
      <c r="AM459" s="83"/>
      <c r="AN459" s="83"/>
      <c r="AO459" s="78"/>
    </row>
    <row r="460" spans="1:41" customFormat="1" ht="15" hidden="1" x14ac:dyDescent="0.25">
      <c r="A460" s="82">
        <v>45711</v>
      </c>
      <c r="B460" s="94" t="str">
        <f t="shared" si="84"/>
        <v>February</v>
      </c>
      <c r="C460" s="78"/>
      <c r="D460" s="79" t="s">
        <v>882</v>
      </c>
      <c r="E460" s="80" t="s">
        <v>1016</v>
      </c>
      <c r="F460" s="79" t="s">
        <v>955</v>
      </c>
      <c r="G460" s="79" t="s">
        <v>972</v>
      </c>
      <c r="H460" s="79" t="s">
        <v>1000</v>
      </c>
      <c r="I460" s="79">
        <v>153.6</v>
      </c>
      <c r="J460" s="79" t="s">
        <v>882</v>
      </c>
      <c r="K460" s="80" t="s">
        <v>469</v>
      </c>
      <c r="L460" s="80">
        <v>560</v>
      </c>
      <c r="M460" s="80">
        <f>L460-2</f>
        <v>558</v>
      </c>
      <c r="N460" s="81">
        <f t="shared" si="95"/>
        <v>-2</v>
      </c>
      <c r="O460" s="78"/>
      <c r="P460" s="82">
        <f>R460-TIME(0,40,0)</f>
        <v>45709.390972222216</v>
      </c>
      <c r="Q460" s="82">
        <v>45709.320833333331</v>
      </c>
      <c r="R460" s="82">
        <v>45709.418749999997</v>
      </c>
      <c r="S460" s="81">
        <f t="shared" si="85"/>
        <v>140.3472222208317</v>
      </c>
      <c r="T460" s="81">
        <f t="shared" si="86"/>
        <v>39.814814819449872</v>
      </c>
      <c r="U460" s="79"/>
      <c r="V460" s="82">
        <v>45709.439583333333</v>
      </c>
      <c r="W460" s="82">
        <v>45709.543055555558</v>
      </c>
      <c r="X460" s="103">
        <f t="shared" si="87"/>
        <v>145.89583333698101</v>
      </c>
      <c r="Y460" s="82"/>
      <c r="Z460" s="82">
        <v>45709.586805555555</v>
      </c>
      <c r="AA460" s="82">
        <f>Z460+TIME(0,60,0)</f>
        <v>45709.628472222219</v>
      </c>
      <c r="AB460" s="81">
        <f t="shared" si="88"/>
        <v>58.7499999965803</v>
      </c>
      <c r="AC460" s="80"/>
      <c r="AD460" s="83">
        <f t="shared" si="89"/>
        <v>0.1680555555576575</v>
      </c>
      <c r="AE460" s="80">
        <v>3</v>
      </c>
      <c r="AF460" s="84">
        <f t="shared" si="90"/>
        <v>2.8319444444423425</v>
      </c>
      <c r="AG460" s="83">
        <f t="shared" si="91"/>
        <v>4.03333333338378</v>
      </c>
      <c r="AH460" s="83">
        <f t="shared" si="92"/>
        <v>0</v>
      </c>
      <c r="AI460" s="83">
        <f t="shared" si="93"/>
        <v>4.03333333338378</v>
      </c>
      <c r="AJ460" s="83">
        <f t="shared" si="94"/>
        <v>38.082644627622855</v>
      </c>
      <c r="AK460" s="83"/>
      <c r="AL460" s="83"/>
      <c r="AM460" s="83"/>
      <c r="AN460" s="83"/>
      <c r="AO460" s="78"/>
    </row>
    <row r="461" spans="1:41" customFormat="1" ht="15" hidden="1" x14ac:dyDescent="0.25">
      <c r="A461" s="82">
        <v>45711</v>
      </c>
      <c r="B461" s="94" t="str">
        <f t="shared" si="84"/>
        <v>February</v>
      </c>
      <c r="C461" s="78"/>
      <c r="D461" s="79" t="s">
        <v>883</v>
      </c>
      <c r="E461" s="80" t="s">
        <v>1016</v>
      </c>
      <c r="F461" s="79" t="s">
        <v>950</v>
      </c>
      <c r="G461" s="79" t="s">
        <v>967</v>
      </c>
      <c r="H461" s="79" t="s">
        <v>1001</v>
      </c>
      <c r="I461" s="79">
        <v>153.6</v>
      </c>
      <c r="J461" s="79" t="s">
        <v>883</v>
      </c>
      <c r="K461" s="80" t="s">
        <v>469</v>
      </c>
      <c r="L461" s="80">
        <v>560</v>
      </c>
      <c r="M461" s="80">
        <f>L461-2</f>
        <v>558</v>
      </c>
      <c r="N461" s="81">
        <f t="shared" si="95"/>
        <v>-2</v>
      </c>
      <c r="O461" s="78"/>
      <c r="P461" s="82">
        <v>45709.508333333331</v>
      </c>
      <c r="Q461" s="82">
        <v>45708.694444444445</v>
      </c>
      <c r="R461" s="82">
        <v>45709.537499999999</v>
      </c>
      <c r="S461" s="81">
        <f t="shared" si="85"/>
        <v>1208.3796296263852</v>
      </c>
      <c r="T461" s="81">
        <f t="shared" si="86"/>
        <v>41.805555556250816</v>
      </c>
      <c r="U461" s="79"/>
      <c r="V461" s="82">
        <v>45709.661805555559</v>
      </c>
      <c r="W461" s="82">
        <f>V461+TIME(0,168,0)</f>
        <v>45709.778472222228</v>
      </c>
      <c r="X461" s="103">
        <f t="shared" si="87"/>
        <v>164.50000000273576</v>
      </c>
      <c r="Y461" s="82"/>
      <c r="Z461" s="82">
        <v>45711.661111111112</v>
      </c>
      <c r="AA461" s="82">
        <f>Z461+TIME(0,57,0)</f>
        <v>45711.700694444444</v>
      </c>
      <c r="AB461" s="81">
        <f t="shared" si="88"/>
        <v>55.81249999726424</v>
      </c>
      <c r="AC461" s="80"/>
      <c r="AD461" s="83">
        <f t="shared" si="89"/>
        <v>2.1236111111138598</v>
      </c>
      <c r="AE461" s="80">
        <v>3</v>
      </c>
      <c r="AF461" s="84">
        <f t="shared" si="90"/>
        <v>0.87638888888614019</v>
      </c>
      <c r="AG461" s="83">
        <f t="shared" si="91"/>
        <v>50.966666666732635</v>
      </c>
      <c r="AH461" s="83">
        <f t="shared" si="92"/>
        <v>24</v>
      </c>
      <c r="AI461" s="83">
        <f t="shared" si="93"/>
        <v>26.966666666732635</v>
      </c>
      <c r="AJ461" s="83">
        <f t="shared" si="94"/>
        <v>5.6959208899737046</v>
      </c>
      <c r="AK461" s="83"/>
      <c r="AL461" s="83"/>
      <c r="AM461" s="83"/>
      <c r="AN461" s="83"/>
      <c r="AO461" s="78"/>
    </row>
    <row r="462" spans="1:41" customFormat="1" ht="15" hidden="1" x14ac:dyDescent="0.25">
      <c r="A462" s="82">
        <v>45711</v>
      </c>
      <c r="B462" s="94" t="str">
        <f t="shared" si="84"/>
        <v>February</v>
      </c>
      <c r="C462" s="78"/>
      <c r="D462" s="79" t="s">
        <v>884</v>
      </c>
      <c r="E462" s="80" t="s">
        <v>1016</v>
      </c>
      <c r="F462" s="79" t="s">
        <v>952</v>
      </c>
      <c r="G462" s="79" t="s">
        <v>969</v>
      </c>
      <c r="H462" s="79" t="s">
        <v>986</v>
      </c>
      <c r="I462" s="79">
        <v>153.6</v>
      </c>
      <c r="J462" s="79" t="s">
        <v>884</v>
      </c>
      <c r="K462" s="80" t="s">
        <v>469</v>
      </c>
      <c r="L462" s="79">
        <v>350</v>
      </c>
      <c r="M462" s="80">
        <f>L462+1</f>
        <v>351</v>
      </c>
      <c r="N462" s="81">
        <f t="shared" si="95"/>
        <v>1</v>
      </c>
      <c r="O462" s="78"/>
      <c r="P462" s="82">
        <f>R462-TIME(0,43,0)</f>
        <v>45709.902083333327</v>
      </c>
      <c r="Q462" s="82">
        <v>45709.098611111112</v>
      </c>
      <c r="R462" s="82">
        <v>45709.931944444441</v>
      </c>
      <c r="S462" s="81">
        <f t="shared" si="85"/>
        <v>1194.4444444374919</v>
      </c>
      <c r="T462" s="81">
        <f t="shared" si="86"/>
        <v>42.80092592986572</v>
      </c>
      <c r="U462" s="79"/>
      <c r="V462" s="82">
        <v>45709.452777777777</v>
      </c>
      <c r="W462" s="82">
        <v>45709.79583333333</v>
      </c>
      <c r="X462" s="103">
        <f t="shared" si="87"/>
        <v>483.70833333014161</v>
      </c>
      <c r="Y462" s="82" t="s">
        <v>1039</v>
      </c>
      <c r="Z462" s="82">
        <v>45710.487500000003</v>
      </c>
      <c r="AA462" s="82">
        <f>Z462+TIME(0,57,0)</f>
        <v>45710.527083333334</v>
      </c>
      <c r="AB462" s="81">
        <f t="shared" si="88"/>
        <v>55.81249999726424</v>
      </c>
      <c r="AC462" s="80"/>
      <c r="AD462" s="83">
        <f t="shared" si="89"/>
        <v>0.55555555556202307</v>
      </c>
      <c r="AE462" s="80">
        <v>2</v>
      </c>
      <c r="AF462" s="84">
        <f t="shared" si="90"/>
        <v>1.4444444444379769</v>
      </c>
      <c r="AG462" s="83">
        <f t="shared" si="91"/>
        <v>13.333333333488554</v>
      </c>
      <c r="AH462" s="83">
        <f t="shared" si="92"/>
        <v>0</v>
      </c>
      <c r="AI462" s="83">
        <f t="shared" si="93"/>
        <v>13.333333333488554</v>
      </c>
      <c r="AJ462" s="83">
        <f t="shared" si="94"/>
        <v>11.51999999986589</v>
      </c>
      <c r="AK462" s="83"/>
      <c r="AL462" s="83"/>
      <c r="AM462" s="83"/>
      <c r="AN462" s="83"/>
      <c r="AO462" s="78"/>
    </row>
    <row r="463" spans="1:41" customFormat="1" ht="15" hidden="1" x14ac:dyDescent="0.25">
      <c r="A463" s="82">
        <v>45711</v>
      </c>
      <c r="B463" s="94" t="str">
        <f t="shared" si="84"/>
        <v>February</v>
      </c>
      <c r="C463" s="78"/>
      <c r="D463" s="79" t="s">
        <v>886</v>
      </c>
      <c r="E463" s="80" t="s">
        <v>1016</v>
      </c>
      <c r="F463" s="79" t="s">
        <v>965</v>
      </c>
      <c r="G463" s="79" t="s">
        <v>980</v>
      </c>
      <c r="H463" s="79" t="s">
        <v>991</v>
      </c>
      <c r="I463" s="79">
        <v>153.6</v>
      </c>
      <c r="J463" s="79" t="s">
        <v>886</v>
      </c>
      <c r="K463" s="80" t="s">
        <v>469</v>
      </c>
      <c r="L463" s="79">
        <v>20</v>
      </c>
      <c r="M463" s="80">
        <f>L463+1</f>
        <v>21</v>
      </c>
      <c r="N463" s="81">
        <f t="shared" si="95"/>
        <v>1</v>
      </c>
      <c r="O463" s="78"/>
      <c r="P463" s="82">
        <v>45713.478472222218</v>
      </c>
      <c r="Q463" s="82">
        <v>45713.492361111108</v>
      </c>
      <c r="R463" s="82">
        <v>45713.508333333331</v>
      </c>
      <c r="S463" s="81">
        <f t="shared" si="85"/>
        <v>22.893518520140788</v>
      </c>
      <c r="T463" s="81">
        <f t="shared" si="86"/>
        <v>42.80092592986572</v>
      </c>
      <c r="U463" s="79"/>
      <c r="V463" s="82">
        <v>45711.604861111111</v>
      </c>
      <c r="W463" s="82">
        <v>45711.711111111108</v>
      </c>
      <c r="X463" s="103">
        <f t="shared" si="87"/>
        <v>149.81249999589636</v>
      </c>
      <c r="Y463" s="82"/>
      <c r="Z463" s="82">
        <v>45714.441666666666</v>
      </c>
      <c r="AA463" s="82">
        <f>Z463+TIME(0,55,0)</f>
        <v>45714.479861111111</v>
      </c>
      <c r="AB463" s="81">
        <f t="shared" si="88"/>
        <v>53.854166667806567</v>
      </c>
      <c r="AC463" s="80"/>
      <c r="AD463" s="83">
        <f t="shared" si="89"/>
        <v>0.93333333333430346</v>
      </c>
      <c r="AE463" s="80">
        <v>3</v>
      </c>
      <c r="AF463" s="84">
        <f t="shared" si="90"/>
        <v>2.0666666666656965</v>
      </c>
      <c r="AG463" s="83">
        <f t="shared" si="91"/>
        <v>22.400000000023283</v>
      </c>
      <c r="AH463" s="83">
        <f t="shared" si="92"/>
        <v>0</v>
      </c>
      <c r="AI463" s="83">
        <f t="shared" si="93"/>
        <v>22.400000000023283</v>
      </c>
      <c r="AJ463" s="83">
        <f t="shared" si="94"/>
        <v>6.8571428571357291</v>
      </c>
      <c r="AK463" s="83"/>
      <c r="AL463" s="83"/>
      <c r="AM463" s="83"/>
      <c r="AN463" s="83"/>
      <c r="AO463" s="78"/>
    </row>
    <row r="464" spans="1:41" customFormat="1" ht="15" hidden="1" x14ac:dyDescent="0.25">
      <c r="A464" s="82">
        <v>45711</v>
      </c>
      <c r="B464" s="94" t="str">
        <f t="shared" si="84"/>
        <v>February</v>
      </c>
      <c r="C464" s="78"/>
      <c r="D464" s="79" t="s">
        <v>885</v>
      </c>
      <c r="E464" s="80" t="s">
        <v>1016</v>
      </c>
      <c r="F464" s="79" t="s">
        <v>964</v>
      </c>
      <c r="G464" s="79" t="s">
        <v>979</v>
      </c>
      <c r="H464" s="79" t="s">
        <v>461</v>
      </c>
      <c r="I464" s="79">
        <v>153.6</v>
      </c>
      <c r="J464" s="79" t="s">
        <v>885</v>
      </c>
      <c r="K464" s="80" t="s">
        <v>469</v>
      </c>
      <c r="L464" s="80">
        <v>298</v>
      </c>
      <c r="M464" s="80">
        <f>L464-2</f>
        <v>296</v>
      </c>
      <c r="N464" s="81">
        <f t="shared" si="95"/>
        <v>-2</v>
      </c>
      <c r="O464" s="78"/>
      <c r="P464" s="82">
        <f>R464-TIME(0,44,0)</f>
        <v>45712.561111111114</v>
      </c>
      <c r="Q464" s="82">
        <v>45712.579861111109</v>
      </c>
      <c r="R464" s="82">
        <v>45712.591666666667</v>
      </c>
      <c r="S464" s="81">
        <f t="shared" si="85"/>
        <v>16.921296299309081</v>
      </c>
      <c r="T464" s="81">
        <f t="shared" si="86"/>
        <v>43.796296293051761</v>
      </c>
      <c r="U464" s="79"/>
      <c r="V464" s="82">
        <v>45710.298611111109</v>
      </c>
      <c r="W464" s="82">
        <v>45710.679166666669</v>
      </c>
      <c r="X464" s="103">
        <f t="shared" si="87"/>
        <v>536.58333333834889</v>
      </c>
      <c r="Y464" s="82" t="s">
        <v>1044</v>
      </c>
      <c r="Z464" s="82">
        <v>45713.642361111109</v>
      </c>
      <c r="AA464" s="82">
        <f>Z464+TIME(0,60,0)</f>
        <v>45713.684027777774</v>
      </c>
      <c r="AB464" s="81">
        <f t="shared" si="88"/>
        <v>58.7499999965803</v>
      </c>
      <c r="AC464" s="80"/>
      <c r="AD464" s="83">
        <f t="shared" si="89"/>
        <v>1.0506944444423425</v>
      </c>
      <c r="AE464" s="80">
        <v>2</v>
      </c>
      <c r="AF464" s="84">
        <f t="shared" si="90"/>
        <v>0.9493055555576575</v>
      </c>
      <c r="AG464" s="83">
        <f t="shared" si="91"/>
        <v>25.21666666661622</v>
      </c>
      <c r="AH464" s="83">
        <f t="shared" si="92"/>
        <v>12</v>
      </c>
      <c r="AI464" s="83">
        <f t="shared" si="93"/>
        <v>13.21666666661622</v>
      </c>
      <c r="AJ464" s="83">
        <f t="shared" si="94"/>
        <v>11.62168978566857</v>
      </c>
      <c r="AK464" s="83"/>
      <c r="AL464" s="83"/>
      <c r="AM464" s="83"/>
      <c r="AN464" s="83"/>
      <c r="AO464" s="78"/>
    </row>
    <row r="465" spans="1:41" customFormat="1" ht="15" hidden="1" x14ac:dyDescent="0.25">
      <c r="A465" s="82">
        <v>45711</v>
      </c>
      <c r="B465" s="94" t="str">
        <f t="shared" si="84"/>
        <v>February</v>
      </c>
      <c r="C465" s="78"/>
      <c r="D465" s="79" t="s">
        <v>887</v>
      </c>
      <c r="E465" s="80" t="s">
        <v>1016</v>
      </c>
      <c r="F465" s="79" t="s">
        <v>961</v>
      </c>
      <c r="G465" s="79" t="s">
        <v>977</v>
      </c>
      <c r="H465" s="79" t="s">
        <v>1004</v>
      </c>
      <c r="I465" s="79">
        <v>153.6</v>
      </c>
      <c r="J465" s="79" t="s">
        <v>887</v>
      </c>
      <c r="K465" s="80" t="s">
        <v>469</v>
      </c>
      <c r="L465" s="80">
        <v>560</v>
      </c>
      <c r="M465" s="80">
        <f>L465+2</f>
        <v>562</v>
      </c>
      <c r="N465" s="81">
        <f t="shared" si="95"/>
        <v>2</v>
      </c>
      <c r="O465" s="78"/>
      <c r="P465" s="82">
        <v>45711.297916666663</v>
      </c>
      <c r="Q465" s="82">
        <v>45711.307638888888</v>
      </c>
      <c r="R465" s="82">
        <v>45711.32708333333</v>
      </c>
      <c r="S465" s="81">
        <f t="shared" si="85"/>
        <v>27.870370367357584</v>
      </c>
      <c r="T465" s="81">
        <f t="shared" si="86"/>
        <v>41.805555556250816</v>
      </c>
      <c r="U465" s="79"/>
      <c r="V465" s="82">
        <v>45711.798611111109</v>
      </c>
      <c r="W465" s="82">
        <v>45712.481249999997</v>
      </c>
      <c r="X465" s="103">
        <f t="shared" si="87"/>
        <v>962.52083333150949</v>
      </c>
      <c r="Y465" s="82" t="s">
        <v>1049</v>
      </c>
      <c r="Z465" s="82">
        <v>45711.527083333334</v>
      </c>
      <c r="AA465" s="82">
        <f>Z465+TIME(0,76,0)</f>
        <v>45711.579861111109</v>
      </c>
      <c r="AB465" s="81">
        <f t="shared" si="88"/>
        <v>74.416666663018987</v>
      </c>
      <c r="AC465" s="80" t="s">
        <v>1673</v>
      </c>
      <c r="AD465" s="83">
        <f t="shared" si="89"/>
        <v>0.20000000000436557</v>
      </c>
      <c r="AE465" s="80">
        <v>3</v>
      </c>
      <c r="AF465" s="84">
        <f t="shared" si="90"/>
        <v>2.7999999999956344</v>
      </c>
      <c r="AG465" s="83">
        <f t="shared" si="91"/>
        <v>4.8000000001047738</v>
      </c>
      <c r="AH465" s="83">
        <f t="shared" si="92"/>
        <v>0</v>
      </c>
      <c r="AI465" s="83">
        <f t="shared" si="93"/>
        <v>4.8000000001047738</v>
      </c>
      <c r="AJ465" s="83">
        <f t="shared" si="94"/>
        <v>31.999999999301508</v>
      </c>
      <c r="AK465" s="83"/>
      <c r="AL465" s="83"/>
      <c r="AM465" s="83"/>
      <c r="AN465" s="83"/>
      <c r="AO465" s="78"/>
    </row>
    <row r="466" spans="1:41" customFormat="1" ht="15" hidden="1" x14ac:dyDescent="0.25">
      <c r="A466" s="82">
        <v>45712</v>
      </c>
      <c r="B466" s="94" t="str">
        <f t="shared" si="84"/>
        <v>February</v>
      </c>
      <c r="C466" s="78"/>
      <c r="D466" s="79" t="s">
        <v>269</v>
      </c>
      <c r="E466" s="80" t="s">
        <v>1017</v>
      </c>
      <c r="F466" s="79"/>
      <c r="G466" s="79" t="s">
        <v>71</v>
      </c>
      <c r="H466" s="79" t="s">
        <v>451</v>
      </c>
      <c r="I466" s="79">
        <v>156</v>
      </c>
      <c r="J466" s="79" t="s">
        <v>269</v>
      </c>
      <c r="K466" s="80" t="s">
        <v>469</v>
      </c>
      <c r="L466" s="80">
        <v>790</v>
      </c>
      <c r="M466" s="80">
        <f>L466+2</f>
        <v>792</v>
      </c>
      <c r="N466" s="81">
        <f t="shared" si="95"/>
        <v>2</v>
      </c>
      <c r="O466" s="78"/>
      <c r="P466" s="82">
        <v>45710.625694444447</v>
      </c>
      <c r="Q466" s="82">
        <v>45710.640277777784</v>
      </c>
      <c r="R466" s="82">
        <v>45710.654861111114</v>
      </c>
      <c r="S466" s="81">
        <f t="shared" si="85"/>
        <v>20.902777772910969</v>
      </c>
      <c r="T466" s="81">
        <f t="shared" si="86"/>
        <v>41.805555556250816</v>
      </c>
      <c r="U466" s="79"/>
      <c r="V466" s="82">
        <v>45710.446527777778</v>
      </c>
      <c r="W466" s="82">
        <v>45710.668749999997</v>
      </c>
      <c r="X466" s="103">
        <f t="shared" si="87"/>
        <v>313.33333332877373</v>
      </c>
      <c r="Y466" s="82" t="s">
        <v>1044</v>
      </c>
      <c r="Z466" s="82">
        <v>45711.527083333334</v>
      </c>
      <c r="AA466" s="82">
        <f>Z466+TIME(0,51,0)</f>
        <v>45711.5625</v>
      </c>
      <c r="AB466" s="81">
        <f t="shared" si="88"/>
        <v>49.93749999863212</v>
      </c>
      <c r="AC466" s="80"/>
      <c r="AD466" s="83">
        <f t="shared" si="89"/>
        <v>0.87222222222044365</v>
      </c>
      <c r="AE466" s="80">
        <v>3</v>
      </c>
      <c r="AF466" s="84">
        <f t="shared" si="90"/>
        <v>2.1277777777795563</v>
      </c>
      <c r="AG466" s="83">
        <f t="shared" si="91"/>
        <v>20.933333333290648</v>
      </c>
      <c r="AH466" s="83">
        <f t="shared" si="92"/>
        <v>0</v>
      </c>
      <c r="AI466" s="83">
        <f t="shared" si="93"/>
        <v>20.933333333290648</v>
      </c>
      <c r="AJ466" s="83">
        <f t="shared" si="94"/>
        <v>7.4522292993782537</v>
      </c>
      <c r="AK466" s="83"/>
      <c r="AL466" s="83"/>
      <c r="AM466" s="83"/>
      <c r="AN466" s="83"/>
      <c r="AO466" s="78"/>
    </row>
    <row r="467" spans="1:41" customFormat="1" ht="15" hidden="1" x14ac:dyDescent="0.25">
      <c r="A467" s="82">
        <v>45712</v>
      </c>
      <c r="B467" s="94" t="str">
        <f t="shared" si="84"/>
        <v>February</v>
      </c>
      <c r="C467" s="78"/>
      <c r="D467" s="79" t="s">
        <v>270</v>
      </c>
      <c r="E467" s="80" t="s">
        <v>1017</v>
      </c>
      <c r="F467" s="79"/>
      <c r="G467" s="79" t="s">
        <v>65</v>
      </c>
      <c r="H467" s="79" t="s">
        <v>454</v>
      </c>
      <c r="I467" s="79">
        <v>156</v>
      </c>
      <c r="J467" s="79" t="s">
        <v>270</v>
      </c>
      <c r="K467" s="80" t="s">
        <v>469</v>
      </c>
      <c r="L467" s="80">
        <v>304</v>
      </c>
      <c r="M467" s="80">
        <f>L467-2</f>
        <v>302</v>
      </c>
      <c r="N467" s="81">
        <f t="shared" si="95"/>
        <v>-2</v>
      </c>
      <c r="O467" s="78"/>
      <c r="P467" s="82">
        <f>R467-TIME(0,44,0)</f>
        <v>45710.450000000004</v>
      </c>
      <c r="Q467" s="82">
        <v>45710.472222222226</v>
      </c>
      <c r="R467" s="82">
        <v>45710.480555555558</v>
      </c>
      <c r="S467" s="81">
        <f t="shared" si="85"/>
        <v>11.944444441663412</v>
      </c>
      <c r="T467" s="81">
        <f t="shared" si="86"/>
        <v>43.796296293051761</v>
      </c>
      <c r="U467" s="79"/>
      <c r="V467" s="82">
        <v>45710.53125</v>
      </c>
      <c r="W467" s="82">
        <v>45710.813888888886</v>
      </c>
      <c r="X467" s="103">
        <f t="shared" si="87"/>
        <v>398.52083332945767</v>
      </c>
      <c r="Y467" s="82" t="s">
        <v>1047</v>
      </c>
      <c r="Z467" s="82">
        <v>45711.856249999997</v>
      </c>
      <c r="AA467" s="82">
        <v>45711.893749999996</v>
      </c>
      <c r="AB467" s="81">
        <f t="shared" si="88"/>
        <v>52.87499999794818</v>
      </c>
      <c r="AC467" s="80"/>
      <c r="AD467" s="83">
        <f t="shared" si="89"/>
        <v>1.3756944444394321</v>
      </c>
      <c r="AE467" s="80">
        <v>2</v>
      </c>
      <c r="AF467" s="84">
        <f t="shared" si="90"/>
        <v>0.62430555556056788</v>
      </c>
      <c r="AG467" s="83">
        <f t="shared" si="91"/>
        <v>33.016666666546371</v>
      </c>
      <c r="AH467" s="83">
        <f t="shared" si="92"/>
        <v>12</v>
      </c>
      <c r="AI467" s="83">
        <f t="shared" si="93"/>
        <v>21.016666666546371</v>
      </c>
      <c r="AJ467" s="83">
        <f t="shared" si="94"/>
        <v>7.4226804124136203</v>
      </c>
      <c r="AK467" s="83"/>
      <c r="AL467" s="83"/>
      <c r="AM467" s="83"/>
      <c r="AN467" s="83"/>
      <c r="AO467" s="78"/>
    </row>
    <row r="468" spans="1:41" customFormat="1" ht="15" hidden="1" x14ac:dyDescent="0.25">
      <c r="A468" s="82">
        <v>45712</v>
      </c>
      <c r="B468" s="94" t="str">
        <f t="shared" si="84"/>
        <v>February</v>
      </c>
      <c r="C468" s="78"/>
      <c r="D468" s="79" t="s">
        <v>271</v>
      </c>
      <c r="E468" s="80" t="s">
        <v>1017</v>
      </c>
      <c r="F468" s="79" t="s">
        <v>1035</v>
      </c>
      <c r="G468" s="79" t="s">
        <v>44</v>
      </c>
      <c r="H468" s="79" t="s">
        <v>452</v>
      </c>
      <c r="I468" s="79">
        <v>156</v>
      </c>
      <c r="J468" s="79" t="s">
        <v>271</v>
      </c>
      <c r="K468" s="80" t="s">
        <v>469</v>
      </c>
      <c r="L468" s="80">
        <v>690</v>
      </c>
      <c r="M468" s="80">
        <f>L468-1</f>
        <v>689</v>
      </c>
      <c r="N468" s="81">
        <f t="shared" si="95"/>
        <v>-1</v>
      </c>
      <c r="O468" s="78"/>
      <c r="P468" s="82">
        <f>R468-TIME(0,44,0)</f>
        <v>45710.459722222222</v>
      </c>
      <c r="Q468" s="82">
        <v>45710.487499999996</v>
      </c>
      <c r="R468" s="82">
        <v>45710.490277777775</v>
      </c>
      <c r="S468" s="81">
        <f t="shared" si="85"/>
        <v>3.9814814840307613</v>
      </c>
      <c r="T468" s="81">
        <f t="shared" si="86"/>
        <v>43.796296293051761</v>
      </c>
      <c r="U468" s="79"/>
      <c r="V468" s="82">
        <v>45710.681944444441</v>
      </c>
      <c r="W468" s="82">
        <v>45710.886111111111</v>
      </c>
      <c r="X468" s="103">
        <f t="shared" si="87"/>
        <v>287.87500000478758</v>
      </c>
      <c r="Y468" s="82" t="s">
        <v>1049</v>
      </c>
      <c r="Z468" s="82">
        <v>45713.606249999997</v>
      </c>
      <c r="AA468" s="82">
        <f>Z468+TIME(0,51,0)</f>
        <v>45713.641666666663</v>
      </c>
      <c r="AB468" s="81">
        <f t="shared" si="88"/>
        <v>49.93749999863212</v>
      </c>
      <c r="AC468" s="80"/>
      <c r="AD468" s="83">
        <f t="shared" si="89"/>
        <v>3.1159722222218988</v>
      </c>
      <c r="AE468" s="80">
        <v>2</v>
      </c>
      <c r="AF468" s="84">
        <f t="shared" si="90"/>
        <v>-1.1159722222218988</v>
      </c>
      <c r="AG468" s="83">
        <f t="shared" si="91"/>
        <v>74.783333333325572</v>
      </c>
      <c r="AH468" s="83">
        <f t="shared" si="92"/>
        <v>36</v>
      </c>
      <c r="AI468" s="83">
        <f t="shared" si="93"/>
        <v>38.783333333325572</v>
      </c>
      <c r="AJ468" s="83">
        <f t="shared" si="94"/>
        <v>4.0223463687158887</v>
      </c>
      <c r="AK468" s="83"/>
      <c r="AL468" s="83"/>
      <c r="AM468" s="83"/>
      <c r="AN468" s="83"/>
      <c r="AO468" s="78"/>
    </row>
    <row r="469" spans="1:41" customFormat="1" ht="15" hidden="1" x14ac:dyDescent="0.25">
      <c r="A469" s="82">
        <v>45712</v>
      </c>
      <c r="B469" s="94" t="str">
        <f t="shared" si="84"/>
        <v>February</v>
      </c>
      <c r="C469" s="78"/>
      <c r="D469" s="79" t="s">
        <v>272</v>
      </c>
      <c r="E469" s="80" t="s">
        <v>1017</v>
      </c>
      <c r="F469" s="79" t="s">
        <v>1033</v>
      </c>
      <c r="G469" s="79" t="s">
        <v>41</v>
      </c>
      <c r="H469" s="79" t="s">
        <v>462</v>
      </c>
      <c r="I469" s="79">
        <v>156</v>
      </c>
      <c r="J469" s="79" t="s">
        <v>272</v>
      </c>
      <c r="K469" s="80" t="s">
        <v>469</v>
      </c>
      <c r="L469" s="80">
        <v>680</v>
      </c>
      <c r="M469" s="80">
        <f>L469+2</f>
        <v>682</v>
      </c>
      <c r="N469" s="81">
        <f t="shared" si="95"/>
        <v>2</v>
      </c>
      <c r="O469" s="78"/>
      <c r="P469" s="82">
        <f>R469-TIME(0,43,0)</f>
        <v>45710.527083333327</v>
      </c>
      <c r="Q469" s="82">
        <v>45710.518749999996</v>
      </c>
      <c r="R469" s="82">
        <v>45710.556944444441</v>
      </c>
      <c r="S469" s="81">
        <f t="shared" si="85"/>
        <v>54.745370371529134</v>
      </c>
      <c r="T469" s="81">
        <f t="shared" si="86"/>
        <v>42.80092592986572</v>
      </c>
      <c r="U469" s="79"/>
      <c r="V469" s="82">
        <v>45710.742361111108</v>
      </c>
      <c r="W469" s="82">
        <v>45711.42291666667</v>
      </c>
      <c r="X469" s="103">
        <f t="shared" si="87"/>
        <v>959.58333334245253</v>
      </c>
      <c r="Y469" s="82" t="s">
        <v>1046</v>
      </c>
      <c r="Z469" s="82">
        <v>45713.606249999997</v>
      </c>
      <c r="AA469" s="82">
        <f>Z469+TIME(0,57,0)</f>
        <v>45713.645833333328</v>
      </c>
      <c r="AB469" s="81">
        <f t="shared" si="88"/>
        <v>55.81249999726424</v>
      </c>
      <c r="AC469" s="80"/>
      <c r="AD469" s="83">
        <f t="shared" si="89"/>
        <v>3.0493055555562023</v>
      </c>
      <c r="AE469" s="80">
        <v>2</v>
      </c>
      <c r="AF469" s="84">
        <f t="shared" si="90"/>
        <v>-1.0493055555562023</v>
      </c>
      <c r="AG469" s="83">
        <f t="shared" si="91"/>
        <v>73.183333333348855</v>
      </c>
      <c r="AH469" s="83">
        <f t="shared" si="92"/>
        <v>36</v>
      </c>
      <c r="AI469" s="83">
        <f t="shared" si="93"/>
        <v>37.183333333348855</v>
      </c>
      <c r="AJ469" s="83">
        <f t="shared" si="94"/>
        <v>4.1954280591645414</v>
      </c>
      <c r="AK469" s="83"/>
      <c r="AL469" s="83"/>
      <c r="AM469" s="83"/>
      <c r="AN469" s="83"/>
      <c r="AO469" s="78"/>
    </row>
    <row r="470" spans="1:41" customFormat="1" ht="15" hidden="1" x14ac:dyDescent="0.25">
      <c r="A470" s="82">
        <v>45712</v>
      </c>
      <c r="B470" s="94" t="str">
        <f t="shared" si="84"/>
        <v>February</v>
      </c>
      <c r="C470" s="78"/>
      <c r="D470" s="79" t="s">
        <v>273</v>
      </c>
      <c r="E470" s="80" t="s">
        <v>1017</v>
      </c>
      <c r="F470" s="79" t="s">
        <v>1032</v>
      </c>
      <c r="G470" s="79" t="s">
        <v>72</v>
      </c>
      <c r="H470" s="79" t="s">
        <v>449</v>
      </c>
      <c r="I470" s="79">
        <v>156</v>
      </c>
      <c r="J470" s="79" t="s">
        <v>273</v>
      </c>
      <c r="K470" s="80" t="s">
        <v>469</v>
      </c>
      <c r="L470" s="80">
        <v>790</v>
      </c>
      <c r="M470" s="80">
        <f>L470+2</f>
        <v>792</v>
      </c>
      <c r="N470" s="81">
        <f t="shared" si="95"/>
        <v>2</v>
      </c>
      <c r="O470" s="78"/>
      <c r="P470" s="82">
        <f>R470-TIME(0,44,0)</f>
        <v>45711.425000000003</v>
      </c>
      <c r="Q470" s="82">
        <v>45711.440972222226</v>
      </c>
      <c r="R470" s="82">
        <v>45711.455555555556</v>
      </c>
      <c r="S470" s="81">
        <f t="shared" si="85"/>
        <v>20.902777772910969</v>
      </c>
      <c r="T470" s="81">
        <f t="shared" si="86"/>
        <v>43.796296293051761</v>
      </c>
      <c r="U470" s="79"/>
      <c r="V470" s="82">
        <v>45709.695138888892</v>
      </c>
      <c r="W470" s="82">
        <f>V470+TIME(0,174,0)</f>
        <v>45709.815972222226</v>
      </c>
      <c r="X470" s="103">
        <f t="shared" si="87"/>
        <v>170.37500000136788</v>
      </c>
      <c r="Y470" s="82"/>
      <c r="Z470" s="82">
        <v>45711.550694444442</v>
      </c>
      <c r="AA470" s="82">
        <f>Z470+TIME(0,52,0)</f>
        <v>45711.586805555555</v>
      </c>
      <c r="AB470" s="81">
        <f t="shared" si="88"/>
        <v>50.916666668490507</v>
      </c>
      <c r="AC470" s="80"/>
      <c r="AD470" s="83">
        <f t="shared" si="89"/>
        <v>9.5138888886140194E-2</v>
      </c>
      <c r="AE470" s="80">
        <v>2</v>
      </c>
      <c r="AF470" s="84">
        <f t="shared" si="90"/>
        <v>1.9048611111138598</v>
      </c>
      <c r="AG470" s="83">
        <f t="shared" si="91"/>
        <v>2.2833333332673647</v>
      </c>
      <c r="AH470" s="83">
        <f t="shared" si="92"/>
        <v>0</v>
      </c>
      <c r="AI470" s="83">
        <f t="shared" si="93"/>
        <v>2.2833333332673647</v>
      </c>
      <c r="AJ470" s="83">
        <f t="shared" si="94"/>
        <v>68.321167885185574</v>
      </c>
      <c r="AK470" s="83"/>
      <c r="AL470" s="83"/>
      <c r="AM470" s="83"/>
      <c r="AN470" s="83"/>
      <c r="AO470" s="78"/>
    </row>
    <row r="471" spans="1:41" customFormat="1" ht="15" hidden="1" x14ac:dyDescent="0.25">
      <c r="A471" s="82">
        <v>45712</v>
      </c>
      <c r="B471" s="94" t="str">
        <f t="shared" si="84"/>
        <v>February</v>
      </c>
      <c r="C471" s="78"/>
      <c r="D471" s="79" t="s">
        <v>274</v>
      </c>
      <c r="E471" s="80" t="s">
        <v>1017</v>
      </c>
      <c r="F471" s="79" t="s">
        <v>1037</v>
      </c>
      <c r="G471" s="79" t="s">
        <v>59</v>
      </c>
      <c r="H471" s="79" t="s">
        <v>454</v>
      </c>
      <c r="I471" s="79">
        <v>156</v>
      </c>
      <c r="J471" s="79" t="s">
        <v>274</v>
      </c>
      <c r="K471" s="80" t="s">
        <v>469</v>
      </c>
      <c r="L471" s="80">
        <v>304</v>
      </c>
      <c r="M471" s="80">
        <f>L471+2</f>
        <v>306</v>
      </c>
      <c r="N471" s="81">
        <f t="shared" si="95"/>
        <v>2</v>
      </c>
      <c r="O471" s="78"/>
      <c r="P471" s="82">
        <f>R471-TIME(0,43,0)</f>
        <v>45710.469444444439</v>
      </c>
      <c r="Q471" s="82">
        <v>45710.484722222223</v>
      </c>
      <c r="R471" s="82">
        <v>45710.499305555553</v>
      </c>
      <c r="S471" s="81">
        <f t="shared" si="85"/>
        <v>20.902777772910969</v>
      </c>
      <c r="T471" s="81">
        <f t="shared" si="86"/>
        <v>42.80092592986572</v>
      </c>
      <c r="U471" s="79"/>
      <c r="V471" s="82">
        <v>45712.491666666669</v>
      </c>
      <c r="W471" s="82">
        <v>45712.768055555556</v>
      </c>
      <c r="X471" s="103">
        <f t="shared" si="87"/>
        <v>389.70833333150949</v>
      </c>
      <c r="Y471" s="82" t="s">
        <v>1050</v>
      </c>
      <c r="Z471" s="82">
        <v>45712.427777777775</v>
      </c>
      <c r="AA471" s="82">
        <f>Z471+TIME(0,57,0)</f>
        <v>45712.467361111107</v>
      </c>
      <c r="AB471" s="81">
        <f t="shared" si="88"/>
        <v>55.81249999726424</v>
      </c>
      <c r="AC471" s="80"/>
      <c r="AD471" s="83">
        <f t="shared" si="89"/>
        <v>1.9284722222218988</v>
      </c>
      <c r="AE471" s="80">
        <v>2</v>
      </c>
      <c r="AF471" s="84">
        <f t="shared" si="90"/>
        <v>7.1527777778101154E-2</v>
      </c>
      <c r="AG471" s="83">
        <f t="shared" si="91"/>
        <v>46.283333333325572</v>
      </c>
      <c r="AH471" s="83">
        <f t="shared" si="92"/>
        <v>12</v>
      </c>
      <c r="AI471" s="83">
        <f t="shared" si="93"/>
        <v>34.283333333325572</v>
      </c>
      <c r="AJ471" s="83">
        <f t="shared" si="94"/>
        <v>4.5503159941672919</v>
      </c>
      <c r="AK471" s="83"/>
      <c r="AL471" s="83"/>
      <c r="AM471" s="83"/>
      <c r="AN471" s="83"/>
      <c r="AO471" s="78"/>
    </row>
    <row r="472" spans="1:41" customFormat="1" ht="15" hidden="1" x14ac:dyDescent="0.25">
      <c r="A472" s="82">
        <v>45712</v>
      </c>
      <c r="B472" s="94" t="str">
        <f t="shared" si="84"/>
        <v>February</v>
      </c>
      <c r="C472" s="78"/>
      <c r="D472" s="79" t="s">
        <v>275</v>
      </c>
      <c r="E472" s="80" t="s">
        <v>1017</v>
      </c>
      <c r="F472" s="79"/>
      <c r="G472" s="79" t="s">
        <v>58</v>
      </c>
      <c r="H472" s="79" t="s">
        <v>1284</v>
      </c>
      <c r="I472" s="79">
        <v>156</v>
      </c>
      <c r="J472" s="79" t="s">
        <v>275</v>
      </c>
      <c r="K472" s="80" t="s">
        <v>469</v>
      </c>
      <c r="L472" s="80">
        <v>620</v>
      </c>
      <c r="M472" s="80">
        <f>L472-1</f>
        <v>619</v>
      </c>
      <c r="N472" s="81">
        <f t="shared" si="95"/>
        <v>-1</v>
      </c>
      <c r="O472" s="78"/>
      <c r="P472" s="82">
        <f>R472-TIME(0,44,0)</f>
        <v>45710.614583333336</v>
      </c>
      <c r="Q472" s="82">
        <v>45710.633333333331</v>
      </c>
      <c r="R472" s="82">
        <v>45710.645138888889</v>
      </c>
      <c r="S472" s="81">
        <f t="shared" si="85"/>
        <v>16.921296299309081</v>
      </c>
      <c r="T472" s="81">
        <f t="shared" si="86"/>
        <v>43.796296293051761</v>
      </c>
      <c r="U472" s="79"/>
      <c r="V472" s="82">
        <v>45711.422222222223</v>
      </c>
      <c r="W472" s="82">
        <v>45711.49722222222</v>
      </c>
      <c r="X472" s="103">
        <f t="shared" si="87"/>
        <v>105.74999999589636</v>
      </c>
      <c r="Y472" s="82"/>
      <c r="Z472" s="82">
        <v>45712.525000000001</v>
      </c>
      <c r="AA472" s="82">
        <f>Z472+TIME(0,56,0)</f>
        <v>45712.563888888893</v>
      </c>
      <c r="AB472" s="81">
        <f t="shared" si="88"/>
        <v>54.833333337664953</v>
      </c>
      <c r="AC472" s="80"/>
      <c r="AD472" s="83">
        <f t="shared" si="89"/>
        <v>1.8798611111124046</v>
      </c>
      <c r="AE472" s="80">
        <v>2</v>
      </c>
      <c r="AF472" s="84">
        <f t="shared" si="90"/>
        <v>0.12013888888759539</v>
      </c>
      <c r="AG472" s="83">
        <f t="shared" si="91"/>
        <v>45.116666666697711</v>
      </c>
      <c r="AH472" s="83">
        <f t="shared" si="92"/>
        <v>12</v>
      </c>
      <c r="AI472" s="83">
        <f t="shared" si="93"/>
        <v>33.116666666697711</v>
      </c>
      <c r="AJ472" s="83">
        <f t="shared" si="94"/>
        <v>4.7106190236493335</v>
      </c>
      <c r="AK472" s="83"/>
      <c r="AL472" s="83"/>
      <c r="AM472" s="83"/>
      <c r="AN472" s="83"/>
      <c r="AO472" s="78"/>
    </row>
    <row r="473" spans="1:41" customFormat="1" ht="15" hidden="1" x14ac:dyDescent="0.25">
      <c r="A473" s="82">
        <v>45712</v>
      </c>
      <c r="B473" s="94" t="str">
        <f t="shared" si="84"/>
        <v>February</v>
      </c>
      <c r="C473" s="78"/>
      <c r="D473" s="79" t="s">
        <v>276</v>
      </c>
      <c r="E473" s="80" t="s">
        <v>1017</v>
      </c>
      <c r="F473" s="79" t="s">
        <v>1014</v>
      </c>
      <c r="G473" s="79" t="s">
        <v>52</v>
      </c>
      <c r="H473" s="79" t="s">
        <v>456</v>
      </c>
      <c r="I473" s="79">
        <v>156</v>
      </c>
      <c r="J473" s="79" t="s">
        <v>276</v>
      </c>
      <c r="K473" s="80" t="s">
        <v>469</v>
      </c>
      <c r="L473" s="80">
        <v>670</v>
      </c>
      <c r="M473" s="80">
        <f>L473+1</f>
        <v>671</v>
      </c>
      <c r="N473" s="81">
        <f t="shared" si="95"/>
        <v>1</v>
      </c>
      <c r="O473" s="78"/>
      <c r="P473" s="82">
        <f>R473-TIME(0,44,0)</f>
        <v>45710.762500000004</v>
      </c>
      <c r="Q473" s="82">
        <v>45710.790277777778</v>
      </c>
      <c r="R473" s="82">
        <v>45710.793055555558</v>
      </c>
      <c r="S473" s="81">
        <f t="shared" si="85"/>
        <v>3.9814814840307613</v>
      </c>
      <c r="T473" s="81">
        <f t="shared" si="86"/>
        <v>43.796296293051761</v>
      </c>
      <c r="U473" s="79"/>
      <c r="V473" s="82">
        <v>45710.697222222225</v>
      </c>
      <c r="W473" s="82">
        <v>45710.786805555559</v>
      </c>
      <c r="X473" s="103">
        <f t="shared" si="87"/>
        <v>126.31250000136788</v>
      </c>
      <c r="Y473" s="82"/>
      <c r="Z473" s="82">
        <v>45712.525000000001</v>
      </c>
      <c r="AA473" s="82">
        <f>Z473+TIME(0,60,0)</f>
        <v>45712.566666666666</v>
      </c>
      <c r="AB473" s="81">
        <f t="shared" si="88"/>
        <v>58.7499999965803</v>
      </c>
      <c r="AC473" s="80"/>
      <c r="AD473" s="83">
        <f t="shared" si="89"/>
        <v>1.7319444444437977</v>
      </c>
      <c r="AE473" s="80">
        <v>2</v>
      </c>
      <c r="AF473" s="84">
        <f t="shared" si="90"/>
        <v>0.26805555555620231</v>
      </c>
      <c r="AG473" s="83">
        <f t="shared" si="91"/>
        <v>41.566666666651145</v>
      </c>
      <c r="AH473" s="83">
        <f t="shared" si="92"/>
        <v>12</v>
      </c>
      <c r="AI473" s="83">
        <f t="shared" si="93"/>
        <v>29.566666666651145</v>
      </c>
      <c r="AJ473" s="83">
        <f t="shared" si="94"/>
        <v>5.2762119503973581</v>
      </c>
      <c r="AK473" s="83"/>
      <c r="AL473" s="83"/>
      <c r="AM473" s="83"/>
      <c r="AN473" s="83"/>
      <c r="AO473" s="78"/>
    </row>
    <row r="474" spans="1:41" customFormat="1" ht="15" hidden="1" x14ac:dyDescent="0.25">
      <c r="A474" s="82">
        <v>45712</v>
      </c>
      <c r="B474" s="94" t="str">
        <f t="shared" si="84"/>
        <v>February</v>
      </c>
      <c r="C474" s="78"/>
      <c r="D474" s="79" t="s">
        <v>277</v>
      </c>
      <c r="E474" s="80" t="s">
        <v>1017</v>
      </c>
      <c r="F474" s="79" t="s">
        <v>1029</v>
      </c>
      <c r="G474" s="79" t="s">
        <v>38</v>
      </c>
      <c r="H474" s="79" t="s">
        <v>458</v>
      </c>
      <c r="I474" s="79">
        <v>156</v>
      </c>
      <c r="J474" s="79" t="s">
        <v>277</v>
      </c>
      <c r="K474" s="80" t="s">
        <v>469</v>
      </c>
      <c r="L474" s="80">
        <v>448</v>
      </c>
      <c r="M474" s="80">
        <f>L474+2</f>
        <v>450</v>
      </c>
      <c r="N474" s="81">
        <f t="shared" si="95"/>
        <v>2</v>
      </c>
      <c r="O474" s="78"/>
      <c r="P474" s="82">
        <f>R474-TIME(0,44,0)</f>
        <v>45711.344444444447</v>
      </c>
      <c r="Q474" s="82">
        <v>45711.359027777777</v>
      </c>
      <c r="R474" s="82">
        <v>45711.375</v>
      </c>
      <c r="S474" s="81">
        <f t="shared" si="85"/>
        <v>22.893518520140788</v>
      </c>
      <c r="T474" s="81">
        <f t="shared" si="86"/>
        <v>43.796296293051761</v>
      </c>
      <c r="U474" s="79"/>
      <c r="V474" s="82">
        <v>45710.538194444445</v>
      </c>
      <c r="W474" s="82">
        <v>45710.614583333336</v>
      </c>
      <c r="X474" s="103">
        <f t="shared" si="87"/>
        <v>107.70833333561313</v>
      </c>
      <c r="Y474" s="82"/>
      <c r="Z474" s="82">
        <v>45712.407638888886</v>
      </c>
      <c r="AA474" s="82">
        <f>Z474+TIME(0,51,0)</f>
        <v>45712.443055555552</v>
      </c>
      <c r="AB474" s="81">
        <f t="shared" si="88"/>
        <v>49.93749999863212</v>
      </c>
      <c r="AC474" s="80"/>
      <c r="AD474" s="83">
        <f t="shared" si="89"/>
        <v>1.0326388888861402</v>
      </c>
      <c r="AE474" s="80">
        <v>2</v>
      </c>
      <c r="AF474" s="84">
        <f t="shared" si="90"/>
        <v>0.96736111111385981</v>
      </c>
      <c r="AG474" s="83">
        <f t="shared" si="91"/>
        <v>24.783333333267365</v>
      </c>
      <c r="AH474" s="83">
        <f t="shared" si="92"/>
        <v>12</v>
      </c>
      <c r="AI474" s="83">
        <f t="shared" si="93"/>
        <v>12.783333333267365</v>
      </c>
      <c r="AJ474" s="83">
        <f t="shared" si="94"/>
        <v>12.203389830571451</v>
      </c>
      <c r="AK474" s="83"/>
      <c r="AL474" s="83"/>
      <c r="AM474" s="83"/>
      <c r="AN474" s="83"/>
      <c r="AO474" s="78"/>
    </row>
    <row r="475" spans="1:41" customFormat="1" ht="15" hidden="1" x14ac:dyDescent="0.25">
      <c r="A475" s="82">
        <v>45712</v>
      </c>
      <c r="B475" s="94" t="str">
        <f t="shared" si="84"/>
        <v>February</v>
      </c>
      <c r="C475" s="78"/>
      <c r="D475" s="79" t="s">
        <v>888</v>
      </c>
      <c r="E475" s="80" t="s">
        <v>1016</v>
      </c>
      <c r="F475" s="79" t="s">
        <v>966</v>
      </c>
      <c r="G475" s="79" t="s">
        <v>981</v>
      </c>
      <c r="H475" s="79" t="s">
        <v>461</v>
      </c>
      <c r="I475" s="79">
        <v>153.6</v>
      </c>
      <c r="J475" s="79" t="s">
        <v>888</v>
      </c>
      <c r="K475" s="80" t="s">
        <v>469</v>
      </c>
      <c r="L475" s="80">
        <v>298</v>
      </c>
      <c r="M475" s="80">
        <f>L475-3</f>
        <v>295</v>
      </c>
      <c r="N475" s="81">
        <f t="shared" si="95"/>
        <v>-3</v>
      </c>
      <c r="O475" s="78"/>
      <c r="P475" s="82">
        <f>R475-TIME(0,43,0)</f>
        <v>45710.724999999999</v>
      </c>
      <c r="Q475" s="82">
        <v>45710.746527777781</v>
      </c>
      <c r="R475" s="82">
        <v>45710.754861111112</v>
      </c>
      <c r="S475" s="81">
        <f t="shared" si="85"/>
        <v>11.944444441663412</v>
      </c>
      <c r="T475" s="81">
        <f t="shared" si="86"/>
        <v>42.80092592986572</v>
      </c>
      <c r="U475" s="79"/>
      <c r="V475" s="82">
        <v>45709.925694444442</v>
      </c>
      <c r="W475" s="82">
        <v>45710.450694444444</v>
      </c>
      <c r="X475" s="103">
        <f t="shared" si="87"/>
        <v>740.25000000205182</v>
      </c>
      <c r="Y475" s="82" t="s">
        <v>1038</v>
      </c>
      <c r="Z475" s="82">
        <v>45711.407638888886</v>
      </c>
      <c r="AA475" s="82">
        <f>Z475+TIME(0,58,0)</f>
        <v>45711.447916666664</v>
      </c>
      <c r="AB475" s="81">
        <f t="shared" si="88"/>
        <v>56.791666667122627</v>
      </c>
      <c r="AC475" s="80"/>
      <c r="AD475" s="83">
        <f t="shared" si="89"/>
        <v>0.65277777777373558</v>
      </c>
      <c r="AE475" s="80">
        <v>2</v>
      </c>
      <c r="AF475" s="84">
        <f t="shared" si="90"/>
        <v>1.3472222222262644</v>
      </c>
      <c r="AG475" s="83">
        <f t="shared" si="91"/>
        <v>15.666666666569654</v>
      </c>
      <c r="AH475" s="83">
        <f t="shared" si="92"/>
        <v>0</v>
      </c>
      <c r="AI475" s="83">
        <f t="shared" si="93"/>
        <v>15.666666666569654</v>
      </c>
      <c r="AJ475" s="83">
        <f t="shared" si="94"/>
        <v>9.8042553192096467</v>
      </c>
      <c r="AK475" s="83"/>
      <c r="AL475" s="83"/>
      <c r="AM475" s="83"/>
      <c r="AN475" s="83"/>
      <c r="AO475" s="78"/>
    </row>
    <row r="476" spans="1:41" customFormat="1" ht="15" hidden="1" x14ac:dyDescent="0.25">
      <c r="A476" s="82">
        <v>45712</v>
      </c>
      <c r="B476" s="94" t="str">
        <f t="shared" si="84"/>
        <v>February</v>
      </c>
      <c r="C476" s="78"/>
      <c r="D476" s="79" t="s">
        <v>890</v>
      </c>
      <c r="E476" s="80" t="s">
        <v>1016</v>
      </c>
      <c r="F476" s="79" t="s">
        <v>958</v>
      </c>
      <c r="G476" s="79" t="s">
        <v>975</v>
      </c>
      <c r="H476" s="79" t="s">
        <v>991</v>
      </c>
      <c r="I476" s="79">
        <v>153.6</v>
      </c>
      <c r="J476" s="79" t="s">
        <v>890</v>
      </c>
      <c r="K476" s="80" t="s">
        <v>469</v>
      </c>
      <c r="L476" s="79">
        <v>20</v>
      </c>
      <c r="M476" s="80">
        <f>L476+2</f>
        <v>22</v>
      </c>
      <c r="N476" s="81">
        <f t="shared" si="95"/>
        <v>2</v>
      </c>
      <c r="O476" s="78"/>
      <c r="P476" s="82">
        <f>R476-TIME(0,41,0)</f>
        <v>45710.70694444445</v>
      </c>
      <c r="Q476" s="82">
        <v>45710.711805555562</v>
      </c>
      <c r="R476" s="82">
        <v>45710.73541666667</v>
      </c>
      <c r="S476" s="81">
        <f t="shared" si="85"/>
        <v>33.842592588189291</v>
      </c>
      <c r="T476" s="81">
        <f t="shared" si="86"/>
        <v>40.810185182635905</v>
      </c>
      <c r="U476" s="79"/>
      <c r="V476" s="82">
        <v>45710.304861111108</v>
      </c>
      <c r="W476" s="82">
        <v>45710.548611111109</v>
      </c>
      <c r="X476" s="103">
        <f t="shared" si="87"/>
        <v>343.68750000205182</v>
      </c>
      <c r="Y476" s="82" t="s">
        <v>1039</v>
      </c>
      <c r="Z476" s="82">
        <v>45711.684027777781</v>
      </c>
      <c r="AA476" s="82">
        <f>Z476+TIME(0,51,0)</f>
        <v>45711.719444444447</v>
      </c>
      <c r="AB476" s="81">
        <f t="shared" si="88"/>
        <v>49.93749999863212</v>
      </c>
      <c r="AC476" s="80"/>
      <c r="AD476" s="83">
        <f t="shared" si="89"/>
        <v>0.94861111111094942</v>
      </c>
      <c r="AE476" s="80">
        <v>2</v>
      </c>
      <c r="AF476" s="84">
        <f t="shared" si="90"/>
        <v>1.0513888888890506</v>
      </c>
      <c r="AG476" s="83">
        <f t="shared" si="91"/>
        <v>22.766666666662786</v>
      </c>
      <c r="AH476" s="83">
        <f t="shared" si="92"/>
        <v>0</v>
      </c>
      <c r="AI476" s="83">
        <f t="shared" si="93"/>
        <v>22.766666666662786</v>
      </c>
      <c r="AJ476" s="83">
        <f t="shared" si="94"/>
        <v>6.7467057101036385</v>
      </c>
      <c r="AK476" s="83"/>
      <c r="AL476" s="83"/>
      <c r="AM476" s="83"/>
      <c r="AN476" s="83"/>
      <c r="AO476" s="78"/>
    </row>
    <row r="477" spans="1:41" customFormat="1" ht="15" hidden="1" x14ac:dyDescent="0.25">
      <c r="A477" s="82">
        <v>45712</v>
      </c>
      <c r="B477" s="94" t="str">
        <f t="shared" si="84"/>
        <v>February</v>
      </c>
      <c r="C477" s="79" t="s">
        <v>2161</v>
      </c>
      <c r="D477" s="79" t="s">
        <v>892</v>
      </c>
      <c r="E477" s="80" t="s">
        <v>1016</v>
      </c>
      <c r="F477" s="79" t="s">
        <v>954</v>
      </c>
      <c r="G477" s="79" t="s">
        <v>971</v>
      </c>
      <c r="H477" s="79" t="s">
        <v>1004</v>
      </c>
      <c r="I477" s="79">
        <v>153.6</v>
      </c>
      <c r="J477" s="79" t="s">
        <v>892</v>
      </c>
      <c r="K477" s="80" t="s">
        <v>469</v>
      </c>
      <c r="L477" s="80">
        <v>560</v>
      </c>
      <c r="M477" s="80">
        <f>L477+1</f>
        <v>561</v>
      </c>
      <c r="N477" s="81">
        <f t="shared" si="95"/>
        <v>1</v>
      </c>
      <c r="O477" s="78"/>
      <c r="P477" s="82">
        <f>R477-TIME(0,44,0)</f>
        <v>45710.955555555556</v>
      </c>
      <c r="Q477" s="82">
        <v>45710.969444444439</v>
      </c>
      <c r="R477" s="82">
        <v>45710.986111111109</v>
      </c>
      <c r="S477" s="81">
        <f t="shared" si="85"/>
        <v>23.888888893755695</v>
      </c>
      <c r="T477" s="81">
        <f t="shared" si="86"/>
        <v>43.796296293051761</v>
      </c>
      <c r="U477" s="79"/>
      <c r="V477" s="82">
        <v>45709.935416666667</v>
      </c>
      <c r="W477" s="82">
        <v>45710.533333333333</v>
      </c>
      <c r="X477" s="103">
        <f t="shared" si="87"/>
        <v>843.06249999863212</v>
      </c>
      <c r="Y477" s="82" t="s">
        <v>1040</v>
      </c>
      <c r="Z477" s="82">
        <v>45711.622916666667</v>
      </c>
      <c r="AA477" s="82">
        <f>Z477+TIME(0,55,0)</f>
        <v>45711.661111111112</v>
      </c>
      <c r="AB477" s="81">
        <f t="shared" si="88"/>
        <v>53.854166667806567</v>
      </c>
      <c r="AC477" s="80"/>
      <c r="AD477" s="83">
        <f t="shared" si="89"/>
        <v>0.6368055555576575</v>
      </c>
      <c r="AE477" s="80">
        <v>3</v>
      </c>
      <c r="AF477" s="84">
        <f t="shared" si="90"/>
        <v>2.3631944444423425</v>
      </c>
      <c r="AG477" s="83">
        <f t="shared" si="91"/>
        <v>15.28333333338378</v>
      </c>
      <c r="AH477" s="83">
        <f t="shared" si="92"/>
        <v>0</v>
      </c>
      <c r="AI477" s="83">
        <f t="shared" si="93"/>
        <v>15.28333333338378</v>
      </c>
      <c r="AJ477" s="83">
        <f t="shared" si="94"/>
        <v>10.050163576847961</v>
      </c>
      <c r="AK477" s="83"/>
      <c r="AL477" s="83"/>
      <c r="AM477" s="83"/>
      <c r="AN477" s="83"/>
      <c r="AO477" s="78"/>
    </row>
    <row r="478" spans="1:41" customFormat="1" ht="15" hidden="1" x14ac:dyDescent="0.25">
      <c r="A478" s="82">
        <v>45712</v>
      </c>
      <c r="B478" s="94" t="str">
        <f t="shared" si="84"/>
        <v>February</v>
      </c>
      <c r="C478" s="78"/>
      <c r="D478" s="79" t="s">
        <v>893</v>
      </c>
      <c r="E478" s="80" t="s">
        <v>1016</v>
      </c>
      <c r="F478" s="79" t="s">
        <v>961</v>
      </c>
      <c r="G478" s="79" t="s">
        <v>977</v>
      </c>
      <c r="H478" s="79" t="s">
        <v>455</v>
      </c>
      <c r="I478" s="79">
        <v>156</v>
      </c>
      <c r="J478" s="79" t="s">
        <v>893</v>
      </c>
      <c r="K478" s="80" t="s">
        <v>469</v>
      </c>
      <c r="L478" s="80">
        <v>580</v>
      </c>
      <c r="M478" s="80">
        <f>L478+2</f>
        <v>582</v>
      </c>
      <c r="N478" s="81">
        <f t="shared" si="95"/>
        <v>2</v>
      </c>
      <c r="O478" s="78"/>
      <c r="P478" s="82">
        <f>R478-TIME(0,44,0)</f>
        <v>45710.786111111112</v>
      </c>
      <c r="Q478" s="82">
        <v>45710.098611111112</v>
      </c>
      <c r="R478" s="82">
        <v>45710.816666666666</v>
      </c>
      <c r="S478" s="81">
        <f t="shared" si="85"/>
        <v>1029.2129629597184</v>
      </c>
      <c r="T478" s="81">
        <f t="shared" si="86"/>
        <v>43.796296293051761</v>
      </c>
      <c r="U478" s="79"/>
      <c r="V478" s="82">
        <v>45709.935416666667</v>
      </c>
      <c r="W478" s="82">
        <v>45710.533333333333</v>
      </c>
      <c r="X478" s="103">
        <f t="shared" si="87"/>
        <v>843.06249999863212</v>
      </c>
      <c r="Y478" s="82" t="s">
        <v>1044</v>
      </c>
      <c r="Z478" s="82">
        <v>45711.622916666667</v>
      </c>
      <c r="AA478" s="82">
        <f>Z478+TIME(0,56,0)</f>
        <v>45711.661805555559</v>
      </c>
      <c r="AB478" s="81">
        <f t="shared" si="88"/>
        <v>54.833333337664953</v>
      </c>
      <c r="AC478" s="80"/>
      <c r="AD478" s="83">
        <f t="shared" si="89"/>
        <v>0.80625000000145519</v>
      </c>
      <c r="AE478" s="80">
        <v>2</v>
      </c>
      <c r="AF478" s="84">
        <f t="shared" si="90"/>
        <v>1.1937499999985448</v>
      </c>
      <c r="AG478" s="83">
        <f t="shared" si="91"/>
        <v>19.350000000034925</v>
      </c>
      <c r="AH478" s="83">
        <f t="shared" si="92"/>
        <v>0</v>
      </c>
      <c r="AI478" s="83">
        <f t="shared" si="93"/>
        <v>19.350000000034925</v>
      </c>
      <c r="AJ478" s="83">
        <f t="shared" si="94"/>
        <v>8.0620155038614172</v>
      </c>
      <c r="AK478" s="83"/>
      <c r="AL478" s="83"/>
      <c r="AM478" s="83"/>
      <c r="AN478" s="83"/>
      <c r="AO478" s="78"/>
    </row>
    <row r="479" spans="1:41" customFormat="1" ht="15" hidden="1" x14ac:dyDescent="0.25">
      <c r="A479" s="82">
        <v>45712</v>
      </c>
      <c r="B479" s="94" t="str">
        <f t="shared" si="84"/>
        <v>February</v>
      </c>
      <c r="C479" s="78"/>
      <c r="D479" s="79" t="s">
        <v>894</v>
      </c>
      <c r="E479" s="80" t="s">
        <v>1016</v>
      </c>
      <c r="F479" s="79" t="s">
        <v>963</v>
      </c>
      <c r="G479" s="79" t="s">
        <v>60</v>
      </c>
      <c r="H479" s="79" t="s">
        <v>458</v>
      </c>
      <c r="I479" s="79">
        <v>156</v>
      </c>
      <c r="J479" s="79" t="s">
        <v>894</v>
      </c>
      <c r="K479" s="80" t="s">
        <v>469</v>
      </c>
      <c r="L479" s="80">
        <v>448</v>
      </c>
      <c r="M479" s="80">
        <f>L479+2</f>
        <v>450</v>
      </c>
      <c r="N479" s="81">
        <f t="shared" si="95"/>
        <v>2</v>
      </c>
      <c r="O479" s="78"/>
      <c r="P479" s="82">
        <f>R479-TIME(0,43,0)</f>
        <v>45710.396527777775</v>
      </c>
      <c r="Q479" s="82">
        <v>45709.816666666666</v>
      </c>
      <c r="R479" s="82">
        <v>45710.426388888889</v>
      </c>
      <c r="S479" s="81">
        <f t="shared" si="85"/>
        <v>873.93518518680742</v>
      </c>
      <c r="T479" s="81">
        <f t="shared" si="86"/>
        <v>42.80092592986572</v>
      </c>
      <c r="U479" s="79"/>
      <c r="V479" s="82">
        <v>45710.304861111108</v>
      </c>
      <c r="W479" s="82">
        <v>45710.548611111109</v>
      </c>
      <c r="X479" s="103">
        <f t="shared" si="87"/>
        <v>343.68750000205182</v>
      </c>
      <c r="Y479" s="82" t="s">
        <v>1039</v>
      </c>
      <c r="Z479" s="82">
        <v>45710.684027777781</v>
      </c>
      <c r="AA479" s="82">
        <f>Z479+TIME(0,60,0)</f>
        <v>45710.725694444445</v>
      </c>
      <c r="AB479" s="81">
        <f t="shared" si="88"/>
        <v>58.7499999965803</v>
      </c>
      <c r="AC479" s="80"/>
      <c r="AD479" s="83">
        <f t="shared" si="89"/>
        <v>0.25763888889196096</v>
      </c>
      <c r="AE479" s="80">
        <v>2</v>
      </c>
      <c r="AF479" s="84">
        <f t="shared" si="90"/>
        <v>1.742361111108039</v>
      </c>
      <c r="AG479" s="83">
        <f t="shared" si="91"/>
        <v>6.183333333407063</v>
      </c>
      <c r="AH479" s="83">
        <f t="shared" si="92"/>
        <v>0</v>
      </c>
      <c r="AI479" s="83">
        <f t="shared" si="93"/>
        <v>6.183333333407063</v>
      </c>
      <c r="AJ479" s="83">
        <f t="shared" si="94"/>
        <v>25.229110511828548</v>
      </c>
      <c r="AK479" s="83"/>
      <c r="AL479" s="83"/>
      <c r="AM479" s="83"/>
      <c r="AN479" s="83"/>
      <c r="AO479" s="78"/>
    </row>
    <row r="480" spans="1:41" customFormat="1" ht="15" hidden="1" x14ac:dyDescent="0.25">
      <c r="A480" s="82">
        <v>45712</v>
      </c>
      <c r="B480" s="94" t="str">
        <f t="shared" si="84"/>
        <v>February</v>
      </c>
      <c r="C480" s="78"/>
      <c r="D480" s="79" t="s">
        <v>891</v>
      </c>
      <c r="E480" s="80" t="s">
        <v>1016</v>
      </c>
      <c r="F480" s="79" t="s">
        <v>962</v>
      </c>
      <c r="G480" s="79" t="s">
        <v>978</v>
      </c>
      <c r="H480" s="79" t="s">
        <v>1282</v>
      </c>
      <c r="I480" s="79">
        <v>153.6</v>
      </c>
      <c r="J480" s="79" t="s">
        <v>891</v>
      </c>
      <c r="K480" s="80" t="s">
        <v>469</v>
      </c>
      <c r="L480" s="79">
        <v>810</v>
      </c>
      <c r="M480" s="80">
        <f>L480-1</f>
        <v>809</v>
      </c>
      <c r="N480" s="81">
        <f t="shared" si="95"/>
        <v>-1</v>
      </c>
      <c r="O480" s="78"/>
      <c r="P480" s="82">
        <f>R480-TIME(0,41,0)</f>
        <v>45711.34097222222</v>
      </c>
      <c r="Q480" s="82">
        <v>45711.307638888888</v>
      </c>
      <c r="R480" s="82">
        <v>45711.369444444441</v>
      </c>
      <c r="S480" s="81">
        <f t="shared" si="85"/>
        <v>88.587962959718425</v>
      </c>
      <c r="T480" s="81">
        <f t="shared" si="86"/>
        <v>40.810185182635905</v>
      </c>
      <c r="U480" s="79"/>
      <c r="V480" s="82">
        <v>45710.500694444447</v>
      </c>
      <c r="W480" s="82">
        <v>45710.563194444447</v>
      </c>
      <c r="X480" s="103">
        <f t="shared" si="87"/>
        <v>88.125</v>
      </c>
      <c r="Y480" s="82"/>
      <c r="Z480" s="82">
        <v>45713.399305555555</v>
      </c>
      <c r="AA480" s="82">
        <f>Z480+TIME(0,60,0)</f>
        <v>45713.440972222219</v>
      </c>
      <c r="AB480" s="81">
        <f t="shared" si="88"/>
        <v>58.7499999965803</v>
      </c>
      <c r="AC480" s="80"/>
      <c r="AD480" s="83">
        <f t="shared" si="89"/>
        <v>2.0298611111138598</v>
      </c>
      <c r="AE480" s="80">
        <v>2</v>
      </c>
      <c r="AF480" s="84">
        <f t="shared" si="90"/>
        <v>-2.9861111113859806E-2</v>
      </c>
      <c r="AG480" s="83">
        <f t="shared" si="91"/>
        <v>48.716666666732635</v>
      </c>
      <c r="AH480" s="83">
        <f t="shared" si="92"/>
        <v>24</v>
      </c>
      <c r="AI480" s="83">
        <f t="shared" si="93"/>
        <v>24.716666666732635</v>
      </c>
      <c r="AJ480" s="83">
        <f t="shared" si="94"/>
        <v>6.2144302090191514</v>
      </c>
      <c r="AK480" s="83"/>
      <c r="AL480" s="83"/>
      <c r="AM480" s="83"/>
      <c r="AN480" s="83"/>
      <c r="AO480" s="78"/>
    </row>
    <row r="481" spans="1:41" customFormat="1" ht="15" hidden="1" x14ac:dyDescent="0.25">
      <c r="A481" s="82">
        <v>45712</v>
      </c>
      <c r="B481" s="94" t="str">
        <f t="shared" si="84"/>
        <v>February</v>
      </c>
      <c r="C481" s="78"/>
      <c r="D481" s="79" t="s">
        <v>889</v>
      </c>
      <c r="E481" s="80" t="s">
        <v>1016</v>
      </c>
      <c r="F481" s="79" t="s">
        <v>966</v>
      </c>
      <c r="G481" s="79" t="s">
        <v>981</v>
      </c>
      <c r="H481" s="79" t="s">
        <v>461</v>
      </c>
      <c r="I481" s="79">
        <v>153.6</v>
      </c>
      <c r="J481" s="79" t="s">
        <v>889</v>
      </c>
      <c r="K481" s="80" t="s">
        <v>469</v>
      </c>
      <c r="L481" s="80">
        <v>298</v>
      </c>
      <c r="M481" s="80">
        <f>L481-150</f>
        <v>148</v>
      </c>
      <c r="N481" s="81">
        <f t="shared" si="95"/>
        <v>-150</v>
      </c>
      <c r="O481" s="78" t="s">
        <v>1042</v>
      </c>
      <c r="P481" s="82">
        <f>R481-TIME(0,44,0)</f>
        <v>45711.318750000006</v>
      </c>
      <c r="Q481" s="82">
        <v>45711.337500000001</v>
      </c>
      <c r="R481" s="82">
        <v>45711.349305555559</v>
      </c>
      <c r="S481" s="81">
        <f t="shared" si="85"/>
        <v>16.921296299309081</v>
      </c>
      <c r="T481" s="81">
        <f t="shared" si="86"/>
        <v>43.796296293051761</v>
      </c>
      <c r="U481" s="79"/>
      <c r="V481" s="82">
        <v>45713.347916666666</v>
      </c>
      <c r="W481" s="82">
        <v>45713.538888888892</v>
      </c>
      <c r="X481" s="103">
        <f t="shared" si="87"/>
        <v>269.27083333903283</v>
      </c>
      <c r="Y481" s="82" t="s">
        <v>1046</v>
      </c>
      <c r="Z481" s="82">
        <v>45713.634722222225</v>
      </c>
      <c r="AA481" s="82">
        <f>Z481+TIME(0,89,0)</f>
        <v>45713.696527777778</v>
      </c>
      <c r="AB481" s="81">
        <f t="shared" si="88"/>
        <v>87.145833330141613</v>
      </c>
      <c r="AC481" s="80" t="s">
        <v>1678</v>
      </c>
      <c r="AD481" s="83">
        <f t="shared" si="89"/>
        <v>2.2854166666656965</v>
      </c>
      <c r="AE481" s="80">
        <v>2</v>
      </c>
      <c r="AF481" s="84">
        <f t="shared" si="90"/>
        <v>-0.28541666666569654</v>
      </c>
      <c r="AG481" s="83">
        <f t="shared" si="91"/>
        <v>54.849999999976717</v>
      </c>
      <c r="AH481" s="83">
        <f t="shared" si="92"/>
        <v>24</v>
      </c>
      <c r="AI481" s="83">
        <f t="shared" si="93"/>
        <v>30.849999999976717</v>
      </c>
      <c r="AJ481" s="83">
        <f t="shared" si="94"/>
        <v>4.9789303079454106</v>
      </c>
      <c r="AK481" s="83"/>
      <c r="AL481" s="83"/>
      <c r="AM481" s="83"/>
      <c r="AN481" s="83"/>
      <c r="AO481" s="78"/>
    </row>
    <row r="482" spans="1:41" customFormat="1" ht="15" hidden="1" x14ac:dyDescent="0.25">
      <c r="A482" s="82">
        <v>45713</v>
      </c>
      <c r="B482" s="94" t="str">
        <f t="shared" si="84"/>
        <v>February</v>
      </c>
      <c r="C482" s="78"/>
      <c r="D482" s="79" t="s">
        <v>278</v>
      </c>
      <c r="E482" s="80" t="s">
        <v>1017</v>
      </c>
      <c r="F482" s="79" t="s">
        <v>1030</v>
      </c>
      <c r="G482" s="79" t="s">
        <v>55</v>
      </c>
      <c r="H482" s="79" t="s">
        <v>448</v>
      </c>
      <c r="I482" s="79">
        <v>156</v>
      </c>
      <c r="J482" s="79" t="s">
        <v>278</v>
      </c>
      <c r="K482" s="80" t="s">
        <v>469</v>
      </c>
      <c r="L482" s="80">
        <v>560</v>
      </c>
      <c r="M482" s="80">
        <f>L482+2</f>
        <v>562</v>
      </c>
      <c r="N482" s="81">
        <f t="shared" si="95"/>
        <v>2</v>
      </c>
      <c r="O482" s="78"/>
      <c r="P482" s="82">
        <f>R482-TIME(0,44,0)</f>
        <v>45714.305555555555</v>
      </c>
      <c r="Q482" s="82">
        <v>45714.322916666664</v>
      </c>
      <c r="R482" s="82">
        <v>45714.336111111108</v>
      </c>
      <c r="S482" s="81">
        <f t="shared" si="85"/>
        <v>18.912037036110025</v>
      </c>
      <c r="T482" s="81">
        <f t="shared" si="86"/>
        <v>43.796296293051761</v>
      </c>
      <c r="U482" s="79"/>
      <c r="V482" s="82">
        <v>45712.35833333333</v>
      </c>
      <c r="W482" s="82">
        <v>45712.456250000003</v>
      </c>
      <c r="X482" s="103">
        <f t="shared" si="87"/>
        <v>138.06250000889122</v>
      </c>
      <c r="Y482" s="82"/>
      <c r="Z482" s="82">
        <v>45715.634722222225</v>
      </c>
      <c r="AA482" s="82">
        <f>Z482+TIME(0,57,0)</f>
        <v>45715.674305555556</v>
      </c>
      <c r="AB482" s="81">
        <f t="shared" si="88"/>
        <v>55.81249999726424</v>
      </c>
      <c r="AC482" s="80"/>
      <c r="AD482" s="83">
        <f t="shared" si="89"/>
        <v>1.2986111111167702</v>
      </c>
      <c r="AE482" s="80">
        <v>2</v>
      </c>
      <c r="AF482" s="84">
        <f t="shared" si="90"/>
        <v>0.70138888888322981</v>
      </c>
      <c r="AG482" s="83">
        <f t="shared" si="91"/>
        <v>31.166666666802485</v>
      </c>
      <c r="AH482" s="83">
        <f t="shared" si="92"/>
        <v>12</v>
      </c>
      <c r="AI482" s="83">
        <f t="shared" si="93"/>
        <v>19.166666666802485</v>
      </c>
      <c r="AJ482" s="83">
        <f t="shared" si="94"/>
        <v>8.1391304347249331</v>
      </c>
      <c r="AK482" s="83"/>
      <c r="AL482" s="83"/>
      <c r="AM482" s="83"/>
      <c r="AN482" s="83"/>
      <c r="AO482" s="78"/>
    </row>
    <row r="483" spans="1:41" customFormat="1" ht="15" hidden="1" x14ac:dyDescent="0.25">
      <c r="A483" s="82">
        <v>45713</v>
      </c>
      <c r="B483" s="94" t="str">
        <f t="shared" si="84"/>
        <v>February</v>
      </c>
      <c r="C483" s="78"/>
      <c r="D483" s="79" t="s">
        <v>279</v>
      </c>
      <c r="E483" s="80" t="s">
        <v>1017</v>
      </c>
      <c r="F483" s="79" t="s">
        <v>1028</v>
      </c>
      <c r="G483" s="79" t="s">
        <v>45</v>
      </c>
      <c r="H483" s="79" t="s">
        <v>459</v>
      </c>
      <c r="I483" s="79">
        <v>156</v>
      </c>
      <c r="J483" s="79" t="s">
        <v>279</v>
      </c>
      <c r="K483" s="80" t="s">
        <v>469</v>
      </c>
      <c r="L483" s="80">
        <v>560</v>
      </c>
      <c r="M483" s="80">
        <f>L483-2</f>
        <v>558</v>
      </c>
      <c r="N483" s="81">
        <f t="shared" si="95"/>
        <v>-2</v>
      </c>
      <c r="O483" s="78"/>
      <c r="P483" s="82">
        <v>45712.293055555558</v>
      </c>
      <c r="Q483" s="82">
        <v>45712.26666666667</v>
      </c>
      <c r="R483" s="82">
        <v>45712.322222222225</v>
      </c>
      <c r="S483" s="81">
        <f t="shared" si="85"/>
        <v>79.629629628470866</v>
      </c>
      <c r="T483" s="81">
        <f t="shared" si="86"/>
        <v>41.805555556250816</v>
      </c>
      <c r="U483" s="79"/>
      <c r="V483" s="82">
        <v>45712.438194444447</v>
      </c>
      <c r="W483" s="82">
        <v>45712.548611111109</v>
      </c>
      <c r="X483" s="103">
        <f t="shared" si="87"/>
        <v>155.68749999452848</v>
      </c>
      <c r="Y483" s="82"/>
      <c r="Z483" s="82">
        <v>45713.695833333331</v>
      </c>
      <c r="AA483" s="82">
        <v>45713.73333333333</v>
      </c>
      <c r="AB483" s="81">
        <f t="shared" si="88"/>
        <v>52.87499999794818</v>
      </c>
      <c r="AC483" s="80"/>
      <c r="AD483" s="83">
        <f t="shared" si="89"/>
        <v>1.3736111111065838</v>
      </c>
      <c r="AE483" s="80">
        <v>3</v>
      </c>
      <c r="AF483" s="84">
        <f t="shared" si="90"/>
        <v>1.6263888888934162</v>
      </c>
      <c r="AG483" s="83">
        <f t="shared" si="91"/>
        <v>32.966666666558012</v>
      </c>
      <c r="AH483" s="83">
        <f t="shared" si="92"/>
        <v>12</v>
      </c>
      <c r="AI483" s="83">
        <f t="shared" si="93"/>
        <v>20.966666666558012</v>
      </c>
      <c r="AJ483" s="83">
        <f t="shared" si="94"/>
        <v>7.440381558067175</v>
      </c>
      <c r="AK483" s="83"/>
      <c r="AL483" s="83"/>
      <c r="AM483" s="83"/>
      <c r="AN483" s="83"/>
      <c r="AO483" s="78"/>
    </row>
    <row r="484" spans="1:41" customFormat="1" ht="15" hidden="1" x14ac:dyDescent="0.25">
      <c r="A484" s="82">
        <v>45713</v>
      </c>
      <c r="B484" s="94" t="str">
        <f t="shared" si="84"/>
        <v>February</v>
      </c>
      <c r="C484" s="78"/>
      <c r="D484" s="79" t="s">
        <v>280</v>
      </c>
      <c r="E484" s="80" t="s">
        <v>1017</v>
      </c>
      <c r="F484" s="79"/>
      <c r="G484" s="79" t="s">
        <v>69</v>
      </c>
      <c r="H484" s="79" t="s">
        <v>464</v>
      </c>
      <c r="I484" s="79">
        <v>156</v>
      </c>
      <c r="J484" s="79" t="s">
        <v>280</v>
      </c>
      <c r="K484" s="80" t="s">
        <v>469</v>
      </c>
      <c r="L484" s="79">
        <v>256</v>
      </c>
      <c r="M484" s="80">
        <f>L484-1</f>
        <v>255</v>
      </c>
      <c r="N484" s="81">
        <f t="shared" si="95"/>
        <v>-1</v>
      </c>
      <c r="O484" s="78"/>
      <c r="P484" s="82">
        <f>R484-TIME(0,41,0)</f>
        <v>45711.867361111115</v>
      </c>
      <c r="Q484" s="82">
        <v>45711.876388888893</v>
      </c>
      <c r="R484" s="82">
        <v>45711.895833333336</v>
      </c>
      <c r="S484" s="81">
        <f t="shared" si="85"/>
        <v>27.870370367357584</v>
      </c>
      <c r="T484" s="81">
        <f t="shared" si="86"/>
        <v>40.810185182635905</v>
      </c>
      <c r="U484" s="79"/>
      <c r="V484" s="82">
        <v>45713.44027777778</v>
      </c>
      <c r="W484" s="82">
        <v>45713.512499999997</v>
      </c>
      <c r="X484" s="103">
        <f t="shared" si="87"/>
        <v>101.83333332672191</v>
      </c>
      <c r="Y484" s="82"/>
      <c r="Z484" s="82">
        <v>45713.695833333331</v>
      </c>
      <c r="AA484" s="82">
        <f>Z484+TIME(0,76,0)</f>
        <v>45713.748611111107</v>
      </c>
      <c r="AB484" s="81">
        <f t="shared" si="88"/>
        <v>74.416666663018987</v>
      </c>
      <c r="AC484" s="80" t="s">
        <v>1678</v>
      </c>
      <c r="AD484" s="83">
        <f t="shared" si="89"/>
        <v>1.7999999999956344</v>
      </c>
      <c r="AE484" s="80">
        <v>2</v>
      </c>
      <c r="AF484" s="84">
        <f t="shared" si="90"/>
        <v>0.20000000000436557</v>
      </c>
      <c r="AG484" s="83">
        <f t="shared" si="91"/>
        <v>43.199999999895226</v>
      </c>
      <c r="AH484" s="83">
        <f t="shared" si="92"/>
        <v>12</v>
      </c>
      <c r="AI484" s="83">
        <f t="shared" si="93"/>
        <v>31.199999999895226</v>
      </c>
      <c r="AJ484" s="83">
        <f t="shared" si="94"/>
        <v>5.000000000016791</v>
      </c>
      <c r="AK484" s="83"/>
      <c r="AL484" s="83"/>
      <c r="AM484" s="83"/>
      <c r="AN484" s="83"/>
      <c r="AO484" s="78"/>
    </row>
    <row r="485" spans="1:41" customFormat="1" ht="15" hidden="1" x14ac:dyDescent="0.25">
      <c r="A485" s="82">
        <v>45713</v>
      </c>
      <c r="B485" s="94" t="str">
        <f t="shared" si="84"/>
        <v>February</v>
      </c>
      <c r="C485" s="78"/>
      <c r="D485" s="79" t="s">
        <v>281</v>
      </c>
      <c r="E485" s="80" t="s">
        <v>1017</v>
      </c>
      <c r="F485" s="79"/>
      <c r="G485" s="79" t="s">
        <v>70</v>
      </c>
      <c r="H485" s="79" t="s">
        <v>459</v>
      </c>
      <c r="I485" s="79">
        <v>156</v>
      </c>
      <c r="J485" s="79" t="s">
        <v>281</v>
      </c>
      <c r="K485" s="80" t="s">
        <v>469</v>
      </c>
      <c r="L485" s="80">
        <v>560</v>
      </c>
      <c r="M485" s="80">
        <f>L485-2</f>
        <v>558</v>
      </c>
      <c r="N485" s="81">
        <f t="shared" si="95"/>
        <v>-2</v>
      </c>
      <c r="O485" s="78"/>
      <c r="P485" s="82">
        <f>R485-TIME(0,43,0)</f>
        <v>45711.598611111105</v>
      </c>
      <c r="Q485" s="82">
        <v>45711.612499999996</v>
      </c>
      <c r="R485" s="82">
        <v>45711.628472222219</v>
      </c>
      <c r="S485" s="81">
        <f t="shared" si="85"/>
        <v>22.893518520140788</v>
      </c>
      <c r="T485" s="81">
        <f t="shared" si="86"/>
        <v>42.80092592986572</v>
      </c>
      <c r="U485" s="79"/>
      <c r="V485" s="82">
        <v>45713.499305555553</v>
      </c>
      <c r="W485" s="82">
        <v>45713.76666666667</v>
      </c>
      <c r="X485" s="103">
        <f t="shared" si="87"/>
        <v>376.97916667464597</v>
      </c>
      <c r="Y485" s="82" t="s">
        <v>1044</v>
      </c>
      <c r="Z485" s="82">
        <v>45715.377083333333</v>
      </c>
      <c r="AA485" s="82">
        <v>45715.414583333331</v>
      </c>
      <c r="AB485" s="81">
        <f t="shared" si="88"/>
        <v>52.87499999794818</v>
      </c>
      <c r="AC485" s="80"/>
      <c r="AD485" s="83">
        <f t="shared" si="89"/>
        <v>3.7486111111138598</v>
      </c>
      <c r="AE485" s="80">
        <v>3</v>
      </c>
      <c r="AF485" s="84">
        <f t="shared" si="90"/>
        <v>-0.74861111111385981</v>
      </c>
      <c r="AG485" s="83">
        <f t="shared" si="91"/>
        <v>89.966666666732635</v>
      </c>
      <c r="AH485" s="83">
        <f t="shared" si="92"/>
        <v>36</v>
      </c>
      <c r="AI485" s="83">
        <f t="shared" si="93"/>
        <v>53.966666666732635</v>
      </c>
      <c r="AJ485" s="83">
        <f t="shared" si="94"/>
        <v>2.8906732550922047</v>
      </c>
      <c r="AK485" s="83"/>
      <c r="AL485" s="83"/>
      <c r="AM485" s="83"/>
      <c r="AN485" s="83"/>
      <c r="AO485" s="78"/>
    </row>
    <row r="486" spans="1:41" customFormat="1" ht="15" hidden="1" x14ac:dyDescent="0.25">
      <c r="A486" s="82">
        <v>45713</v>
      </c>
      <c r="B486" s="94" t="str">
        <f t="shared" si="84"/>
        <v>February</v>
      </c>
      <c r="C486" s="78"/>
      <c r="D486" s="79" t="s">
        <v>282</v>
      </c>
      <c r="E486" s="80" t="s">
        <v>1017</v>
      </c>
      <c r="F486" s="79"/>
      <c r="G486" s="79" t="s">
        <v>49</v>
      </c>
      <c r="H486" s="79" t="s">
        <v>450</v>
      </c>
      <c r="I486" s="79">
        <v>156</v>
      </c>
      <c r="J486" s="79" t="s">
        <v>282</v>
      </c>
      <c r="K486" s="80" t="s">
        <v>469</v>
      </c>
      <c r="L486" s="80">
        <v>288</v>
      </c>
      <c r="M486" s="80">
        <f>L486+2</f>
        <v>290</v>
      </c>
      <c r="N486" s="81">
        <f t="shared" si="95"/>
        <v>2</v>
      </c>
      <c r="O486" s="78"/>
      <c r="P486" s="82">
        <v>45711.574999999997</v>
      </c>
      <c r="Q486" s="82">
        <v>45711.592361111107</v>
      </c>
      <c r="R486" s="82">
        <v>45711.604166666664</v>
      </c>
      <c r="S486" s="81">
        <f t="shared" si="85"/>
        <v>16.921296299309081</v>
      </c>
      <c r="T486" s="81">
        <f t="shared" si="86"/>
        <v>41.805555556250816</v>
      </c>
      <c r="U486" s="79"/>
      <c r="V486" s="82">
        <v>45712.481249999997</v>
      </c>
      <c r="W486" s="82">
        <v>45712.567361111112</v>
      </c>
      <c r="X486" s="103">
        <f t="shared" si="87"/>
        <v>121.41666667259415</v>
      </c>
      <c r="Y486" s="82"/>
      <c r="Z486" s="82">
        <v>45715.377083333333</v>
      </c>
      <c r="AA486" s="82">
        <f>Z486+TIME(0,60,0)</f>
        <v>45715.418749999997</v>
      </c>
      <c r="AB486" s="81">
        <f t="shared" si="88"/>
        <v>58.7499999965803</v>
      </c>
      <c r="AC486" s="80"/>
      <c r="AD486" s="83">
        <f t="shared" si="89"/>
        <v>3.7729166666686069</v>
      </c>
      <c r="AE486" s="80">
        <v>2</v>
      </c>
      <c r="AF486" s="84">
        <f t="shared" si="90"/>
        <v>-1.7729166666686069</v>
      </c>
      <c r="AG486" s="83">
        <f t="shared" si="91"/>
        <v>90.550000000046566</v>
      </c>
      <c r="AH486" s="83">
        <f t="shared" si="92"/>
        <v>36</v>
      </c>
      <c r="AI486" s="83">
        <f t="shared" si="93"/>
        <v>54.550000000046566</v>
      </c>
      <c r="AJ486" s="83">
        <f t="shared" si="94"/>
        <v>2.8597616865236817</v>
      </c>
      <c r="AK486" s="83"/>
      <c r="AL486" s="83"/>
      <c r="AM486" s="83"/>
      <c r="AN486" s="83"/>
      <c r="AO486" s="78"/>
    </row>
    <row r="487" spans="1:41" customFormat="1" ht="15" hidden="1" x14ac:dyDescent="0.25">
      <c r="A487" s="82">
        <v>45713</v>
      </c>
      <c r="B487" s="94" t="str">
        <f t="shared" si="84"/>
        <v>February</v>
      </c>
      <c r="C487" s="78"/>
      <c r="D487" s="79" t="s">
        <v>283</v>
      </c>
      <c r="E487" s="80" t="s">
        <v>1017</v>
      </c>
      <c r="F487" s="79"/>
      <c r="G487" s="79" t="s">
        <v>47</v>
      </c>
      <c r="H487" s="79" t="s">
        <v>453</v>
      </c>
      <c r="I487" s="79">
        <v>156</v>
      </c>
      <c r="J487" s="79" t="s">
        <v>283</v>
      </c>
      <c r="K487" s="80" t="s">
        <v>469</v>
      </c>
      <c r="L487" s="80">
        <v>464</v>
      </c>
      <c r="M487" s="80">
        <f>L487+1</f>
        <v>465</v>
      </c>
      <c r="N487" s="81">
        <f t="shared" si="95"/>
        <v>1</v>
      </c>
      <c r="O487" s="78"/>
      <c r="P487" s="82">
        <f>R487-TIME(0,44,0)</f>
        <v>45711.78402777778</v>
      </c>
      <c r="Q487" s="82">
        <v>45711.761111111111</v>
      </c>
      <c r="R487" s="82">
        <v>45711.814583333333</v>
      </c>
      <c r="S487" s="81">
        <f t="shared" si="85"/>
        <v>76.643518518055018</v>
      </c>
      <c r="T487" s="81">
        <f t="shared" si="86"/>
        <v>43.796296293051761</v>
      </c>
      <c r="U487" s="79"/>
      <c r="V487" s="82">
        <v>45714.554861111108</v>
      </c>
      <c r="W487" s="82">
        <v>45714.64166666667</v>
      </c>
      <c r="X487" s="103">
        <f t="shared" si="87"/>
        <v>122.39583334245253</v>
      </c>
      <c r="Y487" s="82"/>
      <c r="Z487" s="82">
        <v>45715.605555555558</v>
      </c>
      <c r="AA487" s="82">
        <v>45715.643055555556</v>
      </c>
      <c r="AB487" s="81">
        <f t="shared" si="88"/>
        <v>52.87499999794818</v>
      </c>
      <c r="AC487" s="80"/>
      <c r="AD487" s="83">
        <f t="shared" si="89"/>
        <v>3.7909722222248092</v>
      </c>
      <c r="AE487" s="80">
        <v>2</v>
      </c>
      <c r="AF487" s="84">
        <f t="shared" si="90"/>
        <v>-1.7909722222248092</v>
      </c>
      <c r="AG487" s="83">
        <f t="shared" si="91"/>
        <v>90.983333333395422</v>
      </c>
      <c r="AH487" s="83">
        <f t="shared" si="92"/>
        <v>36</v>
      </c>
      <c r="AI487" s="83">
        <f t="shared" si="93"/>
        <v>54.983333333395422</v>
      </c>
      <c r="AJ487" s="83">
        <f t="shared" si="94"/>
        <v>2.8372234010274116</v>
      </c>
      <c r="AK487" s="83"/>
      <c r="AL487" s="83"/>
      <c r="AM487" s="83"/>
      <c r="AN487" s="83"/>
      <c r="AO487" s="78"/>
    </row>
    <row r="488" spans="1:41" customFormat="1" ht="15" hidden="1" x14ac:dyDescent="0.25">
      <c r="A488" s="82">
        <v>45713</v>
      </c>
      <c r="B488" s="94" t="str">
        <f t="shared" si="84"/>
        <v>February</v>
      </c>
      <c r="C488" s="78"/>
      <c r="D488" s="79" t="s">
        <v>284</v>
      </c>
      <c r="E488" s="80" t="s">
        <v>1017</v>
      </c>
      <c r="F488" s="79"/>
      <c r="G488" s="79" t="s">
        <v>35</v>
      </c>
      <c r="H488" s="79" t="s">
        <v>464</v>
      </c>
      <c r="I488" s="79">
        <v>156</v>
      </c>
      <c r="J488" s="79" t="s">
        <v>284</v>
      </c>
      <c r="K488" s="80" t="s">
        <v>469</v>
      </c>
      <c r="L488" s="79">
        <v>256</v>
      </c>
      <c r="M488" s="80">
        <f>L488+2</f>
        <v>258</v>
      </c>
      <c r="N488" s="81">
        <f t="shared" si="95"/>
        <v>2</v>
      </c>
      <c r="O488" s="78"/>
      <c r="P488" s="82">
        <f>R488-TIME(0,44,0)</f>
        <v>45711.556250000001</v>
      </c>
      <c r="Q488" s="82">
        <v>45711.556944444441</v>
      </c>
      <c r="R488" s="82">
        <v>45711.586805555555</v>
      </c>
      <c r="S488" s="81">
        <f t="shared" si="85"/>
        <v>42.80092592986572</v>
      </c>
      <c r="T488" s="81">
        <f t="shared" si="86"/>
        <v>43.796296293051761</v>
      </c>
      <c r="U488" s="79"/>
      <c r="V488" s="82">
        <v>45711.472916666666</v>
      </c>
      <c r="W488" s="82">
        <v>45711.674305555556</v>
      </c>
      <c r="X488" s="103">
        <f t="shared" si="87"/>
        <v>283.95833333561313</v>
      </c>
      <c r="Y488" s="82" t="s">
        <v>1038</v>
      </c>
      <c r="Z488" s="82">
        <v>45713.759027777778</v>
      </c>
      <c r="AA488" s="82">
        <f>Z488+TIME(0,51,0)</f>
        <v>45713.794444444444</v>
      </c>
      <c r="AB488" s="81">
        <f t="shared" si="88"/>
        <v>49.93749999863212</v>
      </c>
      <c r="AC488" s="80"/>
      <c r="AD488" s="83">
        <f t="shared" si="89"/>
        <v>2.172222222223354</v>
      </c>
      <c r="AE488" s="80">
        <v>2</v>
      </c>
      <c r="AF488" s="84">
        <f t="shared" si="90"/>
        <v>-0.17222222222335404</v>
      </c>
      <c r="AG488" s="83">
        <f t="shared" si="91"/>
        <v>52.133333333360497</v>
      </c>
      <c r="AH488" s="83">
        <f t="shared" si="92"/>
        <v>24</v>
      </c>
      <c r="AI488" s="83">
        <f t="shared" si="93"/>
        <v>28.133333333360497</v>
      </c>
      <c r="AJ488" s="83">
        <f t="shared" si="94"/>
        <v>5.5450236966771103</v>
      </c>
      <c r="AK488" s="83"/>
      <c r="AL488" s="83"/>
      <c r="AM488" s="83"/>
      <c r="AN488" s="83"/>
      <c r="AO488" s="78"/>
    </row>
    <row r="489" spans="1:41" customFormat="1" ht="15" hidden="1" x14ac:dyDescent="0.25">
      <c r="A489" s="82">
        <v>45713</v>
      </c>
      <c r="B489" s="94" t="str">
        <f t="shared" si="84"/>
        <v>February</v>
      </c>
      <c r="C489" s="78"/>
      <c r="D489" s="79" t="s">
        <v>285</v>
      </c>
      <c r="E489" s="80" t="s">
        <v>1017</v>
      </c>
      <c r="F489" s="79" t="s">
        <v>960</v>
      </c>
      <c r="G489" s="79" t="s">
        <v>62</v>
      </c>
      <c r="H489" s="79" t="s">
        <v>454</v>
      </c>
      <c r="I489" s="79">
        <v>156</v>
      </c>
      <c r="J489" s="79" t="s">
        <v>285</v>
      </c>
      <c r="K489" s="80" t="s">
        <v>469</v>
      </c>
      <c r="L489" s="80">
        <v>304</v>
      </c>
      <c r="M489" s="80">
        <f>L489-2</f>
        <v>302</v>
      </c>
      <c r="N489" s="81">
        <f t="shared" si="95"/>
        <v>-2</v>
      </c>
      <c r="O489" s="78"/>
      <c r="P489" s="82">
        <f>R489-TIME(0,43,0)</f>
        <v>45711.678472222222</v>
      </c>
      <c r="Q489" s="82">
        <v>45711.642361111117</v>
      </c>
      <c r="R489" s="82">
        <v>45711.708333333336</v>
      </c>
      <c r="S489" s="81">
        <f t="shared" si="85"/>
        <v>94.560185180550135</v>
      </c>
      <c r="T489" s="81">
        <f t="shared" si="86"/>
        <v>42.80092592986572</v>
      </c>
      <c r="U489" s="79"/>
      <c r="V489" s="82">
        <v>45711.736805555556</v>
      </c>
      <c r="W489" s="82">
        <v>45711.825694444444</v>
      </c>
      <c r="X489" s="103">
        <f t="shared" si="87"/>
        <v>125.33333333150949</v>
      </c>
      <c r="Y489" s="82"/>
      <c r="Z489" s="82">
        <v>45712.640972222223</v>
      </c>
      <c r="AA489" s="82">
        <f>Z489+TIME(0,73,0)</f>
        <v>45712.691666666666</v>
      </c>
      <c r="AB489" s="81">
        <f t="shared" si="88"/>
        <v>71.479166663702927</v>
      </c>
      <c r="AC489" s="80" t="s">
        <v>1674</v>
      </c>
      <c r="AD489" s="83">
        <f t="shared" si="89"/>
        <v>0.93263888888759539</v>
      </c>
      <c r="AE489" s="80">
        <v>2</v>
      </c>
      <c r="AF489" s="84">
        <f t="shared" si="90"/>
        <v>1.0673611111124046</v>
      </c>
      <c r="AG489" s="83">
        <f t="shared" si="91"/>
        <v>22.383333333302289</v>
      </c>
      <c r="AH489" s="83">
        <f t="shared" si="92"/>
        <v>0</v>
      </c>
      <c r="AI489" s="83">
        <f t="shared" si="93"/>
        <v>22.383333333302289</v>
      </c>
      <c r="AJ489" s="83">
        <f t="shared" si="94"/>
        <v>6.9694713328465987</v>
      </c>
      <c r="AK489" s="83"/>
      <c r="AL489" s="83"/>
      <c r="AM489" s="83"/>
      <c r="AN489" s="83"/>
      <c r="AO489" s="78"/>
    </row>
    <row r="490" spans="1:41" customFormat="1" ht="15" hidden="1" x14ac:dyDescent="0.25">
      <c r="A490" s="82">
        <v>45713</v>
      </c>
      <c r="B490" s="94" t="str">
        <f t="shared" si="84"/>
        <v>February</v>
      </c>
      <c r="C490" s="78"/>
      <c r="D490" s="79" t="s">
        <v>286</v>
      </c>
      <c r="E490" s="80" t="s">
        <v>1017</v>
      </c>
      <c r="F490" s="79" t="s">
        <v>1013</v>
      </c>
      <c r="G490" s="79" t="s">
        <v>56</v>
      </c>
      <c r="H490" s="79" t="s">
        <v>462</v>
      </c>
      <c r="I490" s="79">
        <v>156</v>
      </c>
      <c r="J490" s="79" t="s">
        <v>286</v>
      </c>
      <c r="K490" s="80" t="s">
        <v>469</v>
      </c>
      <c r="L490" s="80">
        <v>680</v>
      </c>
      <c r="M490" s="80">
        <f>L490-1</f>
        <v>679</v>
      </c>
      <c r="N490" s="81">
        <f t="shared" si="95"/>
        <v>-1</v>
      </c>
      <c r="O490" s="78"/>
      <c r="P490" s="82">
        <f>R490-TIME(0,40,0)</f>
        <v>45711.837499999994</v>
      </c>
      <c r="Q490" s="82">
        <v>45711.845833333333</v>
      </c>
      <c r="R490" s="82">
        <v>45711.865277777775</v>
      </c>
      <c r="S490" s="81">
        <f t="shared" si="85"/>
        <v>27.870370367357584</v>
      </c>
      <c r="T490" s="81">
        <f t="shared" si="86"/>
        <v>39.814814819449872</v>
      </c>
      <c r="U490" s="79"/>
      <c r="V490" s="82">
        <v>45712.3</v>
      </c>
      <c r="W490" s="82">
        <v>45712.525694444441</v>
      </c>
      <c r="X490" s="103">
        <f t="shared" si="87"/>
        <v>318.22916665754747</v>
      </c>
      <c r="Y490" s="82" t="s">
        <v>1040</v>
      </c>
      <c r="Z490" s="82">
        <v>45714.425694444442</v>
      </c>
      <c r="AA490" s="82">
        <v>45714.463194444441</v>
      </c>
      <c r="AB490" s="81">
        <f t="shared" si="88"/>
        <v>52.87499999794818</v>
      </c>
      <c r="AC490" s="80"/>
      <c r="AD490" s="83">
        <f t="shared" si="89"/>
        <v>2.5604166666671517</v>
      </c>
      <c r="AE490" s="80">
        <v>2</v>
      </c>
      <c r="AF490" s="84">
        <f t="shared" si="90"/>
        <v>-0.56041666666715173</v>
      </c>
      <c r="AG490" s="83">
        <f t="shared" si="91"/>
        <v>61.450000000011642</v>
      </c>
      <c r="AH490" s="83">
        <f t="shared" si="92"/>
        <v>24</v>
      </c>
      <c r="AI490" s="83">
        <f t="shared" si="93"/>
        <v>37.450000000011642</v>
      </c>
      <c r="AJ490" s="83">
        <f t="shared" si="94"/>
        <v>4.1655540720948334</v>
      </c>
      <c r="AK490" s="83"/>
      <c r="AL490" s="83"/>
      <c r="AM490" s="83"/>
      <c r="AN490" s="83"/>
      <c r="AO490" s="78"/>
    </row>
    <row r="491" spans="1:41" customFormat="1" ht="15" hidden="1" x14ac:dyDescent="0.25">
      <c r="A491" s="82">
        <v>45713</v>
      </c>
      <c r="B491" s="94" t="str">
        <f t="shared" si="84"/>
        <v>February</v>
      </c>
      <c r="C491" s="78"/>
      <c r="D491" s="79" t="s">
        <v>287</v>
      </c>
      <c r="E491" s="80" t="s">
        <v>1017</v>
      </c>
      <c r="F491" s="79" t="s">
        <v>1021</v>
      </c>
      <c r="G491" s="79" t="s">
        <v>57</v>
      </c>
      <c r="H491" s="79" t="s">
        <v>452</v>
      </c>
      <c r="I491" s="79">
        <v>156</v>
      </c>
      <c r="J491" s="79" t="s">
        <v>287</v>
      </c>
      <c r="K491" s="80" t="s">
        <v>469</v>
      </c>
      <c r="L491" s="80">
        <v>690</v>
      </c>
      <c r="M491" s="80">
        <f>L491+2</f>
        <v>692</v>
      </c>
      <c r="N491" s="81">
        <f t="shared" si="95"/>
        <v>2</v>
      </c>
      <c r="O491" s="78"/>
      <c r="P491" s="82">
        <f>R491-TIME(0,43,0)</f>
        <v>45711.732638888883</v>
      </c>
      <c r="Q491" s="82">
        <v>45711.732638888883</v>
      </c>
      <c r="R491" s="82">
        <v>45711.762499999997</v>
      </c>
      <c r="S491" s="81">
        <f t="shared" si="85"/>
        <v>42.80092592986572</v>
      </c>
      <c r="T491" s="81">
        <f t="shared" si="86"/>
        <v>42.80092592986572</v>
      </c>
      <c r="U491" s="79"/>
      <c r="V491" s="82">
        <v>45711.683333333334</v>
      </c>
      <c r="W491" s="82">
        <f>V491+TIME(0,172,0)</f>
        <v>45711.802777777775</v>
      </c>
      <c r="X491" s="103">
        <f t="shared" si="87"/>
        <v>168.41666666165111</v>
      </c>
      <c r="Y491" s="82"/>
      <c r="Z491" s="82">
        <v>45714.673611111109</v>
      </c>
      <c r="AA491" s="82">
        <f>Z491+TIME(0,57,0)</f>
        <v>45714.713194444441</v>
      </c>
      <c r="AB491" s="81">
        <f t="shared" si="88"/>
        <v>55.81249999726424</v>
      </c>
      <c r="AC491" s="80"/>
      <c r="AD491" s="83">
        <f t="shared" si="89"/>
        <v>2.9111111111124046</v>
      </c>
      <c r="AE491" s="80">
        <v>2</v>
      </c>
      <c r="AF491" s="84">
        <f t="shared" si="90"/>
        <v>-0.91111111111240461</v>
      </c>
      <c r="AG491" s="83">
        <f t="shared" si="91"/>
        <v>69.866666666697711</v>
      </c>
      <c r="AH491" s="83">
        <f t="shared" si="92"/>
        <v>24</v>
      </c>
      <c r="AI491" s="83">
        <f t="shared" si="93"/>
        <v>45.866666666697711</v>
      </c>
      <c r="AJ491" s="83">
        <f t="shared" si="94"/>
        <v>3.4011627906953725</v>
      </c>
      <c r="AK491" s="83"/>
      <c r="AL491" s="83"/>
      <c r="AM491" s="83"/>
      <c r="AN491" s="83"/>
      <c r="AO491" s="78"/>
    </row>
    <row r="492" spans="1:41" customFormat="1" ht="15" hidden="1" x14ac:dyDescent="0.25">
      <c r="A492" s="82">
        <v>45713</v>
      </c>
      <c r="B492" s="94" t="str">
        <f t="shared" si="84"/>
        <v>February</v>
      </c>
      <c r="C492" s="78"/>
      <c r="D492" s="79" t="s">
        <v>288</v>
      </c>
      <c r="E492" s="80" t="s">
        <v>1017</v>
      </c>
      <c r="F492" s="79" t="s">
        <v>1024</v>
      </c>
      <c r="G492" s="79" t="s">
        <v>63</v>
      </c>
      <c r="H492" s="79" t="s">
        <v>458</v>
      </c>
      <c r="I492" s="79">
        <v>156</v>
      </c>
      <c r="J492" s="79" t="s">
        <v>288</v>
      </c>
      <c r="K492" s="80" t="s">
        <v>469</v>
      </c>
      <c r="L492" s="80">
        <v>448</v>
      </c>
      <c r="M492" s="80">
        <f>L492+1</f>
        <v>449</v>
      </c>
      <c r="N492" s="81">
        <f t="shared" si="95"/>
        <v>1</v>
      </c>
      <c r="O492" s="78"/>
      <c r="P492" s="82">
        <f>R492-TIME(0,40,0)</f>
        <v>45711.729861111111</v>
      </c>
      <c r="Q492" s="82">
        <v>45711.700694444451</v>
      </c>
      <c r="R492" s="82">
        <v>45711.757638888892</v>
      </c>
      <c r="S492" s="81">
        <f t="shared" si="85"/>
        <v>81.62037036527181</v>
      </c>
      <c r="T492" s="81">
        <f t="shared" si="86"/>
        <v>39.814814819449872</v>
      </c>
      <c r="U492" s="79"/>
      <c r="V492" s="82">
        <v>45711.460416666669</v>
      </c>
      <c r="W492" s="82">
        <v>45711.657638888886</v>
      </c>
      <c r="X492" s="103">
        <f t="shared" si="87"/>
        <v>278.08333332672191</v>
      </c>
      <c r="Y492" s="82" t="s">
        <v>1039</v>
      </c>
      <c r="Z492" s="82">
        <v>45711.842361111114</v>
      </c>
      <c r="AA492" s="82">
        <f>Z492+TIME(0,56,0)</f>
        <v>45711.881250000006</v>
      </c>
      <c r="AB492" s="81">
        <f t="shared" si="88"/>
        <v>54.833333337664953</v>
      </c>
      <c r="AC492" s="80"/>
      <c r="AD492" s="83">
        <f t="shared" si="89"/>
        <v>8.4722222221898846E-2</v>
      </c>
      <c r="AE492" s="80">
        <v>2</v>
      </c>
      <c r="AF492" s="84">
        <f t="shared" si="90"/>
        <v>1.9152777777781012</v>
      </c>
      <c r="AG492" s="83">
        <f t="shared" si="91"/>
        <v>2.0333333333255723</v>
      </c>
      <c r="AH492" s="83">
        <f t="shared" si="92"/>
        <v>0</v>
      </c>
      <c r="AI492" s="83">
        <f t="shared" si="93"/>
        <v>2.0333333333255723</v>
      </c>
      <c r="AJ492" s="83">
        <f t="shared" si="94"/>
        <v>76.721311475702677</v>
      </c>
      <c r="AK492" s="83"/>
      <c r="AL492" s="83"/>
      <c r="AM492" s="83"/>
      <c r="AN492" s="83"/>
      <c r="AO492" s="78"/>
    </row>
    <row r="493" spans="1:41" customFormat="1" ht="15" hidden="1" x14ac:dyDescent="0.25">
      <c r="A493" s="82">
        <v>45713</v>
      </c>
      <c r="B493" s="94" t="str">
        <f t="shared" si="84"/>
        <v>February</v>
      </c>
      <c r="C493" s="78"/>
      <c r="D493" s="79" t="s">
        <v>896</v>
      </c>
      <c r="E493" s="80" t="s">
        <v>1016</v>
      </c>
      <c r="F493" s="79" t="s">
        <v>953</v>
      </c>
      <c r="G493" s="79" t="s">
        <v>970</v>
      </c>
      <c r="H493" s="79" t="s">
        <v>459</v>
      </c>
      <c r="I493" s="79">
        <v>153.6</v>
      </c>
      <c r="J493" s="79" t="s">
        <v>896</v>
      </c>
      <c r="K493" s="80" t="s">
        <v>469</v>
      </c>
      <c r="L493" s="80">
        <v>560</v>
      </c>
      <c r="M493" s="80">
        <f>L493+2</f>
        <v>562</v>
      </c>
      <c r="N493" s="81">
        <f t="shared" si="95"/>
        <v>2</v>
      </c>
      <c r="O493" s="78"/>
      <c r="P493" s="82">
        <f>R493-TIME(0,44,0)</f>
        <v>45713.477777777778</v>
      </c>
      <c r="Q493" s="82">
        <v>45710.916666666664</v>
      </c>
      <c r="R493" s="82">
        <v>45713.508333333331</v>
      </c>
      <c r="S493" s="81">
        <f t="shared" si="85"/>
        <v>3714.7222222229175</v>
      </c>
      <c r="T493" s="81">
        <f t="shared" si="86"/>
        <v>43.796296293051761</v>
      </c>
      <c r="U493" s="79"/>
      <c r="V493" s="82">
        <v>45714.338194444441</v>
      </c>
      <c r="W493" s="82">
        <v>45714.412499999999</v>
      </c>
      <c r="X493" s="103">
        <f t="shared" si="87"/>
        <v>104.77083333629707</v>
      </c>
      <c r="Y493" s="82"/>
      <c r="Z493" s="82">
        <v>45714.487500000003</v>
      </c>
      <c r="AA493" s="82">
        <f>Z493+TIME(0,59,0)</f>
        <v>45714.528472222228</v>
      </c>
      <c r="AB493" s="81">
        <f t="shared" si="88"/>
        <v>57.770833336981013</v>
      </c>
      <c r="AC493" s="80"/>
      <c r="AD493" s="83">
        <f t="shared" si="89"/>
        <v>0.97916666667151731</v>
      </c>
      <c r="AE493" s="80">
        <v>3</v>
      </c>
      <c r="AF493" s="84">
        <f t="shared" si="90"/>
        <v>2.0208333333284827</v>
      </c>
      <c r="AG493" s="83">
        <f t="shared" si="91"/>
        <v>23.500000000116415</v>
      </c>
      <c r="AH493" s="83">
        <f t="shared" si="92"/>
        <v>0</v>
      </c>
      <c r="AI493" s="83">
        <f t="shared" si="93"/>
        <v>23.500000000116415</v>
      </c>
      <c r="AJ493" s="83">
        <f t="shared" si="94"/>
        <v>6.5361702127335777</v>
      </c>
      <c r="AK493" s="83"/>
      <c r="AL493" s="83"/>
      <c r="AM493" s="83"/>
      <c r="AN493" s="83"/>
      <c r="AO493" s="78"/>
    </row>
    <row r="494" spans="1:41" customFormat="1" ht="15" hidden="1" x14ac:dyDescent="0.25">
      <c r="A494" s="82">
        <v>45713</v>
      </c>
      <c r="B494" s="94" t="str">
        <f t="shared" si="84"/>
        <v>February</v>
      </c>
      <c r="C494" s="78"/>
      <c r="D494" s="79" t="s">
        <v>895</v>
      </c>
      <c r="E494" s="80" t="s">
        <v>1016</v>
      </c>
      <c r="F494" s="79" t="s">
        <v>952</v>
      </c>
      <c r="G494" s="79" t="s">
        <v>969</v>
      </c>
      <c r="H494" s="79" t="s">
        <v>996</v>
      </c>
      <c r="I494" s="79">
        <v>153.6</v>
      </c>
      <c r="J494" s="79" t="s">
        <v>895</v>
      </c>
      <c r="K494" s="80" t="s">
        <v>469</v>
      </c>
      <c r="L494" s="79">
        <v>350</v>
      </c>
      <c r="M494" s="80">
        <f>L494+2</f>
        <v>352</v>
      </c>
      <c r="N494" s="81">
        <f t="shared" si="95"/>
        <v>2</v>
      </c>
      <c r="O494" s="78"/>
      <c r="P494" s="82">
        <f>R494-TIME(0,43,0)</f>
        <v>45713.478472222218</v>
      </c>
      <c r="Q494" s="82">
        <v>45710.916666666664</v>
      </c>
      <c r="R494" s="82">
        <v>45713.508333333331</v>
      </c>
      <c r="S494" s="81">
        <f t="shared" si="85"/>
        <v>3714.7222222229175</v>
      </c>
      <c r="T494" s="81">
        <f t="shared" si="86"/>
        <v>42.80092592986572</v>
      </c>
      <c r="U494" s="79"/>
      <c r="V494" s="82">
        <v>45714.554861111108</v>
      </c>
      <c r="W494" s="82">
        <v>45714.64166666667</v>
      </c>
      <c r="X494" s="103">
        <f t="shared" si="87"/>
        <v>122.39583334245253</v>
      </c>
      <c r="Y494" s="82"/>
      <c r="Z494" s="82">
        <v>45715.605555555558</v>
      </c>
      <c r="AA494" s="82">
        <v>45715.638888888891</v>
      </c>
      <c r="AB494" s="81">
        <f t="shared" si="88"/>
        <v>46.99999999931606</v>
      </c>
      <c r="AC494" s="80"/>
      <c r="AD494" s="83">
        <f t="shared" si="89"/>
        <v>2.0972222222262644</v>
      </c>
      <c r="AE494" s="80">
        <v>2</v>
      </c>
      <c r="AF494" s="84">
        <f t="shared" si="90"/>
        <v>-9.7222222226264421E-2</v>
      </c>
      <c r="AG494" s="83">
        <f t="shared" si="91"/>
        <v>50.333333333430346</v>
      </c>
      <c r="AH494" s="83">
        <f t="shared" si="92"/>
        <v>24</v>
      </c>
      <c r="AI494" s="83">
        <f t="shared" si="93"/>
        <v>26.333333333430346</v>
      </c>
      <c r="AJ494" s="83">
        <f t="shared" si="94"/>
        <v>5.8329113923835747</v>
      </c>
      <c r="AK494" s="83"/>
      <c r="AL494" s="83"/>
      <c r="AM494" s="83"/>
      <c r="AN494" s="83"/>
      <c r="AO494" s="78"/>
    </row>
    <row r="495" spans="1:41" customFormat="1" ht="15" hidden="1" x14ac:dyDescent="0.25">
      <c r="A495" s="82">
        <v>45714</v>
      </c>
      <c r="B495" s="94" t="str">
        <f t="shared" si="84"/>
        <v>February</v>
      </c>
      <c r="C495" s="78"/>
      <c r="D495" s="79" t="s">
        <v>289</v>
      </c>
      <c r="E495" s="80" t="s">
        <v>1017</v>
      </c>
      <c r="F495" s="79"/>
      <c r="G495" s="79" t="s">
        <v>73</v>
      </c>
      <c r="H495" s="79" t="s">
        <v>466</v>
      </c>
      <c r="I495" s="79">
        <v>156</v>
      </c>
      <c r="J495" s="79" t="s">
        <v>289</v>
      </c>
      <c r="K495" s="80" t="s">
        <v>469</v>
      </c>
      <c r="L495" s="80">
        <v>560</v>
      </c>
      <c r="M495" s="80">
        <f>L495-2</f>
        <v>558</v>
      </c>
      <c r="N495" s="81">
        <f t="shared" si="95"/>
        <v>-2</v>
      </c>
      <c r="O495" s="78"/>
      <c r="P495" s="82">
        <f>R495-TIME(0,57,0)</f>
        <v>45711.753472222226</v>
      </c>
      <c r="Q495" s="82">
        <v>45710.828472222223</v>
      </c>
      <c r="R495" s="82">
        <v>45711.793055555558</v>
      </c>
      <c r="S495" s="81">
        <f t="shared" si="85"/>
        <v>1382.569444445835</v>
      </c>
      <c r="T495" s="81">
        <f t="shared" si="86"/>
        <v>56.736111108330078</v>
      </c>
      <c r="U495" s="79"/>
      <c r="V495" s="82">
        <v>45711.472916666666</v>
      </c>
      <c r="W495" s="82">
        <v>45711.674305555556</v>
      </c>
      <c r="X495" s="103">
        <f t="shared" si="87"/>
        <v>283.95833333561313</v>
      </c>
      <c r="Y495" s="82" t="s">
        <v>1047</v>
      </c>
      <c r="Z495" s="82">
        <v>45713.759027777778</v>
      </c>
      <c r="AA495" s="82">
        <v>45713.79791666667</v>
      </c>
      <c r="AB495" s="81">
        <f t="shared" si="88"/>
        <v>54.833333337664953</v>
      </c>
      <c r="AC495" s="80"/>
      <c r="AD495" s="83">
        <f t="shared" si="89"/>
        <v>1.9659722222204437</v>
      </c>
      <c r="AE495" s="80">
        <v>3</v>
      </c>
      <c r="AF495" s="84">
        <f t="shared" si="90"/>
        <v>1.0340277777795563</v>
      </c>
      <c r="AG495" s="83">
        <f t="shared" si="91"/>
        <v>47.183333333290648</v>
      </c>
      <c r="AH495" s="83">
        <f t="shared" si="92"/>
        <v>12</v>
      </c>
      <c r="AI495" s="83">
        <f t="shared" si="93"/>
        <v>35.183333333290648</v>
      </c>
      <c r="AJ495" s="83">
        <f t="shared" si="94"/>
        <v>4.4339175746145694</v>
      </c>
      <c r="AK495" s="83"/>
      <c r="AL495" s="83"/>
      <c r="AM495" s="83"/>
      <c r="AN495" s="83"/>
      <c r="AO495" s="78"/>
    </row>
    <row r="496" spans="1:41" customFormat="1" ht="15" hidden="1" x14ac:dyDescent="0.25">
      <c r="A496" s="82">
        <v>45714</v>
      </c>
      <c r="B496" s="94" t="str">
        <f t="shared" si="84"/>
        <v>February</v>
      </c>
      <c r="C496" s="78"/>
      <c r="D496" s="79" t="s">
        <v>290</v>
      </c>
      <c r="E496" s="80" t="s">
        <v>1017</v>
      </c>
      <c r="F496" s="79" t="s">
        <v>1019</v>
      </c>
      <c r="G496" s="79" t="s">
        <v>37</v>
      </c>
      <c r="H496" s="79" t="s">
        <v>467</v>
      </c>
      <c r="I496" s="79">
        <v>156</v>
      </c>
      <c r="J496" s="79" t="s">
        <v>290</v>
      </c>
      <c r="K496" s="80" t="s">
        <v>469</v>
      </c>
      <c r="L496" s="80">
        <v>560</v>
      </c>
      <c r="M496" s="80">
        <f>L496-1</f>
        <v>559</v>
      </c>
      <c r="N496" s="81">
        <f t="shared" si="95"/>
        <v>-1</v>
      </c>
      <c r="O496" s="78"/>
      <c r="P496" s="82">
        <f>R496-TIME(0,44,0)</f>
        <v>45712.344444444447</v>
      </c>
      <c r="Q496" s="82">
        <v>45711.416666666664</v>
      </c>
      <c r="R496" s="82">
        <v>45712.375</v>
      </c>
      <c r="S496" s="81">
        <f t="shared" si="85"/>
        <v>1373.6111111145874</v>
      </c>
      <c r="T496" s="81">
        <f t="shared" si="86"/>
        <v>43.796296293051761</v>
      </c>
      <c r="U496" s="79"/>
      <c r="V496" s="82">
        <v>45711.736805555556</v>
      </c>
      <c r="W496" s="82">
        <v>45711.825694444444</v>
      </c>
      <c r="X496" s="103">
        <f t="shared" si="87"/>
        <v>125.33333333150949</v>
      </c>
      <c r="Y496" s="82"/>
      <c r="Z496" s="82">
        <v>45712.640972222223</v>
      </c>
      <c r="AA496" s="82">
        <f>Z496+TIME(0,57,0)</f>
        <v>45712.680555555555</v>
      </c>
      <c r="AB496" s="81">
        <f t="shared" si="88"/>
        <v>55.81249999726424</v>
      </c>
      <c r="AC496" s="80"/>
      <c r="AD496" s="83">
        <f t="shared" si="89"/>
        <v>0.26597222222335404</v>
      </c>
      <c r="AE496" s="80">
        <v>3</v>
      </c>
      <c r="AF496" s="84">
        <f t="shared" si="90"/>
        <v>2.734027777776646</v>
      </c>
      <c r="AG496" s="83">
        <f t="shared" si="91"/>
        <v>6.3833333333604969</v>
      </c>
      <c r="AH496" s="83">
        <f t="shared" si="92"/>
        <v>0</v>
      </c>
      <c r="AI496" s="83">
        <f t="shared" si="93"/>
        <v>6.3833333333604969</v>
      </c>
      <c r="AJ496" s="83">
        <f t="shared" si="94"/>
        <v>24.438642297546135</v>
      </c>
      <c r="AK496" s="83"/>
      <c r="AL496" s="83"/>
      <c r="AM496" s="83"/>
      <c r="AN496" s="83"/>
      <c r="AO496" s="78"/>
    </row>
    <row r="497" spans="1:41" customFormat="1" ht="15" hidden="1" x14ac:dyDescent="0.25">
      <c r="A497" s="82">
        <v>45714</v>
      </c>
      <c r="B497" s="94" t="str">
        <f t="shared" si="84"/>
        <v>February</v>
      </c>
      <c r="C497" s="78"/>
      <c r="D497" s="79" t="s">
        <v>291</v>
      </c>
      <c r="E497" s="80" t="s">
        <v>1017</v>
      </c>
      <c r="F497" s="79"/>
      <c r="G497" s="79" t="s">
        <v>40</v>
      </c>
      <c r="H497" s="79" t="s">
        <v>987</v>
      </c>
      <c r="I497" s="79">
        <v>156</v>
      </c>
      <c r="J497" s="79" t="s">
        <v>291</v>
      </c>
      <c r="K497" s="80" t="s">
        <v>469</v>
      </c>
      <c r="L497" s="79">
        <v>320</v>
      </c>
      <c r="M497" s="80">
        <f>L497-3</f>
        <v>317</v>
      </c>
      <c r="N497" s="81">
        <f t="shared" si="95"/>
        <v>-3</v>
      </c>
      <c r="O497" s="78"/>
      <c r="P497" s="82">
        <f>R497-TIME(0,40,0)</f>
        <v>45711.727083333331</v>
      </c>
      <c r="Q497" s="82">
        <v>45710.806944444441</v>
      </c>
      <c r="R497" s="82">
        <v>45711.754861111112</v>
      </c>
      <c r="S497" s="81">
        <f t="shared" si="85"/>
        <v>1358.6805555625081</v>
      </c>
      <c r="T497" s="81">
        <f t="shared" si="86"/>
        <v>39.814814819449872</v>
      </c>
      <c r="U497" s="79"/>
      <c r="V497" s="82">
        <v>45711.683333333334</v>
      </c>
      <c r="W497" s="82">
        <f>V497+TIME(0,174,0)</f>
        <v>45711.804166666669</v>
      </c>
      <c r="X497" s="103">
        <f t="shared" si="87"/>
        <v>170.37500000136788</v>
      </c>
      <c r="Y497" s="82"/>
      <c r="Z497" s="82">
        <v>45714.673611111109</v>
      </c>
      <c r="AA497" s="82">
        <f>Z497+TIME(0,59,0)</f>
        <v>45714.714583333334</v>
      </c>
      <c r="AB497" s="81">
        <f t="shared" si="88"/>
        <v>57.770833336981013</v>
      </c>
      <c r="AC497" s="80"/>
      <c r="AD497" s="83">
        <f t="shared" si="89"/>
        <v>2.9187499999970896</v>
      </c>
      <c r="AE497" s="80">
        <v>2</v>
      </c>
      <c r="AF497" s="84">
        <f t="shared" si="90"/>
        <v>-0.91874999999708962</v>
      </c>
      <c r="AG497" s="83">
        <f t="shared" si="91"/>
        <v>70.049999999930151</v>
      </c>
      <c r="AH497" s="83">
        <f t="shared" si="92"/>
        <v>24</v>
      </c>
      <c r="AI497" s="83">
        <f t="shared" si="93"/>
        <v>46.049999999930151</v>
      </c>
      <c r="AJ497" s="83">
        <f t="shared" si="94"/>
        <v>3.3876221498422718</v>
      </c>
      <c r="AK497" s="83"/>
      <c r="AL497" s="83"/>
      <c r="AM497" s="83"/>
      <c r="AN497" s="83"/>
      <c r="AO497" s="78"/>
    </row>
    <row r="498" spans="1:41" customFormat="1" ht="15" hidden="1" x14ac:dyDescent="0.25">
      <c r="A498" s="82">
        <v>45714</v>
      </c>
      <c r="B498" s="94" t="str">
        <f t="shared" si="84"/>
        <v>February</v>
      </c>
      <c r="C498" s="78"/>
      <c r="D498" s="79" t="s">
        <v>292</v>
      </c>
      <c r="E498" s="80" t="s">
        <v>1017</v>
      </c>
      <c r="F498" s="79" t="s">
        <v>963</v>
      </c>
      <c r="G498" s="79" t="s">
        <v>60</v>
      </c>
      <c r="H498" s="79" t="s">
        <v>448</v>
      </c>
      <c r="I498" s="79">
        <v>72.8</v>
      </c>
      <c r="J498" s="79" t="s">
        <v>292</v>
      </c>
      <c r="K498" s="80" t="s">
        <v>469</v>
      </c>
      <c r="L498" s="80">
        <v>560</v>
      </c>
      <c r="M498" s="80">
        <f>L498+1</f>
        <v>561</v>
      </c>
      <c r="N498" s="81">
        <f t="shared" si="95"/>
        <v>1</v>
      </c>
      <c r="O498" s="78"/>
      <c r="P498" s="82">
        <f>R498-TIME(0,44,0)</f>
        <v>45711.704861111117</v>
      </c>
      <c r="Q498" s="82">
        <v>45710.825694444444</v>
      </c>
      <c r="R498" s="82">
        <v>45711.73541666667</v>
      </c>
      <c r="S498" s="81">
        <f t="shared" si="85"/>
        <v>1303.9351851909789</v>
      </c>
      <c r="T498" s="81">
        <f t="shared" si="86"/>
        <v>43.796296293051761</v>
      </c>
      <c r="U498" s="79"/>
      <c r="V498" s="82">
        <v>45712.3</v>
      </c>
      <c r="W498" s="82">
        <v>45712.525694444441</v>
      </c>
      <c r="X498" s="103">
        <f t="shared" si="87"/>
        <v>318.22916665754747</v>
      </c>
      <c r="Y498" s="82" t="s">
        <v>1044</v>
      </c>
      <c r="Z498" s="82">
        <v>45714.425694444442</v>
      </c>
      <c r="AA498" s="82">
        <f>Z498+TIME(0,56,0)</f>
        <v>45714.464583333334</v>
      </c>
      <c r="AB498" s="81">
        <f t="shared" si="88"/>
        <v>54.833333337664953</v>
      </c>
      <c r="AC498" s="80"/>
      <c r="AD498" s="83">
        <f t="shared" si="89"/>
        <v>2.6902777777722804</v>
      </c>
      <c r="AE498" s="80">
        <v>2</v>
      </c>
      <c r="AF498" s="84">
        <f t="shared" si="90"/>
        <v>-0.69027777777228039</v>
      </c>
      <c r="AG498" s="83">
        <f t="shared" si="91"/>
        <v>64.566666666534729</v>
      </c>
      <c r="AH498" s="83">
        <f t="shared" si="92"/>
        <v>24</v>
      </c>
      <c r="AI498" s="83">
        <f t="shared" si="93"/>
        <v>40.566666666534729</v>
      </c>
      <c r="AJ498" s="83">
        <f t="shared" si="94"/>
        <v>1.7945768282720649</v>
      </c>
      <c r="AK498" s="83"/>
      <c r="AL498" s="83"/>
      <c r="AM498" s="83"/>
      <c r="AN498" s="83"/>
      <c r="AO498" s="78"/>
    </row>
    <row r="499" spans="1:41" customFormat="1" ht="15" hidden="1" x14ac:dyDescent="0.25">
      <c r="A499" s="82">
        <v>45714</v>
      </c>
      <c r="B499" s="94" t="str">
        <f t="shared" si="84"/>
        <v>February</v>
      </c>
      <c r="C499" s="78"/>
      <c r="D499" s="79" t="s">
        <v>293</v>
      </c>
      <c r="E499" s="80" t="s">
        <v>1017</v>
      </c>
      <c r="F499" s="79"/>
      <c r="G499" s="79" t="s">
        <v>42</v>
      </c>
      <c r="H499" s="79" t="s">
        <v>451</v>
      </c>
      <c r="I499" s="79">
        <v>156</v>
      </c>
      <c r="J499" s="79" t="s">
        <v>293</v>
      </c>
      <c r="K499" s="80" t="s">
        <v>469</v>
      </c>
      <c r="L499" s="80">
        <v>790</v>
      </c>
      <c r="M499" s="80">
        <f>L499-2</f>
        <v>788</v>
      </c>
      <c r="N499" s="81">
        <f t="shared" si="95"/>
        <v>-2</v>
      </c>
      <c r="O499" s="78"/>
      <c r="P499" s="82">
        <f>R499-TIME(0,44,0)</f>
        <v>45711.792361111111</v>
      </c>
      <c r="Q499" s="82">
        <v>45711.136805555558</v>
      </c>
      <c r="R499" s="82">
        <v>45711.822916666664</v>
      </c>
      <c r="S499" s="81">
        <f t="shared" si="85"/>
        <v>983.42592591943685</v>
      </c>
      <c r="T499" s="81">
        <f t="shared" si="86"/>
        <v>43.796296293051761</v>
      </c>
      <c r="U499" s="79"/>
      <c r="V499" s="82">
        <v>45711.460416666669</v>
      </c>
      <c r="W499" s="82">
        <v>45711.657638888886</v>
      </c>
      <c r="X499" s="103">
        <f t="shared" si="87"/>
        <v>278.08333332672191</v>
      </c>
      <c r="Y499" s="82" t="s">
        <v>1050</v>
      </c>
      <c r="Z499" s="82">
        <v>45712.842361111114</v>
      </c>
      <c r="AA499" s="82">
        <f>Z499+TIME(0,50,0)</f>
        <v>45712.877083333333</v>
      </c>
      <c r="AB499" s="81">
        <f t="shared" si="88"/>
        <v>48.958333328773733</v>
      </c>
      <c r="AC499" s="80"/>
      <c r="AD499" s="83">
        <f t="shared" si="89"/>
        <v>1.0194444444496185</v>
      </c>
      <c r="AE499" s="80">
        <v>3</v>
      </c>
      <c r="AF499" s="84">
        <f t="shared" si="90"/>
        <v>1.9805555555503815</v>
      </c>
      <c r="AG499" s="83">
        <f t="shared" si="91"/>
        <v>24.466666666790843</v>
      </c>
      <c r="AH499" s="83">
        <f t="shared" si="92"/>
        <v>12</v>
      </c>
      <c r="AI499" s="83">
        <f t="shared" si="93"/>
        <v>12.466666666790843</v>
      </c>
      <c r="AJ499" s="83">
        <f t="shared" si="94"/>
        <v>12.513368983832578</v>
      </c>
      <c r="AK499" s="83"/>
      <c r="AL499" s="83"/>
      <c r="AM499" s="83"/>
      <c r="AN499" s="83"/>
      <c r="AO499" s="78"/>
    </row>
    <row r="500" spans="1:41" customFormat="1" ht="15" hidden="1" x14ac:dyDescent="0.25">
      <c r="A500" s="82">
        <v>45714</v>
      </c>
      <c r="B500" s="94" t="str">
        <f t="shared" si="84"/>
        <v>February</v>
      </c>
      <c r="C500" s="78"/>
      <c r="D500" s="79" t="s">
        <v>294</v>
      </c>
      <c r="E500" s="80" t="s">
        <v>1017</v>
      </c>
      <c r="F500" s="79" t="s">
        <v>1025</v>
      </c>
      <c r="G500" s="79" t="s">
        <v>54</v>
      </c>
      <c r="H500" s="79" t="s">
        <v>452</v>
      </c>
      <c r="I500" s="79">
        <v>156</v>
      </c>
      <c r="J500" s="79" t="s">
        <v>294</v>
      </c>
      <c r="K500" s="80" t="s">
        <v>469</v>
      </c>
      <c r="L500" s="80">
        <v>690</v>
      </c>
      <c r="M500" s="80">
        <f>L500-2</f>
        <v>688</v>
      </c>
      <c r="N500" s="81">
        <f t="shared" si="95"/>
        <v>-2</v>
      </c>
      <c r="O500" s="78"/>
      <c r="P500" s="82">
        <f>R500-TIME(0,40,0)</f>
        <v>45712.728472222218</v>
      </c>
      <c r="Q500" s="82">
        <v>45712.736805555556</v>
      </c>
      <c r="R500" s="82">
        <v>45712.756249999999</v>
      </c>
      <c r="S500" s="81">
        <f t="shared" si="85"/>
        <v>27.870370367357584</v>
      </c>
      <c r="T500" s="81">
        <f t="shared" si="86"/>
        <v>39.814814819449872</v>
      </c>
      <c r="U500" s="79"/>
      <c r="V500" s="82">
        <v>45712.556944444441</v>
      </c>
      <c r="W500" s="82">
        <v>45712.660416666666</v>
      </c>
      <c r="X500" s="103">
        <f t="shared" si="87"/>
        <v>145.89583333698101</v>
      </c>
      <c r="Y500" s="82"/>
      <c r="Z500" s="82">
        <v>45715.529166666667</v>
      </c>
      <c r="AA500" s="82">
        <f>Z500+TIME(0,51,0)</f>
        <v>45715.564583333333</v>
      </c>
      <c r="AB500" s="81">
        <f t="shared" si="88"/>
        <v>49.93749999863212</v>
      </c>
      <c r="AC500" s="80"/>
      <c r="AD500" s="83">
        <f t="shared" si="89"/>
        <v>2.7729166666686069</v>
      </c>
      <c r="AE500" s="80">
        <v>3</v>
      </c>
      <c r="AF500" s="84">
        <f t="shared" si="90"/>
        <v>0.22708333333139308</v>
      </c>
      <c r="AG500" s="83">
        <f t="shared" si="91"/>
        <v>66.550000000046566</v>
      </c>
      <c r="AH500" s="83">
        <f t="shared" si="92"/>
        <v>24</v>
      </c>
      <c r="AI500" s="83">
        <f t="shared" si="93"/>
        <v>42.550000000046566</v>
      </c>
      <c r="AJ500" s="83">
        <f t="shared" si="94"/>
        <v>3.6662749706187845</v>
      </c>
      <c r="AK500" s="83"/>
      <c r="AL500" s="83"/>
      <c r="AM500" s="83"/>
      <c r="AN500" s="83"/>
      <c r="AO500" s="78"/>
    </row>
    <row r="501" spans="1:41" customFormat="1" ht="15" hidden="1" x14ac:dyDescent="0.25">
      <c r="A501" s="82">
        <v>45714</v>
      </c>
      <c r="B501" s="94" t="str">
        <f t="shared" si="84"/>
        <v>February</v>
      </c>
      <c r="C501" s="78"/>
      <c r="D501" s="79" t="s">
        <v>295</v>
      </c>
      <c r="E501" s="80" t="s">
        <v>1017</v>
      </c>
      <c r="F501" s="79" t="s">
        <v>1034</v>
      </c>
      <c r="G501" s="79" t="s">
        <v>53</v>
      </c>
      <c r="H501" s="79" t="s">
        <v>987</v>
      </c>
      <c r="I501" s="79">
        <v>156</v>
      </c>
      <c r="J501" s="79" t="s">
        <v>295</v>
      </c>
      <c r="K501" s="80" t="s">
        <v>469</v>
      </c>
      <c r="L501" s="79">
        <v>320</v>
      </c>
      <c r="M501" s="80">
        <f>L501+2</f>
        <v>322</v>
      </c>
      <c r="N501" s="81">
        <f t="shared" si="95"/>
        <v>2</v>
      </c>
      <c r="O501" s="78"/>
      <c r="P501" s="82">
        <f>R501-TIME(0,40,0)</f>
        <v>45712.672916666663</v>
      </c>
      <c r="Q501" s="82">
        <v>45712.651388888888</v>
      </c>
      <c r="R501" s="82">
        <v>45712.700694444444</v>
      </c>
      <c r="S501" s="81">
        <f t="shared" si="85"/>
        <v>70.671296297223307</v>
      </c>
      <c r="T501" s="81">
        <f t="shared" si="86"/>
        <v>39.814814819449872</v>
      </c>
      <c r="U501" s="79"/>
      <c r="V501" s="82">
        <v>45712.324999999997</v>
      </c>
      <c r="W501" s="82">
        <v>45712.396527777775</v>
      </c>
      <c r="X501" s="103">
        <f t="shared" si="87"/>
        <v>100.85416666712263</v>
      </c>
      <c r="Y501" s="82"/>
      <c r="Z501" s="82">
        <v>45715.529166666667</v>
      </c>
      <c r="AA501" s="82">
        <f>Z501+TIME(0,57,0)</f>
        <v>45715.568749999999</v>
      </c>
      <c r="AB501" s="81">
        <f t="shared" si="88"/>
        <v>55.81249999726424</v>
      </c>
      <c r="AC501" s="80"/>
      <c r="AD501" s="83">
        <f t="shared" si="89"/>
        <v>2.828472222223354</v>
      </c>
      <c r="AE501" s="80">
        <v>2</v>
      </c>
      <c r="AF501" s="84">
        <f t="shared" si="90"/>
        <v>-0.82847222222335404</v>
      </c>
      <c r="AG501" s="83">
        <f t="shared" si="91"/>
        <v>67.883333333360497</v>
      </c>
      <c r="AH501" s="83">
        <f t="shared" si="92"/>
        <v>24</v>
      </c>
      <c r="AI501" s="83">
        <f t="shared" si="93"/>
        <v>43.883333333360497</v>
      </c>
      <c r="AJ501" s="83">
        <f t="shared" si="94"/>
        <v>3.5548803646009137</v>
      </c>
      <c r="AK501" s="83"/>
      <c r="AL501" s="83"/>
      <c r="AM501" s="83"/>
      <c r="AN501" s="83"/>
      <c r="AO501" s="78"/>
    </row>
    <row r="502" spans="1:41" customFormat="1" ht="15" hidden="1" x14ac:dyDescent="0.25">
      <c r="A502" s="82">
        <v>45714</v>
      </c>
      <c r="B502" s="94" t="str">
        <f t="shared" si="84"/>
        <v>February</v>
      </c>
      <c r="C502" s="78"/>
      <c r="D502" s="79" t="s">
        <v>296</v>
      </c>
      <c r="E502" s="80" t="s">
        <v>1017</v>
      </c>
      <c r="F502" s="79"/>
      <c r="G502" s="79" t="s">
        <v>74</v>
      </c>
      <c r="H502" s="79" t="s">
        <v>466</v>
      </c>
      <c r="I502" s="79">
        <v>156</v>
      </c>
      <c r="J502" s="79" t="s">
        <v>296</v>
      </c>
      <c r="K502" s="80" t="s">
        <v>469</v>
      </c>
      <c r="L502" s="80">
        <v>560</v>
      </c>
      <c r="M502" s="80">
        <f>L502-2</f>
        <v>558</v>
      </c>
      <c r="N502" s="81">
        <f t="shared" si="95"/>
        <v>-2</v>
      </c>
      <c r="O502" s="78"/>
      <c r="P502" s="82">
        <f>R502-TIME(0,44,0)</f>
        <v>45711.71875</v>
      </c>
      <c r="Q502" s="82">
        <v>45711.729861111111</v>
      </c>
      <c r="R502" s="82">
        <v>45711.749305555553</v>
      </c>
      <c r="S502" s="81">
        <f t="shared" si="85"/>
        <v>27.870370367357584</v>
      </c>
      <c r="T502" s="81">
        <f t="shared" si="86"/>
        <v>43.796296293051761</v>
      </c>
      <c r="U502" s="79"/>
      <c r="V502" s="82">
        <v>45712.387499999997</v>
      </c>
      <c r="W502" s="82">
        <v>45712.6875</v>
      </c>
      <c r="X502" s="103">
        <f t="shared" si="87"/>
        <v>423.00000000410364</v>
      </c>
      <c r="Y502" s="82" t="s">
        <v>1051</v>
      </c>
      <c r="Z502" s="82">
        <v>45713.620138888888</v>
      </c>
      <c r="AA502" s="82">
        <f>Z502+TIME(0,54,0)</f>
        <v>45713.657638888886</v>
      </c>
      <c r="AB502" s="81">
        <f t="shared" si="88"/>
        <v>52.87499999794818</v>
      </c>
      <c r="AC502" s="80"/>
      <c r="AD502" s="83">
        <f t="shared" si="89"/>
        <v>1.8708333333343035</v>
      </c>
      <c r="AE502" s="80">
        <v>3</v>
      </c>
      <c r="AF502" s="84">
        <f t="shared" si="90"/>
        <v>1.1291666666656965</v>
      </c>
      <c r="AG502" s="83">
        <f t="shared" si="91"/>
        <v>44.900000000023283</v>
      </c>
      <c r="AH502" s="83">
        <f t="shared" si="92"/>
        <v>12</v>
      </c>
      <c r="AI502" s="83">
        <f t="shared" si="93"/>
        <v>32.900000000023283</v>
      </c>
      <c r="AJ502" s="83">
        <f t="shared" si="94"/>
        <v>4.7416413373826627</v>
      </c>
      <c r="AK502" s="83"/>
      <c r="AL502" s="83"/>
      <c r="AM502" s="83"/>
      <c r="AN502" s="83"/>
      <c r="AO502" s="78"/>
    </row>
    <row r="503" spans="1:41" customFormat="1" ht="15" hidden="1" x14ac:dyDescent="0.25">
      <c r="A503" s="82">
        <v>45714</v>
      </c>
      <c r="B503" s="94" t="str">
        <f t="shared" si="84"/>
        <v>February</v>
      </c>
      <c r="C503" s="78"/>
      <c r="D503" s="79" t="s">
        <v>297</v>
      </c>
      <c r="E503" s="80" t="s">
        <v>1017</v>
      </c>
      <c r="F503" s="79" t="s">
        <v>1027</v>
      </c>
      <c r="G503" s="79" t="s">
        <v>34</v>
      </c>
      <c r="H503" s="79" t="s">
        <v>463</v>
      </c>
      <c r="I503" s="79">
        <v>156</v>
      </c>
      <c r="J503" s="79" t="s">
        <v>297</v>
      </c>
      <c r="K503" s="80" t="s">
        <v>469</v>
      </c>
      <c r="L503" s="80">
        <v>414</v>
      </c>
      <c r="M503" s="80">
        <f>L503-1</f>
        <v>413</v>
      </c>
      <c r="N503" s="81">
        <f t="shared" si="95"/>
        <v>-1</v>
      </c>
      <c r="O503" s="78"/>
      <c r="P503" s="82">
        <f>R503-TIME(0,43,0)</f>
        <v>45711.529861111107</v>
      </c>
      <c r="Q503" s="82">
        <v>45711.547916666663</v>
      </c>
      <c r="R503" s="82">
        <v>45711.55972222222</v>
      </c>
      <c r="S503" s="81">
        <f t="shared" si="85"/>
        <v>16.921296299309081</v>
      </c>
      <c r="T503" s="81">
        <f t="shared" si="86"/>
        <v>42.80092592986572</v>
      </c>
      <c r="U503" s="79"/>
      <c r="V503" s="82">
        <v>45713.589583333334</v>
      </c>
      <c r="W503" s="82">
        <v>45713.773611111108</v>
      </c>
      <c r="X503" s="103">
        <f t="shared" si="87"/>
        <v>259.47916666096717</v>
      </c>
      <c r="Y503" s="82" t="s">
        <v>1038</v>
      </c>
      <c r="Z503" s="82">
        <v>45713.620138888888</v>
      </c>
      <c r="AA503" s="82">
        <v>45713.657638888886</v>
      </c>
      <c r="AB503" s="81">
        <f t="shared" si="88"/>
        <v>52.87499999794818</v>
      </c>
      <c r="AC503" s="80"/>
      <c r="AD503" s="83">
        <f t="shared" si="89"/>
        <v>2.0604166666671517</v>
      </c>
      <c r="AE503" s="80">
        <v>3</v>
      </c>
      <c r="AF503" s="84">
        <f t="shared" si="90"/>
        <v>0.93958333333284827</v>
      </c>
      <c r="AG503" s="83">
        <f t="shared" si="91"/>
        <v>49.450000000011642</v>
      </c>
      <c r="AH503" s="83">
        <f t="shared" si="92"/>
        <v>24</v>
      </c>
      <c r="AI503" s="83">
        <f t="shared" si="93"/>
        <v>25.450000000011642</v>
      </c>
      <c r="AJ503" s="83">
        <f t="shared" si="94"/>
        <v>6.129666011785015</v>
      </c>
      <c r="AK503" s="83"/>
      <c r="AL503" s="83"/>
      <c r="AM503" s="83"/>
      <c r="AN503" s="83"/>
      <c r="AO503" s="78"/>
    </row>
    <row r="504" spans="1:41" customFormat="1" ht="15" hidden="1" x14ac:dyDescent="0.25">
      <c r="A504" s="82">
        <v>45714</v>
      </c>
      <c r="B504" s="94" t="str">
        <f t="shared" si="84"/>
        <v>February</v>
      </c>
      <c r="C504" s="78"/>
      <c r="D504" s="79" t="s">
        <v>298</v>
      </c>
      <c r="E504" s="80" t="s">
        <v>1017</v>
      </c>
      <c r="F504" s="79" t="s">
        <v>1026</v>
      </c>
      <c r="G504" s="79" t="s">
        <v>51</v>
      </c>
      <c r="H504" s="79" t="s">
        <v>465</v>
      </c>
      <c r="I504" s="79">
        <v>156</v>
      </c>
      <c r="J504" s="79" t="s">
        <v>298</v>
      </c>
      <c r="K504" s="80" t="s">
        <v>469</v>
      </c>
      <c r="L504" s="80">
        <v>382</v>
      </c>
      <c r="M504" s="80">
        <f>L504-3</f>
        <v>379</v>
      </c>
      <c r="N504" s="81">
        <f t="shared" si="95"/>
        <v>-3</v>
      </c>
      <c r="O504" s="78"/>
      <c r="P504" s="82">
        <f>R504-TIME(0,44,0)</f>
        <v>45711.61041666667</v>
      </c>
      <c r="Q504" s="82">
        <v>45711.588194444448</v>
      </c>
      <c r="R504" s="82">
        <v>45711.640972222223</v>
      </c>
      <c r="S504" s="81">
        <f t="shared" si="85"/>
        <v>75.6481481444401</v>
      </c>
      <c r="T504" s="81">
        <f t="shared" si="86"/>
        <v>43.796296293051761</v>
      </c>
      <c r="U504" s="79"/>
      <c r="V504" s="82">
        <v>45711.676388888889</v>
      </c>
      <c r="W504" s="82">
        <v>45711.814583333333</v>
      </c>
      <c r="X504" s="103">
        <f t="shared" si="87"/>
        <v>194.85416666575475</v>
      </c>
      <c r="Y504" s="82" t="s">
        <v>1039</v>
      </c>
      <c r="Z504" s="82">
        <v>45714.457638888889</v>
      </c>
      <c r="AA504" s="82">
        <f>Z504+TIME(0,76,0)</f>
        <v>45714.510416666664</v>
      </c>
      <c r="AB504" s="81">
        <f t="shared" si="88"/>
        <v>74.416666663018987</v>
      </c>
      <c r="AC504" s="80" t="s">
        <v>1678</v>
      </c>
      <c r="AD504" s="83">
        <f t="shared" si="89"/>
        <v>2.8166666666656965</v>
      </c>
      <c r="AE504" s="80">
        <v>2</v>
      </c>
      <c r="AF504" s="84">
        <f t="shared" si="90"/>
        <v>-0.81666666666569654</v>
      </c>
      <c r="AG504" s="83">
        <f t="shared" si="91"/>
        <v>67.599999999976717</v>
      </c>
      <c r="AH504" s="83">
        <f t="shared" si="92"/>
        <v>24</v>
      </c>
      <c r="AI504" s="83">
        <f t="shared" si="93"/>
        <v>43.599999999976717</v>
      </c>
      <c r="AJ504" s="83">
        <f t="shared" si="94"/>
        <v>3.5779816513780576</v>
      </c>
      <c r="AK504" s="83"/>
      <c r="AL504" s="83"/>
      <c r="AM504" s="83"/>
      <c r="AN504" s="83"/>
      <c r="AO504" s="78"/>
    </row>
    <row r="505" spans="1:41" customFormat="1" ht="15" hidden="1" x14ac:dyDescent="0.25">
      <c r="A505" s="82">
        <v>45714</v>
      </c>
      <c r="B505" s="94" t="str">
        <f t="shared" si="84"/>
        <v>February</v>
      </c>
      <c r="C505" s="78"/>
      <c r="D505" s="79" t="s">
        <v>299</v>
      </c>
      <c r="E505" s="80" t="s">
        <v>1017</v>
      </c>
      <c r="F505" s="79" t="s">
        <v>1036</v>
      </c>
      <c r="G505" s="79" t="s">
        <v>36</v>
      </c>
      <c r="H505" s="79" t="s">
        <v>1284</v>
      </c>
      <c r="I505" s="79">
        <v>156</v>
      </c>
      <c r="J505" s="79" t="s">
        <v>299</v>
      </c>
      <c r="K505" s="80" t="s">
        <v>469</v>
      </c>
      <c r="L505" s="80">
        <v>620</v>
      </c>
      <c r="M505" s="80">
        <f>L505-3</f>
        <v>617</v>
      </c>
      <c r="N505" s="81">
        <f t="shared" si="95"/>
        <v>-3</v>
      </c>
      <c r="O505" s="78"/>
      <c r="P505" s="82">
        <f>R505-TIME(0,43,0)</f>
        <v>45715.543749999997</v>
      </c>
      <c r="Q505" s="82">
        <v>45715.5625</v>
      </c>
      <c r="R505" s="82">
        <v>45715.573611111111</v>
      </c>
      <c r="S505" s="81">
        <f t="shared" si="85"/>
        <v>15.925925925694173</v>
      </c>
      <c r="T505" s="81">
        <f t="shared" si="86"/>
        <v>42.80092592986572</v>
      </c>
      <c r="U505" s="79"/>
      <c r="V505" s="82">
        <v>45711.62777777778</v>
      </c>
      <c r="W505" s="82">
        <f>V505+TIME(0,173,0)</f>
        <v>45711.747916666667</v>
      </c>
      <c r="X505" s="103">
        <f t="shared" si="87"/>
        <v>169.39583333150949</v>
      </c>
      <c r="Y505" s="82"/>
      <c r="Z505" s="82">
        <v>45716.920138888891</v>
      </c>
      <c r="AA505" s="82">
        <f>Z505+TIME(0,59,0)</f>
        <v>45716.961111111115</v>
      </c>
      <c r="AB505" s="81">
        <f t="shared" si="88"/>
        <v>57.770833336981013</v>
      </c>
      <c r="AC505" s="80"/>
      <c r="AD505" s="83">
        <f t="shared" si="89"/>
        <v>1.3465277777795563</v>
      </c>
      <c r="AE505" s="80">
        <v>2</v>
      </c>
      <c r="AF505" s="84">
        <f t="shared" si="90"/>
        <v>0.65347222222044365</v>
      </c>
      <c r="AG505" s="83">
        <f t="shared" si="91"/>
        <v>32.316666666709352</v>
      </c>
      <c r="AH505" s="83">
        <f t="shared" si="92"/>
        <v>12</v>
      </c>
      <c r="AI505" s="83">
        <f t="shared" si="93"/>
        <v>20.316666666709352</v>
      </c>
      <c r="AJ505" s="83">
        <f t="shared" si="94"/>
        <v>7.6784249384580265</v>
      </c>
      <c r="AK505" s="83"/>
      <c r="AL505" s="83"/>
      <c r="AM505" s="83"/>
      <c r="AN505" s="83"/>
      <c r="AO505" s="78"/>
    </row>
    <row r="506" spans="1:41" customFormat="1" ht="15" hidden="1" x14ac:dyDescent="0.25">
      <c r="A506" s="82">
        <v>45714</v>
      </c>
      <c r="B506" s="94" t="str">
        <f t="shared" si="84"/>
        <v>February</v>
      </c>
      <c r="C506" s="78"/>
      <c r="D506" s="79" t="s">
        <v>300</v>
      </c>
      <c r="E506" s="80" t="s">
        <v>1017</v>
      </c>
      <c r="F506" s="79" t="s">
        <v>1034</v>
      </c>
      <c r="G506" s="79" t="s">
        <v>53</v>
      </c>
      <c r="H506" s="79" t="s">
        <v>468</v>
      </c>
      <c r="I506" s="79">
        <v>156</v>
      </c>
      <c r="J506" s="79" t="s">
        <v>300</v>
      </c>
      <c r="K506" s="80" t="s">
        <v>469</v>
      </c>
      <c r="L506" s="79">
        <v>20</v>
      </c>
      <c r="M506" s="80">
        <f>L506+1</f>
        <v>21</v>
      </c>
      <c r="N506" s="81">
        <f t="shared" si="95"/>
        <v>1</v>
      </c>
      <c r="O506" s="78"/>
      <c r="P506" s="82">
        <f>R506-TIME(0,44,0)</f>
        <v>45713.530555555561</v>
      </c>
      <c r="Q506" s="82">
        <v>45713.558333333334</v>
      </c>
      <c r="R506" s="82">
        <v>45713.561111111114</v>
      </c>
      <c r="S506" s="81">
        <f t="shared" si="85"/>
        <v>3.9814814840307613</v>
      </c>
      <c r="T506" s="81">
        <f t="shared" si="86"/>
        <v>43.796296293051761</v>
      </c>
      <c r="U506" s="79"/>
      <c r="V506" s="82">
        <v>45712.453472222223</v>
      </c>
      <c r="W506" s="82">
        <v>45712.595138888886</v>
      </c>
      <c r="X506" s="103">
        <f t="shared" si="87"/>
        <v>199.74999999452848</v>
      </c>
      <c r="Y506" s="82" t="s">
        <v>1044</v>
      </c>
      <c r="Z506" s="82">
        <v>45714.443749999999</v>
      </c>
      <c r="AA506" s="82">
        <f>Z506+TIME(0,53,0)</f>
        <v>45714.480555555558</v>
      </c>
      <c r="AB506" s="81">
        <f t="shared" si="88"/>
        <v>51.895833338348893</v>
      </c>
      <c r="AC506" s="80"/>
      <c r="AD506" s="83">
        <f t="shared" si="89"/>
        <v>0.882638888884685</v>
      </c>
      <c r="AE506" s="80">
        <v>3</v>
      </c>
      <c r="AF506" s="84">
        <f t="shared" si="90"/>
        <v>2.117361111115315</v>
      </c>
      <c r="AG506" s="83">
        <f t="shared" si="91"/>
        <v>21.18333333323244</v>
      </c>
      <c r="AH506" s="83">
        <f t="shared" si="92"/>
        <v>0</v>
      </c>
      <c r="AI506" s="83">
        <f t="shared" si="93"/>
        <v>21.18333333323244</v>
      </c>
      <c r="AJ506" s="83">
        <f t="shared" si="94"/>
        <v>7.3642800944489224</v>
      </c>
      <c r="AK506" s="83"/>
      <c r="AL506" s="83"/>
      <c r="AM506" s="83"/>
      <c r="AN506" s="83"/>
      <c r="AO506" s="78"/>
    </row>
    <row r="507" spans="1:41" customFormat="1" ht="15" hidden="1" x14ac:dyDescent="0.25">
      <c r="A507" s="82">
        <v>45714</v>
      </c>
      <c r="B507" s="94" t="str">
        <f t="shared" si="84"/>
        <v>February</v>
      </c>
      <c r="C507" s="78"/>
      <c r="D507" s="79" t="s">
        <v>301</v>
      </c>
      <c r="E507" s="80" t="s">
        <v>1017</v>
      </c>
      <c r="F507" s="79" t="s">
        <v>1034</v>
      </c>
      <c r="G507" s="79" t="s">
        <v>53</v>
      </c>
      <c r="H507" s="79" t="s">
        <v>468</v>
      </c>
      <c r="I507" s="79">
        <v>-156</v>
      </c>
      <c r="J507" s="79" t="s">
        <v>301</v>
      </c>
      <c r="K507" s="80" t="s">
        <v>469</v>
      </c>
      <c r="L507" s="79">
        <v>20</v>
      </c>
      <c r="M507" s="80">
        <f>L507-1</f>
        <v>19</v>
      </c>
      <c r="N507" s="81">
        <f t="shared" si="95"/>
        <v>-1</v>
      </c>
      <c r="O507" s="78"/>
      <c r="P507" s="82">
        <f>R507-TIME(0,43,0)</f>
        <v>45712.638888888883</v>
      </c>
      <c r="Q507" s="82">
        <v>45712.606944444444</v>
      </c>
      <c r="R507" s="82">
        <v>45712.668749999997</v>
      </c>
      <c r="S507" s="81">
        <f t="shared" si="85"/>
        <v>88.587962959718425</v>
      </c>
      <c r="T507" s="81">
        <f t="shared" si="86"/>
        <v>42.80092592986572</v>
      </c>
      <c r="U507" s="79"/>
      <c r="V507" s="82">
        <v>45712.643750000003</v>
      </c>
      <c r="W507" s="82">
        <v>45712.73541666667</v>
      </c>
      <c r="X507" s="103">
        <f t="shared" si="87"/>
        <v>129.25000000068394</v>
      </c>
      <c r="Y507" s="82"/>
      <c r="Z507" s="82">
        <v>45713.412499999999</v>
      </c>
      <c r="AA507" s="82">
        <v>45713.45</v>
      </c>
      <c r="AB507" s="81">
        <f t="shared" si="88"/>
        <v>52.87499999794818</v>
      </c>
      <c r="AC507" s="80"/>
      <c r="AD507" s="83">
        <f t="shared" si="89"/>
        <v>0.74375000000145519</v>
      </c>
      <c r="AE507" s="80">
        <v>2</v>
      </c>
      <c r="AF507" s="84">
        <f t="shared" si="90"/>
        <v>1.2562499999985448</v>
      </c>
      <c r="AG507" s="83">
        <f t="shared" si="91"/>
        <v>17.850000000034925</v>
      </c>
      <c r="AH507" s="83">
        <f t="shared" si="92"/>
        <v>0</v>
      </c>
      <c r="AI507" s="83">
        <f t="shared" si="93"/>
        <v>17.850000000034925</v>
      </c>
      <c r="AJ507" s="83">
        <f t="shared" si="94"/>
        <v>-8.7394957983022277</v>
      </c>
      <c r="AK507" s="83"/>
      <c r="AL507" s="83"/>
      <c r="AM507" s="83"/>
      <c r="AN507" s="83"/>
      <c r="AO507" s="78"/>
    </row>
    <row r="508" spans="1:41" customFormat="1" ht="15" hidden="1" x14ac:dyDescent="0.25">
      <c r="A508" s="82">
        <v>45714</v>
      </c>
      <c r="B508" s="94" t="str">
        <f t="shared" si="84"/>
        <v>February</v>
      </c>
      <c r="C508" s="78"/>
      <c r="D508" s="79" t="s">
        <v>302</v>
      </c>
      <c r="E508" s="80" t="s">
        <v>1017</v>
      </c>
      <c r="F508" s="79"/>
      <c r="G508" s="79" t="s">
        <v>75</v>
      </c>
      <c r="H508" s="79" t="s">
        <v>458</v>
      </c>
      <c r="I508" s="79">
        <v>156</v>
      </c>
      <c r="J508" s="79" t="s">
        <v>302</v>
      </c>
      <c r="K508" s="80" t="s">
        <v>469</v>
      </c>
      <c r="L508" s="80">
        <v>448</v>
      </c>
      <c r="M508" s="80">
        <f>L508+2</f>
        <v>450</v>
      </c>
      <c r="N508" s="81">
        <f t="shared" si="95"/>
        <v>2</v>
      </c>
      <c r="O508" s="78"/>
      <c r="P508" s="82">
        <v>45712.819444444445</v>
      </c>
      <c r="Q508" s="82">
        <v>45712.800000000003</v>
      </c>
      <c r="R508" s="82">
        <v>45712.849305555559</v>
      </c>
      <c r="S508" s="81">
        <f t="shared" si="85"/>
        <v>70.671296297223307</v>
      </c>
      <c r="T508" s="81">
        <f t="shared" si="86"/>
        <v>42.80092592986572</v>
      </c>
      <c r="U508" s="79"/>
      <c r="V508" s="82">
        <v>45714.338194444441</v>
      </c>
      <c r="W508" s="82">
        <v>45714.412499999999</v>
      </c>
      <c r="X508" s="103">
        <f t="shared" si="87"/>
        <v>104.77083333629707</v>
      </c>
      <c r="Y508" s="82"/>
      <c r="Z508" s="82">
        <v>45713.656944444447</v>
      </c>
      <c r="AA508" s="82">
        <f>Z508+TIME(0,50,0)</f>
        <v>45713.691666666666</v>
      </c>
      <c r="AB508" s="81">
        <f t="shared" si="88"/>
        <v>48.958333328773733</v>
      </c>
      <c r="AC508" s="80"/>
      <c r="AD508" s="83">
        <f t="shared" si="89"/>
        <v>0.80763888888759539</v>
      </c>
      <c r="AE508" s="80">
        <v>2</v>
      </c>
      <c r="AF508" s="84">
        <f t="shared" si="90"/>
        <v>1.1923611111124046</v>
      </c>
      <c r="AG508" s="83">
        <f t="shared" si="91"/>
        <v>19.383333333302289</v>
      </c>
      <c r="AH508" s="83">
        <f t="shared" si="92"/>
        <v>0</v>
      </c>
      <c r="AI508" s="83">
        <f t="shared" si="93"/>
        <v>19.383333333302289</v>
      </c>
      <c r="AJ508" s="83">
        <f t="shared" si="94"/>
        <v>8.0481513327729921</v>
      </c>
      <c r="AK508" s="83"/>
      <c r="AL508" s="83"/>
      <c r="AM508" s="83"/>
      <c r="AN508" s="83"/>
      <c r="AO508" s="78"/>
    </row>
    <row r="509" spans="1:41" customFormat="1" ht="15" hidden="1" x14ac:dyDescent="0.25">
      <c r="A509" s="82">
        <v>45714</v>
      </c>
      <c r="B509" s="94" t="str">
        <f t="shared" si="84"/>
        <v>February</v>
      </c>
      <c r="C509" s="78"/>
      <c r="D509" s="79" t="s">
        <v>303</v>
      </c>
      <c r="E509" s="80" t="s">
        <v>1017</v>
      </c>
      <c r="F509" s="79" t="s">
        <v>1031</v>
      </c>
      <c r="G509" s="79" t="s">
        <v>50</v>
      </c>
      <c r="H509" s="79" t="s">
        <v>987</v>
      </c>
      <c r="I509" s="79">
        <v>156</v>
      </c>
      <c r="J509" s="79" t="s">
        <v>303</v>
      </c>
      <c r="K509" s="80" t="s">
        <v>469</v>
      </c>
      <c r="L509" s="79">
        <v>320</v>
      </c>
      <c r="M509" s="80">
        <f>L509-1</f>
        <v>319</v>
      </c>
      <c r="N509" s="81">
        <f t="shared" si="95"/>
        <v>-1</v>
      </c>
      <c r="O509" s="78"/>
      <c r="P509" s="82">
        <f>R509-TIME(0,44,0)</f>
        <v>45712.611805555556</v>
      </c>
      <c r="Q509" s="82">
        <v>45712.595833333333</v>
      </c>
      <c r="R509" s="82">
        <v>45712.642361111109</v>
      </c>
      <c r="S509" s="81">
        <f t="shared" si="85"/>
        <v>66.689814813192541</v>
      </c>
      <c r="T509" s="81">
        <f t="shared" si="86"/>
        <v>43.796296293051761</v>
      </c>
      <c r="U509" s="79"/>
      <c r="V509" s="82">
        <v>45712.759722222225</v>
      </c>
      <c r="W509" s="82">
        <f>V509+TIME(0,174,0)</f>
        <v>45712.880555555559</v>
      </c>
      <c r="X509" s="103">
        <f t="shared" si="87"/>
        <v>170.37500000136788</v>
      </c>
      <c r="Y509" s="82"/>
      <c r="Z509" s="82">
        <v>45714.379166666666</v>
      </c>
      <c r="AA509" s="82">
        <v>45714.413888888885</v>
      </c>
      <c r="AB509" s="81">
        <f t="shared" si="88"/>
        <v>48.958333328773733</v>
      </c>
      <c r="AC509" s="80"/>
      <c r="AD509" s="83">
        <f t="shared" si="89"/>
        <v>1.7368055555562023</v>
      </c>
      <c r="AE509" s="80">
        <v>2</v>
      </c>
      <c r="AF509" s="84">
        <f t="shared" si="90"/>
        <v>0.26319444444379769</v>
      </c>
      <c r="AG509" s="83">
        <f t="shared" si="91"/>
        <v>41.683333333348855</v>
      </c>
      <c r="AH509" s="83">
        <f t="shared" si="92"/>
        <v>12</v>
      </c>
      <c r="AI509" s="83">
        <f t="shared" si="93"/>
        <v>29.683333333348855</v>
      </c>
      <c r="AJ509" s="83">
        <f t="shared" si="94"/>
        <v>5.2554744525519963</v>
      </c>
      <c r="AK509" s="83"/>
      <c r="AL509" s="83"/>
      <c r="AM509" s="83"/>
      <c r="AN509" s="83"/>
      <c r="AO509" s="78"/>
    </row>
    <row r="510" spans="1:41" customFormat="1" ht="15" hidden="1" x14ac:dyDescent="0.25">
      <c r="A510" s="82">
        <v>45714</v>
      </c>
      <c r="B510" s="94" t="str">
        <f t="shared" si="84"/>
        <v>February</v>
      </c>
      <c r="C510" s="78"/>
      <c r="D510" s="79" t="s">
        <v>304</v>
      </c>
      <c r="E510" s="80" t="s">
        <v>1017</v>
      </c>
      <c r="F510" s="79" t="s">
        <v>1023</v>
      </c>
      <c r="G510" s="79" t="s">
        <v>61</v>
      </c>
      <c r="H510" s="79" t="s">
        <v>458</v>
      </c>
      <c r="I510" s="79">
        <v>156</v>
      </c>
      <c r="J510" s="79" t="s">
        <v>304</v>
      </c>
      <c r="K510" s="80" t="s">
        <v>469</v>
      </c>
      <c r="L510" s="80">
        <v>448</v>
      </c>
      <c r="M510" s="80">
        <f>L510-3</f>
        <v>445</v>
      </c>
      <c r="N510" s="81">
        <f t="shared" si="95"/>
        <v>-3</v>
      </c>
      <c r="O510" s="78"/>
      <c r="P510" s="82">
        <f>R510-TIME(0,44,0)</f>
        <v>45714.305555555555</v>
      </c>
      <c r="Q510" s="82">
        <v>45712.136805555558</v>
      </c>
      <c r="R510" s="82">
        <v>45714.336111111108</v>
      </c>
      <c r="S510" s="81">
        <f t="shared" si="85"/>
        <v>3152.337962955547</v>
      </c>
      <c r="T510" s="81">
        <f t="shared" si="86"/>
        <v>43.796296293051761</v>
      </c>
      <c r="U510" s="79"/>
      <c r="V510" s="82">
        <v>45712.643750000003</v>
      </c>
      <c r="W510" s="82">
        <v>45712.73541666667</v>
      </c>
      <c r="X510" s="103">
        <f t="shared" si="87"/>
        <v>129.25000000068394</v>
      </c>
      <c r="Y510" s="82"/>
      <c r="Z510" s="82">
        <v>45714.379166666666</v>
      </c>
      <c r="AA510" s="82">
        <f>Z510+TIME(0,60,0)</f>
        <v>45714.42083333333</v>
      </c>
      <c r="AB510" s="81">
        <f t="shared" si="88"/>
        <v>58.7499999965803</v>
      </c>
      <c r="AC510" s="80"/>
      <c r="AD510" s="83">
        <f t="shared" si="89"/>
        <v>4.3055555557657499E-2</v>
      </c>
      <c r="AE510" s="80">
        <v>2</v>
      </c>
      <c r="AF510" s="84">
        <f t="shared" si="90"/>
        <v>1.9569444444423425</v>
      </c>
      <c r="AG510" s="83">
        <f t="shared" si="91"/>
        <v>1.03333333338378</v>
      </c>
      <c r="AH510" s="83">
        <f t="shared" si="92"/>
        <v>0</v>
      </c>
      <c r="AI510" s="83">
        <f t="shared" si="93"/>
        <v>1.03333333338378</v>
      </c>
      <c r="AJ510" s="83">
        <f t="shared" si="94"/>
        <v>150.96774192811372</v>
      </c>
      <c r="AK510" s="83"/>
      <c r="AL510" s="83"/>
      <c r="AM510" s="83"/>
      <c r="AN510" s="83"/>
      <c r="AO510" s="78"/>
    </row>
    <row r="511" spans="1:41" customFormat="1" ht="15" hidden="1" x14ac:dyDescent="0.25">
      <c r="A511" s="82">
        <v>45714</v>
      </c>
      <c r="B511" s="94" t="str">
        <f t="shared" si="84"/>
        <v>February</v>
      </c>
      <c r="C511" s="78"/>
      <c r="D511" s="79" t="s">
        <v>897</v>
      </c>
      <c r="E511" s="80" t="s">
        <v>1016</v>
      </c>
      <c r="F511" s="79" t="s">
        <v>951</v>
      </c>
      <c r="G511" s="79" t="s">
        <v>968</v>
      </c>
      <c r="H511" s="79" t="s">
        <v>1282</v>
      </c>
      <c r="I511" s="79">
        <v>153.6</v>
      </c>
      <c r="J511" s="79" t="s">
        <v>897</v>
      </c>
      <c r="K511" s="80" t="s">
        <v>469</v>
      </c>
      <c r="L511" s="79">
        <v>810</v>
      </c>
      <c r="M511" s="80">
        <f>L511+2</f>
        <v>812</v>
      </c>
      <c r="N511" s="81">
        <f t="shared" si="95"/>
        <v>2</v>
      </c>
      <c r="O511" s="78"/>
      <c r="P511" s="82">
        <f>R511-TIME(0,44,0)</f>
        <v>45712.291666666672</v>
      </c>
      <c r="Q511" s="82">
        <v>45712.0625</v>
      </c>
      <c r="R511" s="82">
        <v>45712.322222222225</v>
      </c>
      <c r="S511" s="81">
        <f t="shared" si="85"/>
        <v>372.26851852222654</v>
      </c>
      <c r="T511" s="81">
        <f t="shared" si="86"/>
        <v>43.796296293051761</v>
      </c>
      <c r="U511" s="79"/>
      <c r="V511" s="82">
        <v>45714.338194444441</v>
      </c>
      <c r="W511" s="82">
        <v>45714.412499999999</v>
      </c>
      <c r="X511" s="103">
        <f t="shared" si="87"/>
        <v>104.77083333629707</v>
      </c>
      <c r="Y511" s="82"/>
      <c r="Z511" s="82">
        <v>45714.458333333336</v>
      </c>
      <c r="AA511" s="82">
        <f>Z511+TIME(0,51,0)</f>
        <v>45714.493750000001</v>
      </c>
      <c r="AB511" s="81">
        <f t="shared" si="88"/>
        <v>49.93749999863212</v>
      </c>
      <c r="AC511" s="80"/>
      <c r="AD511" s="83">
        <f t="shared" si="89"/>
        <v>2.1361111111109494</v>
      </c>
      <c r="AE511" s="80">
        <v>3</v>
      </c>
      <c r="AF511" s="84">
        <f t="shared" si="90"/>
        <v>0.86388888888905058</v>
      </c>
      <c r="AG511" s="83">
        <f t="shared" si="91"/>
        <v>51.266666666662786</v>
      </c>
      <c r="AH511" s="83">
        <f t="shared" si="92"/>
        <v>24</v>
      </c>
      <c r="AI511" s="83">
        <f t="shared" si="93"/>
        <v>27.266666666662786</v>
      </c>
      <c r="AJ511" s="83">
        <f t="shared" si="94"/>
        <v>5.6332518337416326</v>
      </c>
      <c r="AK511" s="83"/>
      <c r="AL511" s="83"/>
      <c r="AM511" s="83"/>
      <c r="AN511" s="83"/>
      <c r="AO511" s="78"/>
    </row>
    <row r="512" spans="1:41" customFormat="1" ht="15" hidden="1" x14ac:dyDescent="0.25">
      <c r="A512" s="82">
        <v>45714</v>
      </c>
      <c r="B512" s="94" t="str">
        <f t="shared" si="84"/>
        <v>February</v>
      </c>
      <c r="C512" s="78"/>
      <c r="D512" s="79" t="s">
        <v>898</v>
      </c>
      <c r="E512" s="80" t="s">
        <v>1016</v>
      </c>
      <c r="F512" s="79" t="s">
        <v>950</v>
      </c>
      <c r="G512" s="79" t="s">
        <v>967</v>
      </c>
      <c r="H512" s="79" t="s">
        <v>987</v>
      </c>
      <c r="I512" s="79">
        <v>153.6</v>
      </c>
      <c r="J512" s="79" t="s">
        <v>898</v>
      </c>
      <c r="K512" s="80" t="s">
        <v>469</v>
      </c>
      <c r="L512" s="79">
        <v>320</v>
      </c>
      <c r="M512" s="80">
        <f>L512-264</f>
        <v>56</v>
      </c>
      <c r="N512" s="81">
        <f t="shared" si="95"/>
        <v>-264</v>
      </c>
      <c r="O512" s="78"/>
      <c r="P512" s="82">
        <f>R512-TIME(0,56,0)</f>
        <v>45714.297222222216</v>
      </c>
      <c r="Q512" s="82">
        <v>45712.136805555558</v>
      </c>
      <c r="R512" s="82">
        <v>45714.336111111108</v>
      </c>
      <c r="S512" s="81">
        <f t="shared" si="85"/>
        <v>3152.337962955547</v>
      </c>
      <c r="T512" s="81">
        <f t="shared" si="86"/>
        <v>55.740740745144045</v>
      </c>
      <c r="U512" s="79"/>
      <c r="V512" s="82">
        <v>45714.338194444441</v>
      </c>
      <c r="W512" s="82">
        <v>45714.412499999999</v>
      </c>
      <c r="X512" s="103">
        <f t="shared" si="87"/>
        <v>104.77083333629707</v>
      </c>
      <c r="Y512" s="82"/>
      <c r="Z512" s="82">
        <v>45714.379166666666</v>
      </c>
      <c r="AA512" s="82">
        <v>45714.418055555558</v>
      </c>
      <c r="AB512" s="81">
        <f t="shared" si="88"/>
        <v>54.833333337664953</v>
      </c>
      <c r="AC512" s="80"/>
      <c r="AD512" s="83">
        <f t="shared" si="89"/>
        <v>4.3055555557657499E-2</v>
      </c>
      <c r="AE512" s="80">
        <v>2</v>
      </c>
      <c r="AF512" s="84">
        <f t="shared" si="90"/>
        <v>1.9569444444423425</v>
      </c>
      <c r="AG512" s="83">
        <f t="shared" si="91"/>
        <v>1.03333333338378</v>
      </c>
      <c r="AH512" s="83">
        <f t="shared" si="92"/>
        <v>0</v>
      </c>
      <c r="AI512" s="83">
        <f t="shared" si="93"/>
        <v>1.03333333338378</v>
      </c>
      <c r="AJ512" s="83">
        <f t="shared" si="94"/>
        <v>148.64516128306582</v>
      </c>
      <c r="AK512" s="83"/>
      <c r="AL512" s="83"/>
      <c r="AM512" s="83"/>
      <c r="AN512" s="83"/>
      <c r="AO512" s="78"/>
    </row>
    <row r="513" spans="1:41" customFormat="1" ht="15" hidden="1" x14ac:dyDescent="0.25">
      <c r="A513" s="82">
        <v>45714</v>
      </c>
      <c r="B513" s="94" t="str">
        <f t="shared" si="84"/>
        <v>February</v>
      </c>
      <c r="C513" s="78"/>
      <c r="D513" s="79" t="s">
        <v>899</v>
      </c>
      <c r="E513" s="80" t="s">
        <v>1016</v>
      </c>
      <c r="F513" s="79" t="s">
        <v>958</v>
      </c>
      <c r="G513" s="79" t="s">
        <v>975</v>
      </c>
      <c r="H513" s="79" t="s">
        <v>982</v>
      </c>
      <c r="I513" s="79">
        <v>153.6</v>
      </c>
      <c r="J513" s="79" t="s">
        <v>899</v>
      </c>
      <c r="K513" s="80" t="s">
        <v>469</v>
      </c>
      <c r="L513" s="80">
        <v>298</v>
      </c>
      <c r="M513" s="80">
        <f>L513+1</f>
        <v>299</v>
      </c>
      <c r="N513" s="81">
        <f t="shared" si="95"/>
        <v>1</v>
      </c>
      <c r="O513" s="78"/>
      <c r="P513" s="82">
        <f>R513-TIME(0,43,0)</f>
        <v>45712.292361111111</v>
      </c>
      <c r="Q513" s="82">
        <v>45712.0625</v>
      </c>
      <c r="R513" s="82">
        <v>45712.322222222225</v>
      </c>
      <c r="S513" s="81">
        <f t="shared" si="85"/>
        <v>372.26851852222654</v>
      </c>
      <c r="T513" s="81">
        <f t="shared" si="86"/>
        <v>42.80092592986572</v>
      </c>
      <c r="U513" s="79"/>
      <c r="V513" s="82">
        <v>45712.759722222225</v>
      </c>
      <c r="W513" s="82">
        <f>V513+TIME(0,173,0)</f>
        <v>45712.879861111112</v>
      </c>
      <c r="X513" s="103">
        <f t="shared" si="87"/>
        <v>169.39583333150949</v>
      </c>
      <c r="Y513" s="82"/>
      <c r="Z513" s="82">
        <v>45714.458333333336</v>
      </c>
      <c r="AA513" s="82">
        <f>Z513+TIME(0,57,0)</f>
        <v>45714.497916666667</v>
      </c>
      <c r="AB513" s="81">
        <f t="shared" si="88"/>
        <v>55.81249999726424</v>
      </c>
      <c r="AC513" s="80"/>
      <c r="AD513" s="83">
        <f t="shared" si="89"/>
        <v>2.1361111111109494</v>
      </c>
      <c r="AE513" s="80">
        <v>2</v>
      </c>
      <c r="AF513" s="84">
        <f t="shared" si="90"/>
        <v>-0.13611111111094942</v>
      </c>
      <c r="AG513" s="83">
        <f t="shared" si="91"/>
        <v>51.266666666662786</v>
      </c>
      <c r="AH513" s="83">
        <f t="shared" si="92"/>
        <v>24</v>
      </c>
      <c r="AI513" s="83">
        <f t="shared" si="93"/>
        <v>27.266666666662786</v>
      </c>
      <c r="AJ513" s="83">
        <f t="shared" si="94"/>
        <v>5.6332518337416326</v>
      </c>
      <c r="AK513" s="83"/>
      <c r="AL513" s="83"/>
      <c r="AM513" s="83"/>
      <c r="AN513" s="83"/>
      <c r="AO513" s="78"/>
    </row>
    <row r="514" spans="1:41" customFormat="1" ht="15" hidden="1" x14ac:dyDescent="0.25">
      <c r="A514" s="82">
        <v>45714</v>
      </c>
      <c r="B514" s="94" t="str">
        <f t="shared" ref="B514:B577" si="96">TEXT(A514, "MMMM")</f>
        <v>February</v>
      </c>
      <c r="C514" s="79" t="s">
        <v>2161</v>
      </c>
      <c r="D514" s="79" t="s">
        <v>900</v>
      </c>
      <c r="E514" s="80" t="s">
        <v>1016</v>
      </c>
      <c r="F514" s="79" t="s">
        <v>954</v>
      </c>
      <c r="G514" s="79" t="s">
        <v>971</v>
      </c>
      <c r="H514" s="79" t="s">
        <v>982</v>
      </c>
      <c r="I514" s="79">
        <v>153.6</v>
      </c>
      <c r="J514" s="79" t="s">
        <v>900</v>
      </c>
      <c r="K514" s="80" t="s">
        <v>469</v>
      </c>
      <c r="L514" s="80">
        <v>298</v>
      </c>
      <c r="M514" s="80">
        <f>L514+159</f>
        <v>457</v>
      </c>
      <c r="N514" s="81">
        <f t="shared" si="95"/>
        <v>159</v>
      </c>
      <c r="O514" s="78" t="s">
        <v>1041</v>
      </c>
      <c r="P514" s="82">
        <f>R514-TIME(0,44,0)</f>
        <v>45711.573611111111</v>
      </c>
      <c r="Q514" s="82">
        <v>45711.589583333334</v>
      </c>
      <c r="R514" s="82">
        <v>45711.604166666664</v>
      </c>
      <c r="S514" s="81">
        <f t="shared" ref="S514:S577" si="97">(R514-Q514)*86000/60</f>
        <v>20.902777772910969</v>
      </c>
      <c r="T514" s="81">
        <f t="shared" ref="T514:T577" si="98">(R514-P514)*86000/60</f>
        <v>43.796296293051761</v>
      </c>
      <c r="U514" s="79"/>
      <c r="V514" s="82">
        <v>45711.62777777778</v>
      </c>
      <c r="W514" s="82">
        <f>V514+TIME(0,172,0)</f>
        <v>45711.74722222222</v>
      </c>
      <c r="X514" s="103">
        <f t="shared" ref="X514:X577" si="99">(W514-V514)*84600/60</f>
        <v>168.41666666165111</v>
      </c>
      <c r="Y514" s="82"/>
      <c r="Z514" s="82">
        <v>45712.443749999999</v>
      </c>
      <c r="AA514" s="82">
        <f>Z514+TIME(0,52,0)</f>
        <v>45712.479861111111</v>
      </c>
      <c r="AB514" s="81">
        <f t="shared" ref="AB514:AB577" si="100">(AA514-Z514)*84600/60</f>
        <v>50.916666668490507</v>
      </c>
      <c r="AC514" s="80"/>
      <c r="AD514" s="83">
        <f t="shared" ref="AD514:AD577" si="101">Z514-R514</f>
        <v>0.83958333333430346</v>
      </c>
      <c r="AE514" s="80">
        <v>2</v>
      </c>
      <c r="AF514" s="84">
        <f t="shared" ref="AF514:AF577" si="102">AE514-AD514</f>
        <v>1.1604166666656965</v>
      </c>
      <c r="AG514" s="83">
        <f t="shared" ref="AG514:AG577" si="103">AD514*24</f>
        <v>20.150000000023283</v>
      </c>
      <c r="AH514" s="83">
        <f t="shared" ref="AH514:AH577" si="104">AG514-AI514</f>
        <v>0</v>
      </c>
      <c r="AI514" s="83">
        <f t="shared" ref="AI514:AI577" si="105" xml:space="preserve"> ((Z514 - R514) * 24) - (INT(Z514 - R514) * 12)</f>
        <v>20.150000000023283</v>
      </c>
      <c r="AJ514" s="83">
        <f t="shared" ref="AJ514:AJ577" si="106">I514/AI514</f>
        <v>7.6228287841102986</v>
      </c>
      <c r="AK514" s="83"/>
      <c r="AL514" s="83"/>
      <c r="AM514" s="83"/>
      <c r="AN514" s="83"/>
      <c r="AO514" s="78"/>
    </row>
    <row r="515" spans="1:41" customFormat="1" ht="15" hidden="1" x14ac:dyDescent="0.25">
      <c r="A515" s="82">
        <v>45714</v>
      </c>
      <c r="B515" s="94" t="str">
        <f t="shared" si="96"/>
        <v>February</v>
      </c>
      <c r="C515" s="78"/>
      <c r="D515" s="79" t="s">
        <v>902</v>
      </c>
      <c r="E515" s="80" t="s">
        <v>1016</v>
      </c>
      <c r="F515" s="79" t="s">
        <v>965</v>
      </c>
      <c r="G515" s="79" t="s">
        <v>980</v>
      </c>
      <c r="H515" s="79" t="s">
        <v>996</v>
      </c>
      <c r="I515" s="79">
        <v>153.6</v>
      </c>
      <c r="J515" s="79" t="s">
        <v>902</v>
      </c>
      <c r="K515" s="80" t="s">
        <v>469</v>
      </c>
      <c r="L515" s="79">
        <v>350</v>
      </c>
      <c r="M515" s="80">
        <f>L515+2</f>
        <v>352</v>
      </c>
      <c r="N515" s="81">
        <f t="shared" si="95"/>
        <v>2</v>
      </c>
      <c r="O515" s="78"/>
      <c r="P515" s="82">
        <f>R515-TIME(0,40,0)</f>
        <v>45712.680555555555</v>
      </c>
      <c r="Q515" s="82">
        <v>45711.817361111112</v>
      </c>
      <c r="R515" s="82">
        <v>45712.708333333336</v>
      </c>
      <c r="S515" s="81">
        <f t="shared" si="97"/>
        <v>1277.0601851868075</v>
      </c>
      <c r="T515" s="81">
        <f t="shared" si="98"/>
        <v>39.814814819449872</v>
      </c>
      <c r="U515" s="79"/>
      <c r="V515" s="82">
        <v>45712.643750000003</v>
      </c>
      <c r="W515" s="82">
        <v>45712.73541666667</v>
      </c>
      <c r="X515" s="103">
        <f t="shared" si="99"/>
        <v>129.25000000068394</v>
      </c>
      <c r="Y515" s="82"/>
      <c r="Z515" s="82">
        <v>45713.656944444447</v>
      </c>
      <c r="AA515" s="82">
        <f>Z515+TIME(0,51,0)</f>
        <v>45713.692361111112</v>
      </c>
      <c r="AB515" s="81">
        <f t="shared" si="100"/>
        <v>49.93749999863212</v>
      </c>
      <c r="AC515" s="80"/>
      <c r="AD515" s="83">
        <f t="shared" si="101"/>
        <v>0.94861111111094942</v>
      </c>
      <c r="AE515" s="80">
        <v>2</v>
      </c>
      <c r="AF515" s="84">
        <f t="shared" si="102"/>
        <v>1.0513888888890506</v>
      </c>
      <c r="AG515" s="83">
        <f t="shared" si="103"/>
        <v>22.766666666662786</v>
      </c>
      <c r="AH515" s="83">
        <f t="shared" si="104"/>
        <v>0</v>
      </c>
      <c r="AI515" s="83">
        <f t="shared" si="105"/>
        <v>22.766666666662786</v>
      </c>
      <c r="AJ515" s="83">
        <f t="shared" si="106"/>
        <v>6.7467057101036385</v>
      </c>
      <c r="AK515" s="83"/>
      <c r="AL515" s="83"/>
      <c r="AM515" s="83"/>
      <c r="AN515" s="83"/>
      <c r="AO515" s="78"/>
    </row>
    <row r="516" spans="1:41" customFormat="1" ht="15" hidden="1" x14ac:dyDescent="0.25">
      <c r="A516" s="82">
        <v>45714</v>
      </c>
      <c r="B516" s="94" t="str">
        <f t="shared" si="96"/>
        <v>February</v>
      </c>
      <c r="C516" s="78"/>
      <c r="D516" s="79" t="s">
        <v>903</v>
      </c>
      <c r="E516" s="80" t="s">
        <v>1016</v>
      </c>
      <c r="F516" s="79" t="s">
        <v>966</v>
      </c>
      <c r="G516" s="79" t="s">
        <v>981</v>
      </c>
      <c r="H516" s="79" t="s">
        <v>991</v>
      </c>
      <c r="I516" s="79">
        <v>153.6</v>
      </c>
      <c r="J516" s="79" t="s">
        <v>903</v>
      </c>
      <c r="K516" s="80" t="s">
        <v>469</v>
      </c>
      <c r="L516" s="79">
        <v>20</v>
      </c>
      <c r="M516" s="80">
        <f>L516+2</f>
        <v>22</v>
      </c>
      <c r="N516" s="81">
        <f t="shared" ref="N516:N579" si="107">M516-L516</f>
        <v>2</v>
      </c>
      <c r="O516" s="78"/>
      <c r="P516" s="82">
        <f>R516-TIME(0,44,0)</f>
        <v>45712.731944444444</v>
      </c>
      <c r="Q516" s="82">
        <v>45712.176388888889</v>
      </c>
      <c r="R516" s="82">
        <v>45712.762499999997</v>
      </c>
      <c r="S516" s="81">
        <f t="shared" si="97"/>
        <v>840.09259258818929</v>
      </c>
      <c r="T516" s="81">
        <f t="shared" si="98"/>
        <v>43.796296293051761</v>
      </c>
      <c r="U516" s="79"/>
      <c r="V516" s="82">
        <v>45712.453472222223</v>
      </c>
      <c r="W516" s="82">
        <v>45712.595138888886</v>
      </c>
      <c r="X516" s="103">
        <f t="shared" si="99"/>
        <v>199.74999999452848</v>
      </c>
      <c r="Y516" s="82" t="s">
        <v>1051</v>
      </c>
      <c r="Z516" s="82">
        <v>45713.412499999999</v>
      </c>
      <c r="AA516" s="82">
        <f>Z516+TIME(0,60,0)</f>
        <v>45713.454166666663</v>
      </c>
      <c r="AB516" s="81">
        <f t="shared" si="100"/>
        <v>58.7499999965803</v>
      </c>
      <c r="AC516" s="80"/>
      <c r="AD516" s="83">
        <f t="shared" si="101"/>
        <v>0.65000000000145519</v>
      </c>
      <c r="AE516" s="80">
        <v>3</v>
      </c>
      <c r="AF516" s="84">
        <f t="shared" si="102"/>
        <v>2.3499999999985448</v>
      </c>
      <c r="AG516" s="83">
        <f t="shared" si="103"/>
        <v>15.600000000034925</v>
      </c>
      <c r="AH516" s="83">
        <f t="shared" si="104"/>
        <v>0</v>
      </c>
      <c r="AI516" s="83">
        <f t="shared" si="105"/>
        <v>15.600000000034925</v>
      </c>
      <c r="AJ516" s="83">
        <f t="shared" si="106"/>
        <v>9.8461538461318021</v>
      </c>
      <c r="AK516" s="83"/>
      <c r="AL516" s="83"/>
      <c r="AM516" s="83"/>
      <c r="AN516" s="83"/>
      <c r="AO516" s="78"/>
    </row>
    <row r="517" spans="1:41" customFormat="1" ht="15" hidden="1" x14ac:dyDescent="0.25">
      <c r="A517" s="82">
        <v>45714</v>
      </c>
      <c r="B517" s="94" t="str">
        <f t="shared" si="96"/>
        <v>February</v>
      </c>
      <c r="C517" s="78"/>
      <c r="D517" s="79" t="s">
        <v>901</v>
      </c>
      <c r="E517" s="80" t="s">
        <v>1016</v>
      </c>
      <c r="F517" s="79" t="s">
        <v>962</v>
      </c>
      <c r="G517" s="79" t="s">
        <v>978</v>
      </c>
      <c r="H517" s="79" t="s">
        <v>991</v>
      </c>
      <c r="I517" s="79">
        <v>153.6</v>
      </c>
      <c r="J517" s="79" t="s">
        <v>901</v>
      </c>
      <c r="K517" s="80" t="s">
        <v>469</v>
      </c>
      <c r="L517" s="79">
        <v>20</v>
      </c>
      <c r="M517" s="80">
        <f>L517+2</f>
        <v>22</v>
      </c>
      <c r="N517" s="81">
        <f t="shared" si="107"/>
        <v>2</v>
      </c>
      <c r="O517" s="78"/>
      <c r="P517" s="82">
        <f>R517-TIME(0,56,0)</f>
        <v>45712.758333333331</v>
      </c>
      <c r="Q517" s="82">
        <v>45712.780555555553</v>
      </c>
      <c r="R517" s="82">
        <v>45712.797222222223</v>
      </c>
      <c r="S517" s="81">
        <f t="shared" si="97"/>
        <v>23.888888893755695</v>
      </c>
      <c r="T517" s="81">
        <f t="shared" si="98"/>
        <v>55.740740745144045</v>
      </c>
      <c r="U517" s="79"/>
      <c r="V517" s="82">
        <v>45713.441666666666</v>
      </c>
      <c r="W517" s="82">
        <v>45713.626388888886</v>
      </c>
      <c r="X517" s="103">
        <f t="shared" si="99"/>
        <v>260.45833333082555</v>
      </c>
      <c r="Y517" s="82" t="s">
        <v>1044</v>
      </c>
      <c r="Z517" s="82">
        <v>45713.523611111108</v>
      </c>
      <c r="AA517" s="82">
        <v>45713.561111111107</v>
      </c>
      <c r="AB517" s="81">
        <f t="shared" si="100"/>
        <v>52.87499999794818</v>
      </c>
      <c r="AC517" s="80"/>
      <c r="AD517" s="83">
        <f t="shared" si="101"/>
        <v>0.726388888884685</v>
      </c>
      <c r="AE517" s="80">
        <v>3</v>
      </c>
      <c r="AF517" s="84">
        <f t="shared" si="102"/>
        <v>2.273611111115315</v>
      </c>
      <c r="AG517" s="83">
        <f t="shared" si="103"/>
        <v>17.43333333323244</v>
      </c>
      <c r="AH517" s="83">
        <f t="shared" si="104"/>
        <v>0</v>
      </c>
      <c r="AI517" s="83">
        <f t="shared" si="105"/>
        <v>17.43333333323244</v>
      </c>
      <c r="AJ517" s="83">
        <f t="shared" si="106"/>
        <v>8.8107074570299577</v>
      </c>
      <c r="AK517" s="83"/>
      <c r="AL517" s="83"/>
      <c r="AM517" s="83"/>
      <c r="AN517" s="83"/>
      <c r="AO517" s="78"/>
    </row>
    <row r="518" spans="1:41" customFormat="1" ht="15" hidden="1" x14ac:dyDescent="0.25">
      <c r="A518" s="82">
        <v>45715</v>
      </c>
      <c r="B518" s="94" t="str">
        <f t="shared" si="96"/>
        <v>February</v>
      </c>
      <c r="C518" s="78"/>
      <c r="D518" s="79" t="s">
        <v>305</v>
      </c>
      <c r="E518" s="80" t="s">
        <v>1017</v>
      </c>
      <c r="F518" s="79"/>
      <c r="G518" s="79" t="s">
        <v>69</v>
      </c>
      <c r="H518" s="79" t="s">
        <v>459</v>
      </c>
      <c r="I518" s="79">
        <v>156</v>
      </c>
      <c r="J518" s="79" t="s">
        <v>305</v>
      </c>
      <c r="K518" s="80" t="s">
        <v>469</v>
      </c>
      <c r="L518" s="80">
        <v>560</v>
      </c>
      <c r="M518" s="80">
        <f>L518+2</f>
        <v>562</v>
      </c>
      <c r="N518" s="81">
        <f t="shared" si="107"/>
        <v>2</v>
      </c>
      <c r="O518" s="78"/>
      <c r="P518" s="82">
        <f>R518-TIME(0,44,0)</f>
        <v>45712.725694444445</v>
      </c>
      <c r="Q518" s="82">
        <v>45712.703472222223</v>
      </c>
      <c r="R518" s="82">
        <v>45712.756249999999</v>
      </c>
      <c r="S518" s="81">
        <f t="shared" si="97"/>
        <v>75.6481481444401</v>
      </c>
      <c r="T518" s="81">
        <f t="shared" si="98"/>
        <v>43.796296293051761</v>
      </c>
      <c r="U518" s="79"/>
      <c r="V518" s="82">
        <v>45713.8125</v>
      </c>
      <c r="W518" s="82">
        <f>V518+TIME(0,174,0)</f>
        <v>45713.933333333334</v>
      </c>
      <c r="X518" s="103">
        <f t="shared" si="99"/>
        <v>170.37500000136788</v>
      </c>
      <c r="Y518" s="82"/>
      <c r="Z518" s="82">
        <v>45715.523611111108</v>
      </c>
      <c r="AA518" s="82">
        <v>45715.559027777774</v>
      </c>
      <c r="AB518" s="81">
        <f t="shared" si="100"/>
        <v>49.93749999863212</v>
      </c>
      <c r="AC518" s="80"/>
      <c r="AD518" s="83">
        <f t="shared" si="101"/>
        <v>2.7673611111094942</v>
      </c>
      <c r="AE518" s="80">
        <v>2</v>
      </c>
      <c r="AF518" s="84">
        <f t="shared" si="102"/>
        <v>-0.76736111110949423</v>
      </c>
      <c r="AG518" s="83">
        <f t="shared" si="103"/>
        <v>66.416666666627862</v>
      </c>
      <c r="AH518" s="83">
        <f t="shared" si="104"/>
        <v>24</v>
      </c>
      <c r="AI518" s="83">
        <f t="shared" si="105"/>
        <v>42.416666666627862</v>
      </c>
      <c r="AJ518" s="83">
        <f t="shared" si="106"/>
        <v>3.6777996070760564</v>
      </c>
      <c r="AK518" s="83"/>
      <c r="AL518" s="83"/>
      <c r="AM518" s="83"/>
      <c r="AN518" s="83"/>
      <c r="AO518" s="78"/>
    </row>
    <row r="519" spans="1:41" customFormat="1" ht="15" hidden="1" x14ac:dyDescent="0.25">
      <c r="A519" s="82">
        <v>45715</v>
      </c>
      <c r="B519" s="94" t="str">
        <f t="shared" si="96"/>
        <v>February</v>
      </c>
      <c r="C519" s="78"/>
      <c r="D519" s="79" t="s">
        <v>306</v>
      </c>
      <c r="E519" s="80" t="s">
        <v>1017</v>
      </c>
      <c r="F519" s="79" t="s">
        <v>1021</v>
      </c>
      <c r="G519" s="79" t="s">
        <v>57</v>
      </c>
      <c r="H519" s="79" t="s">
        <v>462</v>
      </c>
      <c r="I519" s="79">
        <v>156</v>
      </c>
      <c r="J519" s="79" t="s">
        <v>306</v>
      </c>
      <c r="K519" s="80" t="s">
        <v>469</v>
      </c>
      <c r="L519" s="80">
        <v>680</v>
      </c>
      <c r="M519" s="80">
        <f>L519-1</f>
        <v>679</v>
      </c>
      <c r="N519" s="81">
        <f t="shared" si="107"/>
        <v>-1</v>
      </c>
      <c r="O519" s="78"/>
      <c r="P519" s="82">
        <f>R519-TIME(0,43,0)</f>
        <v>45712.69930555555</v>
      </c>
      <c r="Q519" s="82">
        <v>45712.691666666666</v>
      </c>
      <c r="R519" s="82">
        <v>45712.729166666664</v>
      </c>
      <c r="S519" s="81">
        <f t="shared" si="97"/>
        <v>53.749999997914223</v>
      </c>
      <c r="T519" s="81">
        <f t="shared" si="98"/>
        <v>42.80092592986572</v>
      </c>
      <c r="U519" s="79"/>
      <c r="V519" s="82">
        <v>45714.54583333333</v>
      </c>
      <c r="W519" s="82">
        <v>45714.633333333331</v>
      </c>
      <c r="X519" s="103">
        <f t="shared" si="99"/>
        <v>123.37500000205182</v>
      </c>
      <c r="Y519" s="82"/>
      <c r="Z519" s="82">
        <v>45715.523611111108</v>
      </c>
      <c r="AA519" s="82">
        <v>45715.561111111107</v>
      </c>
      <c r="AB519" s="81">
        <f t="shared" si="100"/>
        <v>52.87499999794818</v>
      </c>
      <c r="AC519" s="80"/>
      <c r="AD519" s="83">
        <f t="shared" si="101"/>
        <v>2.7944444444437977</v>
      </c>
      <c r="AE519" s="80">
        <v>3</v>
      </c>
      <c r="AF519" s="84">
        <f t="shared" si="102"/>
        <v>0.20555555555620231</v>
      </c>
      <c r="AG519" s="83">
        <f t="shared" si="103"/>
        <v>67.066666666651145</v>
      </c>
      <c r="AH519" s="83">
        <f t="shared" si="104"/>
        <v>24</v>
      </c>
      <c r="AI519" s="83">
        <f t="shared" si="105"/>
        <v>43.066666666651145</v>
      </c>
      <c r="AJ519" s="83">
        <f t="shared" si="106"/>
        <v>3.6222910216731323</v>
      </c>
      <c r="AK519" s="83"/>
      <c r="AL519" s="83"/>
      <c r="AM519" s="83"/>
      <c r="AN519" s="83"/>
      <c r="AO519" s="78"/>
    </row>
    <row r="520" spans="1:41" customFormat="1" ht="15" hidden="1" x14ac:dyDescent="0.25">
      <c r="A520" s="82">
        <v>45715</v>
      </c>
      <c r="B520" s="94" t="str">
        <f t="shared" si="96"/>
        <v>February</v>
      </c>
      <c r="C520" s="78"/>
      <c r="D520" s="79" t="s">
        <v>307</v>
      </c>
      <c r="E520" s="80" t="s">
        <v>1017</v>
      </c>
      <c r="F520" s="79"/>
      <c r="G520" s="79" t="s">
        <v>35</v>
      </c>
      <c r="H520" s="79" t="s">
        <v>448</v>
      </c>
      <c r="I520" s="79">
        <v>70.2</v>
      </c>
      <c r="J520" s="79" t="s">
        <v>307</v>
      </c>
      <c r="K520" s="80" t="s">
        <v>469</v>
      </c>
      <c r="L520" s="80">
        <v>560</v>
      </c>
      <c r="M520" s="80">
        <f>L520+1</f>
        <v>561</v>
      </c>
      <c r="N520" s="81">
        <f t="shared" si="107"/>
        <v>1</v>
      </c>
      <c r="O520" s="78"/>
      <c r="P520" s="82">
        <f>R520-TIME(0,43,0)</f>
        <v>45715.543749999997</v>
      </c>
      <c r="Q520" s="82">
        <v>45715.511805555558</v>
      </c>
      <c r="R520" s="82">
        <v>45715.573611111111</v>
      </c>
      <c r="S520" s="81">
        <f t="shared" si="97"/>
        <v>88.587962959718425</v>
      </c>
      <c r="T520" s="81">
        <f t="shared" si="98"/>
        <v>42.80092592986572</v>
      </c>
      <c r="U520" s="79"/>
      <c r="V520" s="82">
        <v>45713.269444444442</v>
      </c>
      <c r="W520" s="82">
        <v>45713.434027777781</v>
      </c>
      <c r="X520" s="103">
        <f t="shared" si="99"/>
        <v>232.06250000752334</v>
      </c>
      <c r="Y520" s="82" t="s">
        <v>1047</v>
      </c>
      <c r="Z520" s="82">
        <v>45716.522916666669</v>
      </c>
      <c r="AA520" s="82">
        <f>Z520+TIME(0,59,0)</f>
        <v>45716.563888888893</v>
      </c>
      <c r="AB520" s="81">
        <f t="shared" si="100"/>
        <v>57.770833336981013</v>
      </c>
      <c r="AC520" s="80"/>
      <c r="AD520" s="83">
        <f t="shared" si="101"/>
        <v>0.9493055555576575</v>
      </c>
      <c r="AE520" s="80">
        <v>2</v>
      </c>
      <c r="AF520" s="84">
        <f t="shared" si="102"/>
        <v>1.0506944444423425</v>
      </c>
      <c r="AG520" s="83">
        <f t="shared" si="103"/>
        <v>22.78333333338378</v>
      </c>
      <c r="AH520" s="83">
        <f t="shared" si="104"/>
        <v>0</v>
      </c>
      <c r="AI520" s="83">
        <f t="shared" si="105"/>
        <v>22.78333333338378</v>
      </c>
      <c r="AJ520" s="83">
        <f t="shared" si="106"/>
        <v>3.0811997073816197</v>
      </c>
      <c r="AK520" s="83"/>
      <c r="AL520" s="83"/>
      <c r="AM520" s="83"/>
      <c r="AN520" s="83"/>
      <c r="AO520" s="78"/>
    </row>
    <row r="521" spans="1:41" customFormat="1" ht="15" hidden="1" x14ac:dyDescent="0.25">
      <c r="A521" s="82">
        <v>45715</v>
      </c>
      <c r="B521" s="94" t="str">
        <f t="shared" si="96"/>
        <v>February</v>
      </c>
      <c r="C521" s="78"/>
      <c r="D521" s="79" t="s">
        <v>308</v>
      </c>
      <c r="E521" s="80" t="s">
        <v>1017</v>
      </c>
      <c r="F521" s="79" t="s">
        <v>1033</v>
      </c>
      <c r="G521" s="79" t="s">
        <v>41</v>
      </c>
      <c r="H521" s="79" t="s">
        <v>449</v>
      </c>
      <c r="I521" s="79">
        <v>156</v>
      </c>
      <c r="J521" s="79" t="s">
        <v>308</v>
      </c>
      <c r="K521" s="80" t="s">
        <v>469</v>
      </c>
      <c r="L521" s="80">
        <v>790</v>
      </c>
      <c r="M521" s="80">
        <f>L521-2</f>
        <v>788</v>
      </c>
      <c r="N521" s="81">
        <f t="shared" si="107"/>
        <v>-2</v>
      </c>
      <c r="O521" s="78"/>
      <c r="P521" s="82">
        <f>R521-TIME(0,44,0)</f>
        <v>45714.767361111117</v>
      </c>
      <c r="Q521" s="82">
        <v>45714.778472222228</v>
      </c>
      <c r="R521" s="82">
        <v>45714.79791666667</v>
      </c>
      <c r="S521" s="81">
        <f t="shared" si="97"/>
        <v>27.870370367357584</v>
      </c>
      <c r="T521" s="81">
        <f t="shared" si="98"/>
        <v>43.796296293051761</v>
      </c>
      <c r="U521" s="79"/>
      <c r="V521" s="82">
        <v>45713.751388888886</v>
      </c>
      <c r="W521" s="82">
        <v>45714.462500000001</v>
      </c>
      <c r="X521" s="103">
        <f t="shared" si="99"/>
        <v>1002.6666666725941</v>
      </c>
      <c r="Y521" s="82" t="s">
        <v>1049</v>
      </c>
      <c r="Z521" s="82">
        <v>45716.522916666669</v>
      </c>
      <c r="AA521" s="82">
        <f>Z521+TIME(0,51,0)</f>
        <v>45716.558333333334</v>
      </c>
      <c r="AB521" s="81">
        <f t="shared" si="100"/>
        <v>49.93749999863212</v>
      </c>
      <c r="AC521" s="80"/>
      <c r="AD521" s="83">
        <f t="shared" si="101"/>
        <v>1.7249999999985448</v>
      </c>
      <c r="AE521" s="80">
        <v>2</v>
      </c>
      <c r="AF521" s="84">
        <f t="shared" si="102"/>
        <v>0.27500000000145519</v>
      </c>
      <c r="AG521" s="83">
        <f t="shared" si="103"/>
        <v>41.399999999965075</v>
      </c>
      <c r="AH521" s="83">
        <f t="shared" si="104"/>
        <v>12</v>
      </c>
      <c r="AI521" s="83">
        <f t="shared" si="105"/>
        <v>29.399999999965075</v>
      </c>
      <c r="AJ521" s="83">
        <f t="shared" si="106"/>
        <v>5.3061224489858949</v>
      </c>
      <c r="AK521" s="83"/>
      <c r="AL521" s="83"/>
      <c r="AM521" s="83"/>
      <c r="AN521" s="83"/>
      <c r="AO521" s="78"/>
    </row>
    <row r="522" spans="1:41" customFormat="1" ht="15" hidden="1" x14ac:dyDescent="0.25">
      <c r="A522" s="82">
        <v>45715</v>
      </c>
      <c r="B522" s="94" t="str">
        <f t="shared" si="96"/>
        <v>February</v>
      </c>
      <c r="C522" s="78"/>
      <c r="D522" s="79" t="s">
        <v>309</v>
      </c>
      <c r="E522" s="80" t="s">
        <v>1017</v>
      </c>
      <c r="F522" s="79" t="s">
        <v>1032</v>
      </c>
      <c r="G522" s="79" t="s">
        <v>72</v>
      </c>
      <c r="H522" s="79" t="s">
        <v>458</v>
      </c>
      <c r="I522" s="79">
        <v>156</v>
      </c>
      <c r="J522" s="79" t="s">
        <v>309</v>
      </c>
      <c r="K522" s="80" t="s">
        <v>469</v>
      </c>
      <c r="L522" s="80">
        <v>448</v>
      </c>
      <c r="M522" s="80">
        <f>L522+1</f>
        <v>449</v>
      </c>
      <c r="N522" s="81">
        <f t="shared" si="107"/>
        <v>1</v>
      </c>
      <c r="O522" s="78"/>
      <c r="P522" s="82">
        <f>R522-TIME(0,43,0)</f>
        <v>45714.369444444441</v>
      </c>
      <c r="Q522" s="82">
        <v>45714.337500000001</v>
      </c>
      <c r="R522" s="82">
        <v>45714.399305555555</v>
      </c>
      <c r="S522" s="81">
        <f t="shared" si="97"/>
        <v>88.587962959718425</v>
      </c>
      <c r="T522" s="81">
        <f t="shared" si="98"/>
        <v>42.80092592986572</v>
      </c>
      <c r="U522" s="79"/>
      <c r="V522" s="82">
        <v>45713.65347222222</v>
      </c>
      <c r="W522" s="82">
        <v>45713.741666666669</v>
      </c>
      <c r="X522" s="103">
        <f t="shared" si="99"/>
        <v>124.35416667191021</v>
      </c>
      <c r="Y522" s="82"/>
      <c r="Z522" s="82">
        <v>45714.543055555558</v>
      </c>
      <c r="AA522" s="82">
        <f>Z522+TIME(0,60,0)</f>
        <v>45714.584722222222</v>
      </c>
      <c r="AB522" s="81">
        <f t="shared" si="100"/>
        <v>58.7499999965803</v>
      </c>
      <c r="AC522" s="80"/>
      <c r="AD522" s="83">
        <f t="shared" si="101"/>
        <v>0.14375000000291038</v>
      </c>
      <c r="AE522" s="80">
        <v>2</v>
      </c>
      <c r="AF522" s="84">
        <f t="shared" si="102"/>
        <v>1.8562499999970896</v>
      </c>
      <c r="AG522" s="83">
        <f t="shared" si="103"/>
        <v>3.4500000000698492</v>
      </c>
      <c r="AH522" s="83">
        <f t="shared" si="104"/>
        <v>0</v>
      </c>
      <c r="AI522" s="83">
        <f t="shared" si="105"/>
        <v>3.4500000000698492</v>
      </c>
      <c r="AJ522" s="83">
        <f t="shared" si="106"/>
        <v>45.21739130343235</v>
      </c>
      <c r="AK522" s="83"/>
      <c r="AL522" s="83"/>
      <c r="AM522" s="83"/>
      <c r="AN522" s="83"/>
      <c r="AO522" s="78"/>
    </row>
    <row r="523" spans="1:41" customFormat="1" ht="15" hidden="1" x14ac:dyDescent="0.25">
      <c r="A523" s="82">
        <v>45715</v>
      </c>
      <c r="B523" s="94" t="str">
        <f t="shared" si="96"/>
        <v>February</v>
      </c>
      <c r="C523" s="78"/>
      <c r="D523" s="79" t="s">
        <v>310</v>
      </c>
      <c r="E523" s="80" t="s">
        <v>1017</v>
      </c>
      <c r="F523" s="79" t="s">
        <v>1014</v>
      </c>
      <c r="G523" s="79" t="s">
        <v>52</v>
      </c>
      <c r="H523" s="79" t="s">
        <v>451</v>
      </c>
      <c r="I523" s="79">
        <v>156</v>
      </c>
      <c r="J523" s="79" t="s">
        <v>310</v>
      </c>
      <c r="K523" s="80" t="s">
        <v>469</v>
      </c>
      <c r="L523" s="80">
        <v>790</v>
      </c>
      <c r="M523" s="80">
        <f>L523-1</f>
        <v>789</v>
      </c>
      <c r="N523" s="81">
        <f t="shared" si="107"/>
        <v>-1</v>
      </c>
      <c r="O523" s="78"/>
      <c r="P523" s="82">
        <f>R523-TIME(0,43,0)</f>
        <v>45714.349305555552</v>
      </c>
      <c r="Q523" s="82">
        <v>45714.364583333336</v>
      </c>
      <c r="R523" s="82">
        <v>45714.379166666666</v>
      </c>
      <c r="S523" s="81">
        <f t="shared" si="97"/>
        <v>20.902777772910969</v>
      </c>
      <c r="T523" s="81">
        <f t="shared" si="98"/>
        <v>42.80092592986572</v>
      </c>
      <c r="U523" s="79"/>
      <c r="V523" s="82">
        <v>45713.383333333331</v>
      </c>
      <c r="W523" s="82">
        <v>45713.484722222223</v>
      </c>
      <c r="X523" s="103">
        <f t="shared" si="99"/>
        <v>142.95833333766495</v>
      </c>
      <c r="Y523" s="82"/>
      <c r="Z523" s="82">
        <v>45714.543055555558</v>
      </c>
      <c r="AA523" s="82">
        <f>Z523+TIME(0,60,0)</f>
        <v>45714.584722222222</v>
      </c>
      <c r="AB523" s="81">
        <f t="shared" si="100"/>
        <v>58.7499999965803</v>
      </c>
      <c r="AC523" s="80"/>
      <c r="AD523" s="83">
        <f t="shared" si="101"/>
        <v>0.16388888889196096</v>
      </c>
      <c r="AE523" s="80">
        <v>3</v>
      </c>
      <c r="AF523" s="84">
        <f t="shared" si="102"/>
        <v>2.836111111108039</v>
      </c>
      <c r="AG523" s="83">
        <f t="shared" si="103"/>
        <v>3.933333333407063</v>
      </c>
      <c r="AH523" s="83">
        <f t="shared" si="104"/>
        <v>0</v>
      </c>
      <c r="AI523" s="83">
        <f t="shared" si="105"/>
        <v>3.933333333407063</v>
      </c>
      <c r="AJ523" s="83">
        <f t="shared" si="106"/>
        <v>39.661016948409106</v>
      </c>
      <c r="AK523" s="83"/>
      <c r="AL523" s="83"/>
      <c r="AM523" s="83"/>
      <c r="AN523" s="83"/>
      <c r="AO523" s="78"/>
    </row>
    <row r="524" spans="1:41" customFormat="1" ht="15" hidden="1" x14ac:dyDescent="0.25">
      <c r="A524" s="82">
        <v>45715</v>
      </c>
      <c r="B524" s="94" t="str">
        <f t="shared" si="96"/>
        <v>February</v>
      </c>
      <c r="C524" s="78"/>
      <c r="D524" s="79" t="s">
        <v>311</v>
      </c>
      <c r="E524" s="80" t="s">
        <v>1017</v>
      </c>
      <c r="F524" s="79" t="s">
        <v>1013</v>
      </c>
      <c r="G524" s="79" t="s">
        <v>56</v>
      </c>
      <c r="H524" s="79" t="s">
        <v>452</v>
      </c>
      <c r="I524" s="79">
        <v>156</v>
      </c>
      <c r="J524" s="79" t="s">
        <v>311</v>
      </c>
      <c r="K524" s="80" t="s">
        <v>469</v>
      </c>
      <c r="L524" s="80">
        <v>690</v>
      </c>
      <c r="M524" s="80">
        <f>L524+2</f>
        <v>692</v>
      </c>
      <c r="N524" s="81">
        <f t="shared" si="107"/>
        <v>2</v>
      </c>
      <c r="O524" s="78"/>
      <c r="P524" s="82">
        <f>R524-TIME(0,44,0)</f>
        <v>45714.571527777778</v>
      </c>
      <c r="Q524" s="82">
        <v>45714.584027777775</v>
      </c>
      <c r="R524" s="82">
        <v>45714.602083333331</v>
      </c>
      <c r="S524" s="81">
        <f t="shared" si="97"/>
        <v>25.879629630556639</v>
      </c>
      <c r="T524" s="81">
        <f t="shared" si="98"/>
        <v>43.796296293051761</v>
      </c>
      <c r="U524" s="79"/>
      <c r="V524" s="82">
        <v>45713.472916666666</v>
      </c>
      <c r="W524" s="82">
        <v>45713.65347222222</v>
      </c>
      <c r="X524" s="103">
        <f t="shared" si="99"/>
        <v>254.58333333219343</v>
      </c>
      <c r="Y524" s="82" t="s">
        <v>1050</v>
      </c>
      <c r="Z524" s="82">
        <v>45718.640277777777</v>
      </c>
      <c r="AA524" s="82">
        <f>Z524+TIME(0,51,0)</f>
        <v>45718.675694444442</v>
      </c>
      <c r="AB524" s="81">
        <f t="shared" si="100"/>
        <v>49.93749999863212</v>
      </c>
      <c r="AC524" s="80"/>
      <c r="AD524" s="83">
        <f t="shared" si="101"/>
        <v>4.0381944444452529</v>
      </c>
      <c r="AE524" s="80">
        <v>2</v>
      </c>
      <c r="AF524" s="84">
        <f t="shared" si="102"/>
        <v>-2.0381944444452529</v>
      </c>
      <c r="AG524" s="83">
        <f t="shared" si="103"/>
        <v>96.916666666686069</v>
      </c>
      <c r="AH524" s="83">
        <f t="shared" si="104"/>
        <v>48</v>
      </c>
      <c r="AI524" s="83">
        <f t="shared" si="105"/>
        <v>48.916666666686069</v>
      </c>
      <c r="AJ524" s="83">
        <f t="shared" si="106"/>
        <v>3.1890971039169633</v>
      </c>
      <c r="AK524" s="83"/>
      <c r="AL524" s="83"/>
      <c r="AM524" s="83"/>
      <c r="AN524" s="83"/>
      <c r="AO524" s="78"/>
    </row>
    <row r="525" spans="1:41" customFormat="1" ht="15" hidden="1" x14ac:dyDescent="0.25">
      <c r="A525" s="82">
        <v>45715</v>
      </c>
      <c r="B525" s="94" t="str">
        <f t="shared" si="96"/>
        <v>February</v>
      </c>
      <c r="C525" s="78"/>
      <c r="D525" s="79" t="s">
        <v>312</v>
      </c>
      <c r="E525" s="80" t="s">
        <v>1017</v>
      </c>
      <c r="F525" s="79"/>
      <c r="G525" s="79" t="s">
        <v>76</v>
      </c>
      <c r="H525" s="79" t="s">
        <v>454</v>
      </c>
      <c r="I525" s="79">
        <v>6.3</v>
      </c>
      <c r="J525" s="79" t="s">
        <v>312</v>
      </c>
      <c r="K525" s="80" t="s">
        <v>469</v>
      </c>
      <c r="L525" s="80">
        <v>304</v>
      </c>
      <c r="M525" s="80">
        <f>L525-2</f>
        <v>302</v>
      </c>
      <c r="N525" s="81">
        <f t="shared" si="107"/>
        <v>-2</v>
      </c>
      <c r="O525" s="78"/>
      <c r="P525" s="82">
        <f>R525-TIME(0,44,0)</f>
        <v>45713.893750000003</v>
      </c>
      <c r="Q525" s="82">
        <v>45713.858333333337</v>
      </c>
      <c r="R525" s="82">
        <v>45713.924305555556</v>
      </c>
      <c r="S525" s="81">
        <f t="shared" si="97"/>
        <v>94.560185180550135</v>
      </c>
      <c r="T525" s="81">
        <f t="shared" si="98"/>
        <v>43.796296293051761</v>
      </c>
      <c r="U525" s="79"/>
      <c r="V525" s="82">
        <v>45714.511805555558</v>
      </c>
      <c r="W525" s="82">
        <v>45714.861111111109</v>
      </c>
      <c r="X525" s="103">
        <f t="shared" si="99"/>
        <v>492.52083332808979</v>
      </c>
      <c r="Y525" s="82" t="s">
        <v>1044</v>
      </c>
      <c r="Z525" s="82">
        <v>45715.688888888886</v>
      </c>
      <c r="AA525" s="82">
        <f>Z525+TIME(0,60,0)</f>
        <v>45715.73055555555</v>
      </c>
      <c r="AB525" s="81">
        <f t="shared" si="100"/>
        <v>58.7499999965803</v>
      </c>
      <c r="AC525" s="80"/>
      <c r="AD525" s="83">
        <f t="shared" si="101"/>
        <v>1.7645833333299379</v>
      </c>
      <c r="AE525" s="80">
        <v>2</v>
      </c>
      <c r="AF525" s="84">
        <f t="shared" si="102"/>
        <v>0.23541666667006211</v>
      </c>
      <c r="AG525" s="83">
        <f t="shared" si="103"/>
        <v>42.349999999918509</v>
      </c>
      <c r="AH525" s="83">
        <f t="shared" si="104"/>
        <v>12</v>
      </c>
      <c r="AI525" s="83">
        <f t="shared" si="105"/>
        <v>30.349999999918509</v>
      </c>
      <c r="AJ525" s="83">
        <f t="shared" si="106"/>
        <v>0.20757825370731187</v>
      </c>
      <c r="AK525" s="83"/>
      <c r="AL525" s="83"/>
      <c r="AM525" s="83"/>
      <c r="AN525" s="83"/>
      <c r="AO525" s="78"/>
    </row>
    <row r="526" spans="1:41" customFormat="1" ht="15" hidden="1" x14ac:dyDescent="0.25">
      <c r="A526" s="82">
        <v>45715</v>
      </c>
      <c r="B526" s="94" t="str">
        <f t="shared" si="96"/>
        <v>February</v>
      </c>
      <c r="C526" s="78"/>
      <c r="D526" s="79" t="s">
        <v>313</v>
      </c>
      <c r="E526" s="80" t="s">
        <v>1017</v>
      </c>
      <c r="F526" s="79"/>
      <c r="G526" s="79" t="s">
        <v>58</v>
      </c>
      <c r="H526" s="79" t="s">
        <v>450</v>
      </c>
      <c r="I526" s="79">
        <v>156</v>
      </c>
      <c r="J526" s="79" t="s">
        <v>313</v>
      </c>
      <c r="K526" s="80" t="s">
        <v>469</v>
      </c>
      <c r="L526" s="80">
        <v>288</v>
      </c>
      <c r="M526" s="80">
        <f>L526+2</f>
        <v>290</v>
      </c>
      <c r="N526" s="81">
        <f t="shared" si="107"/>
        <v>2</v>
      </c>
      <c r="O526" s="78"/>
      <c r="P526" s="82">
        <f>R526-TIME(0,65,0)</f>
        <v>45715.52847222222</v>
      </c>
      <c r="Q526" s="82">
        <v>45713.694444444445</v>
      </c>
      <c r="R526" s="82">
        <v>45715.573611111111</v>
      </c>
      <c r="S526" s="81">
        <f t="shared" si="97"/>
        <v>2693.4722222208316</v>
      </c>
      <c r="T526" s="81">
        <f t="shared" si="98"/>
        <v>64.699074076391597</v>
      </c>
      <c r="U526" s="79"/>
      <c r="V526" s="82">
        <v>45714.54583333333</v>
      </c>
      <c r="W526" s="82">
        <v>45714.633333333331</v>
      </c>
      <c r="X526" s="103">
        <f t="shared" si="99"/>
        <v>123.37500000205182</v>
      </c>
      <c r="Y526" s="82"/>
      <c r="Z526" s="82">
        <v>45718.640277777777</v>
      </c>
      <c r="AA526" s="82">
        <f>Z526+TIME(0,59,0)</f>
        <v>45718.681250000001</v>
      </c>
      <c r="AB526" s="81">
        <f t="shared" si="100"/>
        <v>57.770833336981013</v>
      </c>
      <c r="AC526" s="80"/>
      <c r="AD526" s="83">
        <f t="shared" si="101"/>
        <v>3.0666666666656965</v>
      </c>
      <c r="AE526" s="80">
        <v>2</v>
      </c>
      <c r="AF526" s="84">
        <f t="shared" si="102"/>
        <v>-1.0666666666656965</v>
      </c>
      <c r="AG526" s="83">
        <f t="shared" si="103"/>
        <v>73.599999999976717</v>
      </c>
      <c r="AH526" s="83">
        <f t="shared" si="104"/>
        <v>36</v>
      </c>
      <c r="AI526" s="83">
        <f t="shared" si="105"/>
        <v>37.599999999976717</v>
      </c>
      <c r="AJ526" s="83">
        <f t="shared" si="106"/>
        <v>4.1489361702153351</v>
      </c>
      <c r="AK526" s="83"/>
      <c r="AL526" s="83"/>
      <c r="AM526" s="83"/>
      <c r="AN526" s="83"/>
      <c r="AO526" s="78"/>
    </row>
    <row r="527" spans="1:41" customFormat="1" ht="15" hidden="1" x14ac:dyDescent="0.25">
      <c r="A527" s="82">
        <v>45715</v>
      </c>
      <c r="B527" s="94" t="str">
        <f t="shared" si="96"/>
        <v>February</v>
      </c>
      <c r="C527" s="78"/>
      <c r="D527" s="79" t="s">
        <v>314</v>
      </c>
      <c r="E527" s="80" t="s">
        <v>1017</v>
      </c>
      <c r="F527" s="79" t="s">
        <v>1035</v>
      </c>
      <c r="G527" s="79" t="s">
        <v>44</v>
      </c>
      <c r="H527" s="79" t="s">
        <v>451</v>
      </c>
      <c r="I527" s="79">
        <v>148.80000000000001</v>
      </c>
      <c r="J527" s="79" t="s">
        <v>314</v>
      </c>
      <c r="K527" s="80" t="s">
        <v>469</v>
      </c>
      <c r="L527" s="80">
        <v>790</v>
      </c>
      <c r="M527" s="80">
        <f>L527+2</f>
        <v>792</v>
      </c>
      <c r="N527" s="81">
        <f t="shared" si="107"/>
        <v>2</v>
      </c>
      <c r="O527" s="78"/>
      <c r="P527" s="82">
        <v>45714.568055555552</v>
      </c>
      <c r="Q527" s="82">
        <v>45713.842361111114</v>
      </c>
      <c r="R527" s="82">
        <v>45714.597222222219</v>
      </c>
      <c r="S527" s="81">
        <f t="shared" si="97"/>
        <v>1081.9675925840177</v>
      </c>
      <c r="T527" s="81">
        <f t="shared" si="98"/>
        <v>41.805555556250816</v>
      </c>
      <c r="U527" s="79"/>
      <c r="V527" s="82">
        <v>45714.511805555558</v>
      </c>
      <c r="W527" s="82">
        <v>45714.861111111109</v>
      </c>
      <c r="X527" s="103">
        <f t="shared" si="99"/>
        <v>492.52083332808979</v>
      </c>
      <c r="Y527" s="82" t="s">
        <v>1038</v>
      </c>
      <c r="Z527" s="82">
        <v>45715.63958333333</v>
      </c>
      <c r="AA527" s="82">
        <f>Z527+TIME(0,60,0)</f>
        <v>45715.681249999994</v>
      </c>
      <c r="AB527" s="81">
        <f t="shared" si="100"/>
        <v>58.7499999965803</v>
      </c>
      <c r="AC527" s="80"/>
      <c r="AD527" s="83">
        <f t="shared" si="101"/>
        <v>1.0423611111109494</v>
      </c>
      <c r="AE527" s="80">
        <v>3</v>
      </c>
      <c r="AF527" s="84">
        <f t="shared" si="102"/>
        <v>1.9576388888890506</v>
      </c>
      <c r="AG527" s="83">
        <f t="shared" si="103"/>
        <v>25.016666666662786</v>
      </c>
      <c r="AH527" s="83">
        <f t="shared" si="104"/>
        <v>12</v>
      </c>
      <c r="AI527" s="83">
        <f t="shared" si="105"/>
        <v>13.016666666662786</v>
      </c>
      <c r="AJ527" s="83">
        <f t="shared" si="106"/>
        <v>11.431498079388811</v>
      </c>
      <c r="AK527" s="83"/>
      <c r="AL527" s="83"/>
      <c r="AM527" s="83"/>
      <c r="AN527" s="83"/>
      <c r="AO527" s="78"/>
    </row>
    <row r="528" spans="1:41" customFormat="1" ht="15" hidden="1" x14ac:dyDescent="0.25">
      <c r="A528" s="82">
        <v>45715</v>
      </c>
      <c r="B528" s="94" t="str">
        <f t="shared" si="96"/>
        <v>February</v>
      </c>
      <c r="C528" s="78"/>
      <c r="D528" s="79" t="s">
        <v>315</v>
      </c>
      <c r="E528" s="80" t="s">
        <v>1017</v>
      </c>
      <c r="F528" s="79" t="s">
        <v>1018</v>
      </c>
      <c r="G528" s="79" t="s">
        <v>39</v>
      </c>
      <c r="H528" s="79" t="s">
        <v>987</v>
      </c>
      <c r="I528" s="79">
        <v>156</v>
      </c>
      <c r="J528" s="79" t="s">
        <v>315</v>
      </c>
      <c r="K528" s="80" t="s">
        <v>469</v>
      </c>
      <c r="L528" s="79">
        <v>320</v>
      </c>
      <c r="M528" s="80">
        <f>L528+1</f>
        <v>321</v>
      </c>
      <c r="N528" s="81">
        <f t="shared" si="107"/>
        <v>1</v>
      </c>
      <c r="O528" s="78"/>
      <c r="P528" s="82">
        <f>R528-TIME(0,43,0)</f>
        <v>45714.363888888889</v>
      </c>
      <c r="Q528" s="82">
        <v>45714.374305555561</v>
      </c>
      <c r="R528" s="82">
        <v>45714.393750000003</v>
      </c>
      <c r="S528" s="81">
        <f t="shared" si="97"/>
        <v>27.870370367357584</v>
      </c>
      <c r="T528" s="81">
        <f t="shared" si="98"/>
        <v>42.80092592986572</v>
      </c>
      <c r="U528" s="79"/>
      <c r="V528" s="82">
        <v>45715.488194444442</v>
      </c>
      <c r="W528" s="82">
        <v>45715.597916666666</v>
      </c>
      <c r="X528" s="103">
        <f t="shared" si="99"/>
        <v>154.70833333492919</v>
      </c>
      <c r="Y528" s="82"/>
      <c r="Z528" s="82">
        <v>45715.256944444445</v>
      </c>
      <c r="AA528" s="82">
        <f>Z528+TIME(0,60,0)</f>
        <v>45715.298611111109</v>
      </c>
      <c r="AB528" s="81">
        <f t="shared" si="100"/>
        <v>58.7499999965803</v>
      </c>
      <c r="AC528" s="80"/>
      <c r="AD528" s="83">
        <f t="shared" si="101"/>
        <v>0.8631944444423425</v>
      </c>
      <c r="AE528" s="80">
        <v>2</v>
      </c>
      <c r="AF528" s="84">
        <f t="shared" si="102"/>
        <v>1.1368055555576575</v>
      </c>
      <c r="AG528" s="83">
        <f t="shared" si="103"/>
        <v>20.71666666661622</v>
      </c>
      <c r="AH528" s="83">
        <f t="shared" si="104"/>
        <v>0</v>
      </c>
      <c r="AI528" s="83">
        <f t="shared" si="105"/>
        <v>20.71666666661622</v>
      </c>
      <c r="AJ528" s="83">
        <f t="shared" si="106"/>
        <v>7.5301689461164862</v>
      </c>
      <c r="AK528" s="83"/>
      <c r="AL528" s="83"/>
      <c r="AM528" s="83"/>
      <c r="AN528" s="83"/>
      <c r="AO528" s="78"/>
    </row>
    <row r="529" spans="1:41" customFormat="1" ht="15" hidden="1" x14ac:dyDescent="0.25">
      <c r="A529" s="82">
        <v>45715</v>
      </c>
      <c r="B529" s="94" t="str">
        <f t="shared" si="96"/>
        <v>February</v>
      </c>
      <c r="C529" s="78"/>
      <c r="D529" s="79" t="s">
        <v>316</v>
      </c>
      <c r="E529" s="80" t="s">
        <v>1017</v>
      </c>
      <c r="F529" s="79"/>
      <c r="G529" s="79" t="s">
        <v>77</v>
      </c>
      <c r="H529" s="79" t="s">
        <v>452</v>
      </c>
      <c r="I529" s="79">
        <v>156</v>
      </c>
      <c r="J529" s="79" t="s">
        <v>316</v>
      </c>
      <c r="K529" s="80" t="s">
        <v>469</v>
      </c>
      <c r="L529" s="80">
        <v>690</v>
      </c>
      <c r="M529" s="80">
        <f>L529-1</f>
        <v>689</v>
      </c>
      <c r="N529" s="81">
        <f t="shared" si="107"/>
        <v>-1</v>
      </c>
      <c r="O529" s="78"/>
      <c r="P529" s="82">
        <f>R529-TIME(0,44,0)</f>
        <v>45713.904166666667</v>
      </c>
      <c r="Q529" s="82">
        <v>45713.925694444442</v>
      </c>
      <c r="R529" s="82">
        <v>45713.93472222222</v>
      </c>
      <c r="S529" s="81">
        <f t="shared" si="97"/>
        <v>12.93981481527832</v>
      </c>
      <c r="T529" s="81">
        <f t="shared" si="98"/>
        <v>43.796296293051761</v>
      </c>
      <c r="U529" s="79"/>
      <c r="V529" s="82">
        <v>45714.380555555559</v>
      </c>
      <c r="W529" s="82">
        <v>45714.625</v>
      </c>
      <c r="X529" s="103">
        <f t="shared" si="99"/>
        <v>344.66666666165111</v>
      </c>
      <c r="Y529" s="82" t="s">
        <v>1044</v>
      </c>
      <c r="Z529" s="82">
        <v>45714.664583333331</v>
      </c>
      <c r="AA529" s="82">
        <f>Z529+TIME(0,58,0)</f>
        <v>45714.704861111109</v>
      </c>
      <c r="AB529" s="81">
        <f t="shared" si="100"/>
        <v>56.791666667122627</v>
      </c>
      <c r="AC529" s="80"/>
      <c r="AD529" s="83">
        <f t="shared" si="101"/>
        <v>0.72986111111094942</v>
      </c>
      <c r="AE529" s="80">
        <v>3</v>
      </c>
      <c r="AF529" s="84">
        <f t="shared" si="102"/>
        <v>2.2701388888890506</v>
      </c>
      <c r="AG529" s="83">
        <f t="shared" si="103"/>
        <v>17.516666666662786</v>
      </c>
      <c r="AH529" s="83">
        <f t="shared" si="104"/>
        <v>0</v>
      </c>
      <c r="AI529" s="83">
        <f t="shared" si="105"/>
        <v>17.516666666662786</v>
      </c>
      <c r="AJ529" s="83">
        <f t="shared" si="106"/>
        <v>8.9058039961960738</v>
      </c>
      <c r="AK529" s="83"/>
      <c r="AL529" s="83"/>
      <c r="AM529" s="83"/>
      <c r="AN529" s="83"/>
      <c r="AO529" s="78"/>
    </row>
    <row r="530" spans="1:41" customFormat="1" ht="15" hidden="1" x14ac:dyDescent="0.25">
      <c r="A530" s="82">
        <v>45715</v>
      </c>
      <c r="B530" s="94" t="str">
        <f t="shared" si="96"/>
        <v>February</v>
      </c>
      <c r="C530" s="78"/>
      <c r="D530" s="79" t="s">
        <v>317</v>
      </c>
      <c r="E530" s="80" t="s">
        <v>1017</v>
      </c>
      <c r="F530" s="79"/>
      <c r="G530" s="79" t="s">
        <v>67</v>
      </c>
      <c r="H530" s="79" t="s">
        <v>460</v>
      </c>
      <c r="I530" s="79">
        <v>156</v>
      </c>
      <c r="J530" s="79" t="s">
        <v>317</v>
      </c>
      <c r="K530" s="80" t="s">
        <v>469</v>
      </c>
      <c r="L530" s="80">
        <v>600</v>
      </c>
      <c r="M530" s="80">
        <f>L530-1</f>
        <v>599</v>
      </c>
      <c r="N530" s="81">
        <f t="shared" si="107"/>
        <v>-1</v>
      </c>
      <c r="O530" s="78"/>
      <c r="P530" s="82">
        <f>R530-TIME(0,43,0)</f>
        <v>45713.828472222216</v>
      </c>
      <c r="Q530" s="82">
        <v>45713.851388888885</v>
      </c>
      <c r="R530" s="82">
        <v>45713.85833333333</v>
      </c>
      <c r="S530" s="81">
        <f t="shared" si="97"/>
        <v>9.9537037048624679</v>
      </c>
      <c r="T530" s="81">
        <f t="shared" si="98"/>
        <v>42.80092592986572</v>
      </c>
      <c r="U530" s="79"/>
      <c r="V530" s="82">
        <v>45714.354166666664</v>
      </c>
      <c r="W530" s="82">
        <v>45714.52847222222</v>
      </c>
      <c r="X530" s="103">
        <f t="shared" si="99"/>
        <v>245.77083333424525</v>
      </c>
      <c r="Y530" s="82" t="s">
        <v>1044</v>
      </c>
      <c r="Z530" s="82">
        <v>45714.568749999999</v>
      </c>
      <c r="AA530" s="82">
        <f>Z530+TIME(0,76,0)</f>
        <v>45714.621527777774</v>
      </c>
      <c r="AB530" s="81">
        <f t="shared" si="100"/>
        <v>74.416666663018987</v>
      </c>
      <c r="AC530" s="80" t="s">
        <v>1673</v>
      </c>
      <c r="AD530" s="83">
        <f t="shared" si="101"/>
        <v>0.71041666666860692</v>
      </c>
      <c r="AE530" s="80">
        <v>2</v>
      </c>
      <c r="AF530" s="84">
        <f t="shared" si="102"/>
        <v>1.2895833333313931</v>
      </c>
      <c r="AG530" s="83">
        <f t="shared" si="103"/>
        <v>17.050000000046566</v>
      </c>
      <c r="AH530" s="83">
        <f t="shared" si="104"/>
        <v>0</v>
      </c>
      <c r="AI530" s="83">
        <f t="shared" si="105"/>
        <v>17.050000000046566</v>
      </c>
      <c r="AJ530" s="83">
        <f t="shared" si="106"/>
        <v>9.1495601172770638</v>
      </c>
      <c r="AK530" s="83"/>
      <c r="AL530" s="83"/>
      <c r="AM530" s="83"/>
      <c r="AN530" s="83"/>
      <c r="AO530" s="78"/>
    </row>
    <row r="531" spans="1:41" customFormat="1" ht="15" hidden="1" x14ac:dyDescent="0.25">
      <c r="A531" s="82">
        <v>45715</v>
      </c>
      <c r="B531" s="94" t="str">
        <f t="shared" si="96"/>
        <v>February</v>
      </c>
      <c r="C531" s="78"/>
      <c r="D531" s="79" t="s">
        <v>318</v>
      </c>
      <c r="E531" s="80" t="s">
        <v>1017</v>
      </c>
      <c r="F531" s="79" t="s">
        <v>1029</v>
      </c>
      <c r="G531" s="79" t="s">
        <v>38</v>
      </c>
      <c r="H531" s="79" t="s">
        <v>454</v>
      </c>
      <c r="I531" s="79">
        <v>156</v>
      </c>
      <c r="J531" s="79" t="s">
        <v>318</v>
      </c>
      <c r="K531" s="80" t="s">
        <v>469</v>
      </c>
      <c r="L531" s="80">
        <v>304</v>
      </c>
      <c r="M531" s="80">
        <f>L531-2</f>
        <v>302</v>
      </c>
      <c r="N531" s="81">
        <f t="shared" si="107"/>
        <v>-2</v>
      </c>
      <c r="O531" s="78"/>
      <c r="P531" s="82">
        <f>R531-TIME(0,44,0)</f>
        <v>45713.864583333336</v>
      </c>
      <c r="Q531" s="82">
        <v>45713.880555555559</v>
      </c>
      <c r="R531" s="82">
        <v>45713.895138888889</v>
      </c>
      <c r="S531" s="81">
        <f t="shared" si="97"/>
        <v>20.902777772910969</v>
      </c>
      <c r="T531" s="81">
        <f t="shared" si="98"/>
        <v>43.796296293051761</v>
      </c>
      <c r="U531" s="79"/>
      <c r="V531" s="82">
        <v>45714.734027777777</v>
      </c>
      <c r="W531" s="82">
        <v>45715.433333333334</v>
      </c>
      <c r="X531" s="103">
        <f t="shared" si="99"/>
        <v>986.02083333629707</v>
      </c>
      <c r="Y531" s="82" t="s">
        <v>1044</v>
      </c>
      <c r="Z531" s="82">
        <v>45724.679166666669</v>
      </c>
      <c r="AA531" s="82">
        <v>45724.716666666667</v>
      </c>
      <c r="AB531" s="81">
        <f t="shared" si="100"/>
        <v>52.87499999794818</v>
      </c>
      <c r="AC531" s="80"/>
      <c r="AD531" s="83">
        <f t="shared" si="101"/>
        <v>10.784027777779556</v>
      </c>
      <c r="AE531" s="80">
        <v>2</v>
      </c>
      <c r="AF531" s="84">
        <f t="shared" si="102"/>
        <v>-8.7840277777795563</v>
      </c>
      <c r="AG531" s="83">
        <f t="shared" si="103"/>
        <v>258.81666666670935</v>
      </c>
      <c r="AH531" s="83">
        <f t="shared" si="104"/>
        <v>120</v>
      </c>
      <c r="AI531" s="83">
        <f t="shared" si="105"/>
        <v>138.81666666670935</v>
      </c>
      <c r="AJ531" s="83">
        <f t="shared" si="106"/>
        <v>1.1237843678709476</v>
      </c>
      <c r="AK531" s="83"/>
      <c r="AL531" s="83"/>
      <c r="AM531" s="83"/>
      <c r="AN531" s="83"/>
      <c r="AO531" s="78"/>
    </row>
    <row r="532" spans="1:41" customFormat="1" ht="15" hidden="1" x14ac:dyDescent="0.25">
      <c r="A532" s="82">
        <v>45715</v>
      </c>
      <c r="B532" s="94" t="str">
        <f t="shared" si="96"/>
        <v>February</v>
      </c>
      <c r="C532" s="78"/>
      <c r="D532" s="79" t="s">
        <v>319</v>
      </c>
      <c r="E532" s="80" t="s">
        <v>1017</v>
      </c>
      <c r="F532" s="79" t="s">
        <v>1026</v>
      </c>
      <c r="G532" s="79" t="s">
        <v>51</v>
      </c>
      <c r="H532" s="79" t="s">
        <v>465</v>
      </c>
      <c r="I532" s="79">
        <v>70.2</v>
      </c>
      <c r="J532" s="79" t="s">
        <v>319</v>
      </c>
      <c r="K532" s="80" t="s">
        <v>469</v>
      </c>
      <c r="L532" s="80">
        <v>382</v>
      </c>
      <c r="M532" s="80">
        <f>L532-1</f>
        <v>381</v>
      </c>
      <c r="N532" s="81">
        <f t="shared" si="107"/>
        <v>-1</v>
      </c>
      <c r="O532" s="78"/>
      <c r="P532" s="82">
        <f>R532-TIME(0,44,0)</f>
        <v>45713.763194444444</v>
      </c>
      <c r="Q532" s="82">
        <v>45713.740972222222</v>
      </c>
      <c r="R532" s="82">
        <v>45713.793749999997</v>
      </c>
      <c r="S532" s="81">
        <f t="shared" si="97"/>
        <v>75.6481481444401</v>
      </c>
      <c r="T532" s="81">
        <f t="shared" si="98"/>
        <v>43.796296293051761</v>
      </c>
      <c r="U532" s="79"/>
      <c r="V532" s="82">
        <v>45714.431944444441</v>
      </c>
      <c r="W532" s="82">
        <v>45714.518750000003</v>
      </c>
      <c r="X532" s="103">
        <f t="shared" si="99"/>
        <v>122.39583334245253</v>
      </c>
      <c r="Y532" s="82"/>
      <c r="Z532" s="82">
        <v>45715.431944444441</v>
      </c>
      <c r="AA532" s="82">
        <v>45715.469444444439</v>
      </c>
      <c r="AB532" s="81">
        <f t="shared" si="100"/>
        <v>52.87499999794818</v>
      </c>
      <c r="AC532" s="80"/>
      <c r="AD532" s="83">
        <f t="shared" si="101"/>
        <v>1.6381944444437977</v>
      </c>
      <c r="AE532" s="80">
        <v>2</v>
      </c>
      <c r="AF532" s="84">
        <f t="shared" si="102"/>
        <v>0.36180555555620231</v>
      </c>
      <c r="AG532" s="83">
        <f t="shared" si="103"/>
        <v>39.316666666651145</v>
      </c>
      <c r="AH532" s="83">
        <f t="shared" si="104"/>
        <v>12</v>
      </c>
      <c r="AI532" s="83">
        <f t="shared" si="105"/>
        <v>27.316666666651145</v>
      </c>
      <c r="AJ532" s="83">
        <f t="shared" si="106"/>
        <v>2.569859670532272</v>
      </c>
      <c r="AK532" s="83"/>
      <c r="AL532" s="83"/>
      <c r="AM532" s="83"/>
      <c r="AN532" s="83"/>
      <c r="AO532" s="78"/>
    </row>
    <row r="533" spans="1:41" customFormat="1" ht="15" hidden="1" x14ac:dyDescent="0.25">
      <c r="A533" s="82">
        <v>45715</v>
      </c>
      <c r="B533" s="94" t="str">
        <f t="shared" si="96"/>
        <v>February</v>
      </c>
      <c r="C533" s="78"/>
      <c r="D533" s="79" t="s">
        <v>320</v>
      </c>
      <c r="E533" s="80" t="s">
        <v>1017</v>
      </c>
      <c r="F533" s="79"/>
      <c r="G533" s="79" t="s">
        <v>40</v>
      </c>
      <c r="H533" s="79" t="s">
        <v>456</v>
      </c>
      <c r="I533" s="79">
        <v>156</v>
      </c>
      <c r="J533" s="79" t="s">
        <v>320</v>
      </c>
      <c r="K533" s="80" t="s">
        <v>469</v>
      </c>
      <c r="L533" s="80">
        <v>670</v>
      </c>
      <c r="M533" s="80">
        <f>L533-2</f>
        <v>668</v>
      </c>
      <c r="N533" s="81">
        <f t="shared" si="107"/>
        <v>-2</v>
      </c>
      <c r="O533" s="78"/>
      <c r="P533" s="82">
        <f>R533-TIME(0,43,0)</f>
        <v>45713.751388888886</v>
      </c>
      <c r="Q533" s="82">
        <v>45713.773611111108</v>
      </c>
      <c r="R533" s="82">
        <v>45713.78125</v>
      </c>
      <c r="S533" s="81">
        <f t="shared" si="97"/>
        <v>10.949074078477375</v>
      </c>
      <c r="T533" s="81">
        <f t="shared" si="98"/>
        <v>42.80092592986572</v>
      </c>
      <c r="U533" s="79"/>
      <c r="V533" s="82">
        <v>45714.686805555553</v>
      </c>
      <c r="W533" s="82">
        <v>45714.831250000003</v>
      </c>
      <c r="X533" s="103">
        <f t="shared" si="99"/>
        <v>203.66666667396203</v>
      </c>
      <c r="Y533" s="82" t="s">
        <v>1044</v>
      </c>
      <c r="Z533" s="82">
        <v>45716.400694444441</v>
      </c>
      <c r="AA533" s="82">
        <v>45716.438194444439</v>
      </c>
      <c r="AB533" s="81">
        <f t="shared" si="100"/>
        <v>52.87499999794818</v>
      </c>
      <c r="AC533" s="80"/>
      <c r="AD533" s="83">
        <f t="shared" si="101"/>
        <v>2.6194444444408873</v>
      </c>
      <c r="AE533" s="80">
        <v>2</v>
      </c>
      <c r="AF533" s="84">
        <f t="shared" si="102"/>
        <v>-0.61944444444088731</v>
      </c>
      <c r="AG533" s="83">
        <f t="shared" si="103"/>
        <v>62.866666666581295</v>
      </c>
      <c r="AH533" s="83">
        <f t="shared" si="104"/>
        <v>24</v>
      </c>
      <c r="AI533" s="83">
        <f t="shared" si="105"/>
        <v>38.866666666581295</v>
      </c>
      <c r="AJ533" s="83">
        <f t="shared" si="106"/>
        <v>4.0137221269384904</v>
      </c>
      <c r="AK533" s="83"/>
      <c r="AL533" s="83"/>
      <c r="AM533" s="83"/>
      <c r="AN533" s="83"/>
      <c r="AO533" s="78"/>
    </row>
    <row r="534" spans="1:41" customFormat="1" ht="15" hidden="1" x14ac:dyDescent="0.25">
      <c r="A534" s="82">
        <v>45715</v>
      </c>
      <c r="B534" s="94" t="str">
        <f t="shared" si="96"/>
        <v>February</v>
      </c>
      <c r="C534" s="78"/>
      <c r="D534" s="79" t="s">
        <v>321</v>
      </c>
      <c r="E534" s="80" t="s">
        <v>1017</v>
      </c>
      <c r="F534" s="79"/>
      <c r="G534" s="79" t="s">
        <v>75</v>
      </c>
      <c r="H534" s="79" t="s">
        <v>455</v>
      </c>
      <c r="I534" s="79">
        <v>156</v>
      </c>
      <c r="J534" s="79" t="s">
        <v>321</v>
      </c>
      <c r="K534" s="80" t="s">
        <v>469</v>
      </c>
      <c r="L534" s="80">
        <v>580</v>
      </c>
      <c r="M534" s="80">
        <f>L534-1</f>
        <v>579</v>
      </c>
      <c r="N534" s="81">
        <f t="shared" si="107"/>
        <v>-1</v>
      </c>
      <c r="O534" s="78"/>
      <c r="P534" s="82">
        <f>R534-TIME(0,44,0)</f>
        <v>45713.683333333334</v>
      </c>
      <c r="Q534" s="82">
        <v>45713.660416666666</v>
      </c>
      <c r="R534" s="82">
        <v>45713.713888888888</v>
      </c>
      <c r="S534" s="81">
        <f t="shared" si="97"/>
        <v>76.643518518055018</v>
      </c>
      <c r="T534" s="81">
        <f t="shared" si="98"/>
        <v>43.796296293051761</v>
      </c>
      <c r="U534" s="79"/>
      <c r="V534" s="82">
        <v>45714.604861111111</v>
      </c>
      <c r="W534" s="82">
        <v>45715.35</v>
      </c>
      <c r="X534" s="103">
        <f t="shared" si="99"/>
        <v>1050.6458333315095</v>
      </c>
      <c r="Y534" s="82" t="s">
        <v>1038</v>
      </c>
      <c r="Z534" s="82">
        <v>45715.870833333334</v>
      </c>
      <c r="AA534" s="82">
        <v>45715.908333333333</v>
      </c>
      <c r="AB534" s="81">
        <f t="shared" si="100"/>
        <v>52.87499999794818</v>
      </c>
      <c r="AC534" s="80"/>
      <c r="AD534" s="83">
        <f t="shared" si="101"/>
        <v>2.1569444444467081</v>
      </c>
      <c r="AE534" s="80">
        <v>2</v>
      </c>
      <c r="AF534" s="84">
        <f t="shared" si="102"/>
        <v>-0.15694444444670808</v>
      </c>
      <c r="AG534" s="83">
        <f t="shared" si="103"/>
        <v>51.766666666720994</v>
      </c>
      <c r="AH534" s="83">
        <f t="shared" si="104"/>
        <v>24</v>
      </c>
      <c r="AI534" s="83">
        <f t="shared" si="105"/>
        <v>27.766666666720994</v>
      </c>
      <c r="AJ534" s="83">
        <f t="shared" si="106"/>
        <v>5.6182472989085754</v>
      </c>
      <c r="AK534" s="83"/>
      <c r="AL534" s="83"/>
      <c r="AM534" s="83"/>
      <c r="AN534" s="83"/>
      <c r="AO534" s="78"/>
    </row>
    <row r="535" spans="1:41" customFormat="1" ht="15" hidden="1" x14ac:dyDescent="0.25">
      <c r="A535" s="82">
        <v>45715</v>
      </c>
      <c r="B535" s="94" t="str">
        <f t="shared" si="96"/>
        <v>February</v>
      </c>
      <c r="C535" s="78"/>
      <c r="D535" s="79" t="s">
        <v>322</v>
      </c>
      <c r="E535" s="80" t="s">
        <v>1017</v>
      </c>
      <c r="F535" s="79"/>
      <c r="G535" s="79" t="s">
        <v>78</v>
      </c>
      <c r="H535" s="79" t="s">
        <v>463</v>
      </c>
      <c r="I535" s="79">
        <v>156</v>
      </c>
      <c r="J535" s="79" t="s">
        <v>322</v>
      </c>
      <c r="K535" s="80" t="s">
        <v>469</v>
      </c>
      <c r="L535" s="80">
        <v>414</v>
      </c>
      <c r="M535" s="80">
        <f>L535-1</f>
        <v>413</v>
      </c>
      <c r="N535" s="81">
        <f t="shared" si="107"/>
        <v>-1</v>
      </c>
      <c r="O535" s="78"/>
      <c r="P535" s="82">
        <f>R535-TIME(0,43,0)</f>
        <v>45715.200694444444</v>
      </c>
      <c r="Q535" s="82">
        <v>45715.214583333334</v>
      </c>
      <c r="R535" s="82">
        <v>45715.230555555558</v>
      </c>
      <c r="S535" s="81">
        <f t="shared" si="97"/>
        <v>22.893518520140788</v>
      </c>
      <c r="T535" s="81">
        <f t="shared" si="98"/>
        <v>42.80092592986572</v>
      </c>
      <c r="U535" s="79"/>
      <c r="V535" s="82">
        <v>45714.668749999997</v>
      </c>
      <c r="W535" s="82">
        <v>45715.522916666669</v>
      </c>
      <c r="X535" s="103">
        <f t="shared" si="99"/>
        <v>1204.3750000068394</v>
      </c>
      <c r="Y535" s="82" t="s">
        <v>1049</v>
      </c>
      <c r="Z535" s="82">
        <v>45715.870833333334</v>
      </c>
      <c r="AA535" s="82">
        <f>Z535+TIME(0,60,0)</f>
        <v>45715.912499999999</v>
      </c>
      <c r="AB535" s="81">
        <f t="shared" si="100"/>
        <v>58.7499999965803</v>
      </c>
      <c r="AC535" s="80"/>
      <c r="AD535" s="83">
        <f t="shared" si="101"/>
        <v>0.64027777777664596</v>
      </c>
      <c r="AE535" s="80">
        <v>3</v>
      </c>
      <c r="AF535" s="84">
        <f t="shared" si="102"/>
        <v>2.359722222223354</v>
      </c>
      <c r="AG535" s="83">
        <f t="shared" si="103"/>
        <v>15.366666666639503</v>
      </c>
      <c r="AH535" s="83">
        <f t="shared" si="104"/>
        <v>0</v>
      </c>
      <c r="AI535" s="83">
        <f t="shared" si="105"/>
        <v>15.366666666639503</v>
      </c>
      <c r="AJ535" s="83">
        <f t="shared" si="106"/>
        <v>10.151843817805364</v>
      </c>
      <c r="AK535" s="83"/>
      <c r="AL535" s="83"/>
      <c r="AM535" s="83"/>
      <c r="AN535" s="83"/>
      <c r="AO535" s="78"/>
    </row>
    <row r="536" spans="1:41" customFormat="1" ht="15" hidden="1" x14ac:dyDescent="0.25">
      <c r="A536" s="82">
        <v>45715</v>
      </c>
      <c r="B536" s="94" t="str">
        <f t="shared" si="96"/>
        <v>February</v>
      </c>
      <c r="C536" s="78"/>
      <c r="D536" s="79" t="s">
        <v>323</v>
      </c>
      <c r="E536" s="80" t="s">
        <v>1017</v>
      </c>
      <c r="F536" s="79" t="s">
        <v>1037</v>
      </c>
      <c r="G536" s="79" t="s">
        <v>59</v>
      </c>
      <c r="H536" s="79" t="s">
        <v>1284</v>
      </c>
      <c r="I536" s="79">
        <v>156</v>
      </c>
      <c r="J536" s="79" t="s">
        <v>323</v>
      </c>
      <c r="K536" s="80" t="s">
        <v>469</v>
      </c>
      <c r="L536" s="80">
        <v>620</v>
      </c>
      <c r="M536" s="80">
        <f>L536+2</f>
        <v>622</v>
      </c>
      <c r="N536" s="81">
        <f t="shared" si="107"/>
        <v>2</v>
      </c>
      <c r="O536" s="78"/>
      <c r="P536" s="82">
        <f>R536-TIME(0,43,0)</f>
        <v>45713.678472222222</v>
      </c>
      <c r="Q536" s="82">
        <v>45713.701388888891</v>
      </c>
      <c r="R536" s="82">
        <v>45713.708333333336</v>
      </c>
      <c r="S536" s="81">
        <f t="shared" si="97"/>
        <v>9.9537037048624679</v>
      </c>
      <c r="T536" s="81">
        <f t="shared" si="98"/>
        <v>42.80092592986572</v>
      </c>
      <c r="U536" s="79"/>
      <c r="V536" s="82">
        <v>45714.336805555555</v>
      </c>
      <c r="W536" s="82">
        <v>45714.413194444445</v>
      </c>
      <c r="X536" s="103">
        <f t="shared" si="99"/>
        <v>107.70833333561313</v>
      </c>
      <c r="Y536" s="82"/>
      <c r="Z536" s="82">
        <v>45716.359722222223</v>
      </c>
      <c r="AA536" s="82">
        <f>Z536+TIME(0,57,0)</f>
        <v>45716.399305555555</v>
      </c>
      <c r="AB536" s="81">
        <f t="shared" si="100"/>
        <v>55.81249999726424</v>
      </c>
      <c r="AC536" s="80"/>
      <c r="AD536" s="83">
        <f t="shared" si="101"/>
        <v>2.6513888888875954</v>
      </c>
      <c r="AE536" s="80">
        <v>3</v>
      </c>
      <c r="AF536" s="84">
        <f t="shared" si="102"/>
        <v>0.34861111111240461</v>
      </c>
      <c r="AG536" s="83">
        <f t="shared" si="103"/>
        <v>63.633333333302289</v>
      </c>
      <c r="AH536" s="83">
        <f t="shared" si="104"/>
        <v>24</v>
      </c>
      <c r="AI536" s="83">
        <f t="shared" si="105"/>
        <v>39.633333333302289</v>
      </c>
      <c r="AJ536" s="83">
        <f t="shared" si="106"/>
        <v>3.9360807401208291</v>
      </c>
      <c r="AK536" s="83"/>
      <c r="AL536" s="83"/>
      <c r="AM536" s="83"/>
      <c r="AN536" s="83"/>
      <c r="AO536" s="78"/>
    </row>
    <row r="537" spans="1:41" customFormat="1" ht="15" hidden="1" x14ac:dyDescent="0.25">
      <c r="A537" s="82">
        <v>45715</v>
      </c>
      <c r="B537" s="94" t="str">
        <f t="shared" si="96"/>
        <v>February</v>
      </c>
      <c r="C537" s="78"/>
      <c r="D537" s="79" t="s">
        <v>324</v>
      </c>
      <c r="E537" s="80" t="s">
        <v>1017</v>
      </c>
      <c r="F537" s="79" t="s">
        <v>1028</v>
      </c>
      <c r="G537" s="79" t="s">
        <v>45</v>
      </c>
      <c r="H537" s="79" t="s">
        <v>458</v>
      </c>
      <c r="I537" s="79">
        <v>156</v>
      </c>
      <c r="J537" s="79" t="s">
        <v>324</v>
      </c>
      <c r="K537" s="80" t="s">
        <v>469</v>
      </c>
      <c r="L537" s="80">
        <v>448</v>
      </c>
      <c r="M537" s="80">
        <f>L537+1</f>
        <v>449</v>
      </c>
      <c r="N537" s="81">
        <f t="shared" si="107"/>
        <v>1</v>
      </c>
      <c r="O537" s="78"/>
      <c r="P537" s="82">
        <f>R537-TIME(0,44,0)</f>
        <v>45714.344444444447</v>
      </c>
      <c r="Q537" s="82">
        <v>45714.361805555556</v>
      </c>
      <c r="R537" s="82">
        <v>45714.375</v>
      </c>
      <c r="S537" s="81">
        <f t="shared" si="97"/>
        <v>18.912037036110025</v>
      </c>
      <c r="T537" s="81">
        <f t="shared" si="98"/>
        <v>43.796296293051761</v>
      </c>
      <c r="U537" s="79"/>
      <c r="V537" s="82">
        <v>45716.376388888886</v>
      </c>
      <c r="W537" s="82">
        <v>45716.482638888891</v>
      </c>
      <c r="X537" s="103">
        <f t="shared" si="99"/>
        <v>149.81250000615546</v>
      </c>
      <c r="Y537" s="82"/>
      <c r="Z537" s="82">
        <v>45714.439583333333</v>
      </c>
      <c r="AA537" s="82">
        <v>45714.477083333331</v>
      </c>
      <c r="AB537" s="81">
        <f t="shared" si="100"/>
        <v>52.87499999794818</v>
      </c>
      <c r="AC537" s="80"/>
      <c r="AD537" s="83">
        <f t="shared" si="101"/>
        <v>6.4583333332848269E-2</v>
      </c>
      <c r="AE537" s="80">
        <v>2</v>
      </c>
      <c r="AF537" s="84">
        <f t="shared" si="102"/>
        <v>1.9354166666671517</v>
      </c>
      <c r="AG537" s="83">
        <f t="shared" si="103"/>
        <v>1.5499999999883585</v>
      </c>
      <c r="AH537" s="83">
        <f t="shared" si="104"/>
        <v>0</v>
      </c>
      <c r="AI537" s="83">
        <f t="shared" si="105"/>
        <v>1.5499999999883585</v>
      </c>
      <c r="AJ537" s="83">
        <f t="shared" si="106"/>
        <v>100.64516129107849</v>
      </c>
      <c r="AK537" s="83"/>
      <c r="AL537" s="83"/>
      <c r="AM537" s="83"/>
      <c r="AN537" s="83"/>
      <c r="AO537" s="78"/>
    </row>
    <row r="538" spans="1:41" customFormat="1" ht="15" hidden="1" x14ac:dyDescent="0.25">
      <c r="A538" s="82">
        <v>45715</v>
      </c>
      <c r="B538" s="94" t="str">
        <f t="shared" si="96"/>
        <v>February</v>
      </c>
      <c r="C538" s="78"/>
      <c r="D538" s="79" t="s">
        <v>904</v>
      </c>
      <c r="E538" s="80" t="s">
        <v>1016</v>
      </c>
      <c r="F538" s="79" t="s">
        <v>963</v>
      </c>
      <c r="G538" s="79" t="s">
        <v>60</v>
      </c>
      <c r="H538" s="79" t="s">
        <v>993</v>
      </c>
      <c r="I538" s="79">
        <v>156</v>
      </c>
      <c r="J538" s="79" t="s">
        <v>904</v>
      </c>
      <c r="K538" s="80" t="s">
        <v>469</v>
      </c>
      <c r="L538" s="80">
        <v>560</v>
      </c>
      <c r="M538" s="80">
        <f>L538+2</f>
        <v>562</v>
      </c>
      <c r="N538" s="81">
        <f t="shared" si="107"/>
        <v>2</v>
      </c>
      <c r="O538" s="78"/>
      <c r="P538" s="82">
        <f>R538-TIME(0,44,0)</f>
        <v>45716.763194444444</v>
      </c>
      <c r="Q538" s="82">
        <v>45716.763888888883</v>
      </c>
      <c r="R538" s="82">
        <v>45716.793749999997</v>
      </c>
      <c r="S538" s="81">
        <f t="shared" si="97"/>
        <v>42.80092592986572</v>
      </c>
      <c r="T538" s="81">
        <f t="shared" si="98"/>
        <v>43.796296293051761</v>
      </c>
      <c r="U538" s="79"/>
      <c r="V538" s="82">
        <v>45714.470833333333</v>
      </c>
      <c r="W538" s="82">
        <v>45714.568749999999</v>
      </c>
      <c r="X538" s="103">
        <f t="shared" si="99"/>
        <v>138.06249999863212</v>
      </c>
      <c r="Y538" s="82"/>
      <c r="Z538" s="82">
        <v>45717.467361111114</v>
      </c>
      <c r="AA538" s="82">
        <f>Z538+TIME(0,53,0)</f>
        <v>45717.504166666673</v>
      </c>
      <c r="AB538" s="81">
        <f t="shared" si="100"/>
        <v>51.895833338348893</v>
      </c>
      <c r="AC538" s="80"/>
      <c r="AD538" s="83">
        <f t="shared" si="101"/>
        <v>0.67361111111677019</v>
      </c>
      <c r="AE538" s="80">
        <v>2</v>
      </c>
      <c r="AF538" s="84">
        <f t="shared" si="102"/>
        <v>1.3263888888832298</v>
      </c>
      <c r="AG538" s="83">
        <f t="shared" si="103"/>
        <v>16.166666666802485</v>
      </c>
      <c r="AH538" s="83">
        <f t="shared" si="104"/>
        <v>0</v>
      </c>
      <c r="AI538" s="83">
        <f t="shared" si="105"/>
        <v>16.166666666802485</v>
      </c>
      <c r="AJ538" s="83">
        <f t="shared" si="106"/>
        <v>9.6494845360014079</v>
      </c>
      <c r="AK538" s="83"/>
      <c r="AL538" s="83"/>
      <c r="AM538" s="83"/>
      <c r="AN538" s="83"/>
      <c r="AO538" s="78"/>
    </row>
    <row r="539" spans="1:41" customFormat="1" ht="15" hidden="1" x14ac:dyDescent="0.25">
      <c r="A539" s="82">
        <v>45715</v>
      </c>
      <c r="B539" s="94" t="str">
        <f t="shared" si="96"/>
        <v>February</v>
      </c>
      <c r="C539" s="78"/>
      <c r="D539" s="79" t="s">
        <v>905</v>
      </c>
      <c r="E539" s="80" t="s">
        <v>1016</v>
      </c>
      <c r="F539" s="79" t="s">
        <v>950</v>
      </c>
      <c r="G539" s="79" t="s">
        <v>967</v>
      </c>
      <c r="H539" s="79" t="s">
        <v>1282</v>
      </c>
      <c r="I539" s="79">
        <v>153.6</v>
      </c>
      <c r="J539" s="79" t="s">
        <v>905</v>
      </c>
      <c r="K539" s="80" t="s">
        <v>469</v>
      </c>
      <c r="L539" s="79">
        <v>810</v>
      </c>
      <c r="M539" s="80">
        <f>L539-1</f>
        <v>809</v>
      </c>
      <c r="N539" s="81">
        <f t="shared" si="107"/>
        <v>-1</v>
      </c>
      <c r="O539" s="78"/>
      <c r="P539" s="82">
        <v>45728.590277777774</v>
      </c>
      <c r="Q539" s="82">
        <v>45728.603472222218</v>
      </c>
      <c r="R539" s="82">
        <v>45728.619444444441</v>
      </c>
      <c r="S539" s="81">
        <f t="shared" si="97"/>
        <v>22.893518520140788</v>
      </c>
      <c r="T539" s="81">
        <f t="shared" si="98"/>
        <v>41.805555556250816</v>
      </c>
      <c r="U539" s="79"/>
      <c r="V539" s="82">
        <v>45714.72152777778</v>
      </c>
      <c r="W539" s="82">
        <v>45715.402083333334</v>
      </c>
      <c r="X539" s="103">
        <f t="shared" si="99"/>
        <v>959.58333333219343</v>
      </c>
      <c r="Y539" s="82" t="s">
        <v>1044</v>
      </c>
      <c r="Z539" s="82">
        <v>45743.467361111114</v>
      </c>
      <c r="AA539" s="82">
        <f>Z539+TIME(0,59,0)</f>
        <v>45743.508333333339</v>
      </c>
      <c r="AB539" s="81">
        <f t="shared" si="100"/>
        <v>57.770833336981013</v>
      </c>
      <c r="AC539" s="80"/>
      <c r="AD539" s="83">
        <f t="shared" si="101"/>
        <v>14.847916666672972</v>
      </c>
      <c r="AE539" s="80">
        <v>2</v>
      </c>
      <c r="AF539" s="84">
        <f t="shared" si="102"/>
        <v>-12.847916666672972</v>
      </c>
      <c r="AG539" s="83">
        <f t="shared" si="103"/>
        <v>356.35000000015134</v>
      </c>
      <c r="AH539" s="83">
        <f t="shared" si="104"/>
        <v>168</v>
      </c>
      <c r="AI539" s="83">
        <f t="shared" si="105"/>
        <v>188.35000000015134</v>
      </c>
      <c r="AJ539" s="83">
        <f t="shared" si="106"/>
        <v>0.81550305282652813</v>
      </c>
      <c r="AK539" s="83"/>
      <c r="AL539" s="83"/>
      <c r="AM539" s="83"/>
      <c r="AN539" s="83"/>
      <c r="AO539" s="78"/>
    </row>
    <row r="540" spans="1:41" customFormat="1" ht="15" hidden="1" x14ac:dyDescent="0.25">
      <c r="A540" s="82">
        <v>45715</v>
      </c>
      <c r="B540" s="94" t="str">
        <f t="shared" si="96"/>
        <v>February</v>
      </c>
      <c r="C540" s="78"/>
      <c r="D540" s="79" t="s">
        <v>910</v>
      </c>
      <c r="E540" s="80" t="s">
        <v>1016</v>
      </c>
      <c r="F540" s="79" t="s">
        <v>953</v>
      </c>
      <c r="G540" s="79" t="s">
        <v>970</v>
      </c>
      <c r="H540" s="79" t="s">
        <v>987</v>
      </c>
      <c r="I540" s="79">
        <v>153.6</v>
      </c>
      <c r="J540" s="79" t="s">
        <v>910</v>
      </c>
      <c r="K540" s="80" t="s">
        <v>469</v>
      </c>
      <c r="L540" s="79">
        <v>320</v>
      </c>
      <c r="M540" s="80">
        <f>L540-3</f>
        <v>317</v>
      </c>
      <c r="N540" s="81">
        <f t="shared" si="107"/>
        <v>-3</v>
      </c>
      <c r="O540" s="78"/>
      <c r="P540" s="82">
        <f>R540-TIME(0,44,0)</f>
        <v>45714.488888888889</v>
      </c>
      <c r="Q540" s="82">
        <v>45714.502777777772</v>
      </c>
      <c r="R540" s="82">
        <v>45714.519444444442</v>
      </c>
      <c r="S540" s="81">
        <f t="shared" si="97"/>
        <v>23.888888893755695</v>
      </c>
      <c r="T540" s="81">
        <f t="shared" si="98"/>
        <v>43.796296293051761</v>
      </c>
      <c r="U540" s="79"/>
      <c r="V540" s="82">
        <v>45715.564583333333</v>
      </c>
      <c r="W540" s="82">
        <v>45715.743750000001</v>
      </c>
      <c r="X540" s="103">
        <f t="shared" si="99"/>
        <v>252.62500000273576</v>
      </c>
      <c r="Y540" s="82" t="s">
        <v>1051</v>
      </c>
      <c r="Z540" s="82">
        <v>45715.659722222219</v>
      </c>
      <c r="AA540" s="82">
        <v>45715.697222222218</v>
      </c>
      <c r="AB540" s="81">
        <f t="shared" si="100"/>
        <v>52.87499999794818</v>
      </c>
      <c r="AC540" s="80"/>
      <c r="AD540" s="83">
        <f t="shared" si="101"/>
        <v>1.140277777776646</v>
      </c>
      <c r="AE540" s="80">
        <v>2</v>
      </c>
      <c r="AF540" s="84">
        <f t="shared" si="102"/>
        <v>0.85972222222335404</v>
      </c>
      <c r="AG540" s="83">
        <f t="shared" si="103"/>
        <v>27.366666666639503</v>
      </c>
      <c r="AH540" s="83">
        <f t="shared" si="104"/>
        <v>12</v>
      </c>
      <c r="AI540" s="83">
        <f t="shared" si="105"/>
        <v>15.366666666639503</v>
      </c>
      <c r="AJ540" s="83">
        <f t="shared" si="106"/>
        <v>9.9956616052237433</v>
      </c>
      <c r="AK540" s="83"/>
      <c r="AL540" s="83"/>
      <c r="AM540" s="83"/>
      <c r="AN540" s="83"/>
      <c r="AO540" s="78"/>
    </row>
    <row r="541" spans="1:41" customFormat="1" ht="15" hidden="1" x14ac:dyDescent="0.25">
      <c r="A541" s="82">
        <v>45715</v>
      </c>
      <c r="B541" s="94" t="str">
        <f t="shared" si="96"/>
        <v>February</v>
      </c>
      <c r="C541" s="78"/>
      <c r="D541" s="79" t="s">
        <v>906</v>
      </c>
      <c r="E541" s="80" t="s">
        <v>1016</v>
      </c>
      <c r="F541" s="79" t="s">
        <v>964</v>
      </c>
      <c r="G541" s="79" t="s">
        <v>979</v>
      </c>
      <c r="H541" s="79" t="s">
        <v>452</v>
      </c>
      <c r="I541" s="79">
        <v>153.6</v>
      </c>
      <c r="J541" s="79" t="s">
        <v>906</v>
      </c>
      <c r="K541" s="80" t="s">
        <v>469</v>
      </c>
      <c r="L541" s="80">
        <v>690</v>
      </c>
      <c r="M541" s="80">
        <f>L541-1</f>
        <v>689</v>
      </c>
      <c r="N541" s="81">
        <f t="shared" si="107"/>
        <v>-1</v>
      </c>
      <c r="O541" s="78"/>
      <c r="P541" s="82">
        <f>R541-TIME(0,43,0)</f>
        <v>45714.520138888889</v>
      </c>
      <c r="Q541" s="82">
        <v>45714.53402777778</v>
      </c>
      <c r="R541" s="82">
        <v>45714.55</v>
      </c>
      <c r="S541" s="81">
        <f t="shared" si="97"/>
        <v>22.893518520140788</v>
      </c>
      <c r="T541" s="81">
        <f t="shared" si="98"/>
        <v>42.80092592986572</v>
      </c>
      <c r="U541" s="79"/>
      <c r="V541" s="82">
        <v>45714.677083333336</v>
      </c>
      <c r="W541" s="82">
        <v>45714.84375</v>
      </c>
      <c r="X541" s="103">
        <f t="shared" si="99"/>
        <v>234.9999999965803</v>
      </c>
      <c r="Y541" s="82" t="s">
        <v>1044</v>
      </c>
      <c r="Z541" s="82">
        <v>45714.768750000003</v>
      </c>
      <c r="AA541" s="82">
        <v>45714.808333333334</v>
      </c>
      <c r="AB541" s="81">
        <f t="shared" si="100"/>
        <v>55.81249999726424</v>
      </c>
      <c r="AC541" s="80"/>
      <c r="AD541" s="83">
        <f t="shared" si="101"/>
        <v>0.21875</v>
      </c>
      <c r="AE541" s="80">
        <v>2</v>
      </c>
      <c r="AF541" s="84">
        <f t="shared" si="102"/>
        <v>1.78125</v>
      </c>
      <c r="AG541" s="83">
        <f t="shared" si="103"/>
        <v>5.25</v>
      </c>
      <c r="AH541" s="83">
        <f t="shared" si="104"/>
        <v>0</v>
      </c>
      <c r="AI541" s="83">
        <f t="shared" si="105"/>
        <v>5.25</v>
      </c>
      <c r="AJ541" s="83">
        <f t="shared" si="106"/>
        <v>29.257142857142856</v>
      </c>
      <c r="AK541" s="83"/>
      <c r="AL541" s="83"/>
      <c r="AM541" s="83"/>
      <c r="AN541" s="83"/>
      <c r="AO541" s="78"/>
    </row>
    <row r="542" spans="1:41" customFormat="1" ht="15" hidden="1" x14ac:dyDescent="0.25">
      <c r="A542" s="82">
        <v>45716</v>
      </c>
      <c r="B542" s="94" t="str">
        <f t="shared" si="96"/>
        <v>February</v>
      </c>
      <c r="C542" s="78"/>
      <c r="D542" s="79" t="s">
        <v>325</v>
      </c>
      <c r="E542" s="80" t="s">
        <v>1017</v>
      </c>
      <c r="F542" s="79"/>
      <c r="G542" s="79" t="s">
        <v>49</v>
      </c>
      <c r="H542" s="79" t="s">
        <v>987</v>
      </c>
      <c r="I542" s="79">
        <v>156</v>
      </c>
      <c r="J542" s="79" t="s">
        <v>325</v>
      </c>
      <c r="K542" s="80" t="s">
        <v>469</v>
      </c>
      <c r="L542" s="79">
        <v>320</v>
      </c>
      <c r="M542" s="80">
        <f>L542+1</f>
        <v>321</v>
      </c>
      <c r="N542" s="81">
        <f t="shared" si="107"/>
        <v>1</v>
      </c>
      <c r="O542" s="78"/>
      <c r="P542" s="82">
        <f>R542-TIME(0,44,0)</f>
        <v>45715.543055555558</v>
      </c>
      <c r="Q542" s="82">
        <v>45713.694444444445</v>
      </c>
      <c r="R542" s="82">
        <v>45715.573611111111</v>
      </c>
      <c r="S542" s="81">
        <f t="shared" si="97"/>
        <v>2693.4722222208316</v>
      </c>
      <c r="T542" s="81">
        <f t="shared" si="98"/>
        <v>43.796296293051761</v>
      </c>
      <c r="U542" s="79"/>
      <c r="V542" s="82">
        <v>45714.354166666664</v>
      </c>
      <c r="W542" s="82">
        <v>45714.52847222222</v>
      </c>
      <c r="X542" s="103">
        <f t="shared" si="99"/>
        <v>245.77083333424525</v>
      </c>
      <c r="Y542" s="82" t="s">
        <v>1048</v>
      </c>
      <c r="Z542" s="82">
        <v>45716.412499999999</v>
      </c>
      <c r="AA542" s="82">
        <f>Z542+TIME(0,58,0)</f>
        <v>45716.452777777777</v>
      </c>
      <c r="AB542" s="81">
        <f t="shared" si="100"/>
        <v>56.791666667122627</v>
      </c>
      <c r="AC542" s="80"/>
      <c r="AD542" s="83">
        <f t="shared" si="101"/>
        <v>0.83888888888759539</v>
      </c>
      <c r="AE542" s="80">
        <v>2</v>
      </c>
      <c r="AF542" s="84">
        <f t="shared" si="102"/>
        <v>1.1611111111124046</v>
      </c>
      <c r="AG542" s="83">
        <f t="shared" si="103"/>
        <v>20.133333333302289</v>
      </c>
      <c r="AH542" s="83">
        <f t="shared" si="104"/>
        <v>0</v>
      </c>
      <c r="AI542" s="83">
        <f t="shared" si="105"/>
        <v>20.133333333302289</v>
      </c>
      <c r="AJ542" s="83">
        <f t="shared" si="106"/>
        <v>7.7483443708728741</v>
      </c>
      <c r="AK542" s="83"/>
      <c r="AL542" s="83"/>
      <c r="AM542" s="83"/>
      <c r="AN542" s="83"/>
      <c r="AO542" s="78"/>
    </row>
    <row r="543" spans="1:41" customFormat="1" ht="15" hidden="1" x14ac:dyDescent="0.25">
      <c r="A543" s="82">
        <v>45716</v>
      </c>
      <c r="B543" s="94" t="str">
        <f t="shared" si="96"/>
        <v>February</v>
      </c>
      <c r="C543" s="78"/>
      <c r="D543" s="79" t="s">
        <v>326</v>
      </c>
      <c r="E543" s="80" t="s">
        <v>1017</v>
      </c>
      <c r="F543" s="79" t="s">
        <v>1015</v>
      </c>
      <c r="G543" s="79" t="s">
        <v>43</v>
      </c>
      <c r="H543" s="79" t="s">
        <v>454</v>
      </c>
      <c r="I543" s="79">
        <v>156</v>
      </c>
      <c r="J543" s="79" t="s">
        <v>326</v>
      </c>
      <c r="K543" s="80" t="s">
        <v>469</v>
      </c>
      <c r="L543" s="80">
        <v>300</v>
      </c>
      <c r="M543" s="80">
        <f>L543+2</f>
        <v>302</v>
      </c>
      <c r="N543" s="81">
        <f t="shared" si="107"/>
        <v>2</v>
      </c>
      <c r="O543" s="78"/>
      <c r="P543" s="82">
        <f>R543-TIME(0,55,0)</f>
        <v>45714.34097222222</v>
      </c>
      <c r="Q543" s="82">
        <v>45714.098611111112</v>
      </c>
      <c r="R543" s="82">
        <v>45714.379166666666</v>
      </c>
      <c r="S543" s="81">
        <f t="shared" si="97"/>
        <v>402.12962962638511</v>
      </c>
      <c r="T543" s="81">
        <f t="shared" si="98"/>
        <v>54.745370371529134</v>
      </c>
      <c r="U543" s="79"/>
      <c r="V543" s="82">
        <v>45714.734027777777</v>
      </c>
      <c r="W543" s="82">
        <v>45715.433333333334</v>
      </c>
      <c r="X543" s="103">
        <f t="shared" si="99"/>
        <v>986.02083333629707</v>
      </c>
      <c r="Y543" s="82" t="s">
        <v>1044</v>
      </c>
      <c r="Z543" s="82">
        <v>45715.920138888891</v>
      </c>
      <c r="AA543" s="82">
        <f>Z543+TIME(0,50,0)</f>
        <v>45715.954861111109</v>
      </c>
      <c r="AB543" s="81">
        <f t="shared" si="100"/>
        <v>48.958333328773733</v>
      </c>
      <c r="AC543" s="80"/>
      <c r="AD543" s="83">
        <f t="shared" si="101"/>
        <v>1.5409722222248092</v>
      </c>
      <c r="AE543" s="80">
        <v>2</v>
      </c>
      <c r="AF543" s="84">
        <f t="shared" si="102"/>
        <v>0.45902777777519077</v>
      </c>
      <c r="AG543" s="83">
        <f t="shared" si="103"/>
        <v>36.983333333395422</v>
      </c>
      <c r="AH543" s="83">
        <f t="shared" si="104"/>
        <v>12</v>
      </c>
      <c r="AI543" s="83">
        <f t="shared" si="105"/>
        <v>24.983333333395422</v>
      </c>
      <c r="AJ543" s="83">
        <f t="shared" si="106"/>
        <v>6.2441627751679381</v>
      </c>
      <c r="AK543" s="83"/>
      <c r="AL543" s="83"/>
      <c r="AM543" s="83"/>
      <c r="AN543" s="83"/>
      <c r="AO543" s="78"/>
    </row>
    <row r="544" spans="1:41" customFormat="1" ht="15" hidden="1" x14ac:dyDescent="0.25">
      <c r="A544" s="82">
        <v>45716</v>
      </c>
      <c r="B544" s="94" t="str">
        <f t="shared" si="96"/>
        <v>February</v>
      </c>
      <c r="C544" s="78"/>
      <c r="D544" s="79" t="s">
        <v>327</v>
      </c>
      <c r="E544" s="80" t="s">
        <v>1017</v>
      </c>
      <c r="F544" s="79" t="s">
        <v>960</v>
      </c>
      <c r="G544" s="79" t="s">
        <v>62</v>
      </c>
      <c r="H544" s="79" t="s">
        <v>450</v>
      </c>
      <c r="I544" s="79">
        <v>156</v>
      </c>
      <c r="J544" s="79" t="s">
        <v>327</v>
      </c>
      <c r="K544" s="80" t="s">
        <v>469</v>
      </c>
      <c r="L544" s="80">
        <v>288</v>
      </c>
      <c r="M544" s="80">
        <f>L544-1</f>
        <v>287</v>
      </c>
      <c r="N544" s="81">
        <f t="shared" si="107"/>
        <v>-1</v>
      </c>
      <c r="O544" s="78"/>
      <c r="P544" s="82">
        <f>R544-TIME(0,44,0)</f>
        <v>45714.36319444445</v>
      </c>
      <c r="Q544" s="82">
        <v>45714.375</v>
      </c>
      <c r="R544" s="82">
        <v>45714.393750000003</v>
      </c>
      <c r="S544" s="81">
        <f t="shared" si="97"/>
        <v>26.87500000417155</v>
      </c>
      <c r="T544" s="81">
        <f t="shared" si="98"/>
        <v>43.796296293051761</v>
      </c>
      <c r="U544" s="79"/>
      <c r="V544" s="82">
        <v>45714.431944444441</v>
      </c>
      <c r="W544" s="82">
        <v>45714.518750000003</v>
      </c>
      <c r="X544" s="103">
        <f t="shared" si="99"/>
        <v>122.39583334245253</v>
      </c>
      <c r="Y544" s="82"/>
      <c r="Z544" s="82">
        <v>45714.457638888889</v>
      </c>
      <c r="AA544" s="82">
        <v>45714.49722222222</v>
      </c>
      <c r="AB544" s="81">
        <f t="shared" si="100"/>
        <v>55.81249999726424</v>
      </c>
      <c r="AC544" s="80"/>
      <c r="AD544" s="83">
        <f t="shared" si="101"/>
        <v>6.3888888886140194E-2</v>
      </c>
      <c r="AE544" s="80">
        <v>2</v>
      </c>
      <c r="AF544" s="84">
        <f t="shared" si="102"/>
        <v>1.9361111111138598</v>
      </c>
      <c r="AG544" s="83">
        <f t="shared" si="103"/>
        <v>1.5333333332673647</v>
      </c>
      <c r="AH544" s="83">
        <f t="shared" si="104"/>
        <v>0</v>
      </c>
      <c r="AI544" s="83">
        <f t="shared" si="105"/>
        <v>1.5333333332673647</v>
      </c>
      <c r="AJ544" s="83">
        <f t="shared" si="106"/>
        <v>101.73913043915974</v>
      </c>
      <c r="AK544" s="83"/>
      <c r="AL544" s="83"/>
      <c r="AM544" s="83"/>
      <c r="AN544" s="83"/>
      <c r="AO544" s="78"/>
    </row>
    <row r="545" spans="1:41" customFormat="1" ht="15" hidden="1" x14ac:dyDescent="0.25">
      <c r="A545" s="82">
        <v>45716</v>
      </c>
      <c r="B545" s="94" t="str">
        <f t="shared" si="96"/>
        <v>February</v>
      </c>
      <c r="C545" s="78"/>
      <c r="D545" s="79" t="s">
        <v>328</v>
      </c>
      <c r="E545" s="80" t="s">
        <v>1017</v>
      </c>
      <c r="F545" s="79" t="s">
        <v>1025</v>
      </c>
      <c r="G545" s="79" t="s">
        <v>54</v>
      </c>
      <c r="H545" s="79" t="s">
        <v>987</v>
      </c>
      <c r="I545" s="79">
        <v>156</v>
      </c>
      <c r="J545" s="79" t="s">
        <v>328</v>
      </c>
      <c r="K545" s="80" t="s">
        <v>469</v>
      </c>
      <c r="L545" s="79">
        <v>320</v>
      </c>
      <c r="M545" s="80">
        <f>L545+1</f>
        <v>321</v>
      </c>
      <c r="N545" s="81">
        <f t="shared" si="107"/>
        <v>1</v>
      </c>
      <c r="O545" s="78"/>
      <c r="P545" s="82">
        <f>R545-TIME(0,44,0)</f>
        <v>45714.358333333337</v>
      </c>
      <c r="Q545" s="82">
        <v>45714.176388888889</v>
      </c>
      <c r="R545" s="82">
        <v>45714.388888888891</v>
      </c>
      <c r="S545" s="81">
        <f t="shared" si="97"/>
        <v>304.58333333541913</v>
      </c>
      <c r="T545" s="81">
        <f t="shared" si="98"/>
        <v>43.796296293051761</v>
      </c>
      <c r="U545" s="79"/>
      <c r="V545" s="82">
        <v>45714.686805555553</v>
      </c>
      <c r="W545" s="82">
        <v>45714.831250000003</v>
      </c>
      <c r="X545" s="103">
        <f t="shared" si="99"/>
        <v>203.66666667396203</v>
      </c>
      <c r="Y545" s="82" t="s">
        <v>1050</v>
      </c>
      <c r="Z545" s="82">
        <v>45718.640277777777</v>
      </c>
      <c r="AA545" s="82">
        <f>Z545+TIME(0,58,0)</f>
        <v>45718.680555555555</v>
      </c>
      <c r="AB545" s="81">
        <f t="shared" si="100"/>
        <v>56.791666667122627</v>
      </c>
      <c r="AC545" s="80"/>
      <c r="AD545" s="83">
        <f t="shared" si="101"/>
        <v>4.2513888888861402</v>
      </c>
      <c r="AE545" s="80">
        <v>2</v>
      </c>
      <c r="AF545" s="84">
        <f t="shared" si="102"/>
        <v>-2.2513888888861402</v>
      </c>
      <c r="AG545" s="83">
        <f t="shared" si="103"/>
        <v>102.03333333326736</v>
      </c>
      <c r="AH545" s="83">
        <f t="shared" si="104"/>
        <v>48</v>
      </c>
      <c r="AI545" s="83">
        <f t="shared" si="105"/>
        <v>54.033333333267365</v>
      </c>
      <c r="AJ545" s="83">
        <f t="shared" si="106"/>
        <v>2.8871067242478183</v>
      </c>
      <c r="AK545" s="83"/>
      <c r="AL545" s="83"/>
      <c r="AM545" s="83"/>
      <c r="AN545" s="83"/>
      <c r="AO545" s="78"/>
    </row>
    <row r="546" spans="1:41" customFormat="1" ht="15" hidden="1" x14ac:dyDescent="0.25">
      <c r="A546" s="82">
        <v>45716</v>
      </c>
      <c r="B546" s="94" t="str">
        <f t="shared" si="96"/>
        <v>February</v>
      </c>
      <c r="C546" s="78"/>
      <c r="D546" s="79" t="s">
        <v>329</v>
      </c>
      <c r="E546" s="80" t="s">
        <v>1017</v>
      </c>
      <c r="F546" s="79" t="s">
        <v>1019</v>
      </c>
      <c r="G546" s="79" t="s">
        <v>37</v>
      </c>
      <c r="H546" s="79" t="s">
        <v>456</v>
      </c>
      <c r="I546" s="79">
        <v>156</v>
      </c>
      <c r="J546" s="79" t="s">
        <v>329</v>
      </c>
      <c r="K546" s="80" t="s">
        <v>469</v>
      </c>
      <c r="L546" s="80">
        <v>670</v>
      </c>
      <c r="M546" s="80">
        <f>L546+2</f>
        <v>672</v>
      </c>
      <c r="N546" s="81">
        <f t="shared" si="107"/>
        <v>2</v>
      </c>
      <c r="O546" s="78"/>
      <c r="P546" s="82">
        <f>R546-TIME(0,44,0)</f>
        <v>45714.571527777778</v>
      </c>
      <c r="Q546" s="82">
        <v>45714.333333333336</v>
      </c>
      <c r="R546" s="82">
        <v>45714.602083333331</v>
      </c>
      <c r="S546" s="81">
        <f t="shared" si="97"/>
        <v>385.20833332707599</v>
      </c>
      <c r="T546" s="81">
        <f t="shared" si="98"/>
        <v>43.796296293051761</v>
      </c>
      <c r="U546" s="79"/>
      <c r="V546" s="82">
        <v>45714.734027777777</v>
      </c>
      <c r="W546" s="82">
        <v>45715.433333333334</v>
      </c>
      <c r="X546" s="103">
        <f t="shared" si="99"/>
        <v>986.02083333629707</v>
      </c>
      <c r="Y546" s="82" t="s">
        <v>1039</v>
      </c>
      <c r="Z546" s="82">
        <v>45718.640277777777</v>
      </c>
      <c r="AA546" s="82">
        <f>Z546+TIME(0,59,0)</f>
        <v>45718.681250000001</v>
      </c>
      <c r="AB546" s="81">
        <f t="shared" si="100"/>
        <v>57.770833336981013</v>
      </c>
      <c r="AC546" s="80"/>
      <c r="AD546" s="83">
        <f t="shared" si="101"/>
        <v>4.0381944444452529</v>
      </c>
      <c r="AE546" s="80">
        <v>2</v>
      </c>
      <c r="AF546" s="84">
        <f t="shared" si="102"/>
        <v>-2.0381944444452529</v>
      </c>
      <c r="AG546" s="83">
        <f t="shared" si="103"/>
        <v>96.916666666686069</v>
      </c>
      <c r="AH546" s="83">
        <f t="shared" si="104"/>
        <v>48</v>
      </c>
      <c r="AI546" s="83">
        <f t="shared" si="105"/>
        <v>48.916666666686069</v>
      </c>
      <c r="AJ546" s="83">
        <f t="shared" si="106"/>
        <v>3.1890971039169633</v>
      </c>
      <c r="AK546" s="83"/>
      <c r="AL546" s="83"/>
      <c r="AM546" s="83"/>
      <c r="AN546" s="83"/>
      <c r="AO546" s="78"/>
    </row>
    <row r="547" spans="1:41" customFormat="1" ht="15" hidden="1" x14ac:dyDescent="0.25">
      <c r="A547" s="82">
        <v>45716</v>
      </c>
      <c r="B547" s="94" t="str">
        <f t="shared" si="96"/>
        <v>February</v>
      </c>
      <c r="C547" s="78"/>
      <c r="D547" s="79" t="s">
        <v>330</v>
      </c>
      <c r="E547" s="80" t="s">
        <v>1017</v>
      </c>
      <c r="F547" s="79" t="s">
        <v>1036</v>
      </c>
      <c r="G547" s="79" t="s">
        <v>36</v>
      </c>
      <c r="H547" s="79" t="s">
        <v>455</v>
      </c>
      <c r="I547" s="79">
        <v>156</v>
      </c>
      <c r="J547" s="79" t="s">
        <v>330</v>
      </c>
      <c r="K547" s="80" t="s">
        <v>469</v>
      </c>
      <c r="L547" s="80">
        <v>580</v>
      </c>
      <c r="M547" s="80">
        <f>L547+2</f>
        <v>582</v>
      </c>
      <c r="N547" s="81">
        <f t="shared" si="107"/>
        <v>2</v>
      </c>
      <c r="O547" s="78"/>
      <c r="P547" s="82">
        <v>45715.543749999997</v>
      </c>
      <c r="Q547" s="82">
        <v>45713.694444444445</v>
      </c>
      <c r="R547" s="82">
        <v>45715.573611111111</v>
      </c>
      <c r="S547" s="81">
        <f t="shared" si="97"/>
        <v>2693.4722222208316</v>
      </c>
      <c r="T547" s="81">
        <f t="shared" si="98"/>
        <v>42.80092592986572</v>
      </c>
      <c r="U547" s="79"/>
      <c r="V547" s="82">
        <v>45714.431944444441</v>
      </c>
      <c r="W547" s="82">
        <v>45714.518750000003</v>
      </c>
      <c r="X547" s="103">
        <f t="shared" si="99"/>
        <v>122.39583334245253</v>
      </c>
      <c r="Y547" s="82"/>
      <c r="Z547" s="82">
        <v>45718.640277777777</v>
      </c>
      <c r="AA547" s="82">
        <v>45718.679166666669</v>
      </c>
      <c r="AB547" s="81">
        <f t="shared" si="100"/>
        <v>54.833333337664953</v>
      </c>
      <c r="AC547" s="80"/>
      <c r="AD547" s="83">
        <f t="shared" si="101"/>
        <v>3.0666666666656965</v>
      </c>
      <c r="AE547" s="80">
        <v>2</v>
      </c>
      <c r="AF547" s="84">
        <f t="shared" si="102"/>
        <v>-1.0666666666656965</v>
      </c>
      <c r="AG547" s="83">
        <f t="shared" si="103"/>
        <v>73.599999999976717</v>
      </c>
      <c r="AH547" s="83">
        <f t="shared" si="104"/>
        <v>36</v>
      </c>
      <c r="AI547" s="83">
        <f t="shared" si="105"/>
        <v>37.599999999976717</v>
      </c>
      <c r="AJ547" s="83">
        <f t="shared" si="106"/>
        <v>4.1489361702153351</v>
      </c>
      <c r="AK547" s="83"/>
      <c r="AL547" s="83"/>
      <c r="AM547" s="83"/>
      <c r="AN547" s="83"/>
      <c r="AO547" s="78"/>
    </row>
    <row r="548" spans="1:41" customFormat="1" ht="15" hidden="1" x14ac:dyDescent="0.25">
      <c r="A548" s="82">
        <v>45716</v>
      </c>
      <c r="B548" s="94" t="str">
        <f t="shared" si="96"/>
        <v>February</v>
      </c>
      <c r="C548" s="78"/>
      <c r="D548" s="79" t="s">
        <v>331</v>
      </c>
      <c r="E548" s="80" t="s">
        <v>1017</v>
      </c>
      <c r="F548" s="79" t="s">
        <v>1023</v>
      </c>
      <c r="G548" s="79" t="s">
        <v>61</v>
      </c>
      <c r="H548" s="79" t="s">
        <v>454</v>
      </c>
      <c r="I548" s="79">
        <v>156</v>
      </c>
      <c r="J548" s="79" t="s">
        <v>331</v>
      </c>
      <c r="K548" s="80" t="s">
        <v>469</v>
      </c>
      <c r="L548" s="80">
        <v>304</v>
      </c>
      <c r="M548" s="80">
        <f>L548+2</f>
        <v>306</v>
      </c>
      <c r="N548" s="81">
        <f t="shared" si="107"/>
        <v>2</v>
      </c>
      <c r="O548" s="78"/>
      <c r="P548" s="82">
        <f>R548-TIME(0,43,0)</f>
        <v>45714.768055555556</v>
      </c>
      <c r="Q548" s="82">
        <v>45714.416666666664</v>
      </c>
      <c r="R548" s="82">
        <v>45714.79791666667</v>
      </c>
      <c r="S548" s="81">
        <f t="shared" si="97"/>
        <v>546.45833334167639</v>
      </c>
      <c r="T548" s="81">
        <f t="shared" si="98"/>
        <v>42.80092592986572</v>
      </c>
      <c r="U548" s="79"/>
      <c r="V548" s="82">
        <v>45714.686805555553</v>
      </c>
      <c r="W548" s="82">
        <v>45714.831250000003</v>
      </c>
      <c r="X548" s="103">
        <f t="shared" si="99"/>
        <v>203.66666667396203</v>
      </c>
      <c r="Y548" s="82" t="s">
        <v>1044</v>
      </c>
      <c r="Z548" s="82">
        <v>45716.540972222225</v>
      </c>
      <c r="AA548" s="82">
        <f>Z548+TIME(0,57,0)</f>
        <v>45716.580555555556</v>
      </c>
      <c r="AB548" s="81">
        <f t="shared" si="100"/>
        <v>55.81249999726424</v>
      </c>
      <c r="AC548" s="80"/>
      <c r="AD548" s="83">
        <f t="shared" si="101"/>
        <v>1.7430555555547471</v>
      </c>
      <c r="AE548" s="80">
        <v>2</v>
      </c>
      <c r="AF548" s="84">
        <f t="shared" si="102"/>
        <v>0.25694444444525288</v>
      </c>
      <c r="AG548" s="83">
        <f t="shared" si="103"/>
        <v>41.833333333313931</v>
      </c>
      <c r="AH548" s="83">
        <f t="shared" si="104"/>
        <v>12</v>
      </c>
      <c r="AI548" s="83">
        <f t="shared" si="105"/>
        <v>29.833333333313931</v>
      </c>
      <c r="AJ548" s="83">
        <f t="shared" si="106"/>
        <v>5.22905027933301</v>
      </c>
      <c r="AK548" s="83"/>
      <c r="AL548" s="83"/>
      <c r="AM548" s="83"/>
      <c r="AN548" s="83"/>
      <c r="AO548" s="78"/>
    </row>
    <row r="549" spans="1:41" customFormat="1" ht="15" hidden="1" x14ac:dyDescent="0.25">
      <c r="A549" s="82">
        <v>45716</v>
      </c>
      <c r="B549" s="94" t="str">
        <f t="shared" si="96"/>
        <v>February</v>
      </c>
      <c r="C549" s="78"/>
      <c r="D549" s="79" t="s">
        <v>908</v>
      </c>
      <c r="E549" s="80" t="s">
        <v>1016</v>
      </c>
      <c r="F549" s="79" t="s">
        <v>958</v>
      </c>
      <c r="G549" s="79" t="s">
        <v>975</v>
      </c>
      <c r="H549" s="79" t="s">
        <v>983</v>
      </c>
      <c r="I549" s="79">
        <v>153.6</v>
      </c>
      <c r="J549" s="79" t="s">
        <v>908</v>
      </c>
      <c r="K549" s="80" t="s">
        <v>469</v>
      </c>
      <c r="L549" s="80">
        <v>150</v>
      </c>
      <c r="M549" s="80">
        <f>L549-1</f>
        <v>149</v>
      </c>
      <c r="N549" s="81">
        <f t="shared" si="107"/>
        <v>-1</v>
      </c>
      <c r="O549" s="78"/>
      <c r="P549" s="82">
        <f>R549-TIME(0,43,0)</f>
        <v>45714.349305555552</v>
      </c>
      <c r="Q549" s="82">
        <v>45714.098611111112</v>
      </c>
      <c r="R549" s="82">
        <v>45714.379166666666</v>
      </c>
      <c r="S549" s="81">
        <f t="shared" si="97"/>
        <v>402.12962962638511</v>
      </c>
      <c r="T549" s="81">
        <f t="shared" si="98"/>
        <v>42.80092592986572</v>
      </c>
      <c r="U549" s="79"/>
      <c r="V549" s="82">
        <v>45714.470833333333</v>
      </c>
      <c r="W549" s="82">
        <v>45714.568749999999</v>
      </c>
      <c r="X549" s="103">
        <f t="shared" si="99"/>
        <v>138.06249999863212</v>
      </c>
      <c r="Y549" s="82"/>
      <c r="Z549" s="82">
        <v>45714.779861111114</v>
      </c>
      <c r="AA549" s="82">
        <f>Z549+TIME(0,76,0)</f>
        <v>45714.832638888889</v>
      </c>
      <c r="AB549" s="81">
        <f t="shared" si="100"/>
        <v>74.416666663018987</v>
      </c>
      <c r="AC549" s="80" t="s">
        <v>1678</v>
      </c>
      <c r="AD549" s="83">
        <f t="shared" si="101"/>
        <v>0.40069444444816327</v>
      </c>
      <c r="AE549" s="80">
        <v>1</v>
      </c>
      <c r="AF549" s="84">
        <f t="shared" si="102"/>
        <v>0.59930555555183673</v>
      </c>
      <c r="AG549" s="83">
        <f t="shared" si="103"/>
        <v>9.6166666667559184</v>
      </c>
      <c r="AH549" s="83">
        <f t="shared" si="104"/>
        <v>0</v>
      </c>
      <c r="AI549" s="83">
        <f t="shared" si="105"/>
        <v>9.6166666667559184</v>
      </c>
      <c r="AJ549" s="83">
        <f t="shared" si="106"/>
        <v>15.972270363803235</v>
      </c>
      <c r="AK549" s="83"/>
      <c r="AL549" s="83"/>
      <c r="AM549" s="83"/>
      <c r="AN549" s="83"/>
      <c r="AO549" s="78"/>
    </row>
    <row r="550" spans="1:41" customFormat="1" ht="15" hidden="1" x14ac:dyDescent="0.25">
      <c r="A550" s="82">
        <v>45716</v>
      </c>
      <c r="B550" s="94" t="str">
        <f t="shared" si="96"/>
        <v>February</v>
      </c>
      <c r="C550" s="78"/>
      <c r="D550" s="79" t="s">
        <v>909</v>
      </c>
      <c r="E550" s="80" t="s">
        <v>1016</v>
      </c>
      <c r="F550" s="79" t="s">
        <v>957</v>
      </c>
      <c r="G550" s="79" t="s">
        <v>974</v>
      </c>
      <c r="H550" s="79" t="s">
        <v>991</v>
      </c>
      <c r="I550" s="79">
        <v>153.6</v>
      </c>
      <c r="J550" s="79" t="s">
        <v>909</v>
      </c>
      <c r="K550" s="80" t="s">
        <v>469</v>
      </c>
      <c r="L550" s="79">
        <v>20</v>
      </c>
      <c r="M550" s="80">
        <f>L550-1</f>
        <v>19</v>
      </c>
      <c r="N550" s="81">
        <f t="shared" si="107"/>
        <v>-1</v>
      </c>
      <c r="O550" s="78"/>
      <c r="P550" s="82">
        <f>R550-TIME(0,44,0)</f>
        <v>45714.571527777778</v>
      </c>
      <c r="Q550" s="82">
        <v>45714.333333333336</v>
      </c>
      <c r="R550" s="82">
        <v>45714.602083333331</v>
      </c>
      <c r="S550" s="81">
        <f t="shared" si="97"/>
        <v>385.20833332707599</v>
      </c>
      <c r="T550" s="81">
        <f t="shared" si="98"/>
        <v>43.796296293051761</v>
      </c>
      <c r="U550" s="79"/>
      <c r="V550" s="82">
        <v>45714.677083333336</v>
      </c>
      <c r="W550" s="82">
        <v>45714.84375</v>
      </c>
      <c r="X550" s="103">
        <f t="shared" si="99"/>
        <v>234.9999999965803</v>
      </c>
      <c r="Y550" s="82" t="s">
        <v>1044</v>
      </c>
      <c r="Z550" s="82">
        <v>45715.448611111111</v>
      </c>
      <c r="AA550" s="82">
        <v>45715.488888888889</v>
      </c>
      <c r="AB550" s="81">
        <f t="shared" si="100"/>
        <v>56.791666667122627</v>
      </c>
      <c r="AC550" s="80"/>
      <c r="AD550" s="83">
        <f t="shared" si="101"/>
        <v>0.84652777777955635</v>
      </c>
      <c r="AE550" s="80">
        <v>3</v>
      </c>
      <c r="AF550" s="84">
        <f t="shared" si="102"/>
        <v>2.1534722222204437</v>
      </c>
      <c r="AG550" s="83">
        <f t="shared" si="103"/>
        <v>20.316666666709352</v>
      </c>
      <c r="AH550" s="83">
        <f t="shared" si="104"/>
        <v>0</v>
      </c>
      <c r="AI550" s="83">
        <f t="shared" si="105"/>
        <v>20.316666666709352</v>
      </c>
      <c r="AJ550" s="83">
        <f t="shared" si="106"/>
        <v>7.5602953240202106</v>
      </c>
      <c r="AK550" s="83"/>
      <c r="AL550" s="83"/>
      <c r="AM550" s="83"/>
      <c r="AN550" s="83"/>
      <c r="AO550" s="78"/>
    </row>
    <row r="551" spans="1:41" customFormat="1" ht="15" hidden="1" x14ac:dyDescent="0.25">
      <c r="A551" s="106">
        <v>45716</v>
      </c>
      <c r="B551" s="107" t="str">
        <f t="shared" si="96"/>
        <v>February</v>
      </c>
      <c r="C551" s="108"/>
      <c r="D551" s="109" t="s">
        <v>907</v>
      </c>
      <c r="E551" s="110" t="s">
        <v>1016</v>
      </c>
      <c r="F551" s="109" t="s">
        <v>952</v>
      </c>
      <c r="G551" s="109" t="s">
        <v>969</v>
      </c>
      <c r="H551" s="109" t="s">
        <v>987</v>
      </c>
      <c r="I551" s="109">
        <v>153.6</v>
      </c>
      <c r="J551" s="109" t="s">
        <v>907</v>
      </c>
      <c r="K551" s="80" t="s">
        <v>469</v>
      </c>
      <c r="L551" s="109">
        <v>320</v>
      </c>
      <c r="M551" s="110">
        <f>L551-260</f>
        <v>60</v>
      </c>
      <c r="N551" s="111">
        <f t="shared" si="107"/>
        <v>-260</v>
      </c>
      <c r="O551" s="108"/>
      <c r="P551" s="106">
        <v>45714.520833333328</v>
      </c>
      <c r="Q551" s="106">
        <v>45714.513194444444</v>
      </c>
      <c r="R551" s="106">
        <v>45714.550694444442</v>
      </c>
      <c r="S551" s="111">
        <f t="shared" si="97"/>
        <v>53.749999997914223</v>
      </c>
      <c r="T551" s="111">
        <f t="shared" si="98"/>
        <v>42.80092592986572</v>
      </c>
      <c r="U551" s="109"/>
      <c r="V551" s="106">
        <v>45715.244444444441</v>
      </c>
      <c r="W551" s="106">
        <v>45715.388888888891</v>
      </c>
      <c r="X551" s="103">
        <f t="shared" si="99"/>
        <v>203.66666667396203</v>
      </c>
      <c r="Y551" s="106" t="s">
        <v>1045</v>
      </c>
      <c r="Z551" s="106">
        <v>45716.540972222225</v>
      </c>
      <c r="AA551" s="106">
        <f>Z551+TIME(0,50,0)</f>
        <v>45716.575694444444</v>
      </c>
      <c r="AB551" s="111">
        <f t="shared" si="100"/>
        <v>48.958333328773733</v>
      </c>
      <c r="AC551" s="110"/>
      <c r="AD551" s="112">
        <f t="shared" si="101"/>
        <v>1.9902777777824667</v>
      </c>
      <c r="AE551" s="110">
        <v>2</v>
      </c>
      <c r="AF551" s="113">
        <f t="shared" si="102"/>
        <v>9.7222222175332718E-3</v>
      </c>
      <c r="AG551" s="112">
        <f t="shared" si="103"/>
        <v>47.766666666779201</v>
      </c>
      <c r="AH551" s="112">
        <f t="shared" si="104"/>
        <v>12</v>
      </c>
      <c r="AI551" s="112">
        <f t="shared" si="105"/>
        <v>35.766666666779201</v>
      </c>
      <c r="AJ551" s="112">
        <f t="shared" si="106"/>
        <v>4.2945013979361617</v>
      </c>
      <c r="AK551" s="112"/>
      <c r="AL551" s="112"/>
      <c r="AM551" s="112"/>
      <c r="AN551" s="112"/>
      <c r="AO551" s="108"/>
    </row>
    <row r="552" spans="1:41" ht="15" hidden="1" x14ac:dyDescent="0.25">
      <c r="A552" s="82">
        <v>45717</v>
      </c>
      <c r="B552" s="94" t="str">
        <f t="shared" si="96"/>
        <v>March</v>
      </c>
      <c r="C552" s="79" t="s">
        <v>2162</v>
      </c>
      <c r="D552" s="79" t="s">
        <v>332</v>
      </c>
      <c r="E552" s="79" t="s">
        <v>1017</v>
      </c>
      <c r="F552" s="79" t="s">
        <v>963</v>
      </c>
      <c r="G552" s="79" t="s">
        <v>60</v>
      </c>
      <c r="H552" s="79" t="s">
        <v>450</v>
      </c>
      <c r="I552" s="79">
        <v>78</v>
      </c>
      <c r="J552" s="79" t="s">
        <v>332</v>
      </c>
      <c r="K552" s="80" t="s">
        <v>469</v>
      </c>
      <c r="L552" s="80">
        <v>288</v>
      </c>
      <c r="M552" s="80">
        <f>L552+2</f>
        <v>290</v>
      </c>
      <c r="N552" s="81">
        <f t="shared" si="107"/>
        <v>2</v>
      </c>
      <c r="P552" s="82">
        <f>R552-TIME(0,29,0)</f>
        <v>45717.404166666667</v>
      </c>
      <c r="Q552" s="82">
        <v>45717.291666666664</v>
      </c>
      <c r="R552" s="82">
        <v>45717.424305555556</v>
      </c>
      <c r="S552" s="81">
        <f t="shared" si="97"/>
        <v>190.11574074514405</v>
      </c>
      <c r="T552" s="81">
        <f t="shared" si="98"/>
        <v>28.865740740972495</v>
      </c>
      <c r="U552" s="79"/>
      <c r="V552" s="82">
        <v>45714.431944444441</v>
      </c>
      <c r="W552" s="82">
        <v>45714.518750000003</v>
      </c>
      <c r="X552" s="103">
        <f t="shared" si="99"/>
        <v>122.39583334245253</v>
      </c>
      <c r="Y552" s="82"/>
      <c r="Z552" s="82">
        <v>45720.400694444441</v>
      </c>
      <c r="AA552" s="82">
        <f>Z552+TIME(0,41,0)</f>
        <v>45720.429166666661</v>
      </c>
      <c r="AB552" s="81">
        <f t="shared" si="100"/>
        <v>40.145833330825553</v>
      </c>
      <c r="AD552" s="83">
        <f t="shared" si="101"/>
        <v>2.976388888884685</v>
      </c>
      <c r="AE552" s="83">
        <v>2</v>
      </c>
      <c r="AF552" s="83">
        <f t="shared" si="102"/>
        <v>-0.976388888884685</v>
      </c>
      <c r="AG552" s="83">
        <f t="shared" si="103"/>
        <v>71.43333333323244</v>
      </c>
      <c r="AH552" s="83">
        <f t="shared" si="104"/>
        <v>24</v>
      </c>
      <c r="AI552" s="83">
        <f t="shared" si="105"/>
        <v>47.43333333323244</v>
      </c>
      <c r="AJ552" s="83">
        <f t="shared" si="106"/>
        <v>1.6444132115284451</v>
      </c>
      <c r="AK552" s="83"/>
      <c r="AL552" s="83"/>
      <c r="AM552" s="83"/>
      <c r="AN552" s="83"/>
    </row>
    <row r="553" spans="1:41" ht="15" hidden="1" x14ac:dyDescent="0.25">
      <c r="A553" s="82">
        <v>45717</v>
      </c>
      <c r="B553" s="94" t="str">
        <f t="shared" si="96"/>
        <v>March</v>
      </c>
      <c r="C553" s="79" t="s">
        <v>2162</v>
      </c>
      <c r="D553" s="79" t="s">
        <v>333</v>
      </c>
      <c r="E553" s="80" t="s">
        <v>1017</v>
      </c>
      <c r="F553" s="79"/>
      <c r="G553" s="79" t="s">
        <v>74</v>
      </c>
      <c r="H553" s="79" t="s">
        <v>449</v>
      </c>
      <c r="I553" s="79">
        <v>93.6</v>
      </c>
      <c r="J553" s="79" t="s">
        <v>333</v>
      </c>
      <c r="K553" s="80" t="s">
        <v>469</v>
      </c>
      <c r="L553" s="80">
        <v>790</v>
      </c>
      <c r="M553" s="80">
        <f>L553-4</f>
        <v>786</v>
      </c>
      <c r="N553" s="81">
        <f t="shared" si="107"/>
        <v>-4</v>
      </c>
      <c r="P553" s="82">
        <f>R553-TIME(0,29,0)</f>
        <v>45716.456944444442</v>
      </c>
      <c r="Q553" s="82">
        <v>45716.475694444445</v>
      </c>
      <c r="R553" s="82">
        <v>45716.477083333331</v>
      </c>
      <c r="S553" s="81">
        <f t="shared" si="97"/>
        <v>1.9907407368009444</v>
      </c>
      <c r="T553" s="81">
        <f t="shared" si="98"/>
        <v>28.865740740972495</v>
      </c>
      <c r="U553" s="79"/>
      <c r="V553" s="82">
        <v>45714.686805555553</v>
      </c>
      <c r="W553" s="82">
        <v>45714.831250000003</v>
      </c>
      <c r="X553" s="103">
        <f t="shared" si="99"/>
        <v>203.66666667396203</v>
      </c>
      <c r="Y553" s="82"/>
      <c r="Z553" s="82">
        <v>45718.368055555555</v>
      </c>
      <c r="AA553" s="82">
        <f>Z553+TIME(0,44,0)</f>
        <v>45718.398611111108</v>
      </c>
      <c r="AB553" s="81">
        <f t="shared" si="100"/>
        <v>43.083333330141613</v>
      </c>
      <c r="AD553" s="83">
        <f t="shared" si="101"/>
        <v>1.890972222223354</v>
      </c>
      <c r="AE553" s="83">
        <v>3</v>
      </c>
      <c r="AF553" s="83">
        <f t="shared" si="102"/>
        <v>1.109027777776646</v>
      </c>
      <c r="AG553" s="83">
        <f t="shared" si="103"/>
        <v>45.383333333360497</v>
      </c>
      <c r="AH553" s="83">
        <f t="shared" si="104"/>
        <v>12</v>
      </c>
      <c r="AI553" s="83">
        <f t="shared" si="105"/>
        <v>33.383333333360497</v>
      </c>
      <c r="AJ553" s="83">
        <f t="shared" si="106"/>
        <v>2.8037943085349126</v>
      </c>
      <c r="AK553" s="83"/>
      <c r="AL553" s="83"/>
      <c r="AM553" s="83"/>
      <c r="AN553" s="83"/>
    </row>
    <row r="554" spans="1:41" ht="15" hidden="1" x14ac:dyDescent="0.25">
      <c r="A554" s="82">
        <v>45717</v>
      </c>
      <c r="B554" s="94" t="str">
        <f t="shared" si="96"/>
        <v>March</v>
      </c>
      <c r="C554" s="79" t="s">
        <v>2162</v>
      </c>
      <c r="D554" s="79" t="s">
        <v>334</v>
      </c>
      <c r="E554" s="80" t="s">
        <v>1017</v>
      </c>
      <c r="F554" s="79"/>
      <c r="G554" s="79" t="s">
        <v>42</v>
      </c>
      <c r="H554" s="79" t="s">
        <v>451</v>
      </c>
      <c r="I554" s="79">
        <v>78</v>
      </c>
      <c r="J554" s="79" t="s">
        <v>334</v>
      </c>
      <c r="K554" s="80" t="s">
        <v>469</v>
      </c>
      <c r="L554" s="80">
        <v>790</v>
      </c>
      <c r="M554" s="80">
        <f>L554-3</f>
        <v>787</v>
      </c>
      <c r="N554" s="81">
        <f t="shared" si="107"/>
        <v>-3</v>
      </c>
      <c r="P554" s="82">
        <f>R554-TIME(0,53,0)</f>
        <v>45717.470833333333</v>
      </c>
      <c r="Q554" s="82">
        <v>45717.619444444441</v>
      </c>
      <c r="R554" s="82">
        <v>45717.507638888892</v>
      </c>
      <c r="S554" s="81">
        <f t="shared" si="97"/>
        <v>-160.25462962012776</v>
      </c>
      <c r="T554" s="81">
        <f t="shared" si="98"/>
        <v>52.75462963472819</v>
      </c>
      <c r="U554" s="79" t="s">
        <v>2164</v>
      </c>
      <c r="V554" s="82">
        <v>45719.338194444441</v>
      </c>
      <c r="W554" s="82">
        <v>45719.496527777781</v>
      </c>
      <c r="X554" s="103">
        <f t="shared" si="99"/>
        <v>223.25000000957516</v>
      </c>
      <c r="Y554" s="82"/>
      <c r="Z554" s="82">
        <v>45718.368055555555</v>
      </c>
      <c r="AA554" s="82">
        <f>Z554+TIME(0,44,0)</f>
        <v>45718.398611111108</v>
      </c>
      <c r="AB554" s="81">
        <f t="shared" si="100"/>
        <v>43.083333330141613</v>
      </c>
      <c r="AD554" s="83">
        <f t="shared" si="101"/>
        <v>0.86041666666278616</v>
      </c>
      <c r="AE554" s="83">
        <v>3</v>
      </c>
      <c r="AF554" s="83">
        <f t="shared" si="102"/>
        <v>2.1395833333372138</v>
      </c>
      <c r="AG554" s="83">
        <f t="shared" si="103"/>
        <v>20.649999999906868</v>
      </c>
      <c r="AH554" s="83">
        <f t="shared" si="104"/>
        <v>0</v>
      </c>
      <c r="AI554" s="83">
        <f t="shared" si="105"/>
        <v>20.649999999906868</v>
      </c>
      <c r="AJ554" s="83">
        <f t="shared" si="106"/>
        <v>3.7772397094601349</v>
      </c>
      <c r="AK554" s="83"/>
      <c r="AL554" s="83"/>
      <c r="AM554" s="83"/>
      <c r="AN554" s="83"/>
    </row>
    <row r="555" spans="1:41" ht="15" hidden="1" x14ac:dyDescent="0.25">
      <c r="A555" s="82">
        <v>45717</v>
      </c>
      <c r="B555" s="94" t="str">
        <f t="shared" si="96"/>
        <v>March</v>
      </c>
      <c r="C555" s="79" t="s">
        <v>2162</v>
      </c>
      <c r="D555" s="79" t="s">
        <v>335</v>
      </c>
      <c r="E555" s="80" t="s">
        <v>1017</v>
      </c>
      <c r="F555" s="79" t="s">
        <v>1024</v>
      </c>
      <c r="G555" s="79" t="s">
        <v>63</v>
      </c>
      <c r="H555" s="79" t="s">
        <v>458</v>
      </c>
      <c r="I555" s="79">
        <v>156</v>
      </c>
      <c r="J555" s="79" t="s">
        <v>335</v>
      </c>
      <c r="K555" s="80" t="s">
        <v>469</v>
      </c>
      <c r="L555" s="80">
        <v>448</v>
      </c>
      <c r="M555" s="80">
        <f>L555+4</f>
        <v>452</v>
      </c>
      <c r="N555" s="81">
        <f t="shared" si="107"/>
        <v>4</v>
      </c>
      <c r="P555" s="82">
        <f>R555-TIME(0,27,0)</f>
        <v>45716.681249999994</v>
      </c>
      <c r="Q555" s="82">
        <v>45717.115277777775</v>
      </c>
      <c r="R555" s="82">
        <v>45716.7</v>
      </c>
      <c r="S555" s="81">
        <f t="shared" si="97"/>
        <v>-595.23148148194502</v>
      </c>
      <c r="T555" s="81">
        <f t="shared" si="98"/>
        <v>26.87500000417155</v>
      </c>
      <c r="U555" s="79"/>
      <c r="V555" s="82">
        <v>45717.449305555558</v>
      </c>
      <c r="W555" s="82">
        <v>45717.574999999997</v>
      </c>
      <c r="X555" s="103">
        <f t="shared" si="99"/>
        <v>177.22916665959929</v>
      </c>
      <c r="Y555" s="82"/>
      <c r="Z555" s="82">
        <v>45719.421527777777</v>
      </c>
      <c r="AA555" s="82">
        <v>45719.459027777775</v>
      </c>
      <c r="AB555" s="81">
        <f t="shared" si="100"/>
        <v>52.87499999794818</v>
      </c>
      <c r="AD555" s="83">
        <f t="shared" si="101"/>
        <v>2.7215277777795563</v>
      </c>
      <c r="AE555" s="83">
        <v>2</v>
      </c>
      <c r="AF555" s="83">
        <f t="shared" si="102"/>
        <v>-0.72152777777955635</v>
      </c>
      <c r="AG555" s="83">
        <f t="shared" si="103"/>
        <v>65.316666666709352</v>
      </c>
      <c r="AH555" s="83">
        <f t="shared" si="104"/>
        <v>24</v>
      </c>
      <c r="AI555" s="83">
        <f t="shared" si="105"/>
        <v>41.316666666709352</v>
      </c>
      <c r="AJ555" s="83">
        <f t="shared" si="106"/>
        <v>3.7757160145180837</v>
      </c>
      <c r="AK555" s="83"/>
      <c r="AL555" s="83"/>
      <c r="AM555" s="83"/>
      <c r="AN555" s="83"/>
    </row>
    <row r="556" spans="1:41" ht="15" hidden="1" x14ac:dyDescent="0.25">
      <c r="A556" s="82">
        <v>45717</v>
      </c>
      <c r="B556" s="94" t="str">
        <f t="shared" si="96"/>
        <v>March</v>
      </c>
      <c r="C556" s="79" t="s">
        <v>2162</v>
      </c>
      <c r="D556" s="79" t="s">
        <v>336</v>
      </c>
      <c r="E556" s="80" t="s">
        <v>1017</v>
      </c>
      <c r="F556" s="79"/>
      <c r="G556" s="79" t="s">
        <v>65</v>
      </c>
      <c r="H556" s="79" t="s">
        <v>458</v>
      </c>
      <c r="I556" s="79">
        <v>156</v>
      </c>
      <c r="J556" s="79" t="s">
        <v>336</v>
      </c>
      <c r="K556" s="80" t="s">
        <v>469</v>
      </c>
      <c r="L556" s="80">
        <v>448</v>
      </c>
      <c r="M556" s="80">
        <f>L556+1</f>
        <v>449</v>
      </c>
      <c r="N556" s="81">
        <f t="shared" si="107"/>
        <v>1</v>
      </c>
      <c r="P556" s="82">
        <f>R556-TIME(0,28,0)</f>
        <v>45716.657638888893</v>
      </c>
      <c r="Q556" s="82">
        <v>45717.115277777775</v>
      </c>
      <c r="R556" s="82">
        <v>45716.677083333336</v>
      </c>
      <c r="S556" s="81">
        <f t="shared" si="97"/>
        <v>-628.07870369651937</v>
      </c>
      <c r="T556" s="81">
        <f t="shared" si="98"/>
        <v>27.870370367357584</v>
      </c>
      <c r="U556" s="79"/>
      <c r="V556" s="82">
        <v>45717.695833333331</v>
      </c>
      <c r="W556" s="82">
        <v>45717.779166666667</v>
      </c>
      <c r="X556" s="103">
        <f t="shared" si="99"/>
        <v>117.5000000034197</v>
      </c>
      <c r="Y556" s="82"/>
      <c r="Z556" s="82">
        <v>45718.35</v>
      </c>
      <c r="AA556" s="82">
        <f>Z556+TIME(0,41,0)</f>
        <v>45718.378472222219</v>
      </c>
      <c r="AB556" s="81">
        <f t="shared" si="100"/>
        <v>40.145833330825553</v>
      </c>
      <c r="AD556" s="83">
        <f t="shared" si="101"/>
        <v>1.6729166666627862</v>
      </c>
      <c r="AE556" s="83">
        <v>2</v>
      </c>
      <c r="AF556" s="83">
        <f t="shared" si="102"/>
        <v>0.32708333333721384</v>
      </c>
      <c r="AG556" s="83">
        <f t="shared" si="103"/>
        <v>40.149999999906868</v>
      </c>
      <c r="AH556" s="83">
        <f t="shared" si="104"/>
        <v>12</v>
      </c>
      <c r="AI556" s="83">
        <f t="shared" si="105"/>
        <v>28.149999999906868</v>
      </c>
      <c r="AJ556" s="83">
        <f t="shared" si="106"/>
        <v>5.5417406749739291</v>
      </c>
      <c r="AK556" s="83"/>
      <c r="AL556" s="83"/>
      <c r="AM556" s="83"/>
      <c r="AN556" s="83"/>
    </row>
    <row r="557" spans="1:41" ht="15" hidden="1" x14ac:dyDescent="0.25">
      <c r="A557" s="82">
        <v>45718</v>
      </c>
      <c r="B557" s="94" t="str">
        <f t="shared" si="96"/>
        <v>March</v>
      </c>
      <c r="C557" s="79" t="s">
        <v>2162</v>
      </c>
      <c r="D557" s="79" t="s">
        <v>337</v>
      </c>
      <c r="E557" s="80" t="s">
        <v>1017</v>
      </c>
      <c r="F557" s="79"/>
      <c r="G557" s="79" t="s">
        <v>71</v>
      </c>
      <c r="H557" s="79" t="s">
        <v>451</v>
      </c>
      <c r="I557" s="79">
        <v>156</v>
      </c>
      <c r="J557" s="79" t="s">
        <v>337</v>
      </c>
      <c r="K557" s="80" t="s">
        <v>469</v>
      </c>
      <c r="L557" s="80">
        <v>790</v>
      </c>
      <c r="M557" s="80">
        <f>L557+4</f>
        <v>794</v>
      </c>
      <c r="N557" s="81">
        <f t="shared" si="107"/>
        <v>4</v>
      </c>
      <c r="P557" s="82">
        <f>R557-TIME(0,52,0)</f>
        <v>45716.784722222219</v>
      </c>
      <c r="Q557" s="82">
        <v>45717.291666666664</v>
      </c>
      <c r="R557" s="82">
        <v>45716.820833333331</v>
      </c>
      <c r="S557" s="81">
        <f t="shared" si="97"/>
        <v>-674.86111111041589</v>
      </c>
      <c r="T557" s="81">
        <f t="shared" si="98"/>
        <v>51.759259261113279</v>
      </c>
      <c r="U557" s="79" t="s">
        <v>2164</v>
      </c>
      <c r="V557" s="82">
        <v>45719.438194444447</v>
      </c>
      <c r="W557" s="82">
        <v>45720.609027777777</v>
      </c>
      <c r="X557" s="103">
        <f t="shared" si="99"/>
        <v>1650.8749999952124</v>
      </c>
      <c r="Y557" s="82"/>
      <c r="Z557" s="82">
        <v>45717.572222222225</v>
      </c>
      <c r="AA557" s="82">
        <f>Z557+TIME(0,43,0)</f>
        <v>45717.602083333339</v>
      </c>
      <c r="AB557" s="81">
        <f t="shared" si="100"/>
        <v>42.104166670542327</v>
      </c>
      <c r="AD557" s="83">
        <f t="shared" si="101"/>
        <v>0.75138888889341615</v>
      </c>
      <c r="AE557" s="83">
        <v>3</v>
      </c>
      <c r="AF557" s="83">
        <f t="shared" si="102"/>
        <v>2.2486111111065838</v>
      </c>
      <c r="AG557" s="83">
        <f t="shared" si="103"/>
        <v>18.033333333441988</v>
      </c>
      <c r="AH557" s="83">
        <f t="shared" si="104"/>
        <v>0</v>
      </c>
      <c r="AI557" s="83">
        <f t="shared" si="105"/>
        <v>18.033333333441988</v>
      </c>
      <c r="AJ557" s="83">
        <f t="shared" si="106"/>
        <v>8.6506469500402989</v>
      </c>
      <c r="AK557" s="83"/>
      <c r="AL557" s="83"/>
      <c r="AM557" s="83"/>
      <c r="AN557" s="83"/>
    </row>
    <row r="558" spans="1:41" ht="15" hidden="1" x14ac:dyDescent="0.25">
      <c r="A558" s="82">
        <v>45718</v>
      </c>
      <c r="B558" s="94" t="str">
        <f t="shared" si="96"/>
        <v>March</v>
      </c>
      <c r="C558" s="79" t="s">
        <v>2162</v>
      </c>
      <c r="D558" s="79" t="s">
        <v>338</v>
      </c>
      <c r="E558" s="79" t="s">
        <v>1017</v>
      </c>
      <c r="F558" s="79"/>
      <c r="G558" s="79" t="s">
        <v>69</v>
      </c>
      <c r="H558" s="79" t="s">
        <v>454</v>
      </c>
      <c r="I558" s="79">
        <v>156</v>
      </c>
      <c r="J558" s="79" t="s">
        <v>338</v>
      </c>
      <c r="K558" s="80" t="s">
        <v>469</v>
      </c>
      <c r="L558" s="80">
        <v>304</v>
      </c>
      <c r="M558" s="80">
        <f t="shared" ref="M558:M562" si="108">L558+4</f>
        <v>308</v>
      </c>
      <c r="N558" s="81">
        <f t="shared" si="107"/>
        <v>4</v>
      </c>
      <c r="P558" s="82">
        <f>R558-TIME(0,29,0)</f>
        <v>45716.72152777778</v>
      </c>
      <c r="Q558" s="82">
        <v>45717.291666666664</v>
      </c>
      <c r="R558" s="82">
        <v>45716.741666666669</v>
      </c>
      <c r="S558" s="81">
        <f t="shared" si="97"/>
        <v>-788.33333332707605</v>
      </c>
      <c r="T558" s="81">
        <f t="shared" si="98"/>
        <v>28.865740740972495</v>
      </c>
      <c r="U558" s="79"/>
      <c r="V558" s="82">
        <v>45718.548611111109</v>
      </c>
      <c r="W558" s="82">
        <v>45718.72152777778</v>
      </c>
      <c r="X558" s="103">
        <f t="shared" si="99"/>
        <v>243.81250000478758</v>
      </c>
      <c r="Y558" s="82"/>
      <c r="Z558" s="82">
        <v>45719.543749999997</v>
      </c>
      <c r="AA558" s="82">
        <f>Z558+TIME(0,44,0)</f>
        <v>45719.57430555555</v>
      </c>
      <c r="AB558" s="81">
        <f t="shared" si="100"/>
        <v>43.083333330141613</v>
      </c>
      <c r="AC558" s="80" t="s">
        <v>1673</v>
      </c>
      <c r="AD558" s="83">
        <f t="shared" si="101"/>
        <v>2.8020833333284827</v>
      </c>
      <c r="AE558" s="83">
        <v>2</v>
      </c>
      <c r="AF558" s="83">
        <f t="shared" si="102"/>
        <v>-0.80208333332848269</v>
      </c>
      <c r="AG558" s="83">
        <f t="shared" si="103"/>
        <v>67.249999999883585</v>
      </c>
      <c r="AH558" s="83">
        <f t="shared" si="104"/>
        <v>24</v>
      </c>
      <c r="AI558" s="83">
        <f t="shared" si="105"/>
        <v>43.249999999883585</v>
      </c>
      <c r="AJ558" s="83">
        <f t="shared" si="106"/>
        <v>3.6069364161946798</v>
      </c>
      <c r="AK558" s="83"/>
      <c r="AL558" s="83"/>
      <c r="AM558" s="83"/>
      <c r="AN558" s="83"/>
    </row>
    <row r="559" spans="1:41" ht="15" hidden="1" x14ac:dyDescent="0.25">
      <c r="A559" s="82">
        <v>45718</v>
      </c>
      <c r="B559" s="94" t="str">
        <f t="shared" si="96"/>
        <v>March</v>
      </c>
      <c r="C559" s="79" t="s">
        <v>2161</v>
      </c>
      <c r="D559" s="79" t="s">
        <v>1009</v>
      </c>
      <c r="E559" s="80" t="s">
        <v>1016</v>
      </c>
      <c r="F559" s="79" t="s">
        <v>955</v>
      </c>
      <c r="G559" s="79" t="s">
        <v>972</v>
      </c>
      <c r="H559" s="79" t="s">
        <v>452</v>
      </c>
      <c r="I559" s="79">
        <v>153.6</v>
      </c>
      <c r="J559" s="79" t="s">
        <v>1009</v>
      </c>
      <c r="K559" s="80" t="s">
        <v>469</v>
      </c>
      <c r="L559" s="80">
        <v>690</v>
      </c>
      <c r="M559" s="80">
        <f t="shared" si="108"/>
        <v>694</v>
      </c>
      <c r="N559" s="81">
        <f t="shared" si="107"/>
        <v>4</v>
      </c>
      <c r="P559" s="82">
        <f>R559-TIME(0,52,0)</f>
        <v>45718.504861111112</v>
      </c>
      <c r="Q559" s="82">
        <v>45717.895833333336</v>
      </c>
      <c r="R559" s="82">
        <v>45718.540972222225</v>
      </c>
      <c r="S559" s="81">
        <f t="shared" si="97"/>
        <v>924.69907407430583</v>
      </c>
      <c r="T559" s="81">
        <f t="shared" si="98"/>
        <v>51.759259261113279</v>
      </c>
      <c r="U559" s="79" t="s">
        <v>2166</v>
      </c>
      <c r="V559" s="82">
        <v>45719.438194444447</v>
      </c>
      <c r="W559" s="82">
        <v>45720.609027777777</v>
      </c>
      <c r="X559" s="103">
        <f t="shared" si="99"/>
        <v>1650.8749999952124</v>
      </c>
      <c r="Y559" s="82"/>
      <c r="Z559" s="82">
        <v>45720.572222222225</v>
      </c>
      <c r="AA559" s="82">
        <f>Z559+TIME(0,44,0)</f>
        <v>45720.602777777778</v>
      </c>
      <c r="AB559" s="81">
        <f t="shared" si="100"/>
        <v>43.083333330141613</v>
      </c>
      <c r="AD559" s="83">
        <f t="shared" si="101"/>
        <v>2.03125</v>
      </c>
      <c r="AE559" s="83">
        <v>3</v>
      </c>
      <c r="AF559" s="83">
        <f t="shared" si="102"/>
        <v>0.96875</v>
      </c>
      <c r="AG559" s="83">
        <f t="shared" si="103"/>
        <v>48.75</v>
      </c>
      <c r="AH559" s="83">
        <f t="shared" si="104"/>
        <v>24</v>
      </c>
      <c r="AI559" s="83">
        <f t="shared" si="105"/>
        <v>24.75</v>
      </c>
      <c r="AJ559" s="83">
        <f t="shared" si="106"/>
        <v>6.2060606060606061</v>
      </c>
      <c r="AK559" s="83"/>
      <c r="AL559" s="83"/>
      <c r="AM559" s="83"/>
      <c r="AN559" s="83"/>
    </row>
    <row r="560" spans="1:41" ht="15" hidden="1" x14ac:dyDescent="0.25">
      <c r="A560" s="82">
        <v>45718</v>
      </c>
      <c r="B560" s="94" t="str">
        <f t="shared" si="96"/>
        <v>March</v>
      </c>
      <c r="C560" s="79" t="s">
        <v>2161</v>
      </c>
      <c r="D560" s="79" t="s">
        <v>949</v>
      </c>
      <c r="E560" s="80" t="s">
        <v>1016</v>
      </c>
      <c r="F560" s="79" t="s">
        <v>958</v>
      </c>
      <c r="G560" s="79" t="s">
        <v>975</v>
      </c>
      <c r="H560" s="79" t="s">
        <v>459</v>
      </c>
      <c r="I560" s="79">
        <v>153.6</v>
      </c>
      <c r="J560" s="79" t="s">
        <v>949</v>
      </c>
      <c r="K560" s="80" t="s">
        <v>469</v>
      </c>
      <c r="L560" s="80">
        <v>560</v>
      </c>
      <c r="M560" s="80">
        <f t="shared" si="108"/>
        <v>564</v>
      </c>
      <c r="N560" s="81">
        <f t="shared" si="107"/>
        <v>4</v>
      </c>
      <c r="P560" s="82">
        <f>R560-TIME(0,27,0)</f>
        <v>45718.504166666666</v>
      </c>
      <c r="Q560" s="82">
        <v>45717.895833333336</v>
      </c>
      <c r="R560" s="82">
        <v>45718.522916666669</v>
      </c>
      <c r="S560" s="81">
        <f t="shared" si="97"/>
        <v>898.81944444374915</v>
      </c>
      <c r="T560" s="81">
        <f t="shared" si="98"/>
        <v>26.87500000417155</v>
      </c>
      <c r="U560" s="79"/>
      <c r="V560" s="82">
        <v>45719.46875</v>
      </c>
      <c r="W560" s="82">
        <v>45720.511111111111</v>
      </c>
      <c r="X560" s="103">
        <f t="shared" si="99"/>
        <v>1469.7291666664387</v>
      </c>
      <c r="Y560" s="82" t="s">
        <v>1051</v>
      </c>
      <c r="Z560" s="82">
        <v>45719.542361111111</v>
      </c>
      <c r="AA560" s="82">
        <f>Z560+TIME(0,82,0)</f>
        <v>45719.599305555552</v>
      </c>
      <c r="AB560" s="81">
        <f t="shared" si="100"/>
        <v>80.291666661651107</v>
      </c>
      <c r="AC560" s="80" t="s">
        <v>1674</v>
      </c>
      <c r="AD560" s="83">
        <f t="shared" si="101"/>
        <v>1.0194444444423425</v>
      </c>
      <c r="AE560" s="83">
        <v>3</v>
      </c>
      <c r="AF560" s="83">
        <f t="shared" si="102"/>
        <v>1.9805555555576575</v>
      </c>
      <c r="AG560" s="83">
        <f t="shared" si="103"/>
        <v>24.46666666661622</v>
      </c>
      <c r="AH560" s="83">
        <f t="shared" si="104"/>
        <v>12</v>
      </c>
      <c r="AI560" s="83">
        <f t="shared" si="105"/>
        <v>12.46666666661622</v>
      </c>
      <c r="AJ560" s="83">
        <f t="shared" si="106"/>
        <v>12.320855615023119</v>
      </c>
      <c r="AK560" s="83"/>
      <c r="AL560" s="83"/>
      <c r="AM560" s="83"/>
      <c r="AN560" s="83"/>
    </row>
    <row r="561" spans="1:40" ht="15" hidden="1" x14ac:dyDescent="0.25">
      <c r="A561" s="82">
        <v>45718</v>
      </c>
      <c r="B561" s="94" t="str">
        <f t="shared" si="96"/>
        <v>March</v>
      </c>
      <c r="C561" s="79" t="s">
        <v>2161</v>
      </c>
      <c r="D561" s="79" t="s">
        <v>1010</v>
      </c>
      <c r="E561" s="80" t="s">
        <v>1016</v>
      </c>
      <c r="F561" s="79" t="s">
        <v>952</v>
      </c>
      <c r="G561" s="79" t="s">
        <v>969</v>
      </c>
      <c r="H561" s="79" t="s">
        <v>987</v>
      </c>
      <c r="I561" s="79">
        <v>153.6</v>
      </c>
      <c r="J561" s="79" t="s">
        <v>1010</v>
      </c>
      <c r="K561" s="80" t="s">
        <v>469</v>
      </c>
      <c r="L561" s="79">
        <v>320</v>
      </c>
      <c r="M561" s="80">
        <f t="shared" si="108"/>
        <v>324</v>
      </c>
      <c r="N561" s="81">
        <f t="shared" si="107"/>
        <v>4</v>
      </c>
      <c r="P561" s="82">
        <f>R561-TIME(0,25,0)</f>
        <v>45718.498611111114</v>
      </c>
      <c r="Q561" s="82">
        <v>45718.098611111112</v>
      </c>
      <c r="R561" s="82">
        <v>45718.515972222223</v>
      </c>
      <c r="S561" s="81">
        <f t="shared" si="97"/>
        <v>598.2175925923608</v>
      </c>
      <c r="T561" s="81">
        <f t="shared" si="98"/>
        <v>24.884259256941732</v>
      </c>
      <c r="U561" s="79"/>
      <c r="V561" s="82">
        <v>45719.461805555555</v>
      </c>
      <c r="W561" s="82">
        <v>45719.618750000001</v>
      </c>
      <c r="X561" s="103">
        <f t="shared" si="99"/>
        <v>221.29166666985839</v>
      </c>
      <c r="Y561" s="82"/>
      <c r="Z561" s="82">
        <v>45719.716666666667</v>
      </c>
      <c r="AA561" s="82">
        <f t="shared" ref="AA561:AA562" si="109">Z561+TIME(0,44,0)</f>
        <v>45719.74722222222</v>
      </c>
      <c r="AB561" s="81">
        <f t="shared" si="100"/>
        <v>43.083333330141613</v>
      </c>
      <c r="AD561" s="83">
        <f t="shared" si="101"/>
        <v>1.2006944444437977</v>
      </c>
      <c r="AE561" s="83">
        <v>2</v>
      </c>
      <c r="AF561" s="83">
        <f t="shared" si="102"/>
        <v>0.79930555555620231</v>
      </c>
      <c r="AG561" s="83">
        <f t="shared" si="103"/>
        <v>28.816666666651145</v>
      </c>
      <c r="AH561" s="83">
        <f t="shared" si="104"/>
        <v>12</v>
      </c>
      <c r="AI561" s="83">
        <f t="shared" si="105"/>
        <v>16.816666666651145</v>
      </c>
      <c r="AJ561" s="83">
        <f t="shared" si="106"/>
        <v>9.1337958374712649</v>
      </c>
      <c r="AK561" s="83"/>
      <c r="AL561" s="83"/>
      <c r="AM561" s="83"/>
      <c r="AN561" s="83"/>
    </row>
    <row r="562" spans="1:40" ht="15" hidden="1" x14ac:dyDescent="0.25">
      <c r="A562" s="82">
        <v>45718</v>
      </c>
      <c r="B562" s="94" t="str">
        <f t="shared" si="96"/>
        <v>March</v>
      </c>
      <c r="C562" s="79" t="s">
        <v>2161</v>
      </c>
      <c r="D562" s="79" t="s">
        <v>1011</v>
      </c>
      <c r="E562" s="80" t="s">
        <v>1016</v>
      </c>
      <c r="F562" s="79" t="s">
        <v>953</v>
      </c>
      <c r="G562" s="79" t="s">
        <v>970</v>
      </c>
      <c r="H562" s="79" t="s">
        <v>982</v>
      </c>
      <c r="I562" s="79">
        <v>153.6</v>
      </c>
      <c r="J562" s="79" t="s">
        <v>1011</v>
      </c>
      <c r="K562" s="80" t="s">
        <v>469</v>
      </c>
      <c r="L562" s="80">
        <v>298</v>
      </c>
      <c r="M562" s="80">
        <f t="shared" si="108"/>
        <v>302</v>
      </c>
      <c r="N562" s="81">
        <f t="shared" si="107"/>
        <v>4</v>
      </c>
      <c r="P562" s="82">
        <f>R562-TIME(0,29,0)</f>
        <v>45718.359722222223</v>
      </c>
      <c r="Q562" s="82">
        <v>45718.176388888889</v>
      </c>
      <c r="R562" s="82">
        <v>45718.379861111112</v>
      </c>
      <c r="S562" s="81">
        <f t="shared" si="97"/>
        <v>291.64351852014079</v>
      </c>
      <c r="T562" s="81">
        <f t="shared" si="98"/>
        <v>28.865740740972495</v>
      </c>
      <c r="U562" s="79"/>
      <c r="V562" s="82">
        <v>45718.548611111109</v>
      </c>
      <c r="W562" s="82">
        <v>45718.72152777778</v>
      </c>
      <c r="X562" s="103">
        <f t="shared" si="99"/>
        <v>243.81250000478758</v>
      </c>
      <c r="Y562" s="82"/>
      <c r="Z562" s="82">
        <v>45719.543749999997</v>
      </c>
      <c r="AA562" s="82">
        <f t="shared" si="109"/>
        <v>45719.57430555555</v>
      </c>
      <c r="AB562" s="81">
        <f t="shared" si="100"/>
        <v>43.083333330141613</v>
      </c>
      <c r="AD562" s="83">
        <f t="shared" si="101"/>
        <v>1.163888888884685</v>
      </c>
      <c r="AE562" s="83">
        <v>2</v>
      </c>
      <c r="AF562" s="83">
        <f t="shared" si="102"/>
        <v>0.836111111115315</v>
      </c>
      <c r="AG562" s="83">
        <f t="shared" si="103"/>
        <v>27.93333333323244</v>
      </c>
      <c r="AH562" s="83">
        <f t="shared" si="104"/>
        <v>12</v>
      </c>
      <c r="AI562" s="83">
        <f t="shared" si="105"/>
        <v>15.93333333323244</v>
      </c>
      <c r="AJ562" s="83">
        <f t="shared" si="106"/>
        <v>9.6401673640777794</v>
      </c>
      <c r="AK562" s="83"/>
      <c r="AL562" s="83"/>
      <c r="AM562" s="83"/>
      <c r="AN562" s="83"/>
    </row>
    <row r="563" spans="1:40" ht="15" hidden="1" x14ac:dyDescent="0.25">
      <c r="A563" s="82">
        <v>45719</v>
      </c>
      <c r="B563" s="94" t="str">
        <f t="shared" si="96"/>
        <v>March</v>
      </c>
      <c r="C563" s="79" t="s">
        <v>2162</v>
      </c>
      <c r="D563" s="79" t="s">
        <v>339</v>
      </c>
      <c r="E563" s="80" t="s">
        <v>1017</v>
      </c>
      <c r="F563" s="79"/>
      <c r="G563" s="79" t="s">
        <v>58</v>
      </c>
      <c r="H563" s="79" t="s">
        <v>448</v>
      </c>
      <c r="I563" s="79">
        <v>78</v>
      </c>
      <c r="J563" s="79" t="s">
        <v>339</v>
      </c>
      <c r="K563" s="80" t="s">
        <v>469</v>
      </c>
      <c r="L563" s="80">
        <v>560</v>
      </c>
      <c r="M563" s="80">
        <f>L563+2</f>
        <v>562</v>
      </c>
      <c r="N563" s="81">
        <f t="shared" si="107"/>
        <v>2</v>
      </c>
      <c r="P563" s="82">
        <f>R563-TIME(0,29,0)</f>
        <v>45716.64166666667</v>
      </c>
      <c r="Q563" s="82">
        <v>45717.319444444445</v>
      </c>
      <c r="R563" s="82">
        <v>45716.661805555559</v>
      </c>
      <c r="S563" s="81">
        <f t="shared" si="97"/>
        <v>-942.61574073680094</v>
      </c>
      <c r="T563" s="81">
        <f t="shared" si="98"/>
        <v>28.865740740972495</v>
      </c>
      <c r="U563" s="79"/>
      <c r="V563" s="82">
        <v>45719.42083333333</v>
      </c>
      <c r="W563" s="82">
        <v>45719.573611111111</v>
      </c>
      <c r="X563" s="103">
        <f t="shared" si="99"/>
        <v>215.41666667122627</v>
      </c>
      <c r="Y563" s="82" t="s">
        <v>1040</v>
      </c>
      <c r="Z563" s="82">
        <v>45717.951388888891</v>
      </c>
      <c r="AA563" s="82">
        <f>Z563+TIME(0,51,0)</f>
        <v>45717.986805555556</v>
      </c>
      <c r="AB563" s="81">
        <f t="shared" si="100"/>
        <v>49.93749999863212</v>
      </c>
      <c r="AD563" s="83">
        <f t="shared" si="101"/>
        <v>1.2895833333313931</v>
      </c>
      <c r="AE563" s="83">
        <v>2</v>
      </c>
      <c r="AF563" s="83">
        <f t="shared" si="102"/>
        <v>0.71041666666860692</v>
      </c>
      <c r="AG563" s="83">
        <f t="shared" si="103"/>
        <v>30.949999999953434</v>
      </c>
      <c r="AH563" s="83">
        <f t="shared" si="104"/>
        <v>12</v>
      </c>
      <c r="AI563" s="83">
        <f t="shared" si="105"/>
        <v>18.949999999953434</v>
      </c>
      <c r="AJ563" s="83">
        <f t="shared" si="106"/>
        <v>4.1160949868175027</v>
      </c>
      <c r="AK563" s="83"/>
      <c r="AL563" s="83"/>
      <c r="AM563" s="83"/>
      <c r="AN563" s="83"/>
    </row>
    <row r="564" spans="1:40" ht="15" hidden="1" x14ac:dyDescent="0.25">
      <c r="A564" s="82">
        <v>45719</v>
      </c>
      <c r="B564" s="94" t="str">
        <f t="shared" si="96"/>
        <v>March</v>
      </c>
      <c r="C564" s="79" t="s">
        <v>2162</v>
      </c>
      <c r="D564" s="79" t="s">
        <v>340</v>
      </c>
      <c r="E564" s="80" t="s">
        <v>1017</v>
      </c>
      <c r="F564" s="79" t="s">
        <v>1018</v>
      </c>
      <c r="G564" s="79" t="s">
        <v>39</v>
      </c>
      <c r="H564" s="79" t="s">
        <v>454</v>
      </c>
      <c r="I564" s="79">
        <v>156</v>
      </c>
      <c r="J564" s="79" t="s">
        <v>340</v>
      </c>
      <c r="K564" s="80" t="s">
        <v>469</v>
      </c>
      <c r="L564" s="80">
        <v>304</v>
      </c>
      <c r="M564" s="80">
        <f>L564+3</f>
        <v>307</v>
      </c>
      <c r="N564" s="81">
        <f t="shared" si="107"/>
        <v>3</v>
      </c>
      <c r="P564" s="82">
        <f>R564-TIME(0,29,0)</f>
        <v>45716.510416666664</v>
      </c>
      <c r="Q564" s="82">
        <v>45716.490277777775</v>
      </c>
      <c r="R564" s="82">
        <v>45716.530555555553</v>
      </c>
      <c r="S564" s="81">
        <f t="shared" si="97"/>
        <v>57.731481481944989</v>
      </c>
      <c r="T564" s="81">
        <f t="shared" si="98"/>
        <v>28.865740740972495</v>
      </c>
      <c r="U564" s="79"/>
      <c r="V564" s="82">
        <v>45719.445138888892</v>
      </c>
      <c r="W564" s="82">
        <v>45719.574999999997</v>
      </c>
      <c r="X564" s="103">
        <f t="shared" si="99"/>
        <v>183.10416665823141</v>
      </c>
      <c r="Y564" s="82" t="s">
        <v>1039</v>
      </c>
      <c r="Z564" s="82">
        <v>45718.331250000003</v>
      </c>
      <c r="AA564" s="82">
        <f>Z564+TIME(0,59,0)</f>
        <v>45718.372222222228</v>
      </c>
      <c r="AB564" s="81">
        <f t="shared" si="100"/>
        <v>57.770833336981013</v>
      </c>
      <c r="AD564" s="83">
        <f t="shared" si="101"/>
        <v>1.8006944444496185</v>
      </c>
      <c r="AE564" s="83">
        <v>2</v>
      </c>
      <c r="AF564" s="83">
        <f t="shared" si="102"/>
        <v>0.19930555555038154</v>
      </c>
      <c r="AG564" s="83">
        <f t="shared" si="103"/>
        <v>43.216666666790843</v>
      </c>
      <c r="AH564" s="83">
        <f t="shared" si="104"/>
        <v>12</v>
      </c>
      <c r="AI564" s="83">
        <f t="shared" si="105"/>
        <v>31.216666666790843</v>
      </c>
      <c r="AJ564" s="83">
        <f t="shared" si="106"/>
        <v>4.9973304858316965</v>
      </c>
      <c r="AK564" s="83"/>
      <c r="AL564" s="83"/>
      <c r="AM564" s="83"/>
      <c r="AN564" s="83"/>
    </row>
    <row r="565" spans="1:40" ht="15" hidden="1" x14ac:dyDescent="0.25">
      <c r="A565" s="82">
        <v>45719</v>
      </c>
      <c r="B565" s="94" t="str">
        <f t="shared" si="96"/>
        <v>March</v>
      </c>
      <c r="C565" s="79" t="s">
        <v>2162</v>
      </c>
      <c r="D565" s="79" t="s">
        <v>341</v>
      </c>
      <c r="E565" s="80" t="s">
        <v>1017</v>
      </c>
      <c r="F565" s="79" t="s">
        <v>1028</v>
      </c>
      <c r="G565" s="79" t="s">
        <v>45</v>
      </c>
      <c r="H565" s="79" t="s">
        <v>454</v>
      </c>
      <c r="I565" s="79">
        <v>156</v>
      </c>
      <c r="J565" s="79" t="s">
        <v>341</v>
      </c>
      <c r="K565" s="80" t="s">
        <v>469</v>
      </c>
      <c r="L565" s="80">
        <v>304</v>
      </c>
      <c r="M565" s="80">
        <f>L565+3</f>
        <v>307</v>
      </c>
      <c r="N565" s="81">
        <f t="shared" si="107"/>
        <v>3</v>
      </c>
      <c r="P565" s="82">
        <f>R565-TIME(0,53,0)</f>
        <v>45716.625694444439</v>
      </c>
      <c r="Q565" s="82">
        <v>45716.54791666667</v>
      </c>
      <c r="R565" s="82">
        <v>45716.662499999999</v>
      </c>
      <c r="S565" s="81">
        <f t="shared" si="97"/>
        <v>164.23611110415854</v>
      </c>
      <c r="T565" s="81">
        <f t="shared" si="98"/>
        <v>52.75462963472819</v>
      </c>
      <c r="U565" s="79" t="s">
        <v>2164</v>
      </c>
      <c r="V565" s="82">
        <v>45719.688194444447</v>
      </c>
      <c r="W565" s="82">
        <v>45719.779166666667</v>
      </c>
      <c r="X565" s="103">
        <f t="shared" si="99"/>
        <v>128.27083333082555</v>
      </c>
      <c r="Y565" s="82"/>
      <c r="Z565" s="82">
        <v>45717.684027777781</v>
      </c>
      <c r="AA565" s="82">
        <f>Z565+TIME(0,57,0)</f>
        <v>45717.723611111112</v>
      </c>
      <c r="AB565" s="81">
        <f t="shared" si="100"/>
        <v>55.81249999726424</v>
      </c>
      <c r="AD565" s="83">
        <f t="shared" si="101"/>
        <v>1.0215277777824667</v>
      </c>
      <c r="AE565" s="83">
        <v>2</v>
      </c>
      <c r="AF565" s="83">
        <f t="shared" si="102"/>
        <v>0.97847222221753327</v>
      </c>
      <c r="AG565" s="83">
        <f t="shared" si="103"/>
        <v>24.516666666779201</v>
      </c>
      <c r="AH565" s="83">
        <f t="shared" si="104"/>
        <v>12</v>
      </c>
      <c r="AI565" s="83">
        <f t="shared" si="105"/>
        <v>12.516666666779201</v>
      </c>
      <c r="AJ565" s="83">
        <f t="shared" si="106"/>
        <v>12.463382157011779</v>
      </c>
      <c r="AK565" s="83"/>
      <c r="AL565" s="83"/>
      <c r="AM565" s="83"/>
      <c r="AN565" s="83"/>
    </row>
    <row r="566" spans="1:40" ht="15" hidden="1" x14ac:dyDescent="0.25">
      <c r="A566" s="82">
        <v>45719</v>
      </c>
      <c r="B566" s="94" t="str">
        <f t="shared" si="96"/>
        <v>March</v>
      </c>
      <c r="C566" s="79" t="s">
        <v>2162</v>
      </c>
      <c r="D566" s="79" t="s">
        <v>342</v>
      </c>
      <c r="E566" s="80" t="s">
        <v>1017</v>
      </c>
      <c r="F566" s="79" t="s">
        <v>1032</v>
      </c>
      <c r="G566" s="79" t="s">
        <v>72</v>
      </c>
      <c r="H566" s="79" t="s">
        <v>465</v>
      </c>
      <c r="I566" s="79">
        <v>78</v>
      </c>
      <c r="J566" s="79" t="s">
        <v>342</v>
      </c>
      <c r="K566" s="80" t="s">
        <v>469</v>
      </c>
      <c r="L566" s="80">
        <v>382</v>
      </c>
      <c r="M566" s="80">
        <f>L566-1</f>
        <v>381</v>
      </c>
      <c r="N566" s="81">
        <f t="shared" si="107"/>
        <v>-1</v>
      </c>
      <c r="P566" s="82">
        <f t="shared" ref="P566:P626" si="110">R566-TIME(0,30,0)</f>
        <v>45718.520138888889</v>
      </c>
      <c r="Q566" s="82">
        <v>45717.895833333336</v>
      </c>
      <c r="R566" s="82">
        <v>45718.540972222225</v>
      </c>
      <c r="S566" s="81">
        <f t="shared" si="97"/>
        <v>924.69907407430583</v>
      </c>
      <c r="T566" s="81">
        <f t="shared" si="98"/>
        <v>29.861111114587402</v>
      </c>
      <c r="U566" s="79"/>
      <c r="V566" s="82">
        <v>45719.850694444445</v>
      </c>
      <c r="W566" s="82">
        <v>45720.466666666667</v>
      </c>
      <c r="X566" s="103">
        <f t="shared" si="99"/>
        <v>868.52083333287737</v>
      </c>
      <c r="Y566" s="82"/>
      <c r="Z566" s="82">
        <v>45720.561805555553</v>
      </c>
      <c r="AA566" s="82">
        <f>Z566+TIME(0,44,0)</f>
        <v>45720.592361111107</v>
      </c>
      <c r="AB566" s="81">
        <f t="shared" si="100"/>
        <v>43.083333330141613</v>
      </c>
      <c r="AD566" s="83">
        <f t="shared" si="101"/>
        <v>2.0208333333284827</v>
      </c>
      <c r="AE566" s="83">
        <v>2</v>
      </c>
      <c r="AF566" s="83">
        <f t="shared" si="102"/>
        <v>-2.0833333328482695E-2</v>
      </c>
      <c r="AG566" s="83">
        <f t="shared" si="103"/>
        <v>48.499999999883585</v>
      </c>
      <c r="AH566" s="83">
        <f t="shared" si="104"/>
        <v>24</v>
      </c>
      <c r="AI566" s="83">
        <f t="shared" si="105"/>
        <v>24.499999999883585</v>
      </c>
      <c r="AJ566" s="83">
        <f t="shared" si="106"/>
        <v>3.183673469402883</v>
      </c>
      <c r="AK566" s="83"/>
      <c r="AL566" s="83"/>
      <c r="AM566" s="83"/>
      <c r="AN566" s="83"/>
    </row>
    <row r="567" spans="1:40" ht="15" hidden="1" x14ac:dyDescent="0.25">
      <c r="A567" s="82">
        <v>45719</v>
      </c>
      <c r="B567" s="94" t="str">
        <f t="shared" si="96"/>
        <v>March</v>
      </c>
      <c r="C567" s="79" t="s">
        <v>2162</v>
      </c>
      <c r="D567" s="79" t="s">
        <v>343</v>
      </c>
      <c r="E567" s="80" t="s">
        <v>1017</v>
      </c>
      <c r="F567" s="79" t="s">
        <v>1035</v>
      </c>
      <c r="G567" s="79" t="s">
        <v>44</v>
      </c>
      <c r="H567" s="79" t="s">
        <v>450</v>
      </c>
      <c r="I567" s="79">
        <v>156</v>
      </c>
      <c r="J567" s="79" t="s">
        <v>343</v>
      </c>
      <c r="K567" s="80" t="s">
        <v>469</v>
      </c>
      <c r="L567" s="80">
        <v>288</v>
      </c>
      <c r="M567" s="80">
        <f>L567+1</f>
        <v>289</v>
      </c>
      <c r="N567" s="81">
        <f t="shared" si="107"/>
        <v>1</v>
      </c>
      <c r="P567" s="82">
        <f>R567-TIME(0,28,0)</f>
        <v>45718.496527777781</v>
      </c>
      <c r="Q567" s="82">
        <v>45718.098611111112</v>
      </c>
      <c r="R567" s="82">
        <v>45718.515972222223</v>
      </c>
      <c r="S567" s="81">
        <f t="shared" si="97"/>
        <v>598.2175925923608</v>
      </c>
      <c r="T567" s="81">
        <f t="shared" si="98"/>
        <v>27.870370367357584</v>
      </c>
      <c r="U567" s="79"/>
      <c r="V567" s="82">
        <v>45719.713888888888</v>
      </c>
      <c r="W567" s="82">
        <v>45720.637499999997</v>
      </c>
      <c r="X567" s="103">
        <f t="shared" si="99"/>
        <v>1302.2916666643869</v>
      </c>
      <c r="Y567" s="82"/>
      <c r="Z567" s="82">
        <v>45721.621527777781</v>
      </c>
      <c r="AA567" s="82">
        <f>Z567+TIME(0,44,0)</f>
        <v>45721.652083333334</v>
      </c>
      <c r="AB567" s="81">
        <f t="shared" si="100"/>
        <v>43.083333330141613</v>
      </c>
      <c r="AD567" s="83">
        <f t="shared" si="101"/>
        <v>3.1055555555576575</v>
      </c>
      <c r="AE567" s="83">
        <v>2</v>
      </c>
      <c r="AF567" s="83">
        <f t="shared" si="102"/>
        <v>-1.1055555555576575</v>
      </c>
      <c r="AG567" s="83">
        <f t="shared" si="103"/>
        <v>74.53333333338378</v>
      </c>
      <c r="AH567" s="83">
        <f t="shared" si="104"/>
        <v>36</v>
      </c>
      <c r="AI567" s="83">
        <f t="shared" si="105"/>
        <v>38.53333333338378</v>
      </c>
      <c r="AJ567" s="83">
        <f t="shared" si="106"/>
        <v>4.0484429065690941</v>
      </c>
      <c r="AK567" s="83"/>
      <c r="AL567" s="83"/>
      <c r="AM567" s="83"/>
      <c r="AN567" s="83"/>
    </row>
    <row r="568" spans="1:40" ht="15" hidden="1" x14ac:dyDescent="0.25">
      <c r="A568" s="82">
        <v>45719</v>
      </c>
      <c r="B568" s="94" t="str">
        <f t="shared" si="96"/>
        <v>March</v>
      </c>
      <c r="C568" s="79" t="s">
        <v>2162</v>
      </c>
      <c r="D568" s="79" t="s">
        <v>344</v>
      </c>
      <c r="E568" s="80" t="s">
        <v>1017</v>
      </c>
      <c r="F568" s="79"/>
      <c r="G568" s="79" t="s">
        <v>40</v>
      </c>
      <c r="H568" s="79" t="s">
        <v>455</v>
      </c>
      <c r="I568" s="79">
        <v>156</v>
      </c>
      <c r="J568" s="79" t="s">
        <v>344</v>
      </c>
      <c r="K568" s="80" t="s">
        <v>469</v>
      </c>
      <c r="L568" s="80">
        <v>580</v>
      </c>
      <c r="M568" s="80">
        <f>L568-4</f>
        <v>576</v>
      </c>
      <c r="N568" s="81">
        <f t="shared" si="107"/>
        <v>-4</v>
      </c>
      <c r="P568" s="82">
        <f>R568-TIME(0,29,0)</f>
        <v>45718.359722222223</v>
      </c>
      <c r="Q568" s="82">
        <v>45718.176388888889</v>
      </c>
      <c r="R568" s="82">
        <v>45718.379861111112</v>
      </c>
      <c r="S568" s="81">
        <f t="shared" si="97"/>
        <v>291.64351852014079</v>
      </c>
      <c r="T568" s="81">
        <f t="shared" si="98"/>
        <v>28.865740740972495</v>
      </c>
      <c r="U568" s="79"/>
      <c r="V568" s="82">
        <v>45719.385416666664</v>
      </c>
      <c r="W568" s="82">
        <f>V568+TIME(0,170,0)</f>
        <v>45719.503472222219</v>
      </c>
      <c r="X568" s="103">
        <f t="shared" si="99"/>
        <v>166.45833333219343</v>
      </c>
      <c r="Y568" s="82"/>
      <c r="Z568" s="82">
        <v>45719.558333333334</v>
      </c>
      <c r="AA568" s="82">
        <f>Z568+TIME(0,44,0)</f>
        <v>45719.588888888888</v>
      </c>
      <c r="AB568" s="81">
        <f t="shared" si="100"/>
        <v>43.083333330141613</v>
      </c>
      <c r="AD568" s="83">
        <f t="shared" si="101"/>
        <v>1.1784722222218988</v>
      </c>
      <c r="AE568" s="83">
        <v>2</v>
      </c>
      <c r="AF568" s="83">
        <f t="shared" si="102"/>
        <v>0.82152777777810115</v>
      </c>
      <c r="AG568" s="83">
        <f t="shared" si="103"/>
        <v>28.283333333325572</v>
      </c>
      <c r="AH568" s="83">
        <f t="shared" si="104"/>
        <v>12</v>
      </c>
      <c r="AI568" s="83">
        <f t="shared" si="105"/>
        <v>16.283333333325572</v>
      </c>
      <c r="AJ568" s="83">
        <f t="shared" si="106"/>
        <v>9.5803480040987328</v>
      </c>
      <c r="AK568" s="83"/>
      <c r="AL568" s="83"/>
      <c r="AM568" s="83"/>
      <c r="AN568" s="83"/>
    </row>
    <row r="569" spans="1:40" ht="15" hidden="1" x14ac:dyDescent="0.25">
      <c r="A569" s="82">
        <v>45719</v>
      </c>
      <c r="B569" s="94" t="str">
        <f t="shared" si="96"/>
        <v>March</v>
      </c>
      <c r="C569" s="79" t="s">
        <v>2162</v>
      </c>
      <c r="D569" s="79" t="s">
        <v>345</v>
      </c>
      <c r="E569" s="80" t="s">
        <v>1017</v>
      </c>
      <c r="F569" s="79" t="s">
        <v>1026</v>
      </c>
      <c r="G569" s="79" t="s">
        <v>51</v>
      </c>
      <c r="H569" s="79" t="s">
        <v>450</v>
      </c>
      <c r="I569" s="79">
        <v>156</v>
      </c>
      <c r="J569" s="79" t="s">
        <v>345</v>
      </c>
      <c r="K569" s="80" t="s">
        <v>469</v>
      </c>
      <c r="L569" s="80">
        <v>288</v>
      </c>
      <c r="M569" s="80">
        <f>L569-3</f>
        <v>285</v>
      </c>
      <c r="N569" s="81">
        <f t="shared" si="107"/>
        <v>-3</v>
      </c>
      <c r="P569" s="82">
        <f>R569-TIME(0,53,0)</f>
        <v>45717.893749999996</v>
      </c>
      <c r="Q569" s="82">
        <v>45717.916666666664</v>
      </c>
      <c r="R569" s="82">
        <v>45717.930555555555</v>
      </c>
      <c r="S569" s="81">
        <f t="shared" si="97"/>
        <v>19.907407409724936</v>
      </c>
      <c r="T569" s="81">
        <f t="shared" si="98"/>
        <v>52.75462963472819</v>
      </c>
      <c r="U569" s="79" t="s">
        <v>2164</v>
      </c>
      <c r="V569" s="82">
        <v>45719.545138888891</v>
      </c>
      <c r="W569" s="82">
        <v>45719.691666666666</v>
      </c>
      <c r="X569" s="103">
        <f t="shared" si="99"/>
        <v>206.60416666301899</v>
      </c>
      <c r="Y569" s="82" t="s">
        <v>1049</v>
      </c>
      <c r="Z569" s="82">
        <v>45720.556944444441</v>
      </c>
      <c r="AA569" s="82">
        <f>Z569+TIME(0,82,0)</f>
        <v>45720.613888888882</v>
      </c>
      <c r="AB569" s="81">
        <f t="shared" si="100"/>
        <v>80.291666661651107</v>
      </c>
      <c r="AC569" s="82" t="s">
        <v>1678</v>
      </c>
      <c r="AD569" s="83">
        <f t="shared" si="101"/>
        <v>2.6263888888861402</v>
      </c>
      <c r="AE569" s="83">
        <v>2</v>
      </c>
      <c r="AF569" s="83">
        <f t="shared" si="102"/>
        <v>-0.62638888888614019</v>
      </c>
      <c r="AG569" s="83">
        <f t="shared" si="103"/>
        <v>63.033333333267365</v>
      </c>
      <c r="AH569" s="83">
        <f t="shared" si="104"/>
        <v>24</v>
      </c>
      <c r="AI569" s="83">
        <f t="shared" si="105"/>
        <v>39.033333333267365</v>
      </c>
      <c r="AJ569" s="83">
        <f t="shared" si="106"/>
        <v>3.9965841161468059</v>
      </c>
      <c r="AK569" s="83"/>
      <c r="AL569" s="83"/>
      <c r="AM569" s="83"/>
      <c r="AN569" s="83"/>
    </row>
    <row r="570" spans="1:40" ht="15" hidden="1" x14ac:dyDescent="0.25">
      <c r="A570" s="82">
        <v>45719</v>
      </c>
      <c r="B570" s="94" t="str">
        <f t="shared" si="96"/>
        <v>March</v>
      </c>
      <c r="C570" s="79" t="s">
        <v>2162</v>
      </c>
      <c r="D570" s="79" t="s">
        <v>346</v>
      </c>
      <c r="E570" s="80" t="s">
        <v>1017</v>
      </c>
      <c r="F570" s="79"/>
      <c r="G570" s="79" t="s">
        <v>49</v>
      </c>
      <c r="H570" s="79" t="s">
        <v>454</v>
      </c>
      <c r="I570" s="79">
        <v>156</v>
      </c>
      <c r="J570" s="79" t="s">
        <v>346</v>
      </c>
      <c r="K570" s="80" t="s">
        <v>469</v>
      </c>
      <c r="L570" s="80">
        <v>304</v>
      </c>
      <c r="M570" s="80">
        <f>L570+2</f>
        <v>306</v>
      </c>
      <c r="N570" s="81">
        <f t="shared" si="107"/>
        <v>2</v>
      </c>
      <c r="P570" s="82">
        <f>R570-TIME(0,29,0)</f>
        <v>45717.921527777777</v>
      </c>
      <c r="Q570" s="82">
        <v>45718.115277777775</v>
      </c>
      <c r="R570" s="82">
        <v>45717.941666666666</v>
      </c>
      <c r="S570" s="81">
        <f t="shared" si="97"/>
        <v>-248.84259259027507</v>
      </c>
      <c r="T570" s="81">
        <f t="shared" si="98"/>
        <v>28.865740740972495</v>
      </c>
      <c r="U570" s="79"/>
      <c r="V570" s="82">
        <v>45719.46597222222</v>
      </c>
      <c r="W570" s="82">
        <v>45719.605555555558</v>
      </c>
      <c r="X570" s="103">
        <f t="shared" si="99"/>
        <v>196.81250000547152</v>
      </c>
      <c r="Y570" s="82"/>
      <c r="Z570" s="82">
        <v>45720.727777777778</v>
      </c>
      <c r="AA570" s="82">
        <f>Z570+TIME(0,44,0)</f>
        <v>45720.758333333331</v>
      </c>
      <c r="AB570" s="81">
        <f t="shared" si="100"/>
        <v>43.083333330141613</v>
      </c>
      <c r="AC570" s="82"/>
      <c r="AD570" s="83">
        <f t="shared" si="101"/>
        <v>2.7861111111124046</v>
      </c>
      <c r="AE570" s="83">
        <v>2</v>
      </c>
      <c r="AF570" s="83">
        <f t="shared" si="102"/>
        <v>-0.78611111111240461</v>
      </c>
      <c r="AG570" s="83">
        <f t="shared" si="103"/>
        <v>66.866666666697711</v>
      </c>
      <c r="AH570" s="83">
        <f t="shared" si="104"/>
        <v>24</v>
      </c>
      <c r="AI570" s="83">
        <f t="shared" si="105"/>
        <v>42.866666666697711</v>
      </c>
      <c r="AJ570" s="83">
        <f t="shared" si="106"/>
        <v>3.6391912908216257</v>
      </c>
      <c r="AK570" s="83"/>
      <c r="AL570" s="83"/>
      <c r="AM570" s="83"/>
      <c r="AN570" s="83"/>
    </row>
    <row r="571" spans="1:40" ht="15" hidden="1" x14ac:dyDescent="0.25">
      <c r="A571" s="82">
        <v>45719</v>
      </c>
      <c r="B571" s="94" t="str">
        <f t="shared" si="96"/>
        <v>March</v>
      </c>
      <c r="C571" s="79" t="s">
        <v>2162</v>
      </c>
      <c r="D571" s="79" t="s">
        <v>347</v>
      </c>
      <c r="E571" s="80" t="s">
        <v>1017</v>
      </c>
      <c r="F571" s="79" t="s">
        <v>1030</v>
      </c>
      <c r="G571" s="79" t="s">
        <v>55</v>
      </c>
      <c r="H571" s="79" t="s">
        <v>458</v>
      </c>
      <c r="I571" s="79">
        <v>156</v>
      </c>
      <c r="J571" s="79" t="s">
        <v>347</v>
      </c>
      <c r="K571" s="80" t="s">
        <v>469</v>
      </c>
      <c r="L571" s="80">
        <v>448</v>
      </c>
      <c r="M571" s="80">
        <f>L571-3</f>
        <v>445</v>
      </c>
      <c r="N571" s="81">
        <f t="shared" si="107"/>
        <v>-3</v>
      </c>
      <c r="P571" s="82">
        <f>R571-TIME(0,28,0)</f>
        <v>45717.890277777777</v>
      </c>
      <c r="Q571" s="82">
        <v>45718.244444444441</v>
      </c>
      <c r="R571" s="82">
        <v>45717.909722222219</v>
      </c>
      <c r="S571" s="81">
        <f t="shared" si="97"/>
        <v>-479.76851851805503</v>
      </c>
      <c r="T571" s="81">
        <f t="shared" si="98"/>
        <v>27.870370367357584</v>
      </c>
      <c r="U571" s="79"/>
      <c r="V571" s="82">
        <v>45719.617361111108</v>
      </c>
      <c r="W571" s="82">
        <v>45720.456944444442</v>
      </c>
      <c r="X571" s="103">
        <f t="shared" si="99"/>
        <v>1183.8125000013679</v>
      </c>
      <c r="Y571" s="82" t="s">
        <v>1044</v>
      </c>
      <c r="Z571" s="82">
        <v>45719.786111111112</v>
      </c>
      <c r="AA571" s="82">
        <f>Z571+TIME(0,50,0)</f>
        <v>45719.820833333331</v>
      </c>
      <c r="AB571" s="81">
        <f t="shared" si="100"/>
        <v>48.958333328773733</v>
      </c>
      <c r="AC571" s="82"/>
      <c r="AD571" s="83">
        <f t="shared" si="101"/>
        <v>1.8763888888934162</v>
      </c>
      <c r="AE571" s="83">
        <v>2</v>
      </c>
      <c r="AF571" s="83">
        <f t="shared" si="102"/>
        <v>0.12361111110658385</v>
      </c>
      <c r="AG571" s="83">
        <f t="shared" si="103"/>
        <v>45.033333333441988</v>
      </c>
      <c r="AH571" s="83">
        <f t="shared" si="104"/>
        <v>12</v>
      </c>
      <c r="AI571" s="83">
        <f t="shared" si="105"/>
        <v>33.033333333441988</v>
      </c>
      <c r="AJ571" s="83">
        <f t="shared" si="106"/>
        <v>4.7225025226888055</v>
      </c>
      <c r="AK571" s="83"/>
      <c r="AL571" s="83"/>
      <c r="AM571" s="83"/>
      <c r="AN571" s="83"/>
    </row>
    <row r="572" spans="1:40" ht="15" hidden="1" x14ac:dyDescent="0.25">
      <c r="A572" s="82">
        <v>45719</v>
      </c>
      <c r="B572" s="94" t="str">
        <f t="shared" si="96"/>
        <v>March</v>
      </c>
      <c r="C572" s="79" t="s">
        <v>2161</v>
      </c>
      <c r="D572" s="79" t="s">
        <v>947</v>
      </c>
      <c r="E572" s="80" t="s">
        <v>1016</v>
      </c>
      <c r="F572" s="79" t="s">
        <v>954</v>
      </c>
      <c r="G572" s="79" t="s">
        <v>971</v>
      </c>
      <c r="H572" s="79" t="s">
        <v>987</v>
      </c>
      <c r="I572" s="79">
        <v>153.6</v>
      </c>
      <c r="J572" s="79" t="s">
        <v>947</v>
      </c>
      <c r="K572" s="80" t="s">
        <v>469</v>
      </c>
      <c r="L572" s="79">
        <v>320</v>
      </c>
      <c r="M572" s="80">
        <v>302</v>
      </c>
      <c r="N572" s="81">
        <f t="shared" si="107"/>
        <v>-18</v>
      </c>
      <c r="P572" s="82">
        <f>R572-TIME(0,28,0)</f>
        <v>45719.330555555556</v>
      </c>
      <c r="Q572" s="82">
        <v>45719.098611111112</v>
      </c>
      <c r="R572" s="82">
        <v>45719.35</v>
      </c>
      <c r="S572" s="81">
        <f t="shared" si="97"/>
        <v>360.32407407013426</v>
      </c>
      <c r="T572" s="81">
        <f t="shared" si="98"/>
        <v>27.870370367357584</v>
      </c>
      <c r="U572" s="79"/>
      <c r="V572" s="82">
        <v>45719.46597222222</v>
      </c>
      <c r="W572" s="82">
        <v>45719.605555555558</v>
      </c>
      <c r="X572" s="103">
        <f t="shared" si="99"/>
        <v>196.81250000547152</v>
      </c>
      <c r="Y572" s="82"/>
      <c r="Z572" s="82">
        <v>45720.727777777778</v>
      </c>
      <c r="AA572" s="82">
        <f>Z572+TIME(0,44,0)</f>
        <v>45720.758333333331</v>
      </c>
      <c r="AB572" s="81">
        <f t="shared" si="100"/>
        <v>43.083333330141613</v>
      </c>
      <c r="AC572" s="82"/>
      <c r="AD572" s="83">
        <f t="shared" si="101"/>
        <v>1.3777777777795563</v>
      </c>
      <c r="AE572" s="83">
        <v>2</v>
      </c>
      <c r="AF572" s="83">
        <f t="shared" si="102"/>
        <v>0.62222222222044365</v>
      </c>
      <c r="AG572" s="83">
        <f t="shared" si="103"/>
        <v>33.066666666709352</v>
      </c>
      <c r="AH572" s="83">
        <f t="shared" si="104"/>
        <v>12</v>
      </c>
      <c r="AI572" s="83">
        <f t="shared" si="105"/>
        <v>21.066666666709352</v>
      </c>
      <c r="AJ572" s="83">
        <f t="shared" si="106"/>
        <v>7.2911392404915558</v>
      </c>
      <c r="AK572" s="83"/>
      <c r="AL572" s="83"/>
      <c r="AM572" s="83"/>
      <c r="AN572" s="83"/>
    </row>
    <row r="573" spans="1:40" ht="15" hidden="1" x14ac:dyDescent="0.25">
      <c r="A573" s="82">
        <v>45719</v>
      </c>
      <c r="B573" s="94" t="str">
        <f t="shared" si="96"/>
        <v>March</v>
      </c>
      <c r="C573" s="79" t="s">
        <v>2161</v>
      </c>
      <c r="D573" s="79" t="s">
        <v>945</v>
      </c>
      <c r="E573" s="80" t="s">
        <v>1016</v>
      </c>
      <c r="F573" s="79" t="s">
        <v>957</v>
      </c>
      <c r="G573" s="79" t="s">
        <v>974</v>
      </c>
      <c r="H573" s="79" t="s">
        <v>991</v>
      </c>
      <c r="I573" s="79">
        <v>153.6</v>
      </c>
      <c r="J573" s="79" t="s">
        <v>945</v>
      </c>
      <c r="K573" s="80" t="s">
        <v>469</v>
      </c>
      <c r="L573" s="79">
        <v>20</v>
      </c>
      <c r="M573" s="80">
        <f>L573-3</f>
        <v>17</v>
      </c>
      <c r="N573" s="81">
        <f t="shared" si="107"/>
        <v>-3</v>
      </c>
      <c r="P573" s="82">
        <f>R573-TIME(0,29,0)</f>
        <v>45719.271527777775</v>
      </c>
      <c r="Q573" s="82">
        <v>45719.320833333331</v>
      </c>
      <c r="R573" s="82">
        <v>45719.291666666664</v>
      </c>
      <c r="S573" s="81">
        <f t="shared" si="97"/>
        <v>-41.805555556250816</v>
      </c>
      <c r="T573" s="81">
        <f t="shared" si="98"/>
        <v>28.865740740972495</v>
      </c>
      <c r="U573" s="79"/>
      <c r="V573" s="82">
        <v>45719.385416666664</v>
      </c>
      <c r="W573" s="82">
        <f>V573+TIME(0,163,0)</f>
        <v>45719.498611111107</v>
      </c>
      <c r="X573" s="103">
        <f t="shared" si="99"/>
        <v>159.60416666370293</v>
      </c>
      <c r="Y573" s="82"/>
      <c r="Z573" s="82">
        <v>45719.558333333334</v>
      </c>
      <c r="AA573" s="82">
        <f>Z573+TIME(0,50,0)</f>
        <v>45719.593055555553</v>
      </c>
      <c r="AB573" s="81">
        <f t="shared" si="100"/>
        <v>48.958333328773733</v>
      </c>
      <c r="AC573" s="82"/>
      <c r="AD573" s="83">
        <f t="shared" si="101"/>
        <v>0.26666666667006211</v>
      </c>
      <c r="AE573" s="83">
        <v>3</v>
      </c>
      <c r="AF573" s="83">
        <f t="shared" si="102"/>
        <v>2.7333333333299379</v>
      </c>
      <c r="AG573" s="83">
        <f t="shared" si="103"/>
        <v>6.4000000000814907</v>
      </c>
      <c r="AH573" s="83">
        <f t="shared" si="104"/>
        <v>0</v>
      </c>
      <c r="AI573" s="83">
        <f t="shared" si="105"/>
        <v>6.4000000000814907</v>
      </c>
      <c r="AJ573" s="83">
        <f t="shared" si="106"/>
        <v>23.99999999969441</v>
      </c>
      <c r="AK573" s="83"/>
      <c r="AL573" s="83"/>
      <c r="AM573" s="83"/>
      <c r="AN573" s="83"/>
    </row>
    <row r="574" spans="1:40" ht="15" hidden="1" x14ac:dyDescent="0.25">
      <c r="A574" s="82">
        <v>45719</v>
      </c>
      <c r="B574" s="94" t="str">
        <f t="shared" si="96"/>
        <v>March</v>
      </c>
      <c r="C574" s="79" t="s">
        <v>2161</v>
      </c>
      <c r="D574" s="79" t="s">
        <v>948</v>
      </c>
      <c r="E574" s="80" t="s">
        <v>1016</v>
      </c>
      <c r="F574" s="79" t="s">
        <v>950</v>
      </c>
      <c r="G574" s="79" t="s">
        <v>967</v>
      </c>
      <c r="H574" s="79" t="s">
        <v>1282</v>
      </c>
      <c r="I574" s="79">
        <v>153.6</v>
      </c>
      <c r="J574" s="79" t="s">
        <v>948</v>
      </c>
      <c r="K574" s="80" t="s">
        <v>469</v>
      </c>
      <c r="L574" s="79">
        <v>810</v>
      </c>
      <c r="M574" s="80">
        <f>L574+2</f>
        <v>812</v>
      </c>
      <c r="N574" s="81">
        <f t="shared" si="107"/>
        <v>2</v>
      </c>
      <c r="P574" s="82">
        <f>R574-TIME(0,29,0)</f>
        <v>45718.794444444444</v>
      </c>
      <c r="Q574" s="82">
        <v>45718.916666666664</v>
      </c>
      <c r="R574" s="82">
        <v>45718.814583333333</v>
      </c>
      <c r="S574" s="81">
        <f t="shared" si="97"/>
        <v>-146.31944444166342</v>
      </c>
      <c r="T574" s="81">
        <f t="shared" si="98"/>
        <v>28.865740740972495</v>
      </c>
      <c r="U574" s="79"/>
      <c r="V574" s="82">
        <v>45719.617361111108</v>
      </c>
      <c r="W574" s="82">
        <v>45720.456944444442</v>
      </c>
      <c r="X574" s="103">
        <f t="shared" si="99"/>
        <v>1183.8125000013679</v>
      </c>
      <c r="Y574" s="82"/>
      <c r="Z574" s="82">
        <v>45719.786111111112</v>
      </c>
      <c r="AA574" s="82">
        <f>Z574+TIME(0,44,0)</f>
        <v>45719.816666666666</v>
      </c>
      <c r="AB574" s="81">
        <f t="shared" si="100"/>
        <v>43.083333330141613</v>
      </c>
      <c r="AC574" s="82"/>
      <c r="AD574" s="83">
        <f t="shared" si="101"/>
        <v>0.97152777777955635</v>
      </c>
      <c r="AE574" s="83">
        <v>3</v>
      </c>
      <c r="AF574" s="83">
        <f t="shared" si="102"/>
        <v>2.0284722222204437</v>
      </c>
      <c r="AG574" s="83">
        <f t="shared" si="103"/>
        <v>23.316666666709352</v>
      </c>
      <c r="AH574" s="83">
        <f t="shared" si="104"/>
        <v>0</v>
      </c>
      <c r="AI574" s="83">
        <f t="shared" si="105"/>
        <v>23.316666666709352</v>
      </c>
      <c r="AJ574" s="83">
        <f t="shared" si="106"/>
        <v>6.587562544662708</v>
      </c>
      <c r="AK574" s="83"/>
      <c r="AL574" s="83"/>
      <c r="AM574" s="83"/>
      <c r="AN574" s="83"/>
    </row>
    <row r="575" spans="1:40" ht="15" hidden="1" x14ac:dyDescent="0.25">
      <c r="A575" s="82">
        <v>45719</v>
      </c>
      <c r="B575" s="94" t="str">
        <f t="shared" si="96"/>
        <v>March</v>
      </c>
      <c r="C575" s="79" t="s">
        <v>2161</v>
      </c>
      <c r="D575" s="79" t="s">
        <v>946</v>
      </c>
      <c r="E575" s="80" t="s">
        <v>1016</v>
      </c>
      <c r="F575" s="79" t="s">
        <v>956</v>
      </c>
      <c r="G575" s="79" t="s">
        <v>973</v>
      </c>
      <c r="H575" s="79" t="s">
        <v>982</v>
      </c>
      <c r="I575" s="79">
        <v>153.6</v>
      </c>
      <c r="J575" s="79" t="s">
        <v>946</v>
      </c>
      <c r="K575" s="80" t="s">
        <v>469</v>
      </c>
      <c r="L575" s="80">
        <v>298</v>
      </c>
      <c r="M575" s="80">
        <f>L575-3</f>
        <v>295</v>
      </c>
      <c r="N575" s="81">
        <f t="shared" si="107"/>
        <v>-3</v>
      </c>
      <c r="P575" s="82">
        <f>R575-TIME(0,27,0)</f>
        <v>45718.822222222218</v>
      </c>
      <c r="Q575" s="82">
        <v>45719.176388888889</v>
      </c>
      <c r="R575" s="82">
        <v>45718.84097222222</v>
      </c>
      <c r="S575" s="81">
        <f t="shared" si="97"/>
        <v>-480.76388889166992</v>
      </c>
      <c r="T575" s="81">
        <f t="shared" si="98"/>
        <v>26.87500000417155</v>
      </c>
      <c r="U575" s="79"/>
      <c r="V575" s="82">
        <v>45719.545138888891</v>
      </c>
      <c r="W575" s="82">
        <v>45719.691666666666</v>
      </c>
      <c r="X575" s="103">
        <f t="shared" si="99"/>
        <v>206.60416666301899</v>
      </c>
      <c r="Y575" s="82" t="s">
        <v>1039</v>
      </c>
      <c r="Z575" s="82">
        <v>45720.556944444441</v>
      </c>
      <c r="AA575" s="82">
        <f>Z575+TIME(0,50,0)</f>
        <v>45720.59166666666</v>
      </c>
      <c r="AB575" s="81">
        <f t="shared" si="100"/>
        <v>48.958333328773733</v>
      </c>
      <c r="AC575" s="82"/>
      <c r="AD575" s="83">
        <f t="shared" si="101"/>
        <v>1.7159722222204437</v>
      </c>
      <c r="AE575" s="83">
        <v>2</v>
      </c>
      <c r="AF575" s="83">
        <f t="shared" si="102"/>
        <v>0.28402777777955635</v>
      </c>
      <c r="AG575" s="83">
        <f t="shared" si="103"/>
        <v>41.183333333290648</v>
      </c>
      <c r="AH575" s="83">
        <f t="shared" si="104"/>
        <v>12</v>
      </c>
      <c r="AI575" s="83">
        <f t="shared" si="105"/>
        <v>29.183333333290648</v>
      </c>
      <c r="AJ575" s="83">
        <f t="shared" si="106"/>
        <v>5.2632781267923932</v>
      </c>
      <c r="AK575" s="83"/>
      <c r="AL575" s="83"/>
      <c r="AM575" s="83"/>
      <c r="AN575" s="83"/>
    </row>
    <row r="576" spans="1:40" ht="15" hidden="1" x14ac:dyDescent="0.25">
      <c r="A576" s="82">
        <v>45720</v>
      </c>
      <c r="B576" s="94" t="str">
        <f t="shared" si="96"/>
        <v>March</v>
      </c>
      <c r="C576" s="79" t="s">
        <v>2162</v>
      </c>
      <c r="D576" s="79" t="s">
        <v>348</v>
      </c>
      <c r="E576" s="80" t="s">
        <v>1017</v>
      </c>
      <c r="F576" s="79" t="s">
        <v>1025</v>
      </c>
      <c r="G576" s="79" t="s">
        <v>54</v>
      </c>
      <c r="H576" s="79" t="s">
        <v>451</v>
      </c>
      <c r="I576" s="79">
        <v>156</v>
      </c>
      <c r="J576" s="79" t="s">
        <v>348</v>
      </c>
      <c r="K576" s="80" t="s">
        <v>469</v>
      </c>
      <c r="L576" s="80">
        <v>790</v>
      </c>
      <c r="M576" s="80">
        <f>L576+2</f>
        <v>792</v>
      </c>
      <c r="N576" s="81">
        <f t="shared" si="107"/>
        <v>2</v>
      </c>
      <c r="P576" s="82">
        <f>R576-TIME(0,52,0)</f>
        <v>45719.376388888886</v>
      </c>
      <c r="Q576" s="82">
        <v>45718.619444444441</v>
      </c>
      <c r="R576" s="82">
        <v>45719.412499999999</v>
      </c>
      <c r="S576" s="81">
        <f t="shared" si="97"/>
        <v>1136.7129629659757</v>
      </c>
      <c r="T576" s="81">
        <f t="shared" si="98"/>
        <v>51.759259261113279</v>
      </c>
      <c r="U576" s="79" t="s">
        <v>562</v>
      </c>
      <c r="V576" s="82">
        <v>45720.637499999997</v>
      </c>
      <c r="W576" s="82">
        <v>45720.740972222222</v>
      </c>
      <c r="X576" s="103">
        <f t="shared" si="99"/>
        <v>145.89583333698101</v>
      </c>
      <c r="Y576" s="82"/>
      <c r="Z576" s="82">
        <v>45721.402777777781</v>
      </c>
      <c r="AA576" s="82">
        <f>Z576+TIME(0,44,0)</f>
        <v>45721.433333333334</v>
      </c>
      <c r="AB576" s="81">
        <f t="shared" si="100"/>
        <v>43.083333330141613</v>
      </c>
      <c r="AC576" s="82"/>
      <c r="AD576" s="83">
        <f t="shared" si="101"/>
        <v>1.9902777777824667</v>
      </c>
      <c r="AE576" s="83">
        <v>3</v>
      </c>
      <c r="AF576" s="83">
        <f t="shared" si="102"/>
        <v>1.0097222222175333</v>
      </c>
      <c r="AG576" s="83">
        <f t="shared" si="103"/>
        <v>47.766666666779201</v>
      </c>
      <c r="AH576" s="83">
        <f t="shared" si="104"/>
        <v>12</v>
      </c>
      <c r="AI576" s="83">
        <f t="shared" si="105"/>
        <v>35.766666666779201</v>
      </c>
      <c r="AJ576" s="83">
        <f t="shared" si="106"/>
        <v>4.3616029822789146</v>
      </c>
      <c r="AK576" s="83"/>
      <c r="AL576" s="83"/>
      <c r="AM576" s="83"/>
      <c r="AN576" s="83"/>
    </row>
    <row r="577" spans="1:40" ht="15" hidden="1" x14ac:dyDescent="0.25">
      <c r="A577" s="82">
        <v>45720</v>
      </c>
      <c r="B577" s="94" t="str">
        <f t="shared" si="96"/>
        <v>March</v>
      </c>
      <c r="C577" s="79" t="s">
        <v>2162</v>
      </c>
      <c r="D577" s="79" t="s">
        <v>349</v>
      </c>
      <c r="E577" s="80" t="s">
        <v>1017</v>
      </c>
      <c r="F577" s="79" t="s">
        <v>1033</v>
      </c>
      <c r="G577" s="79" t="s">
        <v>41</v>
      </c>
      <c r="H577" s="79" t="s">
        <v>452</v>
      </c>
      <c r="I577" s="79">
        <v>156</v>
      </c>
      <c r="J577" s="79" t="s">
        <v>349</v>
      </c>
      <c r="K577" s="80" t="s">
        <v>469</v>
      </c>
      <c r="L577" s="80">
        <v>690</v>
      </c>
      <c r="M577" s="80">
        <f>L577+2</f>
        <v>692</v>
      </c>
      <c r="N577" s="81">
        <f t="shared" si="107"/>
        <v>2</v>
      </c>
      <c r="P577" s="82">
        <f>R577-TIME(0,29,0)</f>
        <v>45720.505555555552</v>
      </c>
      <c r="Q577" s="82">
        <v>45720.154166666667</v>
      </c>
      <c r="R577" s="82">
        <v>45720.525694444441</v>
      </c>
      <c r="S577" s="81">
        <f t="shared" si="97"/>
        <v>532.52314814235433</v>
      </c>
      <c r="T577" s="81">
        <f t="shared" si="98"/>
        <v>28.865740740972495</v>
      </c>
      <c r="U577" s="79"/>
      <c r="V577" s="82">
        <v>45721.390277777777</v>
      </c>
      <c r="W577" s="82">
        <v>45721.670138888891</v>
      </c>
      <c r="X577" s="103">
        <f t="shared" si="99"/>
        <v>394.60416667054233</v>
      </c>
      <c r="Y577" s="82"/>
      <c r="Z577" s="82">
        <v>45721.464583333334</v>
      </c>
      <c r="AA577" s="82">
        <f>Z577+TIME(0,44,0)</f>
        <v>45721.495138888888</v>
      </c>
      <c r="AB577" s="81">
        <f t="shared" si="100"/>
        <v>43.083333330141613</v>
      </c>
      <c r="AC577" s="82" t="s">
        <v>1675</v>
      </c>
      <c r="AD577" s="83">
        <f t="shared" si="101"/>
        <v>0.93888888889341615</v>
      </c>
      <c r="AE577" s="83">
        <v>3</v>
      </c>
      <c r="AF577" s="83">
        <f t="shared" si="102"/>
        <v>2.0611111111065838</v>
      </c>
      <c r="AG577" s="83">
        <f t="shared" si="103"/>
        <v>22.533333333441988</v>
      </c>
      <c r="AH577" s="83">
        <f t="shared" si="104"/>
        <v>0</v>
      </c>
      <c r="AI577" s="83">
        <f t="shared" si="105"/>
        <v>22.533333333441988</v>
      </c>
      <c r="AJ577" s="83">
        <f t="shared" si="106"/>
        <v>6.9230769230435403</v>
      </c>
      <c r="AK577" s="83"/>
      <c r="AL577" s="83"/>
      <c r="AM577" s="83"/>
      <c r="AN577" s="83"/>
    </row>
    <row r="578" spans="1:40" ht="15" hidden="1" x14ac:dyDescent="0.25">
      <c r="A578" s="82">
        <v>45720</v>
      </c>
      <c r="B578" s="94" t="str">
        <f t="shared" ref="B578:B641" si="111">TEXT(A578, "MMMM")</f>
        <v>March</v>
      </c>
      <c r="C578" s="79" t="s">
        <v>2162</v>
      </c>
      <c r="D578" s="79" t="s">
        <v>350</v>
      </c>
      <c r="E578" s="80" t="s">
        <v>1017</v>
      </c>
      <c r="F578" s="79"/>
      <c r="G578" s="79" t="s">
        <v>47</v>
      </c>
      <c r="H578" s="79" t="s">
        <v>452</v>
      </c>
      <c r="I578" s="79">
        <v>156</v>
      </c>
      <c r="J578" s="79" t="s">
        <v>350</v>
      </c>
      <c r="K578" s="80" t="s">
        <v>469</v>
      </c>
      <c r="L578" s="80">
        <v>690</v>
      </c>
      <c r="M578" s="80">
        <f>L578-4</f>
        <v>686</v>
      </c>
      <c r="N578" s="81">
        <f t="shared" si="107"/>
        <v>-4</v>
      </c>
      <c r="P578" s="82">
        <f>R578-TIME(0,28,0)</f>
        <v>45719.330555555556</v>
      </c>
      <c r="Q578" s="82">
        <v>45719.098611111112</v>
      </c>
      <c r="R578" s="82">
        <v>45719.35</v>
      </c>
      <c r="S578" s="81">
        <f t="shared" ref="S578:S641" si="112">(R578-Q578)*86000/60</f>
        <v>360.32407407013426</v>
      </c>
      <c r="T578" s="81">
        <f t="shared" ref="T578:T641" si="113">(R578-P578)*86000/60</f>
        <v>27.870370367357584</v>
      </c>
      <c r="U578" s="79"/>
      <c r="V578" s="82">
        <v>45720.3</v>
      </c>
      <c r="W578" s="82">
        <v>45720.490972222222</v>
      </c>
      <c r="X578" s="103">
        <f t="shared" ref="X578:X641" si="114">(W578-V578)*84600/60</f>
        <v>269.27083332877373</v>
      </c>
      <c r="Y578" s="82" t="s">
        <v>1039</v>
      </c>
      <c r="Z578" s="82">
        <v>45721.464583333334</v>
      </c>
      <c r="AA578" s="82">
        <f>Z578+TIME(0,50,0)</f>
        <v>45721.499305555553</v>
      </c>
      <c r="AB578" s="81">
        <f t="shared" ref="AB578:AB641" si="115">(AA578-Z578)*84600/60</f>
        <v>48.958333328773733</v>
      </c>
      <c r="AC578" s="82"/>
      <c r="AD578" s="83">
        <f t="shared" ref="AD578:AD641" si="116">Z578-R578</f>
        <v>2.1145833333357587</v>
      </c>
      <c r="AE578" s="83">
        <v>3</v>
      </c>
      <c r="AF578" s="83">
        <f t="shared" ref="AF578:AF641" si="117">AE578-AD578</f>
        <v>0.88541666666424135</v>
      </c>
      <c r="AG578" s="83">
        <f t="shared" ref="AG578:AG641" si="118">AD578*24</f>
        <v>50.750000000058208</v>
      </c>
      <c r="AH578" s="83">
        <f t="shared" ref="AH578:AH641" si="119">AG578-AI578</f>
        <v>24</v>
      </c>
      <c r="AI578" s="83">
        <f t="shared" ref="AI578:AI641" si="120" xml:space="preserve"> ((Z578 - R578) * 24) - (INT(Z578 - R578) * 12)</f>
        <v>26.750000000058208</v>
      </c>
      <c r="AJ578" s="83">
        <f t="shared" ref="AJ578:AJ641" si="121">I578/AI578</f>
        <v>5.8317757009218898</v>
      </c>
      <c r="AK578" s="83"/>
      <c r="AL578" s="83"/>
      <c r="AM578" s="83"/>
      <c r="AN578" s="83"/>
    </row>
    <row r="579" spans="1:40" ht="15" hidden="1" x14ac:dyDescent="0.25">
      <c r="A579" s="82">
        <v>45720</v>
      </c>
      <c r="B579" s="94" t="str">
        <f t="shared" si="111"/>
        <v>March</v>
      </c>
      <c r="C579" s="79" t="s">
        <v>2162</v>
      </c>
      <c r="D579" s="79" t="s">
        <v>351</v>
      </c>
      <c r="E579" s="80" t="s">
        <v>1017</v>
      </c>
      <c r="F579" s="79"/>
      <c r="G579" s="79" t="s">
        <v>70</v>
      </c>
      <c r="H579" s="79" t="s">
        <v>451</v>
      </c>
      <c r="I579" s="79">
        <v>156</v>
      </c>
      <c r="J579" s="79" t="s">
        <v>351</v>
      </c>
      <c r="K579" s="80" t="s">
        <v>469</v>
      </c>
      <c r="L579" s="80">
        <v>790</v>
      </c>
      <c r="M579" s="80">
        <f>L579-3</f>
        <v>787</v>
      </c>
      <c r="N579" s="81">
        <f t="shared" si="107"/>
        <v>-3</v>
      </c>
      <c r="P579" s="82">
        <f>R579-TIME(0,28,0)</f>
        <v>45718.560416666667</v>
      </c>
      <c r="Q579" s="82">
        <v>45718.541666666664</v>
      </c>
      <c r="R579" s="82">
        <v>45718.579861111109</v>
      </c>
      <c r="S579" s="81">
        <f t="shared" si="112"/>
        <v>54.745370371529134</v>
      </c>
      <c r="T579" s="81">
        <f t="shared" si="113"/>
        <v>27.870370367357584</v>
      </c>
      <c r="U579" s="79"/>
      <c r="V579" s="82">
        <v>45721.734722222223</v>
      </c>
      <c r="W579" s="82">
        <v>45721.824305555558</v>
      </c>
      <c r="X579" s="103">
        <f t="shared" si="114"/>
        <v>126.31250000136788</v>
      </c>
      <c r="Y579" s="82"/>
      <c r="Z579" s="82">
        <v>45719.509027777778</v>
      </c>
      <c r="AA579" s="82">
        <f>Z579+TIME(0,57,0)</f>
        <v>45719.548611111109</v>
      </c>
      <c r="AB579" s="81">
        <f t="shared" si="115"/>
        <v>55.81249999726424</v>
      </c>
      <c r="AC579" s="82"/>
      <c r="AD579" s="83">
        <f t="shared" si="116"/>
        <v>0.92916666666860692</v>
      </c>
      <c r="AE579" s="83">
        <v>3</v>
      </c>
      <c r="AF579" s="83">
        <f t="shared" si="117"/>
        <v>2.0708333333313931</v>
      </c>
      <c r="AG579" s="83">
        <f t="shared" si="118"/>
        <v>22.300000000046566</v>
      </c>
      <c r="AH579" s="83">
        <f t="shared" si="119"/>
        <v>0</v>
      </c>
      <c r="AI579" s="83">
        <f t="shared" si="120"/>
        <v>22.300000000046566</v>
      </c>
      <c r="AJ579" s="83">
        <f t="shared" si="121"/>
        <v>6.9955156950526565</v>
      </c>
      <c r="AK579" s="83"/>
      <c r="AL579" s="83"/>
      <c r="AM579" s="83"/>
      <c r="AN579" s="83"/>
    </row>
    <row r="580" spans="1:40" ht="15" hidden="1" x14ac:dyDescent="0.25">
      <c r="A580" s="82">
        <v>45720</v>
      </c>
      <c r="B580" s="94" t="str">
        <f t="shared" si="111"/>
        <v>March</v>
      </c>
      <c r="C580" s="79" t="s">
        <v>2162</v>
      </c>
      <c r="D580" s="79" t="s">
        <v>352</v>
      </c>
      <c r="E580" s="80" t="s">
        <v>1017</v>
      </c>
      <c r="F580" s="79" t="s">
        <v>1027</v>
      </c>
      <c r="G580" s="79" t="s">
        <v>34</v>
      </c>
      <c r="H580" s="79" t="s">
        <v>448</v>
      </c>
      <c r="I580" s="79">
        <v>2.1779999999999999</v>
      </c>
      <c r="J580" s="79" t="s">
        <v>352</v>
      </c>
      <c r="K580" s="80" t="s">
        <v>469</v>
      </c>
      <c r="L580" s="80">
        <v>560</v>
      </c>
      <c r="M580" s="80">
        <f>L580-3</f>
        <v>557</v>
      </c>
      <c r="N580" s="81">
        <f t="shared" ref="N580:N643" si="122">M580-L580</f>
        <v>-3</v>
      </c>
      <c r="P580" s="82">
        <f>R580-TIME(0,53,0)</f>
        <v>45719.254861111105</v>
      </c>
      <c r="Q580" s="82">
        <v>45719.320833333331</v>
      </c>
      <c r="R580" s="82">
        <v>45719.291666666664</v>
      </c>
      <c r="S580" s="81">
        <f t="shared" si="112"/>
        <v>-41.805555556250816</v>
      </c>
      <c r="T580" s="81">
        <f t="shared" si="113"/>
        <v>52.75462963472819</v>
      </c>
      <c r="U580" s="79" t="s">
        <v>2164</v>
      </c>
      <c r="V580" s="82">
        <v>45720.421527777777</v>
      </c>
      <c r="W580" s="82">
        <v>45720.506249999999</v>
      </c>
      <c r="X580" s="103">
        <f t="shared" si="114"/>
        <v>119.45833333287737</v>
      </c>
      <c r="Y580" s="82"/>
      <c r="Z580" s="82">
        <v>45721.509027777778</v>
      </c>
      <c r="AA580" s="82">
        <f>Z580+TIME(0,44,0)</f>
        <v>45721.539583333331</v>
      </c>
      <c r="AB580" s="81">
        <f t="shared" si="115"/>
        <v>43.083333330141613</v>
      </c>
      <c r="AC580" s="82"/>
      <c r="AD580" s="83">
        <f t="shared" si="116"/>
        <v>2.2173611111138598</v>
      </c>
      <c r="AE580" s="83">
        <v>2</v>
      </c>
      <c r="AF580" s="83">
        <f t="shared" si="117"/>
        <v>-0.21736111111385981</v>
      </c>
      <c r="AG580" s="83">
        <f t="shared" si="118"/>
        <v>53.216666666732635</v>
      </c>
      <c r="AH580" s="83">
        <f t="shared" si="119"/>
        <v>24</v>
      </c>
      <c r="AI580" s="83">
        <f t="shared" si="120"/>
        <v>29.216666666732635</v>
      </c>
      <c r="AJ580" s="83">
        <f t="shared" si="121"/>
        <v>7.4546491728297165E-2</v>
      </c>
      <c r="AK580" s="83"/>
      <c r="AL580" s="83"/>
      <c r="AM580" s="83"/>
      <c r="AN580" s="83"/>
    </row>
    <row r="581" spans="1:40" ht="15" hidden="1" x14ac:dyDescent="0.25">
      <c r="A581" s="82">
        <v>45720</v>
      </c>
      <c r="B581" s="94" t="str">
        <f t="shared" si="111"/>
        <v>March</v>
      </c>
      <c r="C581" s="79" t="s">
        <v>2162</v>
      </c>
      <c r="D581" s="79" t="s">
        <v>353</v>
      </c>
      <c r="E581" s="80" t="s">
        <v>1017</v>
      </c>
      <c r="F581" s="79" t="s">
        <v>1021</v>
      </c>
      <c r="G581" s="79" t="s">
        <v>57</v>
      </c>
      <c r="H581" s="79" t="s">
        <v>460</v>
      </c>
      <c r="I581" s="79">
        <v>78</v>
      </c>
      <c r="J581" s="79" t="s">
        <v>353</v>
      </c>
      <c r="K581" s="80" t="s">
        <v>469</v>
      </c>
      <c r="L581" s="80">
        <v>600</v>
      </c>
      <c r="M581" s="80">
        <f>L581-3</f>
        <v>597</v>
      </c>
      <c r="N581" s="81">
        <f t="shared" si="122"/>
        <v>-3</v>
      </c>
      <c r="P581" s="82">
        <f>R581-TIME(0,29,0)</f>
        <v>45718.695138888892</v>
      </c>
      <c r="Q581" s="82">
        <v>45718.800694444442</v>
      </c>
      <c r="R581" s="82">
        <v>45718.715277777781</v>
      </c>
      <c r="S581" s="81">
        <f t="shared" si="112"/>
        <v>-122.43055554790772</v>
      </c>
      <c r="T581" s="81">
        <f t="shared" si="113"/>
        <v>28.865740740972495</v>
      </c>
      <c r="U581" s="79"/>
      <c r="V581" s="82">
        <v>45720.509027777778</v>
      </c>
      <c r="W581" s="82">
        <v>45720.588194444441</v>
      </c>
      <c r="X581" s="103">
        <f t="shared" si="114"/>
        <v>111.62499999452848</v>
      </c>
      <c r="Y581" s="82"/>
      <c r="Z581" s="82">
        <v>45720.373611111114</v>
      </c>
      <c r="AA581" s="82">
        <f>Z581+TIME(0,60,0)</f>
        <v>45720.415277777778</v>
      </c>
      <c r="AB581" s="81">
        <f t="shared" si="115"/>
        <v>58.7499999965803</v>
      </c>
      <c r="AC581" s="82"/>
      <c r="AD581" s="83">
        <f t="shared" si="116"/>
        <v>1.6583333333328483</v>
      </c>
      <c r="AE581" s="83">
        <v>2</v>
      </c>
      <c r="AF581" s="83">
        <f t="shared" si="117"/>
        <v>0.34166666666715173</v>
      </c>
      <c r="AG581" s="83">
        <f t="shared" si="118"/>
        <v>39.799999999988358</v>
      </c>
      <c r="AH581" s="83">
        <f t="shared" si="119"/>
        <v>12</v>
      </c>
      <c r="AI581" s="83">
        <f t="shared" si="120"/>
        <v>27.799999999988358</v>
      </c>
      <c r="AJ581" s="83">
        <f t="shared" si="121"/>
        <v>2.8057553956846282</v>
      </c>
      <c r="AK581" s="83"/>
      <c r="AL581" s="83"/>
      <c r="AM581" s="83"/>
      <c r="AN581" s="83"/>
    </row>
    <row r="582" spans="1:40" ht="15" hidden="1" x14ac:dyDescent="0.25">
      <c r="A582" s="82">
        <v>45720</v>
      </c>
      <c r="B582" s="94" t="str">
        <f t="shared" si="111"/>
        <v>March</v>
      </c>
      <c r="C582" s="79" t="s">
        <v>2162</v>
      </c>
      <c r="D582" s="79" t="s">
        <v>354</v>
      </c>
      <c r="E582" s="80" t="s">
        <v>1017</v>
      </c>
      <c r="F582" s="79" t="s">
        <v>1029</v>
      </c>
      <c r="G582" s="79" t="s">
        <v>38</v>
      </c>
      <c r="H582" s="79" t="s">
        <v>449</v>
      </c>
      <c r="I582" s="79">
        <v>156</v>
      </c>
      <c r="J582" s="79" t="s">
        <v>354</v>
      </c>
      <c r="K582" s="80" t="s">
        <v>469</v>
      </c>
      <c r="L582" s="80">
        <v>790</v>
      </c>
      <c r="M582" s="80">
        <f>L582-2</f>
        <v>788</v>
      </c>
      <c r="N582" s="81">
        <f t="shared" si="122"/>
        <v>-2</v>
      </c>
      <c r="P582" s="82">
        <f>R582-TIME(0,29,0)</f>
        <v>45718.794444444444</v>
      </c>
      <c r="Q582" s="82">
        <v>45718.916666666664</v>
      </c>
      <c r="R582" s="82">
        <v>45718.814583333333</v>
      </c>
      <c r="S582" s="81">
        <f t="shared" si="112"/>
        <v>-146.31944444166342</v>
      </c>
      <c r="T582" s="81">
        <f t="shared" si="113"/>
        <v>28.865740740972495</v>
      </c>
      <c r="U582" s="79"/>
      <c r="V582" s="82">
        <v>45720.611111111109</v>
      </c>
      <c r="W582" s="82">
        <v>45720.782638888886</v>
      </c>
      <c r="X582" s="103">
        <f t="shared" si="114"/>
        <v>241.85416666507081</v>
      </c>
      <c r="Y582" s="82"/>
      <c r="Z582" s="82">
        <v>45720.373611111114</v>
      </c>
      <c r="AA582" s="82">
        <f>Z582+TIME(0,41,0)</f>
        <v>45720.402083333334</v>
      </c>
      <c r="AB582" s="81">
        <f t="shared" si="115"/>
        <v>40.145833330825553</v>
      </c>
      <c r="AC582" s="82"/>
      <c r="AD582" s="83">
        <f t="shared" si="116"/>
        <v>1.5590277777810115</v>
      </c>
      <c r="AE582" s="83">
        <v>3</v>
      </c>
      <c r="AF582" s="83">
        <f t="shared" si="117"/>
        <v>1.4409722222189885</v>
      </c>
      <c r="AG582" s="83">
        <f t="shared" si="118"/>
        <v>37.416666666744277</v>
      </c>
      <c r="AH582" s="83">
        <f t="shared" si="119"/>
        <v>12</v>
      </c>
      <c r="AI582" s="83">
        <f t="shared" si="120"/>
        <v>25.416666666744277</v>
      </c>
      <c r="AJ582" s="83">
        <f t="shared" si="121"/>
        <v>6.1377049180140455</v>
      </c>
      <c r="AK582" s="83"/>
      <c r="AL582" s="83"/>
      <c r="AM582" s="83"/>
      <c r="AN582" s="83"/>
    </row>
    <row r="583" spans="1:40" ht="15" hidden="1" x14ac:dyDescent="0.25">
      <c r="A583" s="82">
        <v>45720</v>
      </c>
      <c r="B583" s="94" t="str">
        <f t="shared" si="111"/>
        <v>March</v>
      </c>
      <c r="C583" s="79" t="s">
        <v>2162</v>
      </c>
      <c r="D583" s="79" t="s">
        <v>355</v>
      </c>
      <c r="E583" s="80" t="s">
        <v>1017</v>
      </c>
      <c r="F583" s="79" t="s">
        <v>1037</v>
      </c>
      <c r="G583" s="79" t="s">
        <v>59</v>
      </c>
      <c r="H583" s="79" t="s">
        <v>454</v>
      </c>
      <c r="I583" s="79">
        <v>156</v>
      </c>
      <c r="J583" s="79" t="s">
        <v>355</v>
      </c>
      <c r="K583" s="80" t="s">
        <v>469</v>
      </c>
      <c r="L583" s="80">
        <v>304</v>
      </c>
      <c r="M583" s="80">
        <f>L583-3</f>
        <v>301</v>
      </c>
      <c r="N583" s="81">
        <f t="shared" si="122"/>
        <v>-3</v>
      </c>
      <c r="P583" s="82">
        <f>R583-TIME(0,29,0)</f>
        <v>45719.85833333333</v>
      </c>
      <c r="Q583" s="82">
        <v>45719.706250000003</v>
      </c>
      <c r="R583" s="82">
        <v>45719.878472222219</v>
      </c>
      <c r="S583" s="81">
        <f t="shared" si="112"/>
        <v>246.85185184304524</v>
      </c>
      <c r="T583" s="81">
        <f t="shared" si="113"/>
        <v>28.865740740972495</v>
      </c>
      <c r="U583" s="79"/>
      <c r="V583" s="82">
        <v>45720.347222222219</v>
      </c>
      <c r="W583" s="82">
        <v>45720.506249999999</v>
      </c>
      <c r="X583" s="103">
        <f t="shared" si="114"/>
        <v>224.22916666917445</v>
      </c>
      <c r="Y583" s="82" t="s">
        <v>1044</v>
      </c>
      <c r="Z583" s="82">
        <v>45720.655555555553</v>
      </c>
      <c r="AA583" s="82">
        <v>45720.688194444439</v>
      </c>
      <c r="AB583" s="81">
        <f t="shared" si="115"/>
        <v>46.020833329457673</v>
      </c>
      <c r="AC583" s="82"/>
      <c r="AD583" s="83">
        <f t="shared" si="116"/>
        <v>0.77708333333430346</v>
      </c>
      <c r="AE583" s="83">
        <v>2</v>
      </c>
      <c r="AF583" s="83">
        <f t="shared" si="117"/>
        <v>1.2229166666656965</v>
      </c>
      <c r="AG583" s="83">
        <f t="shared" si="118"/>
        <v>18.650000000023283</v>
      </c>
      <c r="AH583" s="83">
        <f t="shared" si="119"/>
        <v>0</v>
      </c>
      <c r="AI583" s="83">
        <f t="shared" si="120"/>
        <v>18.650000000023283</v>
      </c>
      <c r="AJ583" s="83">
        <f t="shared" si="121"/>
        <v>8.3646112600431763</v>
      </c>
      <c r="AK583" s="83"/>
      <c r="AL583" s="83"/>
      <c r="AM583" s="83"/>
      <c r="AN583" s="83"/>
    </row>
    <row r="584" spans="1:40" ht="15" hidden="1" x14ac:dyDescent="0.25">
      <c r="A584" s="82">
        <v>45720</v>
      </c>
      <c r="B584" s="94" t="str">
        <f t="shared" si="111"/>
        <v>March</v>
      </c>
      <c r="C584" s="79" t="s">
        <v>2162</v>
      </c>
      <c r="D584" s="79" t="s">
        <v>356</v>
      </c>
      <c r="E584" s="80" t="s">
        <v>1017</v>
      </c>
      <c r="F584" s="79" t="s">
        <v>960</v>
      </c>
      <c r="G584" s="79" t="s">
        <v>62</v>
      </c>
      <c r="H584" s="79" t="s">
        <v>456</v>
      </c>
      <c r="I584" s="79">
        <v>156</v>
      </c>
      <c r="J584" s="79" t="s">
        <v>356</v>
      </c>
      <c r="K584" s="80" t="s">
        <v>469</v>
      </c>
      <c r="L584" s="80">
        <v>670</v>
      </c>
      <c r="M584" s="80">
        <f>L584-1</f>
        <v>669</v>
      </c>
      <c r="N584" s="81">
        <f t="shared" si="122"/>
        <v>-1</v>
      </c>
      <c r="P584" s="82">
        <f>R584-TIME(0,22,0)</f>
        <v>45719.806944444448</v>
      </c>
      <c r="Q584" s="82">
        <v>45719.743750000001</v>
      </c>
      <c r="R584" s="82">
        <v>45719.822222222225</v>
      </c>
      <c r="S584" s="81">
        <f t="shared" si="112"/>
        <v>112.47685185347412</v>
      </c>
      <c r="T584" s="81">
        <f t="shared" si="113"/>
        <v>21.89814814652588</v>
      </c>
      <c r="U584" s="79"/>
      <c r="V584" s="82">
        <v>45719.939583333333</v>
      </c>
      <c r="W584" s="82">
        <v>45720.666666666664</v>
      </c>
      <c r="X584" s="103">
        <f t="shared" si="114"/>
        <v>1025.1874999972642</v>
      </c>
      <c r="Y584" s="82"/>
      <c r="Z584" s="82">
        <v>45720.759722222225</v>
      </c>
      <c r="AA584" s="82">
        <f>Z584+TIME(0,43,0)</f>
        <v>45720.789583333339</v>
      </c>
      <c r="AB584" s="81">
        <f t="shared" si="115"/>
        <v>42.104166670542327</v>
      </c>
      <c r="AC584" s="82"/>
      <c r="AD584" s="83">
        <f t="shared" si="116"/>
        <v>0.9375</v>
      </c>
      <c r="AE584" s="83">
        <v>2</v>
      </c>
      <c r="AF584" s="83">
        <f t="shared" si="117"/>
        <v>1.0625</v>
      </c>
      <c r="AG584" s="83">
        <f t="shared" si="118"/>
        <v>22.5</v>
      </c>
      <c r="AH584" s="83">
        <f t="shared" si="119"/>
        <v>0</v>
      </c>
      <c r="AI584" s="83">
        <f t="shared" si="120"/>
        <v>22.5</v>
      </c>
      <c r="AJ584" s="83">
        <f t="shared" si="121"/>
        <v>6.9333333333333336</v>
      </c>
      <c r="AK584" s="83"/>
      <c r="AL584" s="83"/>
      <c r="AM584" s="83"/>
      <c r="AN584" s="83"/>
    </row>
    <row r="585" spans="1:40" ht="15" hidden="1" x14ac:dyDescent="0.25">
      <c r="A585" s="82">
        <v>45720</v>
      </c>
      <c r="B585" s="94" t="str">
        <f t="shared" si="111"/>
        <v>March</v>
      </c>
      <c r="C585" s="79" t="s">
        <v>2162</v>
      </c>
      <c r="D585" s="79" t="s">
        <v>357</v>
      </c>
      <c r="E585" s="80" t="s">
        <v>1017</v>
      </c>
      <c r="F585" s="79" t="s">
        <v>1019</v>
      </c>
      <c r="G585" s="79" t="s">
        <v>37</v>
      </c>
      <c r="H585" s="79" t="s">
        <v>455</v>
      </c>
      <c r="I585" s="79">
        <v>156</v>
      </c>
      <c r="J585" s="79" t="s">
        <v>357</v>
      </c>
      <c r="K585" s="80" t="s">
        <v>469</v>
      </c>
      <c r="L585" s="80">
        <v>580</v>
      </c>
      <c r="M585" s="80">
        <f>L585-3</f>
        <v>577</v>
      </c>
      <c r="N585" s="81">
        <f t="shared" si="122"/>
        <v>-3</v>
      </c>
      <c r="P585" s="82">
        <f>R585-TIME(0,52,0)</f>
        <v>45719.836805555555</v>
      </c>
      <c r="Q585" s="82">
        <v>45719.779861111114</v>
      </c>
      <c r="R585" s="82">
        <v>45719.872916666667</v>
      </c>
      <c r="S585" s="81">
        <f t="shared" si="112"/>
        <v>133.37962962638508</v>
      </c>
      <c r="T585" s="81">
        <f t="shared" si="113"/>
        <v>51.759259261113279</v>
      </c>
      <c r="U585" s="79" t="s">
        <v>2166</v>
      </c>
      <c r="V585" s="82">
        <v>45720.611805555556</v>
      </c>
      <c r="W585" s="82">
        <v>45720.724999999999</v>
      </c>
      <c r="X585" s="103">
        <f t="shared" si="114"/>
        <v>159.60416666370293</v>
      </c>
      <c r="Y585" s="82"/>
      <c r="Z585" s="82">
        <v>45721.405555555553</v>
      </c>
      <c r="AA585" s="82">
        <f>Z585+TIME(0,53,0)</f>
        <v>45721.442361111112</v>
      </c>
      <c r="AB585" s="81">
        <f t="shared" si="115"/>
        <v>51.895833338348893</v>
      </c>
      <c r="AC585" s="82"/>
      <c r="AD585" s="83">
        <f t="shared" si="116"/>
        <v>1.5326388888861402</v>
      </c>
      <c r="AE585" s="83">
        <v>2</v>
      </c>
      <c r="AF585" s="83">
        <f t="shared" si="117"/>
        <v>0.46736111111385981</v>
      </c>
      <c r="AG585" s="83">
        <f t="shared" si="118"/>
        <v>36.783333333267365</v>
      </c>
      <c r="AH585" s="83">
        <f t="shared" si="119"/>
        <v>12</v>
      </c>
      <c r="AI585" s="83">
        <f t="shared" si="120"/>
        <v>24.783333333267365</v>
      </c>
      <c r="AJ585" s="83">
        <f t="shared" si="121"/>
        <v>6.2945527908708234</v>
      </c>
      <c r="AK585" s="83"/>
      <c r="AL585" s="83"/>
      <c r="AM585" s="83"/>
      <c r="AN585" s="83"/>
    </row>
    <row r="586" spans="1:40" ht="15" hidden="1" x14ac:dyDescent="0.25">
      <c r="A586" s="82">
        <v>45720</v>
      </c>
      <c r="B586" s="94" t="str">
        <f t="shared" si="111"/>
        <v>March</v>
      </c>
      <c r="C586" s="79" t="s">
        <v>2162</v>
      </c>
      <c r="D586" s="79" t="s">
        <v>358</v>
      </c>
      <c r="E586" s="80" t="s">
        <v>1017</v>
      </c>
      <c r="F586" s="79" t="s">
        <v>1036</v>
      </c>
      <c r="G586" s="79" t="s">
        <v>36</v>
      </c>
      <c r="H586" s="79" t="s">
        <v>458</v>
      </c>
      <c r="I586" s="79">
        <v>156</v>
      </c>
      <c r="J586" s="79" t="s">
        <v>358</v>
      </c>
      <c r="K586" s="80" t="s">
        <v>469</v>
      </c>
      <c r="L586" s="80">
        <v>448</v>
      </c>
      <c r="M586" s="80">
        <f>L586+2</f>
        <v>450</v>
      </c>
      <c r="N586" s="81">
        <f t="shared" si="122"/>
        <v>2</v>
      </c>
      <c r="P586" s="82">
        <f t="shared" ref="P586:P588" si="123">R586-TIME(0,29,0)</f>
        <v>45720.685416666667</v>
      </c>
      <c r="Q586" s="82">
        <v>45720.654166666667</v>
      </c>
      <c r="R586" s="82">
        <v>45720.705555555556</v>
      </c>
      <c r="S586" s="81">
        <f t="shared" si="112"/>
        <v>73.657407407639155</v>
      </c>
      <c r="T586" s="81">
        <f t="shared" si="113"/>
        <v>28.865740740972495</v>
      </c>
      <c r="U586" s="79"/>
      <c r="V586" s="82">
        <v>45720.723611111112</v>
      </c>
      <c r="W586" s="82">
        <v>45721.542361111111</v>
      </c>
      <c r="X586" s="103">
        <f t="shared" si="114"/>
        <v>1154.4374999979482</v>
      </c>
      <c r="Y586" s="82"/>
      <c r="Z586" s="82">
        <v>45721.720833333333</v>
      </c>
      <c r="AA586" s="82">
        <f>Z586+TIME(0,41,0)</f>
        <v>45721.749305555553</v>
      </c>
      <c r="AB586" s="81">
        <f t="shared" si="115"/>
        <v>40.145833330825553</v>
      </c>
      <c r="AC586" s="82"/>
      <c r="AD586" s="83">
        <f t="shared" si="116"/>
        <v>1.015277777776646</v>
      </c>
      <c r="AE586" s="83">
        <v>2</v>
      </c>
      <c r="AF586" s="83">
        <f t="shared" si="117"/>
        <v>0.98472222222335404</v>
      </c>
      <c r="AG586" s="83">
        <f t="shared" si="118"/>
        <v>24.366666666639503</v>
      </c>
      <c r="AH586" s="83">
        <f t="shared" si="119"/>
        <v>12</v>
      </c>
      <c r="AI586" s="83">
        <f t="shared" si="120"/>
        <v>12.366666666639503</v>
      </c>
      <c r="AJ586" s="83">
        <f t="shared" si="121"/>
        <v>12.614555256092398</v>
      </c>
      <c r="AK586" s="83"/>
      <c r="AL586" s="83"/>
      <c r="AM586" s="83"/>
      <c r="AN586" s="83"/>
    </row>
    <row r="587" spans="1:40" ht="15" hidden="1" x14ac:dyDescent="0.25">
      <c r="A587" s="82">
        <v>45720</v>
      </c>
      <c r="B587" s="94" t="str">
        <f t="shared" si="111"/>
        <v>March</v>
      </c>
      <c r="C587" s="79" t="s">
        <v>2161</v>
      </c>
      <c r="D587" s="79" t="s">
        <v>940</v>
      </c>
      <c r="E587" s="80" t="s">
        <v>1016</v>
      </c>
      <c r="F587" s="79" t="s">
        <v>951</v>
      </c>
      <c r="G587" s="79" t="s">
        <v>968</v>
      </c>
      <c r="H587" s="79" t="s">
        <v>991</v>
      </c>
      <c r="I587" s="79">
        <v>153.6</v>
      </c>
      <c r="J587" s="79" t="s">
        <v>940</v>
      </c>
      <c r="K587" s="80" t="s">
        <v>469</v>
      </c>
      <c r="L587" s="79">
        <v>20</v>
      </c>
      <c r="M587" s="80">
        <f>L587-3</f>
        <v>17</v>
      </c>
      <c r="N587" s="81">
        <f t="shared" si="122"/>
        <v>-3</v>
      </c>
      <c r="P587" s="82">
        <f>R587-TIME(0,22,0)</f>
        <v>45720.870138888888</v>
      </c>
      <c r="Q587" s="82">
        <v>45720.320833333331</v>
      </c>
      <c r="R587" s="82">
        <v>45720.885416666664</v>
      </c>
      <c r="S587" s="81">
        <f t="shared" si="112"/>
        <v>809.23611111041589</v>
      </c>
      <c r="T587" s="81">
        <f t="shared" si="113"/>
        <v>21.89814814652588</v>
      </c>
      <c r="U587" s="79"/>
      <c r="V587" s="82">
        <v>45722.365972222222</v>
      </c>
      <c r="W587" s="82">
        <v>45722.539583333331</v>
      </c>
      <c r="X587" s="103">
        <f t="shared" si="114"/>
        <v>244.79166666438687</v>
      </c>
      <c r="Y587" s="82"/>
      <c r="Z587" s="82">
        <v>45721.463888888888</v>
      </c>
      <c r="AA587" s="82">
        <f>Z587+TIME(0,43,0)</f>
        <v>45721.493750000001</v>
      </c>
      <c r="AB587" s="81">
        <f t="shared" si="115"/>
        <v>42.104166670542327</v>
      </c>
      <c r="AC587" s="82"/>
      <c r="AD587" s="83">
        <f t="shared" si="116"/>
        <v>0.57847222222335404</v>
      </c>
      <c r="AE587" s="83">
        <v>3</v>
      </c>
      <c r="AF587" s="83">
        <f t="shared" si="117"/>
        <v>2.421527777776646</v>
      </c>
      <c r="AG587" s="83">
        <f t="shared" si="118"/>
        <v>13.883333333360497</v>
      </c>
      <c r="AH587" s="83">
        <f t="shared" si="119"/>
        <v>0</v>
      </c>
      <c r="AI587" s="83">
        <f t="shared" si="120"/>
        <v>13.883333333360497</v>
      </c>
      <c r="AJ587" s="83">
        <f t="shared" si="121"/>
        <v>11.063625450158424</v>
      </c>
      <c r="AK587" s="83"/>
      <c r="AL587" s="83"/>
      <c r="AM587" s="83"/>
      <c r="AN587" s="83"/>
    </row>
    <row r="588" spans="1:40" ht="15" hidden="1" x14ac:dyDescent="0.25">
      <c r="A588" s="82">
        <v>45720</v>
      </c>
      <c r="B588" s="94" t="str">
        <f t="shared" si="111"/>
        <v>March</v>
      </c>
      <c r="C588" s="79" t="s">
        <v>2161</v>
      </c>
      <c r="D588" s="79" t="s">
        <v>944</v>
      </c>
      <c r="E588" s="80" t="s">
        <v>1016</v>
      </c>
      <c r="F588" s="79" t="s">
        <v>964</v>
      </c>
      <c r="G588" s="79" t="s">
        <v>979</v>
      </c>
      <c r="H588" s="79" t="s">
        <v>998</v>
      </c>
      <c r="I588" s="79">
        <v>153.6</v>
      </c>
      <c r="J588" s="79" t="s">
        <v>944</v>
      </c>
      <c r="K588" s="80" t="s">
        <v>469</v>
      </c>
      <c r="L588" s="80">
        <v>414</v>
      </c>
      <c r="M588" s="80">
        <f>L588-2</f>
        <v>412</v>
      </c>
      <c r="N588" s="81">
        <f t="shared" si="122"/>
        <v>-2</v>
      </c>
      <c r="P588" s="82">
        <f t="shared" si="123"/>
        <v>45720.464583333334</v>
      </c>
      <c r="Q588" s="82">
        <v>45720.082638888889</v>
      </c>
      <c r="R588" s="82">
        <v>45720.484722222223</v>
      </c>
      <c r="S588" s="81">
        <f t="shared" si="112"/>
        <v>576.31944444583496</v>
      </c>
      <c r="T588" s="81">
        <f t="shared" si="113"/>
        <v>28.865740740972495</v>
      </c>
      <c r="U588" s="79"/>
      <c r="V588" s="82">
        <v>45721.697222222225</v>
      </c>
      <c r="W588" s="82">
        <v>45721.843055555553</v>
      </c>
      <c r="X588" s="103">
        <f t="shared" si="114"/>
        <v>205.6249999931606</v>
      </c>
      <c r="Y588" s="82" t="s">
        <v>1039</v>
      </c>
      <c r="Z588" s="82">
        <v>45721.720833333333</v>
      </c>
      <c r="AA588" s="82">
        <f>Z588+TIME(0,58,0)</f>
        <v>45721.761111111111</v>
      </c>
      <c r="AB588" s="81">
        <f t="shared" si="115"/>
        <v>56.791666667122627</v>
      </c>
      <c r="AC588" s="82"/>
      <c r="AD588" s="83">
        <f t="shared" si="116"/>
        <v>1.2361111111094942</v>
      </c>
      <c r="AE588" s="83">
        <v>2</v>
      </c>
      <c r="AF588" s="83">
        <f t="shared" si="117"/>
        <v>0.76388888889050577</v>
      </c>
      <c r="AG588" s="83">
        <f t="shared" si="118"/>
        <v>29.666666666627862</v>
      </c>
      <c r="AH588" s="83">
        <f t="shared" si="119"/>
        <v>12</v>
      </c>
      <c r="AI588" s="83">
        <f t="shared" si="120"/>
        <v>17.666666666627862</v>
      </c>
      <c r="AJ588" s="83">
        <f t="shared" si="121"/>
        <v>8.6943396226606069</v>
      </c>
      <c r="AK588" s="83"/>
      <c r="AL588" s="83"/>
      <c r="AM588" s="83"/>
      <c r="AN588" s="83"/>
    </row>
    <row r="589" spans="1:40" ht="15" hidden="1" x14ac:dyDescent="0.25">
      <c r="A589" s="82">
        <v>45720</v>
      </c>
      <c r="B589" s="94" t="str">
        <f t="shared" si="111"/>
        <v>March</v>
      </c>
      <c r="C589" s="79" t="s">
        <v>2161</v>
      </c>
      <c r="D589" s="79" t="s">
        <v>939</v>
      </c>
      <c r="E589" s="80" t="s">
        <v>1016</v>
      </c>
      <c r="F589" s="79" t="s">
        <v>953</v>
      </c>
      <c r="G589" s="79" t="s">
        <v>970</v>
      </c>
      <c r="H589" s="79" t="s">
        <v>987</v>
      </c>
      <c r="I589" s="79">
        <v>153.6</v>
      </c>
      <c r="J589" s="79" t="s">
        <v>939</v>
      </c>
      <c r="K589" s="80" t="s">
        <v>469</v>
      </c>
      <c r="L589" s="79">
        <v>320</v>
      </c>
      <c r="M589" s="80">
        <f>L589-2</f>
        <v>318</v>
      </c>
      <c r="N589" s="81">
        <f t="shared" si="122"/>
        <v>-2</v>
      </c>
      <c r="P589" s="82">
        <f t="shared" si="110"/>
        <v>45720.474999999999</v>
      </c>
      <c r="Q589" s="82">
        <v>45720.098611111112</v>
      </c>
      <c r="R589" s="82">
        <v>45720.495833333334</v>
      </c>
      <c r="S589" s="81">
        <f t="shared" si="112"/>
        <v>569.35185185138835</v>
      </c>
      <c r="T589" s="81">
        <f t="shared" si="113"/>
        <v>29.861111114587402</v>
      </c>
      <c r="U589" s="79"/>
      <c r="V589" s="82">
        <v>45720.749305555553</v>
      </c>
      <c r="W589" s="82">
        <v>45721.549305555556</v>
      </c>
      <c r="X589" s="103">
        <f t="shared" si="114"/>
        <v>1128.0000000041036</v>
      </c>
      <c r="Y589" s="82"/>
      <c r="Z589" s="82">
        <v>45721.752083333333</v>
      </c>
      <c r="AA589" s="82">
        <f>Z589+TIME(0,41,0)</f>
        <v>45721.780555555553</v>
      </c>
      <c r="AB589" s="81">
        <f t="shared" si="115"/>
        <v>40.145833330825553</v>
      </c>
      <c r="AC589" s="82"/>
      <c r="AD589" s="83">
        <f t="shared" si="116"/>
        <v>1.2562499999985448</v>
      </c>
      <c r="AE589" s="83">
        <v>2</v>
      </c>
      <c r="AF589" s="83">
        <f t="shared" si="117"/>
        <v>0.74375000000145519</v>
      </c>
      <c r="AG589" s="83">
        <f t="shared" si="118"/>
        <v>30.149999999965075</v>
      </c>
      <c r="AH589" s="83">
        <f t="shared" si="119"/>
        <v>12</v>
      </c>
      <c r="AI589" s="83">
        <f t="shared" si="120"/>
        <v>18.149999999965075</v>
      </c>
      <c r="AJ589" s="83">
        <f t="shared" si="121"/>
        <v>8.462809917371656</v>
      </c>
      <c r="AK589" s="83"/>
      <c r="AL589" s="83"/>
      <c r="AM589" s="83"/>
      <c r="AN589" s="83"/>
    </row>
    <row r="590" spans="1:40" ht="15" hidden="1" x14ac:dyDescent="0.25">
      <c r="A590" s="82">
        <v>45720</v>
      </c>
      <c r="B590" s="94" t="str">
        <f t="shared" si="111"/>
        <v>March</v>
      </c>
      <c r="C590" s="79" t="s">
        <v>2161</v>
      </c>
      <c r="D590" s="79" t="s">
        <v>942</v>
      </c>
      <c r="E590" s="80" t="s">
        <v>1016</v>
      </c>
      <c r="F590" s="79" t="s">
        <v>966</v>
      </c>
      <c r="G590" s="79" t="s">
        <v>981</v>
      </c>
      <c r="H590" s="79" t="s">
        <v>987</v>
      </c>
      <c r="I590" s="79">
        <v>153.6</v>
      </c>
      <c r="J590" s="79" t="s">
        <v>942</v>
      </c>
      <c r="K590" s="80" t="s">
        <v>469</v>
      </c>
      <c r="L590" s="79">
        <v>320</v>
      </c>
      <c r="M590" s="80">
        <f>L590-3</f>
        <v>317</v>
      </c>
      <c r="N590" s="81">
        <f t="shared" si="122"/>
        <v>-3</v>
      </c>
      <c r="P590" s="82">
        <f>R590-TIME(0,29,0)</f>
        <v>45719.785416666666</v>
      </c>
      <c r="Q590" s="82">
        <v>45720.098611111112</v>
      </c>
      <c r="R590" s="82">
        <v>45719.805555555555</v>
      </c>
      <c r="S590" s="81">
        <f t="shared" si="112"/>
        <v>-420.04629629930906</v>
      </c>
      <c r="T590" s="81">
        <f t="shared" si="113"/>
        <v>28.865740740972495</v>
      </c>
      <c r="U590" s="79"/>
      <c r="V590" s="82">
        <v>45719.939583333333</v>
      </c>
      <c r="W590" s="82">
        <v>45720.666666666664</v>
      </c>
      <c r="X590" s="103">
        <f t="shared" si="114"/>
        <v>1025.1874999972642</v>
      </c>
      <c r="Y590" s="82" t="s">
        <v>1044</v>
      </c>
      <c r="Z590" s="82">
        <v>45720.759722222225</v>
      </c>
      <c r="AA590" s="82">
        <f>Z590+TIME(0,50,0)</f>
        <v>45720.794444444444</v>
      </c>
      <c r="AB590" s="81">
        <f t="shared" si="115"/>
        <v>48.958333328773733</v>
      </c>
      <c r="AC590" s="82"/>
      <c r="AD590" s="83">
        <f t="shared" si="116"/>
        <v>0.95416666667006211</v>
      </c>
      <c r="AE590" s="83">
        <v>2</v>
      </c>
      <c r="AF590" s="83">
        <f t="shared" si="117"/>
        <v>1.0458333333299379</v>
      </c>
      <c r="AG590" s="83">
        <f t="shared" si="118"/>
        <v>22.900000000081491</v>
      </c>
      <c r="AH590" s="83">
        <f t="shared" si="119"/>
        <v>0</v>
      </c>
      <c r="AI590" s="83">
        <f t="shared" si="120"/>
        <v>22.900000000081491</v>
      </c>
      <c r="AJ590" s="83">
        <f t="shared" si="121"/>
        <v>6.7074235807621569</v>
      </c>
      <c r="AK590" s="83"/>
      <c r="AL590" s="83"/>
      <c r="AM590" s="83"/>
      <c r="AN590" s="83"/>
    </row>
    <row r="591" spans="1:40" ht="15" hidden="1" x14ac:dyDescent="0.25">
      <c r="A591" s="82">
        <v>45720</v>
      </c>
      <c r="B591" s="94" t="str">
        <f t="shared" si="111"/>
        <v>March</v>
      </c>
      <c r="C591" s="79" t="s">
        <v>2161</v>
      </c>
      <c r="D591" s="79" t="s">
        <v>943</v>
      </c>
      <c r="E591" s="80" t="s">
        <v>1016</v>
      </c>
      <c r="F591" s="79" t="s">
        <v>952</v>
      </c>
      <c r="G591" s="79" t="s">
        <v>969</v>
      </c>
      <c r="H591" s="79" t="s">
        <v>464</v>
      </c>
      <c r="I591" s="79">
        <v>153.6</v>
      </c>
      <c r="J591" s="79" t="s">
        <v>943</v>
      </c>
      <c r="K591" s="80" t="s">
        <v>469</v>
      </c>
      <c r="L591" s="79">
        <v>256</v>
      </c>
      <c r="M591" s="80">
        <f>L591+2</f>
        <v>258</v>
      </c>
      <c r="N591" s="81">
        <f t="shared" si="122"/>
        <v>2</v>
      </c>
      <c r="P591" s="82">
        <f>R591-TIME(0,53,0)</f>
        <v>45719.831944444442</v>
      </c>
      <c r="Q591" s="82">
        <v>45720.169444444444</v>
      </c>
      <c r="R591" s="82">
        <v>45719.868750000001</v>
      </c>
      <c r="S591" s="81">
        <f t="shared" si="112"/>
        <v>-430.99537036735757</v>
      </c>
      <c r="T591" s="81">
        <f t="shared" si="113"/>
        <v>52.75462963472819</v>
      </c>
      <c r="U591" s="79"/>
      <c r="V591" s="82">
        <v>45720.611805555556</v>
      </c>
      <c r="W591" s="82">
        <v>45720.808333333334</v>
      </c>
      <c r="X591" s="103">
        <f t="shared" si="114"/>
        <v>277.10416666712263</v>
      </c>
      <c r="Y591" s="82" t="s">
        <v>1049</v>
      </c>
      <c r="Z591" s="82">
        <v>45721.405555555553</v>
      </c>
      <c r="AA591" s="82">
        <v>45721.438888888886</v>
      </c>
      <c r="AB591" s="81">
        <f t="shared" si="115"/>
        <v>46.99999999931606</v>
      </c>
      <c r="AC591" s="82"/>
      <c r="AD591" s="83">
        <f t="shared" si="116"/>
        <v>1.5368055555518367</v>
      </c>
      <c r="AE591" s="83">
        <v>2</v>
      </c>
      <c r="AF591" s="83">
        <f t="shared" si="117"/>
        <v>0.46319444444816327</v>
      </c>
      <c r="AG591" s="83">
        <f t="shared" si="118"/>
        <v>36.883333333244082</v>
      </c>
      <c r="AH591" s="83">
        <f t="shared" si="119"/>
        <v>12</v>
      </c>
      <c r="AI591" s="83">
        <f t="shared" si="120"/>
        <v>24.883333333244082</v>
      </c>
      <c r="AJ591" s="83">
        <f t="shared" si="121"/>
        <v>6.1728064300288388</v>
      </c>
      <c r="AK591" s="83"/>
      <c r="AL591" s="83"/>
      <c r="AM591" s="83"/>
      <c r="AN591" s="83"/>
    </row>
    <row r="592" spans="1:40" ht="15" hidden="1" x14ac:dyDescent="0.25">
      <c r="A592" s="82">
        <v>45720</v>
      </c>
      <c r="B592" s="94" t="str">
        <f t="shared" si="111"/>
        <v>March</v>
      </c>
      <c r="C592" s="79" t="s">
        <v>2161</v>
      </c>
      <c r="D592" s="79" t="s">
        <v>941</v>
      </c>
      <c r="E592" s="80" t="s">
        <v>1016</v>
      </c>
      <c r="F592" s="79" t="s">
        <v>965</v>
      </c>
      <c r="G592" s="79" t="s">
        <v>980</v>
      </c>
      <c r="H592" s="79" t="s">
        <v>450</v>
      </c>
      <c r="I592" s="79">
        <v>153.6</v>
      </c>
      <c r="J592" s="79" t="s">
        <v>941</v>
      </c>
      <c r="K592" s="80" t="s">
        <v>469</v>
      </c>
      <c r="L592" s="80">
        <v>288</v>
      </c>
      <c r="M592" s="80">
        <f>L592+2</f>
        <v>290</v>
      </c>
      <c r="N592" s="81">
        <f t="shared" si="122"/>
        <v>2</v>
      </c>
      <c r="P592" s="82">
        <f>R592-TIME(0,27,0)</f>
        <v>45719.808333333327</v>
      </c>
      <c r="Q592" s="82">
        <v>45720.136805555558</v>
      </c>
      <c r="R592" s="82">
        <v>45719.82708333333</v>
      </c>
      <c r="S592" s="81">
        <f t="shared" si="112"/>
        <v>-443.9351851930648</v>
      </c>
      <c r="T592" s="81">
        <f t="shared" si="113"/>
        <v>26.87500000417155</v>
      </c>
      <c r="U592" s="79"/>
      <c r="V592" s="82">
        <v>45720.347222222219</v>
      </c>
      <c r="W592" s="82">
        <v>45720.506249999999</v>
      </c>
      <c r="X592" s="103">
        <f t="shared" si="114"/>
        <v>224.22916666917445</v>
      </c>
      <c r="Y592" s="82" t="s">
        <v>1044</v>
      </c>
      <c r="Z592" s="82">
        <v>45720.655555555553</v>
      </c>
      <c r="AA592" s="82">
        <v>45720.688888888886</v>
      </c>
      <c r="AB592" s="81">
        <f t="shared" si="115"/>
        <v>46.99999999931606</v>
      </c>
      <c r="AC592" s="82"/>
      <c r="AD592" s="83">
        <f t="shared" si="116"/>
        <v>0.82847222222335404</v>
      </c>
      <c r="AE592" s="83">
        <v>2</v>
      </c>
      <c r="AF592" s="83">
        <f t="shared" si="117"/>
        <v>1.171527777776646</v>
      </c>
      <c r="AG592" s="83">
        <f t="shared" si="118"/>
        <v>19.883333333360497</v>
      </c>
      <c r="AH592" s="83">
        <f t="shared" si="119"/>
        <v>0</v>
      </c>
      <c r="AI592" s="83">
        <f t="shared" si="120"/>
        <v>19.883333333360497</v>
      </c>
      <c r="AJ592" s="83">
        <f t="shared" si="121"/>
        <v>7.725062866711994</v>
      </c>
      <c r="AK592" s="83"/>
      <c r="AL592" s="83"/>
      <c r="AM592" s="83"/>
      <c r="AN592" s="83"/>
    </row>
    <row r="593" spans="1:40" ht="15" hidden="1" x14ac:dyDescent="0.25">
      <c r="A593" s="82">
        <v>45721</v>
      </c>
      <c r="B593" s="94" t="str">
        <f t="shared" si="111"/>
        <v>March</v>
      </c>
      <c r="C593" s="79" t="s">
        <v>2162</v>
      </c>
      <c r="D593" s="79" t="s">
        <v>359</v>
      </c>
      <c r="E593" s="80" t="s">
        <v>1017</v>
      </c>
      <c r="F593" s="79"/>
      <c r="G593" s="79" t="s">
        <v>67</v>
      </c>
      <c r="H593" s="79" t="s">
        <v>987</v>
      </c>
      <c r="I593" s="79">
        <v>156</v>
      </c>
      <c r="J593" s="79" t="s">
        <v>359</v>
      </c>
      <c r="K593" s="80" t="s">
        <v>469</v>
      </c>
      <c r="L593" s="79">
        <v>320</v>
      </c>
      <c r="M593" s="80">
        <f>L593-1</f>
        <v>319</v>
      </c>
      <c r="N593" s="81">
        <f t="shared" si="122"/>
        <v>-1</v>
      </c>
      <c r="P593" s="82">
        <f>R593-TIME(0,27,0)</f>
        <v>45718.922916666663</v>
      </c>
      <c r="Q593" s="82">
        <v>45718.730555555558</v>
      </c>
      <c r="R593" s="82">
        <v>45718.941666666666</v>
      </c>
      <c r="S593" s="81">
        <f t="shared" si="112"/>
        <v>302.59259258818929</v>
      </c>
      <c r="T593" s="81">
        <f t="shared" si="113"/>
        <v>26.87500000417155</v>
      </c>
      <c r="U593" s="79"/>
      <c r="V593" s="82">
        <v>45721.632638888892</v>
      </c>
      <c r="W593" s="82">
        <v>45721.745833333334</v>
      </c>
      <c r="X593" s="103">
        <f t="shared" si="114"/>
        <v>159.60416666370293</v>
      </c>
      <c r="Y593" s="82"/>
      <c r="Z593" s="82">
        <v>45721.53125</v>
      </c>
      <c r="AA593" s="82">
        <f>Z593+TIME(0,42,0)</f>
        <v>45721.560416666667</v>
      </c>
      <c r="AB593" s="81">
        <f t="shared" si="115"/>
        <v>41.12500000068394</v>
      </c>
      <c r="AC593" s="82"/>
      <c r="AD593" s="83">
        <f t="shared" si="116"/>
        <v>2.5895833333343035</v>
      </c>
      <c r="AE593" s="83">
        <v>2</v>
      </c>
      <c r="AF593" s="83">
        <f t="shared" si="117"/>
        <v>-0.58958333333430346</v>
      </c>
      <c r="AG593" s="83">
        <f t="shared" si="118"/>
        <v>62.150000000023283</v>
      </c>
      <c r="AH593" s="83">
        <f t="shared" si="119"/>
        <v>24</v>
      </c>
      <c r="AI593" s="83">
        <f t="shared" si="120"/>
        <v>38.150000000023283</v>
      </c>
      <c r="AJ593" s="83">
        <f t="shared" si="121"/>
        <v>4.089121887284529</v>
      </c>
      <c r="AK593" s="83"/>
      <c r="AL593" s="83"/>
      <c r="AM593" s="83"/>
      <c r="AN593" s="83"/>
    </row>
    <row r="594" spans="1:40" ht="15" hidden="1" x14ac:dyDescent="0.25">
      <c r="A594" s="82">
        <v>45721</v>
      </c>
      <c r="B594" s="94" t="str">
        <f t="shared" si="111"/>
        <v>March</v>
      </c>
      <c r="C594" s="79" t="s">
        <v>2162</v>
      </c>
      <c r="D594" s="79" t="s">
        <v>360</v>
      </c>
      <c r="E594" s="80" t="s">
        <v>1017</v>
      </c>
      <c r="F594" s="79" t="s">
        <v>1015</v>
      </c>
      <c r="G594" s="79" t="s">
        <v>43</v>
      </c>
      <c r="H594" s="79" t="s">
        <v>451</v>
      </c>
      <c r="I594" s="79">
        <v>6.3</v>
      </c>
      <c r="J594" s="79" t="s">
        <v>360</v>
      </c>
      <c r="K594" s="80" t="s">
        <v>469</v>
      </c>
      <c r="L594" s="80">
        <v>790</v>
      </c>
      <c r="M594" s="80">
        <f>L594-1</f>
        <v>789</v>
      </c>
      <c r="N594" s="81">
        <f t="shared" si="122"/>
        <v>-1</v>
      </c>
      <c r="P594" s="82">
        <f>R594-TIME(0,28,0)</f>
        <v>45718.83194444445</v>
      </c>
      <c r="Q594" s="82">
        <v>45718.744444444441</v>
      </c>
      <c r="R594" s="82">
        <v>45718.851388888892</v>
      </c>
      <c r="S594" s="81">
        <f t="shared" si="112"/>
        <v>153.2870370465389</v>
      </c>
      <c r="T594" s="81">
        <f t="shared" si="113"/>
        <v>27.870370367357584</v>
      </c>
      <c r="U594" s="79"/>
      <c r="V594" s="82">
        <v>45721.780555555553</v>
      </c>
      <c r="W594" s="82">
        <v>45721.865972222222</v>
      </c>
      <c r="X594" s="103">
        <f t="shared" si="114"/>
        <v>120.43750000273576</v>
      </c>
      <c r="Y594" s="82"/>
      <c r="Z594" s="82">
        <v>45719.53125</v>
      </c>
      <c r="AA594" s="82">
        <f>Z594+TIME(0,42,0)</f>
        <v>45719.560416666667</v>
      </c>
      <c r="AB594" s="81">
        <f t="shared" si="115"/>
        <v>41.12500000068394</v>
      </c>
      <c r="AC594" s="82"/>
      <c r="AD594" s="83">
        <f t="shared" si="116"/>
        <v>0.67986111110803904</v>
      </c>
      <c r="AE594" s="83">
        <v>3</v>
      </c>
      <c r="AF594" s="83">
        <f t="shared" si="117"/>
        <v>2.320138888891961</v>
      </c>
      <c r="AG594" s="83">
        <f t="shared" si="118"/>
        <v>16.316666666592937</v>
      </c>
      <c r="AH594" s="83">
        <f t="shared" si="119"/>
        <v>0</v>
      </c>
      <c r="AI594" s="83">
        <f t="shared" si="120"/>
        <v>16.316666666592937</v>
      </c>
      <c r="AJ594" s="83">
        <f t="shared" si="121"/>
        <v>0.38610827375046786</v>
      </c>
      <c r="AK594" s="83"/>
      <c r="AL594" s="83"/>
      <c r="AM594" s="83"/>
      <c r="AN594" s="83"/>
    </row>
    <row r="595" spans="1:40" ht="15" hidden="1" x14ac:dyDescent="0.25">
      <c r="A595" s="82">
        <v>45721</v>
      </c>
      <c r="B595" s="94" t="str">
        <f t="shared" si="111"/>
        <v>March</v>
      </c>
      <c r="C595" s="79" t="s">
        <v>2162</v>
      </c>
      <c r="D595" s="79" t="s">
        <v>361</v>
      </c>
      <c r="E595" s="80" t="s">
        <v>1017</v>
      </c>
      <c r="F595" s="79" t="s">
        <v>1034</v>
      </c>
      <c r="G595" s="79" t="s">
        <v>53</v>
      </c>
      <c r="H595" s="79" t="s">
        <v>450</v>
      </c>
      <c r="I595" s="79">
        <v>156</v>
      </c>
      <c r="J595" s="79" t="s">
        <v>361</v>
      </c>
      <c r="K595" s="80" t="s">
        <v>469</v>
      </c>
      <c r="L595" s="80">
        <v>288</v>
      </c>
      <c r="M595" s="80">
        <f>L595-3</f>
        <v>285</v>
      </c>
      <c r="N595" s="81">
        <f t="shared" si="122"/>
        <v>-3</v>
      </c>
      <c r="P595" s="82">
        <f>R595-TIME(0,28,0)</f>
        <v>45720.465277777781</v>
      </c>
      <c r="Q595" s="82">
        <v>45720.082638888889</v>
      </c>
      <c r="R595" s="82">
        <v>45720.484722222223</v>
      </c>
      <c r="S595" s="81">
        <f t="shared" si="112"/>
        <v>576.31944444583496</v>
      </c>
      <c r="T595" s="81">
        <f t="shared" si="113"/>
        <v>27.870370367357584</v>
      </c>
      <c r="U595" s="79"/>
      <c r="V595" s="82">
        <v>45721.48541666667</v>
      </c>
      <c r="W595" s="82">
        <v>45721.5625</v>
      </c>
      <c r="X595" s="103">
        <f t="shared" si="114"/>
        <v>108.68749999521242</v>
      </c>
      <c r="Y595" s="82"/>
      <c r="Z595" s="82">
        <v>45721.522222222222</v>
      </c>
      <c r="AA595" s="82">
        <f>Z595+TIME(0,43,0)</f>
        <v>45721.552083333336</v>
      </c>
      <c r="AB595" s="81">
        <f t="shared" si="115"/>
        <v>42.104166670542327</v>
      </c>
      <c r="AC595" s="82"/>
      <c r="AD595" s="83">
        <f t="shared" si="116"/>
        <v>1.0374999999985448</v>
      </c>
      <c r="AE595" s="83">
        <v>2</v>
      </c>
      <c r="AF595" s="83">
        <f t="shared" si="117"/>
        <v>0.96250000000145519</v>
      </c>
      <c r="AG595" s="83">
        <f t="shared" si="118"/>
        <v>24.899999999965075</v>
      </c>
      <c r="AH595" s="83">
        <f t="shared" si="119"/>
        <v>12</v>
      </c>
      <c r="AI595" s="83">
        <f t="shared" si="120"/>
        <v>12.899999999965075</v>
      </c>
      <c r="AJ595" s="83">
        <f t="shared" si="121"/>
        <v>12.093023255846694</v>
      </c>
      <c r="AK595" s="83"/>
      <c r="AL595" s="83"/>
      <c r="AM595" s="83"/>
      <c r="AN595" s="83"/>
    </row>
    <row r="596" spans="1:40" ht="15" hidden="1" x14ac:dyDescent="0.25">
      <c r="A596" s="82">
        <v>45721</v>
      </c>
      <c r="B596" s="94" t="str">
        <f t="shared" si="111"/>
        <v>March</v>
      </c>
      <c r="C596" s="79" t="s">
        <v>2162</v>
      </c>
      <c r="D596" s="79" t="s">
        <v>362</v>
      </c>
      <c r="E596" s="80" t="s">
        <v>1017</v>
      </c>
      <c r="F596" s="79" t="s">
        <v>1023</v>
      </c>
      <c r="G596" s="79" t="s">
        <v>61</v>
      </c>
      <c r="H596" s="79" t="s">
        <v>462</v>
      </c>
      <c r="I596" s="79">
        <v>156</v>
      </c>
      <c r="J596" s="79" t="s">
        <v>362</v>
      </c>
      <c r="K596" s="80" t="s">
        <v>469</v>
      </c>
      <c r="L596" s="80">
        <v>680</v>
      </c>
      <c r="M596" s="80">
        <f>L596-1</f>
        <v>679</v>
      </c>
      <c r="N596" s="81">
        <f t="shared" si="122"/>
        <v>-1</v>
      </c>
      <c r="P596" s="82">
        <f>R596-TIME(0,29,0)</f>
        <v>45720.475694444445</v>
      </c>
      <c r="Q596" s="82">
        <v>45720.098611111112</v>
      </c>
      <c r="R596" s="82">
        <v>45720.495833333334</v>
      </c>
      <c r="S596" s="81">
        <f t="shared" si="112"/>
        <v>569.35185185138835</v>
      </c>
      <c r="T596" s="81">
        <f t="shared" si="113"/>
        <v>28.865740740972495</v>
      </c>
      <c r="U596" s="79"/>
      <c r="V596" s="82">
        <v>45722.867361111108</v>
      </c>
      <c r="W596" s="82">
        <v>45723.59652777778</v>
      </c>
      <c r="X596" s="103">
        <f t="shared" si="114"/>
        <v>1028.1250000068394</v>
      </c>
      <c r="Y596" s="82"/>
      <c r="Z596" s="82">
        <v>45721.503472222219</v>
      </c>
      <c r="AA596" s="82">
        <f>Z596+TIME(0,41,0)</f>
        <v>45721.531944444439</v>
      </c>
      <c r="AB596" s="81">
        <f t="shared" si="115"/>
        <v>40.145833330825553</v>
      </c>
      <c r="AC596" s="82"/>
      <c r="AD596" s="83">
        <f t="shared" si="116"/>
        <v>1.007638888884685</v>
      </c>
      <c r="AE596" s="83">
        <v>3</v>
      </c>
      <c r="AF596" s="83">
        <f t="shared" si="117"/>
        <v>1.992361111115315</v>
      </c>
      <c r="AG596" s="83">
        <f t="shared" si="118"/>
        <v>24.18333333323244</v>
      </c>
      <c r="AH596" s="83">
        <f t="shared" si="119"/>
        <v>12</v>
      </c>
      <c r="AI596" s="83">
        <f t="shared" si="120"/>
        <v>12.18333333323244</v>
      </c>
      <c r="AJ596" s="83">
        <f t="shared" si="121"/>
        <v>12.804377565085517</v>
      </c>
      <c r="AK596" s="83"/>
      <c r="AL596" s="83"/>
      <c r="AM596" s="83"/>
      <c r="AN596" s="83"/>
    </row>
    <row r="597" spans="1:40" ht="15" hidden="1" x14ac:dyDescent="0.25">
      <c r="A597" s="82">
        <v>45721</v>
      </c>
      <c r="B597" s="94" t="str">
        <f t="shared" si="111"/>
        <v>March</v>
      </c>
      <c r="C597" s="79" t="s">
        <v>2162</v>
      </c>
      <c r="D597" s="79" t="s">
        <v>363</v>
      </c>
      <c r="E597" s="80" t="s">
        <v>1017</v>
      </c>
      <c r="F597" s="79"/>
      <c r="G597" s="79" t="s">
        <v>42</v>
      </c>
      <c r="H597" s="79" t="s">
        <v>451</v>
      </c>
      <c r="I597" s="79">
        <v>78</v>
      </c>
      <c r="J597" s="79" t="s">
        <v>363</v>
      </c>
      <c r="K597" s="80" t="s">
        <v>469</v>
      </c>
      <c r="L597" s="80">
        <v>790</v>
      </c>
      <c r="M597" s="80">
        <f>L597+1</f>
        <v>791</v>
      </c>
      <c r="N597" s="81">
        <f t="shared" si="122"/>
        <v>1</v>
      </c>
      <c r="P597" s="82">
        <f>R597-TIME(0,52,0)</f>
        <v>45719.682638888888</v>
      </c>
      <c r="Q597" s="82">
        <v>45719.458333333336</v>
      </c>
      <c r="R597" s="82">
        <v>45719.71875</v>
      </c>
      <c r="S597" s="81">
        <f t="shared" si="112"/>
        <v>373.2638888854126</v>
      </c>
      <c r="T597" s="81">
        <f t="shared" si="113"/>
        <v>51.759259261113279</v>
      </c>
      <c r="U597" s="79"/>
      <c r="V597" s="82">
        <v>45722.386111111111</v>
      </c>
      <c r="W597" s="82">
        <v>45722.490972222222</v>
      </c>
      <c r="X597" s="103">
        <f t="shared" si="114"/>
        <v>147.85416666643869</v>
      </c>
      <c r="Y597" s="82"/>
      <c r="Z597" s="82">
        <v>45720.503472222219</v>
      </c>
      <c r="AA597" s="82">
        <f>Z597+TIME(0,49,0)</f>
        <v>45720.537499999999</v>
      </c>
      <c r="AB597" s="81">
        <f t="shared" si="115"/>
        <v>47.979166669174447</v>
      </c>
      <c r="AC597" s="82"/>
      <c r="AD597" s="83">
        <f t="shared" si="116"/>
        <v>0.78472222221898846</v>
      </c>
      <c r="AE597" s="83">
        <v>3</v>
      </c>
      <c r="AF597" s="83">
        <f t="shared" si="117"/>
        <v>2.2152777777810115</v>
      </c>
      <c r="AG597" s="83">
        <f t="shared" si="118"/>
        <v>18.833333333255723</v>
      </c>
      <c r="AH597" s="83">
        <f t="shared" si="119"/>
        <v>0</v>
      </c>
      <c r="AI597" s="83">
        <f t="shared" si="120"/>
        <v>18.833333333255723</v>
      </c>
      <c r="AJ597" s="83">
        <f t="shared" si="121"/>
        <v>4.1415929203710498</v>
      </c>
      <c r="AK597" s="83"/>
      <c r="AL597" s="83"/>
      <c r="AM597" s="83"/>
      <c r="AN597" s="83"/>
    </row>
    <row r="598" spans="1:40" ht="15" hidden="1" x14ac:dyDescent="0.25">
      <c r="A598" s="82">
        <v>45721</v>
      </c>
      <c r="B598" s="94" t="str">
        <f t="shared" si="111"/>
        <v>March</v>
      </c>
      <c r="C598" s="79" t="s">
        <v>2162</v>
      </c>
      <c r="D598" s="79" t="s">
        <v>364</v>
      </c>
      <c r="E598" s="80" t="s">
        <v>1017</v>
      </c>
      <c r="F598" s="79"/>
      <c r="G598" s="79" t="s">
        <v>74</v>
      </c>
      <c r="H598" s="79" t="s">
        <v>454</v>
      </c>
      <c r="I598" s="79">
        <v>156</v>
      </c>
      <c r="J598" s="79" t="s">
        <v>364</v>
      </c>
      <c r="K598" s="80" t="s">
        <v>469</v>
      </c>
      <c r="L598" s="80">
        <v>304</v>
      </c>
      <c r="M598" s="80">
        <f>L598-3</f>
        <v>301</v>
      </c>
      <c r="N598" s="81">
        <f t="shared" si="122"/>
        <v>-3</v>
      </c>
      <c r="P598" s="82">
        <f>R598-TIME(0,29,0)</f>
        <v>45719.568055555552</v>
      </c>
      <c r="Q598" s="82">
        <v>45719.541666666664</v>
      </c>
      <c r="R598" s="82">
        <v>45719.588194444441</v>
      </c>
      <c r="S598" s="81">
        <f t="shared" si="112"/>
        <v>66.689814813192541</v>
      </c>
      <c r="T598" s="81">
        <f t="shared" si="113"/>
        <v>28.865740740972495</v>
      </c>
      <c r="U598" s="79"/>
      <c r="V598" s="82">
        <v>45721.656944444447</v>
      </c>
      <c r="W598" s="82">
        <v>45721.743055555555</v>
      </c>
      <c r="X598" s="103">
        <f t="shared" si="114"/>
        <v>121.41666666233505</v>
      </c>
      <c r="Y598" s="82"/>
      <c r="Z598" s="82">
        <v>45722.30972222222</v>
      </c>
      <c r="AA598" s="82">
        <f>Z598+TIME(0,42,0)</f>
        <v>45722.338888888888</v>
      </c>
      <c r="AB598" s="81">
        <f t="shared" si="115"/>
        <v>41.12500000068394</v>
      </c>
      <c r="AC598" s="82"/>
      <c r="AD598" s="83">
        <f t="shared" si="116"/>
        <v>2.7215277777795563</v>
      </c>
      <c r="AE598" s="83">
        <v>2</v>
      </c>
      <c r="AF598" s="83">
        <f t="shared" si="117"/>
        <v>-0.72152777777955635</v>
      </c>
      <c r="AG598" s="83">
        <f t="shared" si="118"/>
        <v>65.316666666709352</v>
      </c>
      <c r="AH598" s="83">
        <f t="shared" si="119"/>
        <v>24</v>
      </c>
      <c r="AI598" s="83">
        <f t="shared" si="120"/>
        <v>41.316666666709352</v>
      </c>
      <c r="AJ598" s="83">
        <f t="shared" si="121"/>
        <v>3.7757160145180837</v>
      </c>
      <c r="AK598" s="83"/>
      <c r="AL598" s="83"/>
      <c r="AM598" s="83"/>
      <c r="AN598" s="83"/>
    </row>
    <row r="599" spans="1:40" ht="15" hidden="1" x14ac:dyDescent="0.25">
      <c r="A599" s="82">
        <v>45721</v>
      </c>
      <c r="B599" s="94" t="str">
        <f t="shared" si="111"/>
        <v>March</v>
      </c>
      <c r="C599" s="79" t="s">
        <v>2162</v>
      </c>
      <c r="D599" s="79" t="s">
        <v>365</v>
      </c>
      <c r="E599" s="80" t="s">
        <v>1017</v>
      </c>
      <c r="F599" s="79" t="s">
        <v>1013</v>
      </c>
      <c r="G599" s="79" t="s">
        <v>56</v>
      </c>
      <c r="H599" s="79" t="s">
        <v>452</v>
      </c>
      <c r="I599" s="79">
        <v>156</v>
      </c>
      <c r="J599" s="79" t="s">
        <v>365</v>
      </c>
      <c r="K599" s="80" t="s">
        <v>469</v>
      </c>
      <c r="L599" s="80">
        <v>690</v>
      </c>
      <c r="M599" s="80">
        <f>L599-1</f>
        <v>689</v>
      </c>
      <c r="N599" s="81">
        <f t="shared" si="122"/>
        <v>-1</v>
      </c>
      <c r="P599" s="82">
        <f>R599-TIME(0,22,0)</f>
        <v>45719.56527777778</v>
      </c>
      <c r="Q599" s="82">
        <v>45719.541666666664</v>
      </c>
      <c r="R599" s="82">
        <v>45719.580555555556</v>
      </c>
      <c r="S599" s="81">
        <f t="shared" si="112"/>
        <v>55.740740745144045</v>
      </c>
      <c r="T599" s="81">
        <f t="shared" si="113"/>
        <v>21.89814814652588</v>
      </c>
      <c r="U599" s="79"/>
      <c r="V599" s="82">
        <v>45721.794444444444</v>
      </c>
      <c r="W599" s="82">
        <v>45722.393055555556</v>
      </c>
      <c r="X599" s="103">
        <f t="shared" si="114"/>
        <v>844.04166666849051</v>
      </c>
      <c r="Y599" s="82"/>
      <c r="Z599" s="82">
        <v>45721.879861111112</v>
      </c>
      <c r="AA599" s="82">
        <f>Z599+TIME(0,43,0)</f>
        <v>45721.909722222226</v>
      </c>
      <c r="AB599" s="81">
        <f t="shared" si="115"/>
        <v>42.104166670542327</v>
      </c>
      <c r="AC599" s="82"/>
      <c r="AD599" s="83">
        <f t="shared" si="116"/>
        <v>2.2993055555562023</v>
      </c>
      <c r="AE599" s="83">
        <v>3</v>
      </c>
      <c r="AF599" s="83">
        <f t="shared" si="117"/>
        <v>0.70069444444379769</v>
      </c>
      <c r="AG599" s="83">
        <f t="shared" si="118"/>
        <v>55.183333333348855</v>
      </c>
      <c r="AH599" s="83">
        <f t="shared" si="119"/>
        <v>24</v>
      </c>
      <c r="AI599" s="83">
        <f t="shared" si="120"/>
        <v>31.183333333348855</v>
      </c>
      <c r="AJ599" s="83">
        <f t="shared" si="121"/>
        <v>5.0026723677153075</v>
      </c>
      <c r="AK599" s="83"/>
      <c r="AL599" s="83"/>
      <c r="AM599" s="83"/>
      <c r="AN599" s="83"/>
    </row>
    <row r="600" spans="1:40" ht="15" hidden="1" x14ac:dyDescent="0.25">
      <c r="A600" s="82">
        <v>45721</v>
      </c>
      <c r="B600" s="94" t="str">
        <f t="shared" si="111"/>
        <v>March</v>
      </c>
      <c r="C600" s="79" t="s">
        <v>2162</v>
      </c>
      <c r="D600" s="79" t="s">
        <v>366</v>
      </c>
      <c r="E600" s="80" t="s">
        <v>1017</v>
      </c>
      <c r="F600" s="79" t="s">
        <v>1014</v>
      </c>
      <c r="G600" s="79" t="s">
        <v>52</v>
      </c>
      <c r="H600" s="79" t="s">
        <v>456</v>
      </c>
      <c r="I600" s="79">
        <v>156</v>
      </c>
      <c r="J600" s="79" t="s">
        <v>366</v>
      </c>
      <c r="K600" s="80" t="s">
        <v>469</v>
      </c>
      <c r="L600" s="80">
        <v>670</v>
      </c>
      <c r="M600" s="80">
        <f>L600+5</f>
        <v>675</v>
      </c>
      <c r="N600" s="81">
        <f t="shared" si="122"/>
        <v>5</v>
      </c>
      <c r="P600" s="82">
        <f>R600-TIME(0,53,0)</f>
        <v>45719.581249999996</v>
      </c>
      <c r="Q600" s="82">
        <v>45719.619444444441</v>
      </c>
      <c r="R600" s="82">
        <v>45719.618055555555</v>
      </c>
      <c r="S600" s="81">
        <f t="shared" si="112"/>
        <v>-1.9907407368009444</v>
      </c>
      <c r="T600" s="81">
        <f t="shared" si="113"/>
        <v>52.75462963472819</v>
      </c>
      <c r="U600" s="79"/>
      <c r="V600" s="82">
        <v>45722.513888888891</v>
      </c>
      <c r="W600" s="82">
        <v>45722.611111111109</v>
      </c>
      <c r="X600" s="103">
        <f t="shared" si="114"/>
        <v>137.08333332877373</v>
      </c>
      <c r="Y600" s="82"/>
      <c r="Z600" s="82">
        <v>45721.504166666666</v>
      </c>
      <c r="AA600" s="82">
        <f>Z600+TIME(0,42,0)</f>
        <v>45721.533333333333</v>
      </c>
      <c r="AB600" s="81">
        <f t="shared" si="115"/>
        <v>41.12500000068394</v>
      </c>
      <c r="AC600" s="82"/>
      <c r="AD600" s="83">
        <f t="shared" si="116"/>
        <v>1.8861111111109494</v>
      </c>
      <c r="AE600" s="83">
        <v>2</v>
      </c>
      <c r="AF600" s="83">
        <f t="shared" si="117"/>
        <v>0.11388888888905058</v>
      </c>
      <c r="AG600" s="83">
        <f t="shared" si="118"/>
        <v>45.266666666662786</v>
      </c>
      <c r="AH600" s="83">
        <f t="shared" si="119"/>
        <v>12</v>
      </c>
      <c r="AI600" s="83">
        <f t="shared" si="120"/>
        <v>33.266666666662786</v>
      </c>
      <c r="AJ600" s="83">
        <f t="shared" si="121"/>
        <v>4.689378757515577</v>
      </c>
      <c r="AK600" s="83"/>
      <c r="AL600" s="83"/>
      <c r="AM600" s="83"/>
      <c r="AN600" s="83"/>
    </row>
    <row r="601" spans="1:40" ht="15" hidden="1" x14ac:dyDescent="0.25">
      <c r="A601" s="82">
        <v>45721</v>
      </c>
      <c r="B601" s="94" t="str">
        <f t="shared" si="111"/>
        <v>March</v>
      </c>
      <c r="C601" s="79" t="s">
        <v>2162</v>
      </c>
      <c r="D601" s="79" t="s">
        <v>367</v>
      </c>
      <c r="E601" s="80" t="s">
        <v>1017</v>
      </c>
      <c r="F601" s="79" t="s">
        <v>1031</v>
      </c>
      <c r="G601" s="79" t="s">
        <v>50</v>
      </c>
      <c r="H601" s="79" t="s">
        <v>458</v>
      </c>
      <c r="I601" s="79">
        <v>156</v>
      </c>
      <c r="J601" s="79" t="s">
        <v>367</v>
      </c>
      <c r="K601" s="80" t="s">
        <v>469</v>
      </c>
      <c r="L601" s="80">
        <v>448</v>
      </c>
      <c r="M601" s="80">
        <f>L601-2</f>
        <v>446</v>
      </c>
      <c r="N601" s="81">
        <f t="shared" si="122"/>
        <v>-2</v>
      </c>
      <c r="P601" s="82">
        <f t="shared" ref="P601:P602" si="124">R601-TIME(0,29,0)</f>
        <v>45720.964583333334</v>
      </c>
      <c r="Q601" s="82">
        <v>45721.244444444441</v>
      </c>
      <c r="R601" s="82">
        <v>45720.984722222223</v>
      </c>
      <c r="S601" s="81">
        <f t="shared" si="112"/>
        <v>-372.26851851179771</v>
      </c>
      <c r="T601" s="81">
        <f t="shared" si="113"/>
        <v>28.865740740972495</v>
      </c>
      <c r="U601" s="79"/>
      <c r="V601" s="82">
        <v>45721.544444444444</v>
      </c>
      <c r="W601" s="82">
        <v>45721.663888888892</v>
      </c>
      <c r="X601" s="103">
        <f t="shared" si="114"/>
        <v>168.41666667191021</v>
      </c>
      <c r="Y601" s="82"/>
      <c r="Z601" s="82">
        <v>45721.839583333334</v>
      </c>
      <c r="AA601" s="82">
        <f>Z601+TIME(0,41,0)</f>
        <v>45721.868055555555</v>
      </c>
      <c r="AB601" s="81">
        <f t="shared" si="115"/>
        <v>40.145833330825553</v>
      </c>
      <c r="AC601" s="82"/>
      <c r="AD601" s="83">
        <f t="shared" si="116"/>
        <v>0.85486111111094942</v>
      </c>
      <c r="AE601" s="83">
        <v>2</v>
      </c>
      <c r="AF601" s="83">
        <f t="shared" si="117"/>
        <v>1.1451388888890506</v>
      </c>
      <c r="AG601" s="83">
        <f t="shared" si="118"/>
        <v>20.516666666662786</v>
      </c>
      <c r="AH601" s="83">
        <f t="shared" si="119"/>
        <v>0</v>
      </c>
      <c r="AI601" s="83">
        <f t="shared" si="120"/>
        <v>20.516666666662786</v>
      </c>
      <c r="AJ601" s="83">
        <f t="shared" si="121"/>
        <v>7.6035743298145979</v>
      </c>
      <c r="AK601" s="83"/>
      <c r="AL601" s="83"/>
      <c r="AM601" s="83"/>
      <c r="AN601" s="83"/>
    </row>
    <row r="602" spans="1:40" ht="15" hidden="1" x14ac:dyDescent="0.25">
      <c r="A602" s="82">
        <v>45721</v>
      </c>
      <c r="B602" s="94" t="str">
        <f t="shared" si="111"/>
        <v>March</v>
      </c>
      <c r="C602" s="79" t="s">
        <v>2162</v>
      </c>
      <c r="D602" s="79" t="s">
        <v>368</v>
      </c>
      <c r="E602" s="80" t="s">
        <v>1017</v>
      </c>
      <c r="F602" s="79" t="s">
        <v>963</v>
      </c>
      <c r="G602" s="79" t="s">
        <v>60</v>
      </c>
      <c r="H602" s="79" t="s">
        <v>456</v>
      </c>
      <c r="I602" s="79">
        <v>156</v>
      </c>
      <c r="J602" s="79" t="s">
        <v>368</v>
      </c>
      <c r="K602" s="80" t="s">
        <v>469</v>
      </c>
      <c r="L602" s="80">
        <v>670</v>
      </c>
      <c r="M602" s="80">
        <f>L602-1</f>
        <v>669</v>
      </c>
      <c r="N602" s="81">
        <f t="shared" si="122"/>
        <v>-1</v>
      </c>
      <c r="P602" s="82">
        <f t="shared" si="124"/>
        <v>45720.822916666664</v>
      </c>
      <c r="Q602" s="82">
        <v>45721.134027777778</v>
      </c>
      <c r="R602" s="82">
        <v>45720.843055555553</v>
      </c>
      <c r="S602" s="81">
        <f t="shared" si="112"/>
        <v>-417.06018518889323</v>
      </c>
      <c r="T602" s="81">
        <f t="shared" si="113"/>
        <v>28.865740740972495</v>
      </c>
      <c r="U602" s="79"/>
      <c r="V602" s="82">
        <v>45722.500694444447</v>
      </c>
      <c r="W602" s="82">
        <v>45723.490277777775</v>
      </c>
      <c r="X602" s="103">
        <f t="shared" si="114"/>
        <v>1395.3124999931606</v>
      </c>
      <c r="Y602" s="82"/>
      <c r="Z602" s="82">
        <v>45723.395833333336</v>
      </c>
      <c r="AA602" s="82">
        <f>Z602+TIME(0,43,0)</f>
        <v>45723.42569444445</v>
      </c>
      <c r="AB602" s="81">
        <f t="shared" si="115"/>
        <v>42.104166670542327</v>
      </c>
      <c r="AC602" s="82"/>
      <c r="AD602" s="83">
        <f t="shared" si="116"/>
        <v>2.5527777777824667</v>
      </c>
      <c r="AE602" s="83">
        <v>2</v>
      </c>
      <c r="AF602" s="83">
        <f t="shared" si="117"/>
        <v>-0.55277777778246673</v>
      </c>
      <c r="AG602" s="83">
        <f t="shared" si="118"/>
        <v>61.266666666779201</v>
      </c>
      <c r="AH602" s="83">
        <f t="shared" si="119"/>
        <v>24</v>
      </c>
      <c r="AI602" s="83">
        <f t="shared" si="120"/>
        <v>37.266666666779201</v>
      </c>
      <c r="AJ602" s="83">
        <f t="shared" si="121"/>
        <v>4.1860465116152659</v>
      </c>
      <c r="AK602" s="83"/>
      <c r="AL602" s="83"/>
      <c r="AM602" s="83"/>
      <c r="AN602" s="83"/>
    </row>
    <row r="603" spans="1:40" ht="15" hidden="1" x14ac:dyDescent="0.25">
      <c r="A603" s="82">
        <v>45721</v>
      </c>
      <c r="B603" s="94" t="str">
        <f t="shared" si="111"/>
        <v>March</v>
      </c>
      <c r="C603" s="79" t="s">
        <v>2161</v>
      </c>
      <c r="D603" s="79" t="s">
        <v>938</v>
      </c>
      <c r="E603" s="80" t="s">
        <v>1016</v>
      </c>
      <c r="F603" s="79" t="s">
        <v>951</v>
      </c>
      <c r="G603" s="79" t="s">
        <v>968</v>
      </c>
      <c r="H603" s="79" t="s">
        <v>987</v>
      </c>
      <c r="I603" s="79">
        <v>153.6</v>
      </c>
      <c r="J603" s="79" t="s">
        <v>938</v>
      </c>
      <c r="K603" s="80" t="s">
        <v>469</v>
      </c>
      <c r="L603" s="79">
        <v>320</v>
      </c>
      <c r="M603" s="80">
        <f t="shared" ref="M603:M604" si="125">L603-1</f>
        <v>319</v>
      </c>
      <c r="N603" s="81">
        <f t="shared" si="122"/>
        <v>-1</v>
      </c>
      <c r="P603" s="82">
        <f>R603-TIME(0,29,0)</f>
        <v>45721.759722222225</v>
      </c>
      <c r="Q603" s="82">
        <v>45721.098611111112</v>
      </c>
      <c r="R603" s="82">
        <v>45721.779861111114</v>
      </c>
      <c r="S603" s="81">
        <f t="shared" si="112"/>
        <v>976.45833333541907</v>
      </c>
      <c r="T603" s="81">
        <f t="shared" si="113"/>
        <v>28.865740740972495</v>
      </c>
      <c r="U603" s="79"/>
      <c r="V603" s="82">
        <v>45722.500694444447</v>
      </c>
      <c r="W603" s="82">
        <v>45723.490277777775</v>
      </c>
      <c r="X603" s="103">
        <f t="shared" si="114"/>
        <v>1395.3124999931606</v>
      </c>
      <c r="Y603" s="82" t="s">
        <v>1044</v>
      </c>
      <c r="Z603" s="82">
        <v>45724.503472222219</v>
      </c>
      <c r="AA603" s="82">
        <f>Z603+TIME(0,69,0)</f>
        <v>45724.551388888889</v>
      </c>
      <c r="AB603" s="81">
        <f t="shared" si="115"/>
        <v>67.56250000478758</v>
      </c>
      <c r="AC603" s="82" t="s">
        <v>1676</v>
      </c>
      <c r="AD603" s="83">
        <f t="shared" si="116"/>
        <v>2.7236111111051287</v>
      </c>
      <c r="AE603" s="83">
        <v>2</v>
      </c>
      <c r="AF603" s="83">
        <f t="shared" si="117"/>
        <v>-0.72361111110512866</v>
      </c>
      <c r="AG603" s="83">
        <f t="shared" si="118"/>
        <v>65.366666666523088</v>
      </c>
      <c r="AH603" s="83">
        <f t="shared" si="119"/>
        <v>24</v>
      </c>
      <c r="AI603" s="83">
        <f t="shared" si="120"/>
        <v>41.366666666523088</v>
      </c>
      <c r="AJ603" s="83">
        <f t="shared" si="121"/>
        <v>3.7131345689089392</v>
      </c>
      <c r="AK603" s="83"/>
      <c r="AL603" s="83"/>
      <c r="AM603" s="83"/>
      <c r="AN603" s="83"/>
    </row>
    <row r="604" spans="1:40" ht="15" hidden="1" x14ac:dyDescent="0.25">
      <c r="A604" s="82">
        <v>45721</v>
      </c>
      <c r="B604" s="94" t="str">
        <f t="shared" si="111"/>
        <v>March</v>
      </c>
      <c r="C604" s="79" t="s">
        <v>2161</v>
      </c>
      <c r="D604" s="79" t="s">
        <v>937</v>
      </c>
      <c r="E604" s="80" t="s">
        <v>1016</v>
      </c>
      <c r="F604" s="79" t="s">
        <v>954</v>
      </c>
      <c r="G604" s="79" t="s">
        <v>971</v>
      </c>
      <c r="H604" s="79" t="s">
        <v>987</v>
      </c>
      <c r="I604" s="79">
        <v>153.6</v>
      </c>
      <c r="J604" s="79" t="s">
        <v>937</v>
      </c>
      <c r="K604" s="80" t="s">
        <v>469</v>
      </c>
      <c r="L604" s="79">
        <v>320</v>
      </c>
      <c r="M604" s="80">
        <f t="shared" si="125"/>
        <v>319</v>
      </c>
      <c r="N604" s="81">
        <f t="shared" si="122"/>
        <v>-1</v>
      </c>
      <c r="P604" s="82">
        <f t="shared" si="110"/>
        <v>45721.476388888885</v>
      </c>
      <c r="Q604" s="82">
        <v>45721.098611111112</v>
      </c>
      <c r="R604" s="82">
        <v>45721.49722222222</v>
      </c>
      <c r="S604" s="81">
        <f t="shared" si="112"/>
        <v>571.34259258818929</v>
      </c>
      <c r="T604" s="81">
        <f t="shared" si="113"/>
        <v>29.861111114587402</v>
      </c>
      <c r="U604" s="79"/>
      <c r="V604" s="82">
        <v>45722.513888888891</v>
      </c>
      <c r="W604" s="82">
        <v>45722.611111111109</v>
      </c>
      <c r="X604" s="103">
        <f t="shared" si="114"/>
        <v>137.08333332877373</v>
      </c>
      <c r="Y604" s="82"/>
      <c r="Z604" s="82">
        <v>45724.503472222219</v>
      </c>
      <c r="AA604" s="82">
        <v>45724.54305555555</v>
      </c>
      <c r="AB604" s="81">
        <f t="shared" si="115"/>
        <v>55.81249999726424</v>
      </c>
      <c r="AC604" s="82"/>
      <c r="AD604" s="83">
        <f t="shared" si="116"/>
        <v>3.0062499999985448</v>
      </c>
      <c r="AE604" s="83">
        <v>2</v>
      </c>
      <c r="AF604" s="83">
        <f t="shared" si="117"/>
        <v>-1.0062499999985448</v>
      </c>
      <c r="AG604" s="83">
        <f t="shared" si="118"/>
        <v>72.149999999965075</v>
      </c>
      <c r="AH604" s="83">
        <f t="shared" si="119"/>
        <v>36</v>
      </c>
      <c r="AI604" s="83">
        <f t="shared" si="120"/>
        <v>36.149999999965075</v>
      </c>
      <c r="AJ604" s="83">
        <f t="shared" si="121"/>
        <v>4.2489626556057649</v>
      </c>
      <c r="AK604" s="83"/>
      <c r="AL604" s="83"/>
      <c r="AM604" s="83"/>
      <c r="AN604" s="83"/>
    </row>
    <row r="605" spans="1:40" ht="15" hidden="1" x14ac:dyDescent="0.25">
      <c r="A605" s="82">
        <v>45722</v>
      </c>
      <c r="B605" s="94" t="str">
        <f t="shared" si="111"/>
        <v>March</v>
      </c>
      <c r="C605" s="79" t="s">
        <v>2162</v>
      </c>
      <c r="D605" s="79" t="s">
        <v>369</v>
      </c>
      <c r="E605" s="80" t="s">
        <v>1017</v>
      </c>
      <c r="F605" s="79" t="s">
        <v>1019</v>
      </c>
      <c r="G605" s="79" t="s">
        <v>37</v>
      </c>
      <c r="H605" s="79" t="s">
        <v>451</v>
      </c>
      <c r="I605" s="79">
        <v>78</v>
      </c>
      <c r="J605" s="79" t="s">
        <v>369</v>
      </c>
      <c r="K605" s="80" t="s">
        <v>469</v>
      </c>
      <c r="L605" s="80">
        <v>790</v>
      </c>
      <c r="M605" s="80">
        <f>L605-4</f>
        <v>786</v>
      </c>
      <c r="N605" s="81">
        <f t="shared" si="122"/>
        <v>-4</v>
      </c>
      <c r="P605" s="82">
        <f>R605-TIME(0,52,0)</f>
        <v>45719.769444444442</v>
      </c>
      <c r="Q605" s="82">
        <v>45720.098611111112</v>
      </c>
      <c r="R605" s="82">
        <v>45719.805555555555</v>
      </c>
      <c r="S605" s="81">
        <f t="shared" si="112"/>
        <v>-420.04629629930906</v>
      </c>
      <c r="T605" s="81">
        <f t="shared" si="113"/>
        <v>51.759259261113279</v>
      </c>
      <c r="U605" s="79"/>
      <c r="V605" s="82">
        <v>45723.594444444447</v>
      </c>
      <c r="W605" s="82">
        <v>45723.669444444444</v>
      </c>
      <c r="X605" s="103">
        <f t="shared" si="114"/>
        <v>105.74999999589636</v>
      </c>
      <c r="Y605" s="82"/>
      <c r="Z605" s="82">
        <v>45720.74722222222</v>
      </c>
      <c r="AA605" s="82">
        <f>Z605+TIME(0,41,0)</f>
        <v>45720.775694444441</v>
      </c>
      <c r="AB605" s="81">
        <f t="shared" si="115"/>
        <v>40.145833330825553</v>
      </c>
      <c r="AC605" s="82"/>
      <c r="AD605" s="83">
        <f t="shared" si="116"/>
        <v>0.94166666666569654</v>
      </c>
      <c r="AE605" s="83">
        <v>3</v>
      </c>
      <c r="AF605" s="83">
        <f t="shared" si="117"/>
        <v>2.0583333333343035</v>
      </c>
      <c r="AG605" s="83">
        <f t="shared" si="118"/>
        <v>22.599999999976717</v>
      </c>
      <c r="AH605" s="83">
        <f t="shared" si="119"/>
        <v>0</v>
      </c>
      <c r="AI605" s="83">
        <f t="shared" si="120"/>
        <v>22.599999999976717</v>
      </c>
      <c r="AJ605" s="83">
        <f t="shared" si="121"/>
        <v>3.4513274336318744</v>
      </c>
      <c r="AK605" s="83"/>
      <c r="AL605" s="83"/>
      <c r="AM605" s="83"/>
      <c r="AN605" s="83"/>
    </row>
    <row r="606" spans="1:40" ht="15" hidden="1" x14ac:dyDescent="0.25">
      <c r="A606" s="82">
        <v>45722</v>
      </c>
      <c r="B606" s="94" t="str">
        <f t="shared" si="111"/>
        <v>March</v>
      </c>
      <c r="C606" s="79" t="s">
        <v>2162</v>
      </c>
      <c r="D606" s="79" t="s">
        <v>370</v>
      </c>
      <c r="E606" s="80" t="s">
        <v>1017</v>
      </c>
      <c r="F606" s="79" t="s">
        <v>1026</v>
      </c>
      <c r="G606" s="79" t="s">
        <v>51</v>
      </c>
      <c r="H606" s="79" t="s">
        <v>452</v>
      </c>
      <c r="I606" s="79">
        <v>141.6</v>
      </c>
      <c r="J606" s="79" t="s">
        <v>370</v>
      </c>
      <c r="K606" s="80" t="s">
        <v>469</v>
      </c>
      <c r="L606" s="80">
        <v>690</v>
      </c>
      <c r="M606" s="80">
        <f>L606-3</f>
        <v>687</v>
      </c>
      <c r="N606" s="81">
        <f t="shared" si="122"/>
        <v>-3</v>
      </c>
      <c r="P606" s="82">
        <f>R606-TIME(0,28,0)</f>
        <v>45722.849305555559</v>
      </c>
      <c r="Q606" s="82">
        <v>45722.169444444444</v>
      </c>
      <c r="R606" s="82">
        <v>45722.868750000001</v>
      </c>
      <c r="S606" s="81">
        <f t="shared" si="112"/>
        <v>1002.3379629659757</v>
      </c>
      <c r="T606" s="81">
        <f t="shared" si="113"/>
        <v>27.870370367357584</v>
      </c>
      <c r="U606" s="79"/>
      <c r="V606" s="82">
        <v>45723.491666666669</v>
      </c>
      <c r="W606" s="82">
        <v>45723.588888888888</v>
      </c>
      <c r="X606" s="103">
        <f t="shared" si="114"/>
        <v>137.08333332877373</v>
      </c>
      <c r="Y606" s="82"/>
      <c r="Z606" s="82">
        <v>45724.455555555556</v>
      </c>
      <c r="AA606" s="82">
        <f>Z606+TIME(0,57,0)</f>
        <v>45724.495138888888</v>
      </c>
      <c r="AB606" s="81">
        <f t="shared" si="115"/>
        <v>55.81249999726424</v>
      </c>
      <c r="AC606" s="82"/>
      <c r="AD606" s="83">
        <f t="shared" si="116"/>
        <v>1.5868055555547471</v>
      </c>
      <c r="AE606" s="83">
        <v>3</v>
      </c>
      <c r="AF606" s="83">
        <f t="shared" si="117"/>
        <v>1.4131944444452529</v>
      </c>
      <c r="AG606" s="83">
        <f t="shared" si="118"/>
        <v>38.083333333313931</v>
      </c>
      <c r="AH606" s="83">
        <f t="shared" si="119"/>
        <v>12</v>
      </c>
      <c r="AI606" s="83">
        <f t="shared" si="120"/>
        <v>26.083333333313931</v>
      </c>
      <c r="AJ606" s="83">
        <f t="shared" si="121"/>
        <v>5.4287539936142615</v>
      </c>
      <c r="AK606" s="83"/>
      <c r="AL606" s="83"/>
      <c r="AM606" s="83"/>
      <c r="AN606" s="83"/>
    </row>
    <row r="607" spans="1:40" ht="15" hidden="1" x14ac:dyDescent="0.25">
      <c r="A607" s="82">
        <v>45722</v>
      </c>
      <c r="B607" s="94" t="str">
        <f t="shared" si="111"/>
        <v>March</v>
      </c>
      <c r="C607" s="79" t="s">
        <v>2162</v>
      </c>
      <c r="D607" s="79" t="s">
        <v>371</v>
      </c>
      <c r="E607" s="80" t="s">
        <v>1017</v>
      </c>
      <c r="F607" s="79" t="s">
        <v>1028</v>
      </c>
      <c r="G607" s="79" t="s">
        <v>45</v>
      </c>
      <c r="H607" s="79" t="s">
        <v>462</v>
      </c>
      <c r="I607" s="79">
        <v>78</v>
      </c>
      <c r="J607" s="79" t="s">
        <v>371</v>
      </c>
      <c r="K607" s="80" t="s">
        <v>469</v>
      </c>
      <c r="L607" s="80">
        <v>680</v>
      </c>
      <c r="M607" s="80">
        <f>L607+3</f>
        <v>683</v>
      </c>
      <c r="N607" s="81">
        <f t="shared" si="122"/>
        <v>3</v>
      </c>
      <c r="P607" s="82">
        <f>R607-TIME(0,28,0)</f>
        <v>45719.756249999999</v>
      </c>
      <c r="Q607" s="82">
        <v>45720.115277777775</v>
      </c>
      <c r="R607" s="82">
        <v>45719.775694444441</v>
      </c>
      <c r="S607" s="81">
        <f t="shared" si="112"/>
        <v>-486.73611111250165</v>
      </c>
      <c r="T607" s="81">
        <f t="shared" si="113"/>
        <v>27.870370367357584</v>
      </c>
      <c r="U607" s="79"/>
      <c r="V607" s="82">
        <v>45722.484027777777</v>
      </c>
      <c r="W607" s="82">
        <v>45722.580555555556</v>
      </c>
      <c r="X607" s="103">
        <f t="shared" si="114"/>
        <v>136.10416666917445</v>
      </c>
      <c r="Y607" s="82"/>
      <c r="Z607" s="82">
        <v>45721.368055555555</v>
      </c>
      <c r="AA607" s="82">
        <f>Z607+TIME(0,57,0)</f>
        <v>45721.407638888886</v>
      </c>
      <c r="AB607" s="81">
        <f t="shared" si="115"/>
        <v>55.81249999726424</v>
      </c>
      <c r="AC607" s="82"/>
      <c r="AD607" s="83">
        <f t="shared" si="116"/>
        <v>1.5923611111138598</v>
      </c>
      <c r="AE607" s="83">
        <v>3</v>
      </c>
      <c r="AF607" s="83">
        <f t="shared" si="117"/>
        <v>1.4076388888861402</v>
      </c>
      <c r="AG607" s="83">
        <f t="shared" si="118"/>
        <v>38.216666666732635</v>
      </c>
      <c r="AH607" s="83">
        <f t="shared" si="119"/>
        <v>12</v>
      </c>
      <c r="AI607" s="83">
        <f t="shared" si="120"/>
        <v>26.216666666732635</v>
      </c>
      <c r="AJ607" s="83">
        <f t="shared" si="121"/>
        <v>2.9752066115627613</v>
      </c>
      <c r="AK607" s="83"/>
      <c r="AL607" s="83"/>
      <c r="AM607" s="83"/>
      <c r="AN607" s="83"/>
    </row>
    <row r="608" spans="1:40" ht="15" hidden="1" x14ac:dyDescent="0.25">
      <c r="A608" s="82">
        <v>45722</v>
      </c>
      <c r="B608" s="94" t="str">
        <f t="shared" si="111"/>
        <v>March</v>
      </c>
      <c r="C608" s="79" t="s">
        <v>2162</v>
      </c>
      <c r="D608" s="79" t="s">
        <v>372</v>
      </c>
      <c r="E608" s="80" t="s">
        <v>1017</v>
      </c>
      <c r="F608" s="79" t="s">
        <v>1027</v>
      </c>
      <c r="G608" s="79" t="s">
        <v>34</v>
      </c>
      <c r="H608" s="79" t="s">
        <v>463</v>
      </c>
      <c r="I608" s="79">
        <v>156</v>
      </c>
      <c r="J608" s="79" t="s">
        <v>372</v>
      </c>
      <c r="K608" s="80" t="s">
        <v>469</v>
      </c>
      <c r="L608" s="80">
        <v>464</v>
      </c>
      <c r="M608" s="80">
        <f>L608-2</f>
        <v>462</v>
      </c>
      <c r="N608" s="81">
        <f t="shared" si="122"/>
        <v>-2</v>
      </c>
      <c r="P608" s="82">
        <f>R608-TIME(0,27,0)</f>
        <v>45719.763888888883</v>
      </c>
      <c r="Q608" s="82">
        <v>45720.273611111108</v>
      </c>
      <c r="R608" s="82">
        <v>45719.782638888886</v>
      </c>
      <c r="S608" s="81">
        <f t="shared" si="112"/>
        <v>-703.72685185138835</v>
      </c>
      <c r="T608" s="81">
        <f t="shared" si="113"/>
        <v>26.87500000417155</v>
      </c>
      <c r="U608" s="79"/>
      <c r="V608" s="82">
        <v>45722.365972222222</v>
      </c>
      <c r="W608" s="82">
        <v>45722.445833333331</v>
      </c>
      <c r="X608" s="103">
        <f t="shared" si="114"/>
        <v>112.60416666438687</v>
      </c>
      <c r="Y608" s="82"/>
      <c r="Z608" s="82">
        <v>45722.39166666667</v>
      </c>
      <c r="AA608" s="82">
        <f>Z608+TIME(0,42,0)</f>
        <v>45722.420833333337</v>
      </c>
      <c r="AB608" s="81">
        <f t="shared" si="115"/>
        <v>41.12500000068394</v>
      </c>
      <c r="AC608" s="82"/>
      <c r="AD608" s="83">
        <f t="shared" si="116"/>
        <v>2.6090277777839219</v>
      </c>
      <c r="AE608" s="83">
        <v>3</v>
      </c>
      <c r="AF608" s="83">
        <f t="shared" si="117"/>
        <v>0.39097222221607808</v>
      </c>
      <c r="AG608" s="83">
        <f t="shared" si="118"/>
        <v>62.616666666814126</v>
      </c>
      <c r="AH608" s="83">
        <f t="shared" si="119"/>
        <v>24</v>
      </c>
      <c r="AI608" s="83">
        <f t="shared" si="120"/>
        <v>38.616666666814126</v>
      </c>
      <c r="AJ608" s="83">
        <f t="shared" si="121"/>
        <v>4.0397065170324806</v>
      </c>
      <c r="AK608" s="83"/>
      <c r="AL608" s="83"/>
      <c r="AM608" s="83"/>
      <c r="AN608" s="83"/>
    </row>
    <row r="609" spans="1:40" ht="15" hidden="1" x14ac:dyDescent="0.25">
      <c r="A609" s="82">
        <v>45722</v>
      </c>
      <c r="B609" s="94" t="str">
        <f t="shared" si="111"/>
        <v>March</v>
      </c>
      <c r="C609" s="79" t="s">
        <v>2162</v>
      </c>
      <c r="D609" s="79" t="s">
        <v>373</v>
      </c>
      <c r="E609" s="80" t="s">
        <v>1017</v>
      </c>
      <c r="F609" s="79" t="s">
        <v>1032</v>
      </c>
      <c r="G609" s="79" t="s">
        <v>72</v>
      </c>
      <c r="H609" s="79" t="s">
        <v>455</v>
      </c>
      <c r="I609" s="79">
        <v>78</v>
      </c>
      <c r="J609" s="79" t="s">
        <v>373</v>
      </c>
      <c r="K609" s="80" t="s">
        <v>469</v>
      </c>
      <c r="L609" s="80">
        <v>580</v>
      </c>
      <c r="M609" s="80">
        <f>L609-3</f>
        <v>577</v>
      </c>
      <c r="N609" s="81">
        <f t="shared" si="122"/>
        <v>-3</v>
      </c>
      <c r="P609" s="82">
        <f t="shared" ref="P609:P610" si="126">R609-TIME(0,29,0)</f>
        <v>45719.273611111108</v>
      </c>
      <c r="Q609" s="82">
        <v>45719.826388888891</v>
      </c>
      <c r="R609" s="82">
        <v>45719.293749999997</v>
      </c>
      <c r="S609" s="81">
        <f t="shared" si="112"/>
        <v>-763.44907408056315</v>
      </c>
      <c r="T609" s="81">
        <f t="shared" si="113"/>
        <v>28.865740740972495</v>
      </c>
      <c r="U609" s="79"/>
      <c r="V609" s="82">
        <v>45722.365972222222</v>
      </c>
      <c r="W609" s="82">
        <v>45722.539583333331</v>
      </c>
      <c r="X609" s="103">
        <f t="shared" si="114"/>
        <v>244.79166666438687</v>
      </c>
      <c r="Y609" s="82" t="s">
        <v>1044</v>
      </c>
      <c r="Z609" s="82">
        <v>45722.39166666667</v>
      </c>
      <c r="AA609" s="82">
        <f>Z609+TIME(0,56,0)</f>
        <v>45722.430555555562</v>
      </c>
      <c r="AB609" s="81">
        <f t="shared" si="115"/>
        <v>54.833333337664953</v>
      </c>
      <c r="AC609" s="82"/>
      <c r="AD609" s="83">
        <f t="shared" si="116"/>
        <v>3.0979166666729725</v>
      </c>
      <c r="AE609" s="83">
        <v>2</v>
      </c>
      <c r="AF609" s="83">
        <f t="shared" si="117"/>
        <v>-1.0979166666729725</v>
      </c>
      <c r="AG609" s="83">
        <f t="shared" si="118"/>
        <v>74.35000000015134</v>
      </c>
      <c r="AH609" s="83">
        <f t="shared" si="119"/>
        <v>36</v>
      </c>
      <c r="AI609" s="83">
        <f t="shared" si="120"/>
        <v>38.35000000015134</v>
      </c>
      <c r="AJ609" s="83">
        <f t="shared" si="121"/>
        <v>2.0338983050767196</v>
      </c>
      <c r="AK609" s="83"/>
      <c r="AL609" s="83"/>
      <c r="AM609" s="83"/>
      <c r="AN609" s="83"/>
    </row>
    <row r="610" spans="1:40" ht="15" hidden="1" x14ac:dyDescent="0.25">
      <c r="A610" s="82">
        <v>45722</v>
      </c>
      <c r="B610" s="94" t="str">
        <f t="shared" si="111"/>
        <v>March</v>
      </c>
      <c r="C610" s="79" t="s">
        <v>2162</v>
      </c>
      <c r="D610" s="79" t="s">
        <v>374</v>
      </c>
      <c r="E610" s="80" t="s">
        <v>1017</v>
      </c>
      <c r="F610" s="79" t="s">
        <v>1018</v>
      </c>
      <c r="G610" s="79" t="s">
        <v>39</v>
      </c>
      <c r="H610" s="79" t="s">
        <v>456</v>
      </c>
      <c r="I610" s="79">
        <v>78</v>
      </c>
      <c r="J610" s="79" t="s">
        <v>374</v>
      </c>
      <c r="K610" s="80" t="s">
        <v>469</v>
      </c>
      <c r="L610" s="80">
        <v>670</v>
      </c>
      <c r="M610" s="80">
        <f>L610+1</f>
        <v>671</v>
      </c>
      <c r="N610" s="81">
        <f t="shared" si="122"/>
        <v>1</v>
      </c>
      <c r="P610" s="82">
        <f t="shared" si="126"/>
        <v>45721.759722222225</v>
      </c>
      <c r="Q610" s="82">
        <v>45721.098611111112</v>
      </c>
      <c r="R610" s="82">
        <v>45721.779861111114</v>
      </c>
      <c r="S610" s="81">
        <f t="shared" si="112"/>
        <v>976.45833333541907</v>
      </c>
      <c r="T610" s="81">
        <f t="shared" si="113"/>
        <v>28.865740740972495</v>
      </c>
      <c r="U610" s="79"/>
      <c r="V610" s="82">
        <v>45721.697222222225</v>
      </c>
      <c r="W610" s="82">
        <v>45721.843055555553</v>
      </c>
      <c r="X610" s="103">
        <f t="shared" si="114"/>
        <v>205.6249999931606</v>
      </c>
      <c r="Y610" s="82" t="s">
        <v>1048</v>
      </c>
      <c r="Z610" s="82">
        <v>45721.913194444445</v>
      </c>
      <c r="AA610" s="82">
        <f>Z610+TIME(0,41,0)</f>
        <v>45721.941666666666</v>
      </c>
      <c r="AB610" s="81">
        <f t="shared" si="115"/>
        <v>40.145833330825553</v>
      </c>
      <c r="AC610" s="82"/>
      <c r="AD610" s="83">
        <f t="shared" si="116"/>
        <v>0.13333333333139308</v>
      </c>
      <c r="AE610" s="83">
        <v>2</v>
      </c>
      <c r="AF610" s="83">
        <f t="shared" si="117"/>
        <v>1.8666666666686069</v>
      </c>
      <c r="AG610" s="83">
        <f t="shared" si="118"/>
        <v>3.1999999999534339</v>
      </c>
      <c r="AH610" s="83">
        <f t="shared" si="119"/>
        <v>0</v>
      </c>
      <c r="AI610" s="83">
        <f t="shared" si="120"/>
        <v>3.1999999999534339</v>
      </c>
      <c r="AJ610" s="83">
        <f t="shared" si="121"/>
        <v>24.375000000354703</v>
      </c>
      <c r="AK610" s="83"/>
      <c r="AL610" s="83"/>
      <c r="AM610" s="83"/>
      <c r="AN610" s="83"/>
    </row>
    <row r="611" spans="1:40" ht="15" hidden="1" x14ac:dyDescent="0.25">
      <c r="A611" s="82">
        <v>45722</v>
      </c>
      <c r="B611" s="94" t="str">
        <f t="shared" si="111"/>
        <v>March</v>
      </c>
      <c r="C611" s="79" t="s">
        <v>2162</v>
      </c>
      <c r="D611" s="79" t="s">
        <v>375</v>
      </c>
      <c r="E611" s="80" t="s">
        <v>1017</v>
      </c>
      <c r="F611" s="79"/>
      <c r="G611" s="79" t="s">
        <v>49</v>
      </c>
      <c r="H611" s="79" t="s">
        <v>463</v>
      </c>
      <c r="I611" s="79">
        <v>156</v>
      </c>
      <c r="J611" s="79" t="s">
        <v>375</v>
      </c>
      <c r="K611" s="80" t="s">
        <v>469</v>
      </c>
      <c r="L611" s="80">
        <v>464</v>
      </c>
      <c r="M611" s="80">
        <f>L611-2</f>
        <v>462</v>
      </c>
      <c r="N611" s="81">
        <f t="shared" si="122"/>
        <v>-2</v>
      </c>
      <c r="P611" s="82">
        <f>R611-TIME(0,29,0)</f>
        <v>45721.477083333331</v>
      </c>
      <c r="Q611" s="82">
        <v>45721.098611111112</v>
      </c>
      <c r="R611" s="82">
        <v>45721.49722222222</v>
      </c>
      <c r="S611" s="81">
        <f t="shared" si="112"/>
        <v>571.34259258818929</v>
      </c>
      <c r="T611" s="81">
        <f t="shared" si="113"/>
        <v>28.865740740972495</v>
      </c>
      <c r="U611" s="79"/>
      <c r="V611" s="82">
        <v>45721.681250000001</v>
      </c>
      <c r="W611" s="82">
        <v>45721.768055555556</v>
      </c>
      <c r="X611" s="103">
        <f t="shared" si="114"/>
        <v>122.39583333219343</v>
      </c>
      <c r="Y611" s="82"/>
      <c r="Z611" s="82">
        <v>45723.771527777775</v>
      </c>
      <c r="AA611" s="82">
        <v>45723.809027777774</v>
      </c>
      <c r="AB611" s="81">
        <f t="shared" si="115"/>
        <v>52.87499999794818</v>
      </c>
      <c r="AC611" s="82"/>
      <c r="AD611" s="83">
        <f t="shared" si="116"/>
        <v>2.2743055555547471</v>
      </c>
      <c r="AE611" s="83">
        <v>3</v>
      </c>
      <c r="AF611" s="83">
        <f t="shared" si="117"/>
        <v>0.72569444444525288</v>
      </c>
      <c r="AG611" s="83">
        <f t="shared" si="118"/>
        <v>54.583333333313931</v>
      </c>
      <c r="AH611" s="83">
        <f t="shared" si="119"/>
        <v>24</v>
      </c>
      <c r="AI611" s="83">
        <f t="shared" si="120"/>
        <v>30.583333333313931</v>
      </c>
      <c r="AJ611" s="83">
        <f t="shared" si="121"/>
        <v>5.1008174386953344</v>
      </c>
      <c r="AK611" s="83"/>
      <c r="AL611" s="83"/>
      <c r="AM611" s="83"/>
      <c r="AN611" s="83"/>
    </row>
    <row r="612" spans="1:40" ht="15" hidden="1" x14ac:dyDescent="0.25">
      <c r="A612" s="82">
        <v>45722</v>
      </c>
      <c r="B612" s="94" t="str">
        <f t="shared" si="111"/>
        <v>March</v>
      </c>
      <c r="C612" s="79" t="s">
        <v>2162</v>
      </c>
      <c r="D612" s="79" t="s">
        <v>376</v>
      </c>
      <c r="E612" s="80" t="s">
        <v>1017</v>
      </c>
      <c r="F612" s="79" t="s">
        <v>1035</v>
      </c>
      <c r="G612" s="79" t="s">
        <v>44</v>
      </c>
      <c r="H612" s="79" t="s">
        <v>448</v>
      </c>
      <c r="I612" s="79">
        <v>156</v>
      </c>
      <c r="J612" s="79" t="s">
        <v>376</v>
      </c>
      <c r="K612" s="80" t="s">
        <v>469</v>
      </c>
      <c r="L612" s="80">
        <v>560</v>
      </c>
      <c r="M612" s="80">
        <f>L612-4</f>
        <v>556</v>
      </c>
      <c r="N612" s="81">
        <f t="shared" si="122"/>
        <v>-4</v>
      </c>
      <c r="P612" s="82">
        <f>R612-TIME(0,29,0)</f>
        <v>45720.746527777781</v>
      </c>
      <c r="Q612" s="82">
        <v>45720.75</v>
      </c>
      <c r="R612" s="82">
        <v>45720.76666666667</v>
      </c>
      <c r="S612" s="81">
        <f t="shared" si="112"/>
        <v>23.888888893755695</v>
      </c>
      <c r="T612" s="81">
        <f t="shared" si="113"/>
        <v>28.865740740972495</v>
      </c>
      <c r="U612" s="79"/>
      <c r="V612" s="82">
        <v>45722.496527777781</v>
      </c>
      <c r="W612" s="82">
        <v>45722.572916666664</v>
      </c>
      <c r="X612" s="103">
        <f t="shared" si="114"/>
        <v>107.70833332535403</v>
      </c>
      <c r="Y612" s="82"/>
      <c r="Z612" s="82">
        <v>45722.509722222225</v>
      </c>
      <c r="AA612" s="82">
        <f>Z612+TIME(0,82,0)</f>
        <v>45722.566666666666</v>
      </c>
      <c r="AB612" s="81">
        <f t="shared" si="115"/>
        <v>80.291666661651107</v>
      </c>
      <c r="AC612" s="82" t="s">
        <v>1481</v>
      </c>
      <c r="AD612" s="83">
        <f t="shared" si="116"/>
        <v>1.7430555555547471</v>
      </c>
      <c r="AE612" s="83">
        <v>2</v>
      </c>
      <c r="AF612" s="83">
        <f t="shared" si="117"/>
        <v>0.25694444444525288</v>
      </c>
      <c r="AG612" s="83">
        <f t="shared" si="118"/>
        <v>41.833333333313931</v>
      </c>
      <c r="AH612" s="83">
        <f t="shared" si="119"/>
        <v>12</v>
      </c>
      <c r="AI612" s="83">
        <f t="shared" si="120"/>
        <v>29.833333333313931</v>
      </c>
      <c r="AJ612" s="83">
        <f t="shared" si="121"/>
        <v>5.22905027933301</v>
      </c>
      <c r="AK612" s="83"/>
      <c r="AL612" s="83"/>
      <c r="AM612" s="83"/>
      <c r="AN612" s="83"/>
    </row>
    <row r="613" spans="1:40" ht="15" hidden="1" x14ac:dyDescent="0.25">
      <c r="A613" s="82">
        <v>45722</v>
      </c>
      <c r="B613" s="94" t="str">
        <f t="shared" si="111"/>
        <v>March</v>
      </c>
      <c r="C613" s="79" t="s">
        <v>2162</v>
      </c>
      <c r="D613" s="79" t="s">
        <v>377</v>
      </c>
      <c r="E613" s="80" t="s">
        <v>1017</v>
      </c>
      <c r="F613" s="79" t="s">
        <v>1030</v>
      </c>
      <c r="G613" s="79" t="s">
        <v>55</v>
      </c>
      <c r="H613" s="79" t="s">
        <v>452</v>
      </c>
      <c r="I613" s="79">
        <v>156</v>
      </c>
      <c r="J613" s="79" t="s">
        <v>377</v>
      </c>
      <c r="K613" s="80" t="s">
        <v>469</v>
      </c>
      <c r="L613" s="80">
        <v>690</v>
      </c>
      <c r="M613" s="80">
        <f>L613-2</f>
        <v>688</v>
      </c>
      <c r="N613" s="81">
        <f t="shared" si="122"/>
        <v>-2</v>
      </c>
      <c r="P613" s="82">
        <f>R613-TIME(0,29,0)</f>
        <v>45720.801388888889</v>
      </c>
      <c r="Q613" s="82">
        <v>45720.823611111111</v>
      </c>
      <c r="R613" s="82">
        <v>45720.821527777778</v>
      </c>
      <c r="S613" s="81">
        <f t="shared" si="112"/>
        <v>-2.9861111104158531</v>
      </c>
      <c r="T613" s="81">
        <f t="shared" si="113"/>
        <v>28.865740740972495</v>
      </c>
      <c r="U613" s="79"/>
      <c r="V613" s="82">
        <v>45721.877083333333</v>
      </c>
      <c r="W613" s="82">
        <v>45722.475694444445</v>
      </c>
      <c r="X613" s="103">
        <f t="shared" si="114"/>
        <v>844.04166666849051</v>
      </c>
      <c r="Y613" s="82" t="s">
        <v>1038</v>
      </c>
      <c r="Z613" s="82">
        <v>45722.625</v>
      </c>
      <c r="AA613" s="82">
        <f>Z613+TIME(0,59,0)</f>
        <v>45722.665972222225</v>
      </c>
      <c r="AB613" s="81">
        <f t="shared" si="115"/>
        <v>57.770833336981013</v>
      </c>
      <c r="AC613" s="82"/>
      <c r="AD613" s="83">
        <f t="shared" si="116"/>
        <v>1.8034722222218988</v>
      </c>
      <c r="AE613" s="83">
        <v>3</v>
      </c>
      <c r="AF613" s="83">
        <f t="shared" si="117"/>
        <v>1.1965277777781012</v>
      </c>
      <c r="AG613" s="83">
        <f t="shared" si="118"/>
        <v>43.283333333325572</v>
      </c>
      <c r="AH613" s="83">
        <f t="shared" si="119"/>
        <v>12</v>
      </c>
      <c r="AI613" s="83">
        <f t="shared" si="120"/>
        <v>31.283333333325572</v>
      </c>
      <c r="AJ613" s="83">
        <f t="shared" si="121"/>
        <v>4.9866808737359198</v>
      </c>
      <c r="AK613" s="83"/>
      <c r="AL613" s="83"/>
      <c r="AM613" s="83"/>
      <c r="AN613" s="83"/>
    </row>
    <row r="614" spans="1:40" ht="15" hidden="1" x14ac:dyDescent="0.25">
      <c r="A614" s="82">
        <v>45722</v>
      </c>
      <c r="B614" s="94" t="str">
        <f t="shared" si="111"/>
        <v>March</v>
      </c>
      <c r="C614" s="79" t="s">
        <v>2162</v>
      </c>
      <c r="D614" s="79" t="s">
        <v>378</v>
      </c>
      <c r="E614" s="80" t="s">
        <v>1017</v>
      </c>
      <c r="F614" s="79" t="s">
        <v>1022</v>
      </c>
      <c r="G614" s="79" t="s">
        <v>35</v>
      </c>
      <c r="H614" s="79" t="s">
        <v>456</v>
      </c>
      <c r="I614" s="79">
        <v>156</v>
      </c>
      <c r="J614" s="79" t="s">
        <v>378</v>
      </c>
      <c r="K614" s="80" t="s">
        <v>469</v>
      </c>
      <c r="L614" s="80">
        <v>670</v>
      </c>
      <c r="M614" s="80">
        <f>L614-4</f>
        <v>666</v>
      </c>
      <c r="N614" s="81">
        <f t="shared" si="122"/>
        <v>-4</v>
      </c>
      <c r="P614" s="82">
        <f>R614-TIME(0,27,0)</f>
        <v>45720.96597222222</v>
      </c>
      <c r="Q614" s="82">
        <v>45721.244444444441</v>
      </c>
      <c r="R614" s="82">
        <v>45720.984722222223</v>
      </c>
      <c r="S614" s="81">
        <f t="shared" si="112"/>
        <v>-372.26851851179771</v>
      </c>
      <c r="T614" s="81">
        <f t="shared" si="113"/>
        <v>26.87500000417155</v>
      </c>
      <c r="U614" s="79"/>
      <c r="V614" s="82">
        <v>45722.686805555553</v>
      </c>
      <c r="W614" s="82">
        <v>45723.442361111112</v>
      </c>
      <c r="X614" s="103">
        <f t="shared" si="114"/>
        <v>1065.3333333383489</v>
      </c>
      <c r="Y614" s="82" t="s">
        <v>1044</v>
      </c>
      <c r="Z614" s="82">
        <v>45723.678472222222</v>
      </c>
      <c r="AA614" s="82">
        <f>Z614+TIME(0,75,0)</f>
        <v>45723.730555555558</v>
      </c>
      <c r="AB614" s="81">
        <f t="shared" si="115"/>
        <v>73.4375000034197</v>
      </c>
      <c r="AC614" s="82" t="s">
        <v>1678</v>
      </c>
      <c r="AD614" s="83">
        <f t="shared" si="116"/>
        <v>2.6937499999985448</v>
      </c>
      <c r="AE614" s="83">
        <v>2</v>
      </c>
      <c r="AF614" s="83">
        <f t="shared" si="117"/>
        <v>-0.69374999999854481</v>
      </c>
      <c r="AG614" s="83">
        <f t="shared" si="118"/>
        <v>64.649999999965075</v>
      </c>
      <c r="AH614" s="83">
        <f t="shared" si="119"/>
        <v>24</v>
      </c>
      <c r="AI614" s="83">
        <f t="shared" si="120"/>
        <v>40.649999999965075</v>
      </c>
      <c r="AJ614" s="83">
        <f t="shared" si="121"/>
        <v>3.8376383763870612</v>
      </c>
      <c r="AK614" s="83"/>
      <c r="AL614" s="83"/>
      <c r="AM614" s="83"/>
      <c r="AN614" s="83"/>
    </row>
    <row r="615" spans="1:40" ht="15" hidden="1" x14ac:dyDescent="0.25">
      <c r="A615" s="82">
        <v>45722</v>
      </c>
      <c r="B615" s="94" t="str">
        <f t="shared" si="111"/>
        <v>March</v>
      </c>
      <c r="C615" s="79" t="s">
        <v>2162</v>
      </c>
      <c r="D615" s="79" t="s">
        <v>379</v>
      </c>
      <c r="E615" s="80" t="s">
        <v>1017</v>
      </c>
      <c r="F615" s="79"/>
      <c r="G615" s="79" t="s">
        <v>40</v>
      </c>
      <c r="H615" s="79" t="s">
        <v>454</v>
      </c>
      <c r="I615" s="79">
        <v>5.5439999999999996</v>
      </c>
      <c r="J615" s="79" t="s">
        <v>379</v>
      </c>
      <c r="K615" s="80" t="s">
        <v>469</v>
      </c>
      <c r="L615" s="80">
        <v>304</v>
      </c>
      <c r="M615" s="80">
        <f>L615+3</f>
        <v>307</v>
      </c>
      <c r="N615" s="81">
        <f t="shared" si="122"/>
        <v>3</v>
      </c>
      <c r="P615" s="82">
        <f>R615-TIME(0,28,0)</f>
        <v>45720.848611111112</v>
      </c>
      <c r="Q615" s="82">
        <v>45721.176388888889</v>
      </c>
      <c r="R615" s="82">
        <v>45720.868055555555</v>
      </c>
      <c r="S615" s="81">
        <f t="shared" si="112"/>
        <v>-441.94444444583496</v>
      </c>
      <c r="T615" s="81">
        <f t="shared" si="113"/>
        <v>27.870370367357584</v>
      </c>
      <c r="U615" s="79"/>
      <c r="V615" s="82">
        <v>45723.396527777775</v>
      </c>
      <c r="W615" s="82">
        <v>45723.582638888889</v>
      </c>
      <c r="X615" s="103">
        <f t="shared" si="114"/>
        <v>262.41666667054233</v>
      </c>
      <c r="Y615" s="82" t="s">
        <v>1044</v>
      </c>
      <c r="Z615" s="82">
        <v>45723.625</v>
      </c>
      <c r="AA615" s="82">
        <f>Z615+TIME(0,42,0)</f>
        <v>45723.654166666667</v>
      </c>
      <c r="AB615" s="81">
        <f t="shared" si="115"/>
        <v>41.12500000068394</v>
      </c>
      <c r="AC615" s="82"/>
      <c r="AD615" s="83">
        <f t="shared" si="116"/>
        <v>2.7569444444452529</v>
      </c>
      <c r="AE615" s="83">
        <v>2</v>
      </c>
      <c r="AF615" s="83">
        <f t="shared" si="117"/>
        <v>-0.75694444444525288</v>
      </c>
      <c r="AG615" s="83">
        <f t="shared" si="118"/>
        <v>66.166666666686069</v>
      </c>
      <c r="AH615" s="83">
        <f t="shared" si="119"/>
        <v>24</v>
      </c>
      <c r="AI615" s="83">
        <f t="shared" si="120"/>
        <v>42.166666666686069</v>
      </c>
      <c r="AJ615" s="83">
        <f t="shared" si="121"/>
        <v>0.1314782608695047</v>
      </c>
      <c r="AK615" s="83"/>
      <c r="AL615" s="83"/>
      <c r="AM615" s="83"/>
      <c r="AN615" s="83"/>
    </row>
    <row r="616" spans="1:40" ht="15" hidden="1" x14ac:dyDescent="0.25">
      <c r="A616" s="82">
        <v>45722</v>
      </c>
      <c r="B616" s="94" t="str">
        <f t="shared" si="111"/>
        <v>March</v>
      </c>
      <c r="C616" s="79" t="s">
        <v>2161</v>
      </c>
      <c r="D616" s="79" t="s">
        <v>935</v>
      </c>
      <c r="E616" s="80" t="s">
        <v>1016</v>
      </c>
      <c r="F616" s="79" t="s">
        <v>953</v>
      </c>
      <c r="G616" s="79" t="s">
        <v>970</v>
      </c>
      <c r="H616" s="79" t="s">
        <v>983</v>
      </c>
      <c r="I616" s="79">
        <v>153.6</v>
      </c>
      <c r="J616" s="79" t="s">
        <v>935</v>
      </c>
      <c r="K616" s="80" t="s">
        <v>469</v>
      </c>
      <c r="L616" s="80">
        <v>150</v>
      </c>
      <c r="M616" s="80">
        <f>L616+2</f>
        <v>152</v>
      </c>
      <c r="N616" s="81">
        <f t="shared" si="122"/>
        <v>2</v>
      </c>
      <c r="P616" s="82">
        <f>R616-TIME(0,28,0)</f>
        <v>45722.747222222228</v>
      </c>
      <c r="Q616" s="82">
        <v>45722.260416666664</v>
      </c>
      <c r="R616" s="82">
        <v>45722.76666666667</v>
      </c>
      <c r="S616" s="81">
        <f t="shared" si="112"/>
        <v>725.62500000834314</v>
      </c>
      <c r="T616" s="81">
        <f t="shared" si="113"/>
        <v>27.870370367357584</v>
      </c>
      <c r="U616" s="79"/>
      <c r="V616" s="82">
        <v>45723.396527777775</v>
      </c>
      <c r="W616" s="82">
        <v>45723.582638888889</v>
      </c>
      <c r="X616" s="103">
        <f t="shared" si="114"/>
        <v>262.41666667054233</v>
      </c>
      <c r="Y616" s="82" t="s">
        <v>1049</v>
      </c>
      <c r="Z616" s="82">
        <v>45723.678472222222</v>
      </c>
      <c r="AA616" s="82">
        <f>Z616+TIME(0,43,0)</f>
        <v>45723.708333333336</v>
      </c>
      <c r="AB616" s="81">
        <f t="shared" si="115"/>
        <v>42.104166670542327</v>
      </c>
      <c r="AC616" s="82"/>
      <c r="AD616" s="83">
        <f t="shared" si="116"/>
        <v>0.91180555555183673</v>
      </c>
      <c r="AE616" s="83">
        <v>1</v>
      </c>
      <c r="AF616" s="83">
        <f t="shared" si="117"/>
        <v>8.8194444448163267E-2</v>
      </c>
      <c r="AG616" s="83">
        <f t="shared" si="118"/>
        <v>21.883333333244082</v>
      </c>
      <c r="AH616" s="83">
        <f t="shared" si="119"/>
        <v>0</v>
      </c>
      <c r="AI616" s="83">
        <f t="shared" si="120"/>
        <v>21.883333333244082</v>
      </c>
      <c r="AJ616" s="83">
        <f t="shared" si="121"/>
        <v>7.0190403656036464</v>
      </c>
      <c r="AK616" s="83"/>
      <c r="AL616" s="83"/>
      <c r="AM616" s="83"/>
      <c r="AN616" s="83"/>
    </row>
    <row r="617" spans="1:40" ht="15" hidden="1" x14ac:dyDescent="0.25">
      <c r="A617" s="82">
        <v>45722</v>
      </c>
      <c r="B617" s="94" t="str">
        <f t="shared" si="111"/>
        <v>March</v>
      </c>
      <c r="C617" s="79" t="s">
        <v>2161</v>
      </c>
      <c r="D617" s="79" t="s">
        <v>934</v>
      </c>
      <c r="E617" s="80" t="s">
        <v>1016</v>
      </c>
      <c r="F617" s="79" t="s">
        <v>964</v>
      </c>
      <c r="G617" s="79" t="s">
        <v>979</v>
      </c>
      <c r="H617" s="79" t="s">
        <v>987</v>
      </c>
      <c r="I617" s="79">
        <v>153.6</v>
      </c>
      <c r="J617" s="79" t="s">
        <v>934</v>
      </c>
      <c r="K617" s="80" t="s">
        <v>469</v>
      </c>
      <c r="L617" s="79">
        <v>320</v>
      </c>
      <c r="M617" s="80">
        <f t="shared" ref="M617:M620" si="127">L617+2</f>
        <v>322</v>
      </c>
      <c r="N617" s="81">
        <f t="shared" si="122"/>
        <v>2</v>
      </c>
      <c r="P617" s="82">
        <f>R617-TIME(0,53,0)</f>
        <v>45722.422916666663</v>
      </c>
      <c r="Q617" s="82">
        <v>45722.098611111112</v>
      </c>
      <c r="R617" s="82">
        <v>45722.459722222222</v>
      </c>
      <c r="S617" s="81">
        <f t="shared" si="112"/>
        <v>517.5925925902751</v>
      </c>
      <c r="T617" s="81">
        <f t="shared" si="113"/>
        <v>52.75462963472819</v>
      </c>
      <c r="U617" s="79"/>
      <c r="V617" s="82">
        <v>45723.34097222222</v>
      </c>
      <c r="W617" s="82">
        <v>45723.54583333333</v>
      </c>
      <c r="X617" s="103">
        <f t="shared" si="114"/>
        <v>288.85416666438687</v>
      </c>
      <c r="Y617" s="82" t="s">
        <v>1044</v>
      </c>
      <c r="Z617" s="82">
        <v>45724.386111111111</v>
      </c>
      <c r="AA617" s="82">
        <f>Z617+TIME(0,59,0)</f>
        <v>45724.427083333336</v>
      </c>
      <c r="AB617" s="81">
        <f t="shared" si="115"/>
        <v>57.770833336981013</v>
      </c>
      <c r="AC617" s="82"/>
      <c r="AD617" s="83">
        <f t="shared" si="116"/>
        <v>1.9263888888890506</v>
      </c>
      <c r="AE617" s="83">
        <v>2</v>
      </c>
      <c r="AF617" s="83">
        <f t="shared" si="117"/>
        <v>7.3611111110949423E-2</v>
      </c>
      <c r="AG617" s="83">
        <f t="shared" si="118"/>
        <v>46.233333333337214</v>
      </c>
      <c r="AH617" s="83">
        <f t="shared" si="119"/>
        <v>12</v>
      </c>
      <c r="AI617" s="83">
        <f t="shared" si="120"/>
        <v>34.233333333337214</v>
      </c>
      <c r="AJ617" s="83">
        <f t="shared" si="121"/>
        <v>4.4868549172341554</v>
      </c>
      <c r="AK617" s="83"/>
      <c r="AL617" s="83"/>
      <c r="AM617" s="83"/>
      <c r="AN617" s="83"/>
    </row>
    <row r="618" spans="1:40" ht="15" hidden="1" x14ac:dyDescent="0.25">
      <c r="A618" s="82">
        <v>45722</v>
      </c>
      <c r="B618" s="94" t="str">
        <f t="shared" si="111"/>
        <v>March</v>
      </c>
      <c r="C618" s="79" t="s">
        <v>2161</v>
      </c>
      <c r="D618" s="79" t="s">
        <v>932</v>
      </c>
      <c r="E618" s="80" t="s">
        <v>1016</v>
      </c>
      <c r="F618" s="79" t="s">
        <v>952</v>
      </c>
      <c r="G618" s="79" t="s">
        <v>969</v>
      </c>
      <c r="H618" s="79" t="s">
        <v>983</v>
      </c>
      <c r="I618" s="79">
        <v>153.6</v>
      </c>
      <c r="J618" s="79" t="s">
        <v>932</v>
      </c>
      <c r="K618" s="80" t="s">
        <v>469</v>
      </c>
      <c r="L618" s="80">
        <v>150</v>
      </c>
      <c r="M618" s="80">
        <f t="shared" si="127"/>
        <v>152</v>
      </c>
      <c r="N618" s="81">
        <f t="shared" si="122"/>
        <v>2</v>
      </c>
      <c r="P618" s="82">
        <f>R618-TIME(0,26,0)</f>
        <v>45722.547916666663</v>
      </c>
      <c r="Q618" s="82">
        <v>45722.260416666664</v>
      </c>
      <c r="R618" s="82">
        <v>45722.565972222219</v>
      </c>
      <c r="S618" s="81">
        <f t="shared" si="112"/>
        <v>437.96296296180418</v>
      </c>
      <c r="T618" s="81">
        <f t="shared" si="113"/>
        <v>25.879629630556639</v>
      </c>
      <c r="U618" s="79"/>
      <c r="V618" s="82">
        <v>45723.493055555555</v>
      </c>
      <c r="W618" s="82">
        <v>45723.600694444445</v>
      </c>
      <c r="X618" s="103">
        <f t="shared" si="114"/>
        <v>151.77083333561313</v>
      </c>
      <c r="Y618" s="82"/>
      <c r="Z618" s="82">
        <v>45723.625</v>
      </c>
      <c r="AA618" s="82">
        <f>Z618+TIME(0,57,0)</f>
        <v>45723.664583333331</v>
      </c>
      <c r="AB618" s="81">
        <f t="shared" si="115"/>
        <v>55.81249999726424</v>
      </c>
      <c r="AC618" s="82"/>
      <c r="AD618" s="83">
        <f t="shared" si="116"/>
        <v>1.0590277777810115</v>
      </c>
      <c r="AE618" s="83">
        <v>1</v>
      </c>
      <c r="AF618" s="83">
        <f t="shared" si="117"/>
        <v>-5.9027777781011537E-2</v>
      </c>
      <c r="AG618" s="83">
        <f t="shared" si="118"/>
        <v>25.416666666744277</v>
      </c>
      <c r="AH618" s="83">
        <f t="shared" si="119"/>
        <v>12</v>
      </c>
      <c r="AI618" s="83">
        <f t="shared" si="120"/>
        <v>13.416666666744277</v>
      </c>
      <c r="AJ618" s="83">
        <f t="shared" si="121"/>
        <v>11.448447204902719</v>
      </c>
      <c r="AK618" s="83"/>
      <c r="AL618" s="83"/>
      <c r="AM618" s="83"/>
      <c r="AN618" s="83"/>
    </row>
    <row r="619" spans="1:40" ht="15" hidden="1" x14ac:dyDescent="0.25">
      <c r="A619" s="82">
        <v>45722</v>
      </c>
      <c r="B619" s="94" t="str">
        <f t="shared" si="111"/>
        <v>March</v>
      </c>
      <c r="C619" s="79" t="s">
        <v>2161</v>
      </c>
      <c r="D619" s="79" t="s">
        <v>936</v>
      </c>
      <c r="E619" s="80" t="s">
        <v>1016</v>
      </c>
      <c r="F619" s="79" t="s">
        <v>958</v>
      </c>
      <c r="G619" s="79" t="s">
        <v>975</v>
      </c>
      <c r="H619" s="79" t="s">
        <v>987</v>
      </c>
      <c r="I619" s="79">
        <v>153.6</v>
      </c>
      <c r="J619" s="79" t="s">
        <v>936</v>
      </c>
      <c r="K619" s="80" t="s">
        <v>469</v>
      </c>
      <c r="L619" s="79">
        <v>320</v>
      </c>
      <c r="M619" s="80">
        <f t="shared" si="127"/>
        <v>322</v>
      </c>
      <c r="N619" s="81">
        <f t="shared" si="122"/>
        <v>2</v>
      </c>
      <c r="P619" s="82">
        <f>R619-TIME(0,28,0)</f>
        <v>45722.345833333333</v>
      </c>
      <c r="Q619" s="82">
        <v>45722.098611111112</v>
      </c>
      <c r="R619" s="82">
        <v>45722.365277777775</v>
      </c>
      <c r="S619" s="81">
        <f t="shared" si="112"/>
        <v>382.22222221666016</v>
      </c>
      <c r="T619" s="81">
        <f t="shared" si="113"/>
        <v>27.870370367357584</v>
      </c>
      <c r="U619" s="79"/>
      <c r="V619" s="82">
        <v>45723.590277777781</v>
      </c>
      <c r="W619" s="82">
        <v>45723.745833333334</v>
      </c>
      <c r="X619" s="103">
        <f t="shared" si="114"/>
        <v>219.33333333014161</v>
      </c>
      <c r="Y619" s="82" t="s">
        <v>1049</v>
      </c>
      <c r="Z619" s="82">
        <v>45724.446527777778</v>
      </c>
      <c r="AA619" s="82">
        <f>Z619+TIME(0,43,0)</f>
        <v>45724.476388888892</v>
      </c>
      <c r="AB619" s="81">
        <f t="shared" si="115"/>
        <v>42.104166670542327</v>
      </c>
      <c r="AC619" s="82"/>
      <c r="AD619" s="83">
        <f t="shared" si="116"/>
        <v>2.0812500000029104</v>
      </c>
      <c r="AE619" s="83">
        <v>2</v>
      </c>
      <c r="AF619" s="83">
        <f t="shared" si="117"/>
        <v>-8.1250000002910383E-2</v>
      </c>
      <c r="AG619" s="83">
        <f t="shared" si="118"/>
        <v>49.950000000069849</v>
      </c>
      <c r="AH619" s="83">
        <f t="shared" si="119"/>
        <v>24</v>
      </c>
      <c r="AI619" s="83">
        <f t="shared" si="120"/>
        <v>25.950000000069849</v>
      </c>
      <c r="AJ619" s="83">
        <f t="shared" si="121"/>
        <v>5.9190751444927381</v>
      </c>
      <c r="AK619" s="83"/>
      <c r="AL619" s="83"/>
      <c r="AM619" s="83"/>
      <c r="AN619" s="83"/>
    </row>
    <row r="620" spans="1:40" ht="15" hidden="1" x14ac:dyDescent="0.25">
      <c r="A620" s="82">
        <v>45722</v>
      </c>
      <c r="B620" s="94" t="str">
        <f t="shared" si="111"/>
        <v>March</v>
      </c>
      <c r="C620" s="79" t="s">
        <v>2162</v>
      </c>
      <c r="D620" s="79" t="s">
        <v>933</v>
      </c>
      <c r="E620" s="80" t="s">
        <v>1016</v>
      </c>
      <c r="F620" s="79" t="s">
        <v>963</v>
      </c>
      <c r="G620" s="79" t="s">
        <v>60</v>
      </c>
      <c r="H620" s="79" t="s">
        <v>456</v>
      </c>
      <c r="I620" s="79">
        <v>156</v>
      </c>
      <c r="J620" s="79" t="s">
        <v>933</v>
      </c>
      <c r="K620" s="80" t="s">
        <v>469</v>
      </c>
      <c r="L620" s="80">
        <v>670</v>
      </c>
      <c r="M620" s="80">
        <f t="shared" si="127"/>
        <v>672</v>
      </c>
      <c r="N620" s="81">
        <f t="shared" si="122"/>
        <v>2</v>
      </c>
      <c r="P620" s="82">
        <f>R620-TIME(0,28,0)</f>
        <v>45721.915972222225</v>
      </c>
      <c r="Q620" s="82">
        <v>45721.9375</v>
      </c>
      <c r="R620" s="82">
        <v>45721.935416666667</v>
      </c>
      <c r="S620" s="81">
        <f t="shared" si="112"/>
        <v>-2.9861111104158531</v>
      </c>
      <c r="T620" s="81">
        <f t="shared" si="113"/>
        <v>27.870370367357584</v>
      </c>
      <c r="U620" s="79"/>
      <c r="V620" s="82">
        <v>45722.686805555553</v>
      </c>
      <c r="W620" s="82">
        <v>45723.442361111112</v>
      </c>
      <c r="X620" s="103">
        <f t="shared" si="114"/>
        <v>1065.3333333383489</v>
      </c>
      <c r="Y620" s="82" t="s">
        <v>1046</v>
      </c>
      <c r="Z620" s="82">
        <v>45723.866666666669</v>
      </c>
      <c r="AA620" s="82">
        <v>45723.9</v>
      </c>
      <c r="AB620" s="81">
        <f t="shared" si="115"/>
        <v>46.99999999931606</v>
      </c>
      <c r="AC620" s="82"/>
      <c r="AD620" s="83">
        <f t="shared" si="116"/>
        <v>1.9312500000014552</v>
      </c>
      <c r="AE620" s="83">
        <v>2</v>
      </c>
      <c r="AF620" s="83">
        <f t="shared" si="117"/>
        <v>6.8749999998544808E-2</v>
      </c>
      <c r="AG620" s="83">
        <f t="shared" si="118"/>
        <v>46.350000000034925</v>
      </c>
      <c r="AH620" s="83">
        <f t="shared" si="119"/>
        <v>12</v>
      </c>
      <c r="AI620" s="83">
        <f t="shared" si="120"/>
        <v>34.350000000034925</v>
      </c>
      <c r="AJ620" s="83">
        <f t="shared" si="121"/>
        <v>4.5414847161525875</v>
      </c>
      <c r="AK620" s="83"/>
      <c r="AL620" s="83"/>
      <c r="AM620" s="83"/>
      <c r="AN620" s="83"/>
    </row>
    <row r="621" spans="1:40" ht="15" hidden="1" x14ac:dyDescent="0.25">
      <c r="A621" s="82">
        <v>45722</v>
      </c>
      <c r="B621" s="94" t="str">
        <f t="shared" si="111"/>
        <v>March</v>
      </c>
      <c r="C621" s="79" t="s">
        <v>2161</v>
      </c>
      <c r="D621" s="79" t="s">
        <v>931</v>
      </c>
      <c r="E621" s="80" t="s">
        <v>1016</v>
      </c>
      <c r="F621" s="79" t="s">
        <v>962</v>
      </c>
      <c r="G621" s="79" t="s">
        <v>978</v>
      </c>
      <c r="H621" s="79" t="s">
        <v>991</v>
      </c>
      <c r="I621" s="79">
        <v>153.6</v>
      </c>
      <c r="J621" s="79" t="s">
        <v>931</v>
      </c>
      <c r="K621" s="80" t="s">
        <v>469</v>
      </c>
      <c r="L621" s="79">
        <v>20</v>
      </c>
      <c r="M621" s="80">
        <f>L621-3</f>
        <v>17</v>
      </c>
      <c r="N621" s="81">
        <f t="shared" si="122"/>
        <v>-3</v>
      </c>
      <c r="P621" s="82">
        <f>R621-TIME(0,29,0)</f>
        <v>45721.839583333334</v>
      </c>
      <c r="Q621" s="82">
        <v>45722.320833333331</v>
      </c>
      <c r="R621" s="82">
        <v>45721.859722222223</v>
      </c>
      <c r="S621" s="81">
        <f t="shared" si="112"/>
        <v>-660.92592592152266</v>
      </c>
      <c r="T621" s="81">
        <f t="shared" si="113"/>
        <v>28.865740740972495</v>
      </c>
      <c r="U621" s="79"/>
      <c r="V621" s="82">
        <v>45721.877083333333</v>
      </c>
      <c r="W621" s="82">
        <v>45722.475694444445</v>
      </c>
      <c r="X621" s="103">
        <f t="shared" si="114"/>
        <v>844.04166666849051</v>
      </c>
      <c r="Y621" s="82" t="s">
        <v>1044</v>
      </c>
      <c r="Z621" s="82">
        <v>45722.509722222225</v>
      </c>
      <c r="AA621" s="82">
        <f>Z621+TIME(0,58,0)</f>
        <v>45722.55</v>
      </c>
      <c r="AB621" s="81">
        <f t="shared" si="115"/>
        <v>56.791666667122627</v>
      </c>
      <c r="AC621" s="82"/>
      <c r="AD621" s="83">
        <f t="shared" si="116"/>
        <v>0.65000000000145519</v>
      </c>
      <c r="AE621" s="83">
        <v>3</v>
      </c>
      <c r="AF621" s="83">
        <f t="shared" si="117"/>
        <v>2.3499999999985448</v>
      </c>
      <c r="AG621" s="83">
        <f t="shared" si="118"/>
        <v>15.600000000034925</v>
      </c>
      <c r="AH621" s="83">
        <f t="shared" si="119"/>
        <v>0</v>
      </c>
      <c r="AI621" s="83">
        <f t="shared" si="120"/>
        <v>15.600000000034925</v>
      </c>
      <c r="AJ621" s="83">
        <f t="shared" si="121"/>
        <v>9.8461538461318021</v>
      </c>
      <c r="AK621" s="83"/>
      <c r="AL621" s="83"/>
      <c r="AM621" s="83"/>
      <c r="AN621" s="83"/>
    </row>
    <row r="622" spans="1:40" ht="15" hidden="1" x14ac:dyDescent="0.25">
      <c r="A622" s="82">
        <v>45723</v>
      </c>
      <c r="B622" s="94" t="str">
        <f t="shared" si="111"/>
        <v>March</v>
      </c>
      <c r="C622" s="79" t="s">
        <v>2162</v>
      </c>
      <c r="D622" s="79" t="s">
        <v>380</v>
      </c>
      <c r="E622" s="80" t="s">
        <v>1017</v>
      </c>
      <c r="F622" s="79" t="s">
        <v>960</v>
      </c>
      <c r="G622" s="79" t="s">
        <v>62</v>
      </c>
      <c r="H622" s="79" t="s">
        <v>451</v>
      </c>
      <c r="I622" s="79">
        <v>78</v>
      </c>
      <c r="J622" s="79" t="s">
        <v>380</v>
      </c>
      <c r="K622" s="80" t="s">
        <v>469</v>
      </c>
      <c r="L622" s="80">
        <v>790</v>
      </c>
      <c r="M622" s="80">
        <f>L622-4</f>
        <v>786</v>
      </c>
      <c r="N622" s="81">
        <f t="shared" si="122"/>
        <v>-4</v>
      </c>
      <c r="P622" s="82">
        <f t="shared" ref="P622" si="128">R622-TIME(0,29,0)</f>
        <v>45720.772222222222</v>
      </c>
      <c r="Q622" s="82">
        <v>45721.134027777778</v>
      </c>
      <c r="R622" s="82">
        <v>45720.792361111111</v>
      </c>
      <c r="S622" s="81">
        <f t="shared" si="112"/>
        <v>-489.72222222291748</v>
      </c>
      <c r="T622" s="81">
        <f t="shared" si="113"/>
        <v>28.865740740972495</v>
      </c>
      <c r="U622" s="79"/>
      <c r="V622" s="82">
        <v>45724.779861111114</v>
      </c>
      <c r="W622" s="82">
        <v>45724.871527777781</v>
      </c>
      <c r="X622" s="103">
        <f t="shared" si="114"/>
        <v>129.25000000068394</v>
      </c>
      <c r="Y622" s="82"/>
      <c r="Z622" s="82">
        <v>45721.754166666666</v>
      </c>
      <c r="AA622" s="82">
        <f>Z622+TIME(0,43,0)</f>
        <v>45721.78402777778</v>
      </c>
      <c r="AB622" s="81">
        <f t="shared" si="115"/>
        <v>42.104166670542327</v>
      </c>
      <c r="AC622" s="82"/>
      <c r="AD622" s="83">
        <f t="shared" si="116"/>
        <v>0.96180555555474712</v>
      </c>
      <c r="AE622" s="83">
        <v>3</v>
      </c>
      <c r="AF622" s="83">
        <f t="shared" si="117"/>
        <v>2.0381944444452529</v>
      </c>
      <c r="AG622" s="83">
        <f t="shared" si="118"/>
        <v>23.083333333313931</v>
      </c>
      <c r="AH622" s="83">
        <f t="shared" si="119"/>
        <v>0</v>
      </c>
      <c r="AI622" s="83">
        <f t="shared" si="120"/>
        <v>23.083333333313931</v>
      </c>
      <c r="AJ622" s="83">
        <f t="shared" si="121"/>
        <v>3.3790613718439957</v>
      </c>
      <c r="AK622" s="83"/>
      <c r="AL622" s="83"/>
      <c r="AM622" s="83"/>
      <c r="AN622" s="83"/>
    </row>
    <row r="623" spans="1:40" ht="15" hidden="1" x14ac:dyDescent="0.25">
      <c r="A623" s="82">
        <v>45723</v>
      </c>
      <c r="B623" s="94" t="str">
        <f t="shared" si="111"/>
        <v>March</v>
      </c>
      <c r="C623" s="79" t="s">
        <v>2162</v>
      </c>
      <c r="D623" s="79" t="s">
        <v>381</v>
      </c>
      <c r="E623" s="80" t="s">
        <v>1017</v>
      </c>
      <c r="F623" s="79" t="s">
        <v>1029</v>
      </c>
      <c r="G623" s="79" t="s">
        <v>38</v>
      </c>
      <c r="H623" s="79" t="s">
        <v>459</v>
      </c>
      <c r="I623" s="79">
        <v>156</v>
      </c>
      <c r="J623" s="79" t="s">
        <v>381</v>
      </c>
      <c r="K623" s="80" t="s">
        <v>469</v>
      </c>
      <c r="L623" s="80">
        <v>560</v>
      </c>
      <c r="M623" s="80">
        <f>L623-1</f>
        <v>559</v>
      </c>
      <c r="N623" s="81">
        <f t="shared" si="122"/>
        <v>-1</v>
      </c>
      <c r="P623" s="82">
        <f t="shared" ref="P623" si="129">R623-TIME(0,22,0)</f>
        <v>45720.831944444442</v>
      </c>
      <c r="Q623" s="82">
        <v>45721.240277777775</v>
      </c>
      <c r="R623" s="82">
        <v>45720.847222222219</v>
      </c>
      <c r="S623" s="81">
        <f t="shared" si="112"/>
        <v>-563.37962963055668</v>
      </c>
      <c r="T623" s="81">
        <f t="shared" si="113"/>
        <v>21.89814814652588</v>
      </c>
      <c r="U623" s="79"/>
      <c r="V623" s="82">
        <v>45724.32708333333</v>
      </c>
      <c r="W623" s="82">
        <v>45724.40902777778</v>
      </c>
      <c r="X623" s="103">
        <f t="shared" si="114"/>
        <v>115.54166667396203</v>
      </c>
      <c r="Y623" s="82"/>
      <c r="Z623" s="82">
        <v>45721.547222222223</v>
      </c>
      <c r="AA623" s="82">
        <f>Z623+TIME(0,57,0)</f>
        <v>45721.586805555555</v>
      </c>
      <c r="AB623" s="81">
        <f t="shared" si="115"/>
        <v>55.81249999726424</v>
      </c>
      <c r="AC623" s="82"/>
      <c r="AD623" s="83">
        <f t="shared" si="116"/>
        <v>0.70000000000436557</v>
      </c>
      <c r="AE623" s="83">
        <v>3</v>
      </c>
      <c r="AF623" s="83">
        <f t="shared" si="117"/>
        <v>2.2999999999956344</v>
      </c>
      <c r="AG623" s="83">
        <f t="shared" si="118"/>
        <v>16.800000000104774</v>
      </c>
      <c r="AH623" s="83">
        <f t="shared" si="119"/>
        <v>0</v>
      </c>
      <c r="AI623" s="83">
        <f t="shared" si="120"/>
        <v>16.800000000104774</v>
      </c>
      <c r="AJ623" s="83">
        <f t="shared" si="121"/>
        <v>9.2857142856563755</v>
      </c>
      <c r="AK623" s="83"/>
      <c r="AL623" s="83"/>
      <c r="AM623" s="83"/>
      <c r="AN623" s="83"/>
    </row>
    <row r="624" spans="1:40" ht="15" hidden="1" x14ac:dyDescent="0.25">
      <c r="A624" s="82">
        <v>45723</v>
      </c>
      <c r="B624" s="94" t="str">
        <f t="shared" si="111"/>
        <v>March</v>
      </c>
      <c r="C624" s="79" t="s">
        <v>2162</v>
      </c>
      <c r="D624" s="79" t="s">
        <v>382</v>
      </c>
      <c r="E624" s="80" t="s">
        <v>1017</v>
      </c>
      <c r="F624" s="79"/>
      <c r="G624" s="79" t="s">
        <v>74</v>
      </c>
      <c r="H624" s="79" t="s">
        <v>452</v>
      </c>
      <c r="I624" s="79">
        <v>156</v>
      </c>
      <c r="J624" s="79" t="s">
        <v>382</v>
      </c>
      <c r="K624" s="80" t="s">
        <v>469</v>
      </c>
      <c r="L624" s="80">
        <v>690</v>
      </c>
      <c r="M624" s="80">
        <f>L624-3</f>
        <v>687</v>
      </c>
      <c r="N624" s="81">
        <f t="shared" si="122"/>
        <v>-3</v>
      </c>
      <c r="P624" s="82">
        <f>R624-TIME(0,27,0)</f>
        <v>45720.80972222222</v>
      </c>
      <c r="Q624" s="82">
        <v>45721.244444444441</v>
      </c>
      <c r="R624" s="82">
        <v>45720.828472222223</v>
      </c>
      <c r="S624" s="81">
        <f t="shared" si="112"/>
        <v>-596.22685184513102</v>
      </c>
      <c r="T624" s="81">
        <f t="shared" si="113"/>
        <v>26.87500000417155</v>
      </c>
      <c r="U624" s="79"/>
      <c r="V624" s="82">
        <v>45723.29583333333</v>
      </c>
      <c r="W624" s="82">
        <v>45723.668749999997</v>
      </c>
      <c r="X624" s="103">
        <f t="shared" si="114"/>
        <v>525.81250000068394</v>
      </c>
      <c r="Y624" s="82" t="s">
        <v>1044</v>
      </c>
      <c r="Z624" s="82">
        <v>45722.547222222223</v>
      </c>
      <c r="AA624" s="82">
        <f>Z624+TIME(0,57,0)</f>
        <v>45722.586805555555</v>
      </c>
      <c r="AB624" s="81">
        <f t="shared" si="115"/>
        <v>55.81249999726424</v>
      </c>
      <c r="AC624" s="82"/>
      <c r="AD624" s="83">
        <f t="shared" si="116"/>
        <v>1.71875</v>
      </c>
      <c r="AE624" s="83">
        <v>3</v>
      </c>
      <c r="AF624" s="83">
        <f t="shared" si="117"/>
        <v>1.28125</v>
      </c>
      <c r="AG624" s="83">
        <f t="shared" si="118"/>
        <v>41.25</v>
      </c>
      <c r="AH624" s="83">
        <f t="shared" si="119"/>
        <v>12</v>
      </c>
      <c r="AI624" s="83">
        <f t="shared" si="120"/>
        <v>29.25</v>
      </c>
      <c r="AJ624" s="83">
        <f t="shared" si="121"/>
        <v>5.333333333333333</v>
      </c>
      <c r="AK624" s="83"/>
      <c r="AL624" s="83"/>
      <c r="AM624" s="83"/>
      <c r="AN624" s="83"/>
    </row>
    <row r="625" spans="1:40" ht="15" hidden="1" x14ac:dyDescent="0.25">
      <c r="A625" s="82">
        <v>45723</v>
      </c>
      <c r="B625" s="94" t="str">
        <f t="shared" si="111"/>
        <v>March</v>
      </c>
      <c r="C625" s="79" t="s">
        <v>2162</v>
      </c>
      <c r="D625" s="79" t="s">
        <v>383</v>
      </c>
      <c r="E625" s="80" t="s">
        <v>1017</v>
      </c>
      <c r="F625" s="79"/>
      <c r="G625" s="79" t="s">
        <v>58</v>
      </c>
      <c r="H625" s="79" t="s">
        <v>987</v>
      </c>
      <c r="I625" s="79">
        <v>112.2</v>
      </c>
      <c r="J625" s="79" t="s">
        <v>383</v>
      </c>
      <c r="K625" s="80" t="s">
        <v>469</v>
      </c>
      <c r="L625" s="79">
        <v>320</v>
      </c>
      <c r="M625" s="80">
        <f>L625-3</f>
        <v>317</v>
      </c>
      <c r="N625" s="81">
        <f t="shared" si="122"/>
        <v>-3</v>
      </c>
      <c r="P625" s="82">
        <f>R625-TIME(0,27,0)</f>
        <v>45722.806944444441</v>
      </c>
      <c r="Q625" s="82">
        <v>45722.098611111112</v>
      </c>
      <c r="R625" s="82">
        <v>45722.825694444444</v>
      </c>
      <c r="S625" s="81">
        <f t="shared" si="112"/>
        <v>1042.1527777749968</v>
      </c>
      <c r="T625" s="81">
        <f t="shared" si="113"/>
        <v>26.87500000417155</v>
      </c>
      <c r="U625" s="79"/>
      <c r="V625" s="82">
        <v>45722.763888888891</v>
      </c>
      <c r="W625" s="82">
        <v>45723.502083333333</v>
      </c>
      <c r="X625" s="103">
        <f t="shared" si="114"/>
        <v>1040.8541666637029</v>
      </c>
      <c r="Y625" s="82" t="s">
        <v>1051</v>
      </c>
      <c r="Z625" s="82">
        <v>45725.440972222219</v>
      </c>
      <c r="AA625" s="82">
        <f>Z625+TIME(0,43,0)</f>
        <v>45725.470833333333</v>
      </c>
      <c r="AB625" s="81">
        <f t="shared" si="115"/>
        <v>42.104166670542327</v>
      </c>
      <c r="AC625" s="82"/>
      <c r="AD625" s="83">
        <f t="shared" si="116"/>
        <v>2.6152777777751908</v>
      </c>
      <c r="AE625" s="83">
        <v>2</v>
      </c>
      <c r="AF625" s="83">
        <f t="shared" si="117"/>
        <v>-0.61527777777519077</v>
      </c>
      <c r="AG625" s="83">
        <f t="shared" si="118"/>
        <v>62.766666666604578</v>
      </c>
      <c r="AH625" s="83">
        <f t="shared" si="119"/>
        <v>24</v>
      </c>
      <c r="AI625" s="83">
        <f t="shared" si="120"/>
        <v>38.766666666604578</v>
      </c>
      <c r="AJ625" s="83">
        <f t="shared" si="121"/>
        <v>2.8942390369779805</v>
      </c>
      <c r="AK625" s="83"/>
      <c r="AL625" s="83"/>
      <c r="AM625" s="83"/>
      <c r="AN625" s="83"/>
    </row>
    <row r="626" spans="1:40" ht="15" hidden="1" x14ac:dyDescent="0.25">
      <c r="A626" s="82">
        <v>45723</v>
      </c>
      <c r="B626" s="94" t="str">
        <f t="shared" si="111"/>
        <v>March</v>
      </c>
      <c r="C626" s="79" t="s">
        <v>2162</v>
      </c>
      <c r="D626" s="79" t="s">
        <v>384</v>
      </c>
      <c r="E626" s="80" t="s">
        <v>1017</v>
      </c>
      <c r="F626" s="79" t="s">
        <v>1036</v>
      </c>
      <c r="G626" s="79" t="s">
        <v>36</v>
      </c>
      <c r="H626" s="79" t="s">
        <v>454</v>
      </c>
      <c r="I626" s="79">
        <v>6.3</v>
      </c>
      <c r="J626" s="79" t="s">
        <v>384</v>
      </c>
      <c r="K626" s="80" t="s">
        <v>469</v>
      </c>
      <c r="L626" s="80">
        <v>304</v>
      </c>
      <c r="M626" s="80">
        <f>L626+1</f>
        <v>305</v>
      </c>
      <c r="N626" s="81">
        <f t="shared" si="122"/>
        <v>1</v>
      </c>
      <c r="P626" s="82">
        <f t="shared" si="110"/>
        <v>45722.745833333334</v>
      </c>
      <c r="Q626" s="82">
        <v>45722.260416666664</v>
      </c>
      <c r="R626" s="82">
        <v>45722.76666666667</v>
      </c>
      <c r="S626" s="81">
        <f t="shared" si="112"/>
        <v>725.62500000834314</v>
      </c>
      <c r="T626" s="81">
        <f t="shared" si="113"/>
        <v>29.861111114587402</v>
      </c>
      <c r="U626" s="79"/>
      <c r="V626" s="82">
        <v>45723.431944444441</v>
      </c>
      <c r="W626" s="82">
        <v>45723.493055555555</v>
      </c>
      <c r="X626" s="103">
        <f t="shared" si="114"/>
        <v>86.166666670542327</v>
      </c>
      <c r="Y626" s="82"/>
      <c r="Z626" s="82">
        <v>45725.440972222219</v>
      </c>
      <c r="AA626" s="82">
        <f>Z626+TIME(0,58,0)</f>
        <v>45725.481249999997</v>
      </c>
      <c r="AB626" s="81">
        <f t="shared" si="115"/>
        <v>56.791666667122627</v>
      </c>
      <c r="AC626" s="82"/>
      <c r="AD626" s="83">
        <f t="shared" si="116"/>
        <v>2.6743055555489263</v>
      </c>
      <c r="AE626" s="83">
        <v>2</v>
      </c>
      <c r="AF626" s="83">
        <f t="shared" si="117"/>
        <v>-0.67430555554892635</v>
      </c>
      <c r="AG626" s="83">
        <f t="shared" si="118"/>
        <v>64.183333333174232</v>
      </c>
      <c r="AH626" s="83">
        <f t="shared" si="119"/>
        <v>24</v>
      </c>
      <c r="AI626" s="83">
        <f t="shared" si="120"/>
        <v>40.183333333174232</v>
      </c>
      <c r="AJ626" s="83">
        <f t="shared" si="121"/>
        <v>0.15678141849916907</v>
      </c>
      <c r="AK626" s="83"/>
      <c r="AL626" s="83"/>
      <c r="AM626" s="83"/>
      <c r="AN626" s="83"/>
    </row>
    <row r="627" spans="1:40" ht="15" hidden="1" x14ac:dyDescent="0.25">
      <c r="A627" s="82">
        <v>45723</v>
      </c>
      <c r="B627" s="94" t="str">
        <f t="shared" si="111"/>
        <v>March</v>
      </c>
      <c r="C627" s="79" t="s">
        <v>2162</v>
      </c>
      <c r="D627" s="79" t="s">
        <v>385</v>
      </c>
      <c r="E627" s="80" t="s">
        <v>1017</v>
      </c>
      <c r="F627" s="79" t="s">
        <v>1037</v>
      </c>
      <c r="G627" s="79" t="s">
        <v>59</v>
      </c>
      <c r="H627" s="79" t="s">
        <v>460</v>
      </c>
      <c r="I627" s="79">
        <v>78</v>
      </c>
      <c r="J627" s="79" t="s">
        <v>385</v>
      </c>
      <c r="K627" s="80" t="s">
        <v>469</v>
      </c>
      <c r="L627" s="80">
        <v>600</v>
      </c>
      <c r="M627" s="80">
        <f>L627-3</f>
        <v>597</v>
      </c>
      <c r="N627" s="81">
        <f t="shared" si="122"/>
        <v>-3</v>
      </c>
      <c r="P627" s="82">
        <f>R627-TIME(0,27,0)</f>
        <v>45722.547222222216</v>
      </c>
      <c r="Q627" s="82">
        <v>45722.260416666664</v>
      </c>
      <c r="R627" s="82">
        <v>45722.565972222219</v>
      </c>
      <c r="S627" s="81">
        <f t="shared" si="112"/>
        <v>437.96296296180418</v>
      </c>
      <c r="T627" s="81">
        <f t="shared" si="113"/>
        <v>26.87500000417155</v>
      </c>
      <c r="U627" s="79"/>
      <c r="V627" s="82">
        <v>45723.739583333336</v>
      </c>
      <c r="W627" s="82">
        <v>45723.876388888886</v>
      </c>
      <c r="X627" s="103">
        <f t="shared" si="114"/>
        <v>192.89583332603797</v>
      </c>
      <c r="Y627" s="82" t="s">
        <v>1045</v>
      </c>
      <c r="Z627" s="82">
        <v>45724.377083333333</v>
      </c>
      <c r="AA627" s="82">
        <v>45724.410416666666</v>
      </c>
      <c r="AB627" s="81">
        <f t="shared" si="115"/>
        <v>46.99999999931606</v>
      </c>
      <c r="AC627" s="82"/>
      <c r="AD627" s="83">
        <f t="shared" si="116"/>
        <v>1.8111111111138598</v>
      </c>
      <c r="AE627" s="83">
        <v>2</v>
      </c>
      <c r="AF627" s="83">
        <f t="shared" si="117"/>
        <v>0.18888888888614019</v>
      </c>
      <c r="AG627" s="83">
        <f t="shared" si="118"/>
        <v>43.466666666732635</v>
      </c>
      <c r="AH627" s="83">
        <f t="shared" si="119"/>
        <v>12</v>
      </c>
      <c r="AI627" s="83">
        <f t="shared" si="120"/>
        <v>31.466666666732635</v>
      </c>
      <c r="AJ627" s="83">
        <f t="shared" si="121"/>
        <v>2.478813559316837</v>
      </c>
      <c r="AK627" s="83"/>
      <c r="AL627" s="83"/>
      <c r="AM627" s="83"/>
      <c r="AN627" s="83"/>
    </row>
    <row r="628" spans="1:40" ht="15" hidden="1" x14ac:dyDescent="0.25">
      <c r="A628" s="82">
        <v>45723</v>
      </c>
      <c r="B628" s="94" t="str">
        <f t="shared" si="111"/>
        <v>March</v>
      </c>
      <c r="C628" s="79" t="s">
        <v>2162</v>
      </c>
      <c r="D628" s="79" t="s">
        <v>386</v>
      </c>
      <c r="E628" s="80" t="s">
        <v>1017</v>
      </c>
      <c r="F628" s="79"/>
      <c r="G628" s="79" t="s">
        <v>67</v>
      </c>
      <c r="H628" s="79" t="s">
        <v>452</v>
      </c>
      <c r="I628" s="79">
        <v>156</v>
      </c>
      <c r="J628" s="79" t="s">
        <v>386</v>
      </c>
      <c r="K628" s="80" t="s">
        <v>469</v>
      </c>
      <c r="L628" s="80">
        <v>690</v>
      </c>
      <c r="M628" s="80">
        <f>L628-2</f>
        <v>688</v>
      </c>
      <c r="N628" s="81">
        <f t="shared" si="122"/>
        <v>-2</v>
      </c>
      <c r="P628" s="82">
        <f>R628-TIME(0,26,0)</f>
        <v>45721.540277777778</v>
      </c>
      <c r="Q628" s="82">
        <v>45721.518055555556</v>
      </c>
      <c r="R628" s="82">
        <v>45721.558333333334</v>
      </c>
      <c r="S628" s="81">
        <f t="shared" si="112"/>
        <v>57.731481481944989</v>
      </c>
      <c r="T628" s="81">
        <f t="shared" si="113"/>
        <v>25.879629630556639</v>
      </c>
      <c r="U628" s="79"/>
      <c r="V628" s="82">
        <v>45723.82916666667</v>
      </c>
      <c r="W628" s="82">
        <v>45724.605555555558</v>
      </c>
      <c r="X628" s="103">
        <f t="shared" si="114"/>
        <v>1094.7083333315095</v>
      </c>
      <c r="Y628" s="82" t="s">
        <v>1044</v>
      </c>
      <c r="Z628" s="82">
        <v>45723.754166666666</v>
      </c>
      <c r="AA628" s="82">
        <f>Z628+TIME(0,50,0)</f>
        <v>45723.788888888885</v>
      </c>
      <c r="AB628" s="81">
        <f t="shared" si="115"/>
        <v>48.958333328773733</v>
      </c>
      <c r="AC628" s="82"/>
      <c r="AD628" s="83">
        <f t="shared" si="116"/>
        <v>2.1958333333313931</v>
      </c>
      <c r="AE628" s="83">
        <v>3</v>
      </c>
      <c r="AF628" s="83">
        <f t="shared" si="117"/>
        <v>0.80416666666860692</v>
      </c>
      <c r="AG628" s="83">
        <f t="shared" si="118"/>
        <v>52.699999999953434</v>
      </c>
      <c r="AH628" s="83">
        <f t="shared" si="119"/>
        <v>24</v>
      </c>
      <c r="AI628" s="83">
        <f t="shared" si="120"/>
        <v>28.699999999953434</v>
      </c>
      <c r="AJ628" s="83">
        <f t="shared" si="121"/>
        <v>5.4355400696952305</v>
      </c>
      <c r="AK628" s="83"/>
      <c r="AL628" s="83"/>
      <c r="AM628" s="83"/>
      <c r="AN628" s="83"/>
    </row>
    <row r="629" spans="1:40" ht="15" hidden="1" x14ac:dyDescent="0.25">
      <c r="A629" s="82">
        <v>45723</v>
      </c>
      <c r="B629" s="94" t="str">
        <f t="shared" si="111"/>
        <v>March</v>
      </c>
      <c r="C629" s="79" t="s">
        <v>2162</v>
      </c>
      <c r="D629" s="79" t="s">
        <v>387</v>
      </c>
      <c r="E629" s="80" t="s">
        <v>1017</v>
      </c>
      <c r="F629" s="79" t="s">
        <v>1021</v>
      </c>
      <c r="G629" s="79" t="s">
        <v>57</v>
      </c>
      <c r="H629" s="79" t="s">
        <v>456</v>
      </c>
      <c r="I629" s="79">
        <v>156</v>
      </c>
      <c r="J629" s="79" t="s">
        <v>387</v>
      </c>
      <c r="K629" s="80" t="s">
        <v>469</v>
      </c>
      <c r="L629" s="80">
        <v>670</v>
      </c>
      <c r="M629" s="80">
        <f>L629-3</f>
        <v>667</v>
      </c>
      <c r="N629" s="81">
        <f t="shared" si="122"/>
        <v>-3</v>
      </c>
      <c r="P629" s="82">
        <f>R629-TIME(0,28,0)</f>
        <v>45721.915972222225</v>
      </c>
      <c r="Q629" s="82">
        <v>45721.9375</v>
      </c>
      <c r="R629" s="82">
        <v>45721.935416666667</v>
      </c>
      <c r="S629" s="81">
        <f t="shared" si="112"/>
        <v>-2.9861111104158531</v>
      </c>
      <c r="T629" s="81">
        <f t="shared" si="113"/>
        <v>27.870370367357584</v>
      </c>
      <c r="U629" s="79"/>
      <c r="V629" s="82">
        <v>45723.390972222223</v>
      </c>
      <c r="W629" s="82">
        <v>45723.629166666666</v>
      </c>
      <c r="X629" s="103">
        <f t="shared" si="114"/>
        <v>335.85416666370293</v>
      </c>
      <c r="Y629" s="82" t="s">
        <v>1044</v>
      </c>
      <c r="Z629" s="82">
        <v>45723.730555555558</v>
      </c>
      <c r="AA629" s="82">
        <f t="shared" ref="AA629:AA630" si="130">Z629+TIME(0,43,0)</f>
        <v>45723.760416666672</v>
      </c>
      <c r="AB629" s="81">
        <f t="shared" si="115"/>
        <v>42.104166670542327</v>
      </c>
      <c r="AC629" s="82"/>
      <c r="AD629" s="83">
        <f t="shared" si="116"/>
        <v>1.7951388888905058</v>
      </c>
      <c r="AE629" s="83">
        <v>2</v>
      </c>
      <c r="AF629" s="83">
        <f t="shared" si="117"/>
        <v>0.20486111110949423</v>
      </c>
      <c r="AG629" s="83">
        <f t="shared" si="118"/>
        <v>43.083333333372138</v>
      </c>
      <c r="AH629" s="83">
        <f t="shared" si="119"/>
        <v>12</v>
      </c>
      <c r="AI629" s="83">
        <f t="shared" si="120"/>
        <v>31.083333333372138</v>
      </c>
      <c r="AJ629" s="83">
        <f t="shared" si="121"/>
        <v>5.0187667560259062</v>
      </c>
      <c r="AK629" s="83"/>
      <c r="AL629" s="83"/>
      <c r="AM629" s="83"/>
      <c r="AN629" s="83"/>
    </row>
    <row r="630" spans="1:40" ht="15" hidden="1" x14ac:dyDescent="0.25">
      <c r="A630" s="82">
        <v>45723</v>
      </c>
      <c r="B630" s="94" t="str">
        <f t="shared" si="111"/>
        <v>March</v>
      </c>
      <c r="C630" s="79" t="s">
        <v>2161</v>
      </c>
      <c r="D630" s="79" t="s">
        <v>928</v>
      </c>
      <c r="E630" s="80" t="s">
        <v>1016</v>
      </c>
      <c r="F630" s="79" t="s">
        <v>952</v>
      </c>
      <c r="G630" s="79" t="s">
        <v>969</v>
      </c>
      <c r="H630" s="79" t="s">
        <v>987</v>
      </c>
      <c r="I630" s="79">
        <v>153.6</v>
      </c>
      <c r="J630" s="79" t="s">
        <v>930</v>
      </c>
      <c r="K630" s="80" t="s">
        <v>469</v>
      </c>
      <c r="L630" s="79">
        <v>320</v>
      </c>
      <c r="M630" s="80">
        <f t="shared" ref="M630:M631" si="131">L630-3</f>
        <v>317</v>
      </c>
      <c r="N630" s="81">
        <f t="shared" si="122"/>
        <v>-3</v>
      </c>
      <c r="P630" s="82">
        <f>R630-TIME(0,28,0)</f>
        <v>45723.767361111117</v>
      </c>
      <c r="Q630" s="82">
        <v>45723.098611111112</v>
      </c>
      <c r="R630" s="82">
        <v>45723.786805555559</v>
      </c>
      <c r="S630" s="81">
        <f t="shared" si="112"/>
        <v>986.41203704028158</v>
      </c>
      <c r="T630" s="81">
        <f t="shared" si="113"/>
        <v>27.870370367357584</v>
      </c>
      <c r="U630" s="79"/>
      <c r="V630" s="82">
        <v>45724.476388888892</v>
      </c>
      <c r="W630" s="82">
        <v>45724.667361111111</v>
      </c>
      <c r="X630" s="103">
        <f t="shared" si="114"/>
        <v>269.27083332877373</v>
      </c>
      <c r="Y630" s="82" t="s">
        <v>1044</v>
      </c>
      <c r="Z630" s="82">
        <v>45726.418055555558</v>
      </c>
      <c r="AA630" s="82">
        <f t="shared" si="130"/>
        <v>45726.447916666672</v>
      </c>
      <c r="AB630" s="81">
        <f t="shared" si="115"/>
        <v>42.104166670542327</v>
      </c>
      <c r="AC630" s="82"/>
      <c r="AD630" s="83">
        <f t="shared" si="116"/>
        <v>2.6312499999985448</v>
      </c>
      <c r="AE630" s="83">
        <v>2</v>
      </c>
      <c r="AF630" s="83">
        <f t="shared" si="117"/>
        <v>-0.63124999999854481</v>
      </c>
      <c r="AG630" s="83">
        <f t="shared" si="118"/>
        <v>63.149999999965075</v>
      </c>
      <c r="AH630" s="83">
        <f t="shared" si="119"/>
        <v>24</v>
      </c>
      <c r="AI630" s="83">
        <f t="shared" si="120"/>
        <v>39.149999999965075</v>
      </c>
      <c r="AJ630" s="83">
        <f t="shared" si="121"/>
        <v>3.9233716475130782</v>
      </c>
      <c r="AK630" s="83"/>
      <c r="AL630" s="83"/>
      <c r="AM630" s="83"/>
      <c r="AN630" s="83"/>
    </row>
    <row r="631" spans="1:40" ht="15" hidden="1" x14ac:dyDescent="0.25">
      <c r="A631" s="82">
        <v>45723</v>
      </c>
      <c r="B631" s="94" t="str">
        <f t="shared" si="111"/>
        <v>March</v>
      </c>
      <c r="C631" s="79" t="s">
        <v>2161</v>
      </c>
      <c r="D631" s="79" t="s">
        <v>925</v>
      </c>
      <c r="E631" s="80" t="s">
        <v>1016</v>
      </c>
      <c r="F631" s="79" t="s">
        <v>954</v>
      </c>
      <c r="G631" s="79" t="s">
        <v>971</v>
      </c>
      <c r="H631" s="79" t="s">
        <v>991</v>
      </c>
      <c r="I631" s="79">
        <v>153.6</v>
      </c>
      <c r="J631" s="79" t="s">
        <v>920</v>
      </c>
      <c r="K631" s="80" t="s">
        <v>469</v>
      </c>
      <c r="L631" s="79">
        <v>20</v>
      </c>
      <c r="M631" s="80">
        <f t="shared" si="131"/>
        <v>17</v>
      </c>
      <c r="N631" s="81">
        <f t="shared" si="122"/>
        <v>-3</v>
      </c>
      <c r="P631" s="82">
        <f>R631-TIME(0,28,0)</f>
        <v>45723.69027777778</v>
      </c>
      <c r="Q631" s="82">
        <v>45723.320833333331</v>
      </c>
      <c r="R631" s="82">
        <v>45723.709722222222</v>
      </c>
      <c r="S631" s="81">
        <f t="shared" si="112"/>
        <v>557.4074074097249</v>
      </c>
      <c r="T631" s="81">
        <f t="shared" si="113"/>
        <v>27.870370367357584</v>
      </c>
      <c r="U631" s="79"/>
      <c r="V631" s="82">
        <v>45723.739583333336</v>
      </c>
      <c r="W631" s="82">
        <v>45723.876388888886</v>
      </c>
      <c r="X631" s="103">
        <f t="shared" si="114"/>
        <v>192.89583332603797</v>
      </c>
      <c r="Y631" s="82" t="s">
        <v>1039</v>
      </c>
      <c r="Z631" s="82">
        <v>45725.377083333333</v>
      </c>
      <c r="AA631" s="82">
        <f>Z631+TIME(0,42,0)</f>
        <v>45725.40625</v>
      </c>
      <c r="AB631" s="81">
        <f t="shared" si="115"/>
        <v>41.12500000068394</v>
      </c>
      <c r="AC631" s="82"/>
      <c r="AD631" s="83">
        <f t="shared" si="116"/>
        <v>1.6673611111109494</v>
      </c>
      <c r="AE631" s="83">
        <v>2</v>
      </c>
      <c r="AF631" s="83">
        <f t="shared" si="117"/>
        <v>0.33263888888905058</v>
      </c>
      <c r="AG631" s="83">
        <f t="shared" si="118"/>
        <v>40.016666666662786</v>
      </c>
      <c r="AH631" s="83">
        <f t="shared" si="119"/>
        <v>12</v>
      </c>
      <c r="AI631" s="83">
        <f t="shared" si="120"/>
        <v>28.016666666662786</v>
      </c>
      <c r="AJ631" s="83">
        <f t="shared" si="121"/>
        <v>5.4824509220709556</v>
      </c>
      <c r="AK631" s="83"/>
      <c r="AL631" s="83"/>
      <c r="AM631" s="83"/>
      <c r="AN631" s="83"/>
    </row>
    <row r="632" spans="1:40" ht="15" hidden="1" x14ac:dyDescent="0.25">
      <c r="A632" s="82">
        <v>45723</v>
      </c>
      <c r="B632" s="94" t="str">
        <f t="shared" si="111"/>
        <v>March</v>
      </c>
      <c r="C632" s="79" t="s">
        <v>2161</v>
      </c>
      <c r="D632" s="79" t="s">
        <v>929</v>
      </c>
      <c r="E632" s="80" t="s">
        <v>1016</v>
      </c>
      <c r="F632" s="79" t="s">
        <v>957</v>
      </c>
      <c r="G632" s="79" t="s">
        <v>974</v>
      </c>
      <c r="H632" s="79" t="s">
        <v>465</v>
      </c>
      <c r="I632" s="79">
        <v>153.6</v>
      </c>
      <c r="J632" s="79" t="s">
        <v>924</v>
      </c>
      <c r="K632" s="80" t="s">
        <v>469</v>
      </c>
      <c r="L632" s="80">
        <v>382</v>
      </c>
      <c r="M632" s="80">
        <f>L632-3</f>
        <v>379</v>
      </c>
      <c r="N632" s="81">
        <f t="shared" si="122"/>
        <v>-3</v>
      </c>
      <c r="P632" s="82">
        <f>R632-TIME(0,52,0)</f>
        <v>45723.413888888885</v>
      </c>
      <c r="Q632" s="82">
        <v>45723.179861111108</v>
      </c>
      <c r="R632" s="82">
        <v>45723.45</v>
      </c>
      <c r="S632" s="81">
        <f t="shared" si="112"/>
        <v>387.19907407430583</v>
      </c>
      <c r="T632" s="81">
        <f t="shared" si="113"/>
        <v>51.759259261113279</v>
      </c>
      <c r="U632" s="79"/>
      <c r="V632" s="82">
        <v>45723.781944444447</v>
      </c>
      <c r="W632" s="82">
        <v>45724.511111111111</v>
      </c>
      <c r="X632" s="103">
        <f t="shared" si="114"/>
        <v>1028.1249999965803</v>
      </c>
      <c r="Y632" s="82" t="s">
        <v>1044</v>
      </c>
      <c r="Z632" s="82">
        <v>45725.78125</v>
      </c>
      <c r="AA632" s="82">
        <f>Z632+TIME(0,56,0)</f>
        <v>45725.820138888892</v>
      </c>
      <c r="AB632" s="81">
        <f t="shared" si="115"/>
        <v>54.833333337664953</v>
      </c>
      <c r="AC632" s="82"/>
      <c r="AD632" s="83">
        <f t="shared" si="116"/>
        <v>2.3312500000029104</v>
      </c>
      <c r="AE632" s="83">
        <v>2</v>
      </c>
      <c r="AF632" s="83">
        <f t="shared" si="117"/>
        <v>-0.33125000000291038</v>
      </c>
      <c r="AG632" s="83">
        <f t="shared" si="118"/>
        <v>55.950000000069849</v>
      </c>
      <c r="AH632" s="83">
        <f t="shared" si="119"/>
        <v>24</v>
      </c>
      <c r="AI632" s="83">
        <f t="shared" si="120"/>
        <v>31.950000000069849</v>
      </c>
      <c r="AJ632" s="83">
        <f t="shared" si="121"/>
        <v>4.8075117370786913</v>
      </c>
      <c r="AK632" s="83"/>
      <c r="AL632" s="83"/>
      <c r="AM632" s="83"/>
      <c r="AN632" s="83"/>
    </row>
    <row r="633" spans="1:40" ht="15" hidden="1" x14ac:dyDescent="0.25">
      <c r="A633" s="82">
        <v>45723</v>
      </c>
      <c r="B633" s="94" t="str">
        <f t="shared" si="111"/>
        <v>March</v>
      </c>
      <c r="C633" s="79" t="s">
        <v>2161</v>
      </c>
      <c r="D633" s="79" t="s">
        <v>926</v>
      </c>
      <c r="E633" s="80" t="s">
        <v>1016</v>
      </c>
      <c r="F633" s="79" t="s">
        <v>955</v>
      </c>
      <c r="G633" s="79" t="s">
        <v>972</v>
      </c>
      <c r="H633" s="79" t="s">
        <v>983</v>
      </c>
      <c r="I633" s="79">
        <v>153.6</v>
      </c>
      <c r="J633" s="79" t="s">
        <v>922</v>
      </c>
      <c r="K633" s="80" t="s">
        <v>469</v>
      </c>
      <c r="L633" s="80">
        <v>150</v>
      </c>
      <c r="M633" s="80">
        <f>L633-2</f>
        <v>148</v>
      </c>
      <c r="N633" s="81">
        <f t="shared" si="122"/>
        <v>-2</v>
      </c>
      <c r="P633" s="82">
        <f>R633-TIME(0,28,0)</f>
        <v>45723.486805555556</v>
      </c>
      <c r="Q633" s="82">
        <v>45723.260416666664</v>
      </c>
      <c r="R633" s="82">
        <v>45723.506249999999</v>
      </c>
      <c r="S633" s="81">
        <f t="shared" si="112"/>
        <v>352.36111111250165</v>
      </c>
      <c r="T633" s="81">
        <f t="shared" si="113"/>
        <v>27.870370367357584</v>
      </c>
      <c r="U633" s="79"/>
      <c r="V633" s="82">
        <v>45723.768750000003</v>
      </c>
      <c r="W633" s="82">
        <v>45723.859027777777</v>
      </c>
      <c r="X633" s="103">
        <f t="shared" si="114"/>
        <v>127.29166666096717</v>
      </c>
      <c r="Y633" s="82"/>
      <c r="Z633" s="82">
        <v>45725.415972222225</v>
      </c>
      <c r="AA633" s="82">
        <f>Z633+TIME(0,56,0)</f>
        <v>45725.454861111117</v>
      </c>
      <c r="AB633" s="81">
        <f t="shared" si="115"/>
        <v>54.833333337664953</v>
      </c>
      <c r="AC633" s="82"/>
      <c r="AD633" s="83">
        <f t="shared" si="116"/>
        <v>1.9097222222262644</v>
      </c>
      <c r="AE633" s="83">
        <v>1</v>
      </c>
      <c r="AF633" s="83">
        <f t="shared" si="117"/>
        <v>-0.90972222222626442</v>
      </c>
      <c r="AG633" s="83">
        <f t="shared" si="118"/>
        <v>45.833333333430346</v>
      </c>
      <c r="AH633" s="83">
        <f t="shared" si="119"/>
        <v>12</v>
      </c>
      <c r="AI633" s="83">
        <f t="shared" si="120"/>
        <v>33.833333333430346</v>
      </c>
      <c r="AJ633" s="83">
        <f t="shared" si="121"/>
        <v>4.5399014778194946</v>
      </c>
      <c r="AK633" s="83"/>
      <c r="AL633" s="83"/>
      <c r="AM633" s="83"/>
      <c r="AN633" s="83"/>
    </row>
    <row r="634" spans="1:40" ht="15" hidden="1" x14ac:dyDescent="0.25">
      <c r="A634" s="82">
        <v>45723</v>
      </c>
      <c r="B634" s="94" t="str">
        <f t="shared" si="111"/>
        <v>March</v>
      </c>
      <c r="C634" s="79" t="s">
        <v>2161</v>
      </c>
      <c r="D634" s="79" t="s">
        <v>927</v>
      </c>
      <c r="E634" s="80" t="s">
        <v>1016</v>
      </c>
      <c r="F634" s="79" t="s">
        <v>965</v>
      </c>
      <c r="G634" s="79" t="s">
        <v>980</v>
      </c>
      <c r="H634" s="79" t="s">
        <v>1282</v>
      </c>
      <c r="I634" s="79">
        <v>153.6</v>
      </c>
      <c r="J634" s="79" t="s">
        <v>921</v>
      </c>
      <c r="K634" s="80" t="s">
        <v>469</v>
      </c>
      <c r="L634" s="79">
        <v>810</v>
      </c>
      <c r="M634" s="80">
        <f>L634-1</f>
        <v>809</v>
      </c>
      <c r="N634" s="81">
        <f t="shared" si="122"/>
        <v>-1</v>
      </c>
      <c r="P634" s="82">
        <f>R634-TIME(0,52,0)</f>
        <v>45722.868055555555</v>
      </c>
      <c r="Q634" s="82">
        <v>45722.895833333336</v>
      </c>
      <c r="R634" s="82">
        <v>45722.904166666667</v>
      </c>
      <c r="S634" s="81">
        <f t="shared" si="112"/>
        <v>11.944444441663412</v>
      </c>
      <c r="T634" s="81">
        <f t="shared" si="113"/>
        <v>51.759259261113279</v>
      </c>
      <c r="U634" s="79"/>
      <c r="V634" s="82">
        <v>45723.82916666667</v>
      </c>
      <c r="W634" s="82">
        <v>45724.605555555558</v>
      </c>
      <c r="X634" s="103">
        <f t="shared" si="114"/>
        <v>1094.7083333315095</v>
      </c>
      <c r="Y634" s="82" t="s">
        <v>1049</v>
      </c>
      <c r="Z634" s="82">
        <v>45724.754166666666</v>
      </c>
      <c r="AA634" s="82">
        <f>Z634+TIME(0,43,0)</f>
        <v>45724.78402777778</v>
      </c>
      <c r="AB634" s="81">
        <f t="shared" si="115"/>
        <v>42.104166670542327</v>
      </c>
      <c r="AC634" s="82"/>
      <c r="AD634" s="83">
        <f t="shared" si="116"/>
        <v>1.8499999999985448</v>
      </c>
      <c r="AE634" s="83">
        <v>3</v>
      </c>
      <c r="AF634" s="83">
        <f t="shared" si="117"/>
        <v>1.1500000000014552</v>
      </c>
      <c r="AG634" s="83">
        <f t="shared" si="118"/>
        <v>44.399999999965075</v>
      </c>
      <c r="AH634" s="83">
        <f t="shared" si="119"/>
        <v>12</v>
      </c>
      <c r="AI634" s="83">
        <f t="shared" si="120"/>
        <v>32.399999999965075</v>
      </c>
      <c r="AJ634" s="83">
        <f t="shared" si="121"/>
        <v>4.7407407407458511</v>
      </c>
      <c r="AK634" s="83"/>
      <c r="AL634" s="83"/>
      <c r="AM634" s="83"/>
      <c r="AN634" s="83"/>
    </row>
    <row r="635" spans="1:40" ht="15" hidden="1" x14ac:dyDescent="0.25">
      <c r="A635" s="82">
        <v>45723</v>
      </c>
      <c r="B635" s="94" t="str">
        <f t="shared" si="111"/>
        <v>March</v>
      </c>
      <c r="C635" s="79" t="s">
        <v>2161</v>
      </c>
      <c r="D635" s="79" t="s">
        <v>930</v>
      </c>
      <c r="E635" s="80" t="s">
        <v>1016</v>
      </c>
      <c r="F635" s="79" t="s">
        <v>962</v>
      </c>
      <c r="G635" s="79" t="s">
        <v>978</v>
      </c>
      <c r="H635" s="79" t="s">
        <v>982</v>
      </c>
      <c r="I635" s="79">
        <v>153.6</v>
      </c>
      <c r="J635" s="79" t="s">
        <v>923</v>
      </c>
      <c r="K635" s="80" t="s">
        <v>469</v>
      </c>
      <c r="L635" s="80">
        <v>298</v>
      </c>
      <c r="M635" s="80">
        <f>L635-3</f>
        <v>295</v>
      </c>
      <c r="N635" s="81">
        <f t="shared" si="122"/>
        <v>-3</v>
      </c>
      <c r="P635" s="82">
        <f>R635-TIME(0,53,0)</f>
        <v>45722.834722222222</v>
      </c>
      <c r="Q635" s="82">
        <v>45723.176388888889</v>
      </c>
      <c r="R635" s="82">
        <v>45722.871527777781</v>
      </c>
      <c r="S635" s="81">
        <f t="shared" si="112"/>
        <v>-436.96759258818929</v>
      </c>
      <c r="T635" s="81">
        <f t="shared" si="113"/>
        <v>52.75462963472819</v>
      </c>
      <c r="U635" s="79"/>
      <c r="V635" s="82">
        <v>45723.390972222223</v>
      </c>
      <c r="W635" s="82">
        <v>45723.629166666666</v>
      </c>
      <c r="X635" s="103">
        <f t="shared" si="114"/>
        <v>335.85416666370293</v>
      </c>
      <c r="Y635" s="82" t="s">
        <v>1044</v>
      </c>
      <c r="Z635" s="82">
        <v>45723.730555555558</v>
      </c>
      <c r="AA635" s="82">
        <v>45723.770138888889</v>
      </c>
      <c r="AB635" s="81">
        <f t="shared" si="115"/>
        <v>55.81249999726424</v>
      </c>
      <c r="AC635" s="82"/>
      <c r="AD635" s="83">
        <f t="shared" si="116"/>
        <v>0.85902777777664596</v>
      </c>
      <c r="AE635" s="83">
        <v>2</v>
      </c>
      <c r="AF635" s="83">
        <f t="shared" si="117"/>
        <v>1.140972222223354</v>
      </c>
      <c r="AG635" s="83">
        <f t="shared" si="118"/>
        <v>20.616666666639503</v>
      </c>
      <c r="AH635" s="83">
        <f t="shared" si="119"/>
        <v>0</v>
      </c>
      <c r="AI635" s="83">
        <f t="shared" si="120"/>
        <v>20.616666666639503</v>
      </c>
      <c r="AJ635" s="83">
        <f t="shared" si="121"/>
        <v>7.4502829426128878</v>
      </c>
      <c r="AK635" s="83"/>
      <c r="AL635" s="83"/>
      <c r="AM635" s="83"/>
      <c r="AN635" s="83"/>
    </row>
    <row r="636" spans="1:40" ht="15" hidden="1" x14ac:dyDescent="0.25">
      <c r="A636" s="82">
        <v>45724</v>
      </c>
      <c r="B636" s="94" t="str">
        <f t="shared" si="111"/>
        <v>March</v>
      </c>
      <c r="C636" s="79" t="s">
        <v>2162</v>
      </c>
      <c r="D636" s="79" t="s">
        <v>388</v>
      </c>
      <c r="E636" s="80" t="s">
        <v>1017</v>
      </c>
      <c r="F636" s="79" t="s">
        <v>963</v>
      </c>
      <c r="G636" s="79" t="s">
        <v>60</v>
      </c>
      <c r="H636" s="79" t="s">
        <v>454</v>
      </c>
      <c r="I636" s="79">
        <v>5.04</v>
      </c>
      <c r="J636" s="79" t="s">
        <v>388</v>
      </c>
      <c r="K636" s="80" t="s">
        <v>469</v>
      </c>
      <c r="L636" s="80">
        <v>304</v>
      </c>
      <c r="M636" s="80">
        <f>L636-3</f>
        <v>301</v>
      </c>
      <c r="N636" s="81">
        <f t="shared" si="122"/>
        <v>-3</v>
      </c>
      <c r="P636" s="82">
        <f>R636-TIME(0,52,0)</f>
        <v>45721.574305555558</v>
      </c>
      <c r="Q636" s="82">
        <v>45721.793749999997</v>
      </c>
      <c r="R636" s="82">
        <v>45721.61041666667</v>
      </c>
      <c r="S636" s="81">
        <f t="shared" si="112"/>
        <v>-262.77777776873944</v>
      </c>
      <c r="T636" s="81">
        <f t="shared" si="113"/>
        <v>51.759259261113279</v>
      </c>
      <c r="U636" s="79"/>
      <c r="V636" s="82">
        <v>45724.743750000001</v>
      </c>
      <c r="W636" s="82">
        <v>45724.836111111108</v>
      </c>
      <c r="X636" s="103">
        <f t="shared" si="114"/>
        <v>130.22916666028323</v>
      </c>
      <c r="Y636" s="82"/>
      <c r="Z636" s="82">
        <v>45723.37222222222</v>
      </c>
      <c r="AA636" s="82">
        <f>Z636+TIME(0,58,0)</f>
        <v>45723.412499999999</v>
      </c>
      <c r="AB636" s="81">
        <f t="shared" si="115"/>
        <v>56.791666667122627</v>
      </c>
      <c r="AC636" s="82"/>
      <c r="AD636" s="83">
        <f t="shared" si="116"/>
        <v>1.7618055555503815</v>
      </c>
      <c r="AE636" s="83">
        <v>2</v>
      </c>
      <c r="AF636" s="83">
        <f t="shared" si="117"/>
        <v>0.23819444444961846</v>
      </c>
      <c r="AG636" s="83">
        <f t="shared" si="118"/>
        <v>42.283333333209157</v>
      </c>
      <c r="AH636" s="83">
        <f t="shared" si="119"/>
        <v>12</v>
      </c>
      <c r="AI636" s="83">
        <f t="shared" si="120"/>
        <v>30.283333333209157</v>
      </c>
      <c r="AJ636" s="83">
        <f t="shared" si="121"/>
        <v>0.16642817831658777</v>
      </c>
      <c r="AK636" s="83"/>
      <c r="AL636" s="83"/>
      <c r="AM636" s="83"/>
      <c r="AN636" s="83"/>
    </row>
    <row r="637" spans="1:40" ht="15" hidden="1" x14ac:dyDescent="0.25">
      <c r="A637" s="82">
        <v>45724</v>
      </c>
      <c r="B637" s="94" t="str">
        <f t="shared" si="111"/>
        <v>March</v>
      </c>
      <c r="C637" s="79" t="s">
        <v>2162</v>
      </c>
      <c r="D637" s="79" t="s">
        <v>389</v>
      </c>
      <c r="E637" s="80" t="s">
        <v>1017</v>
      </c>
      <c r="F637" s="79" t="s">
        <v>1023</v>
      </c>
      <c r="G637" s="79" t="s">
        <v>61</v>
      </c>
      <c r="H637" s="79" t="s">
        <v>462</v>
      </c>
      <c r="I637" s="79">
        <v>156</v>
      </c>
      <c r="J637" s="79" t="s">
        <v>389</v>
      </c>
      <c r="K637" s="80" t="s">
        <v>469</v>
      </c>
      <c r="L637" s="80">
        <v>680</v>
      </c>
      <c r="M637" s="80">
        <f>L637-2</f>
        <v>678</v>
      </c>
      <c r="N637" s="81">
        <f t="shared" si="122"/>
        <v>-2</v>
      </c>
      <c r="P637" s="82">
        <f>R637-TIME(0,28,0)</f>
        <v>45721.83194444445</v>
      </c>
      <c r="Q637" s="82">
        <v>45722.291666666664</v>
      </c>
      <c r="R637" s="82">
        <v>45721.851388888892</v>
      </c>
      <c r="S637" s="81">
        <f t="shared" si="112"/>
        <v>-631.06481480693526</v>
      </c>
      <c r="T637" s="81">
        <f t="shared" si="113"/>
        <v>27.870370367357584</v>
      </c>
      <c r="U637" s="79"/>
      <c r="V637" s="82">
        <v>45725.352083333331</v>
      </c>
      <c r="W637" s="82">
        <v>45725.731944444444</v>
      </c>
      <c r="X637" s="103">
        <f t="shared" si="114"/>
        <v>535.60416666849051</v>
      </c>
      <c r="Y637" s="82" t="s">
        <v>1049</v>
      </c>
      <c r="Z637" s="82">
        <v>45723.76458333333</v>
      </c>
      <c r="AA637" s="82">
        <f>Z637+TIME(0,49,0)</f>
        <v>45723.798611111109</v>
      </c>
      <c r="AB637" s="81">
        <f t="shared" si="115"/>
        <v>47.979166669174447</v>
      </c>
      <c r="AC637" s="82"/>
      <c r="AD637" s="83">
        <f t="shared" si="116"/>
        <v>1.9131944444379769</v>
      </c>
      <c r="AE637" s="83">
        <v>3</v>
      </c>
      <c r="AF637" s="83">
        <f t="shared" si="117"/>
        <v>1.0868055555620231</v>
      </c>
      <c r="AG637" s="83">
        <f t="shared" si="118"/>
        <v>45.916666666511446</v>
      </c>
      <c r="AH637" s="83">
        <f t="shared" si="119"/>
        <v>12</v>
      </c>
      <c r="AI637" s="83">
        <f t="shared" si="120"/>
        <v>33.916666666511446</v>
      </c>
      <c r="AJ637" s="83">
        <f t="shared" si="121"/>
        <v>4.5995085995296492</v>
      </c>
      <c r="AK637" s="83"/>
      <c r="AL637" s="83"/>
      <c r="AM637" s="83"/>
      <c r="AN637" s="83"/>
    </row>
    <row r="638" spans="1:40" ht="15" hidden="1" x14ac:dyDescent="0.25">
      <c r="A638" s="82">
        <v>45724</v>
      </c>
      <c r="B638" s="94" t="str">
        <f t="shared" si="111"/>
        <v>March</v>
      </c>
      <c r="C638" s="79" t="s">
        <v>2162</v>
      </c>
      <c r="D638" s="79" t="s">
        <v>390</v>
      </c>
      <c r="E638" s="80" t="s">
        <v>1017</v>
      </c>
      <c r="F638" s="79" t="s">
        <v>1025</v>
      </c>
      <c r="G638" s="79" t="s">
        <v>54</v>
      </c>
      <c r="H638" s="79" t="s">
        <v>451</v>
      </c>
      <c r="I638" s="79">
        <v>156</v>
      </c>
      <c r="J638" s="79" t="s">
        <v>390</v>
      </c>
      <c r="K638" s="80" t="s">
        <v>469</v>
      </c>
      <c r="L638" s="80">
        <v>790</v>
      </c>
      <c r="M638" s="80">
        <f>L638+1</f>
        <v>791</v>
      </c>
      <c r="N638" s="81">
        <f t="shared" si="122"/>
        <v>1</v>
      </c>
      <c r="P638" s="82">
        <f>R638-TIME(0,29,0)</f>
        <v>45721.839583333334</v>
      </c>
      <c r="Q638" s="82">
        <v>45722.320833333331</v>
      </c>
      <c r="R638" s="82">
        <v>45721.859722222223</v>
      </c>
      <c r="S638" s="81">
        <f t="shared" si="112"/>
        <v>-660.92592592152266</v>
      </c>
      <c r="T638" s="81">
        <f t="shared" si="113"/>
        <v>28.865740740972495</v>
      </c>
      <c r="U638" s="79"/>
      <c r="V638" s="82">
        <v>45726.367361111108</v>
      </c>
      <c r="W638" s="82">
        <v>45726.584722222222</v>
      </c>
      <c r="X638" s="103">
        <f t="shared" si="114"/>
        <v>306.47916667054233</v>
      </c>
      <c r="Y638" s="82" t="s">
        <v>1046</v>
      </c>
      <c r="Z638" s="82">
        <v>45722.648611111108</v>
      </c>
      <c r="AA638" s="82">
        <f>Z638+TIME(0,56,0)</f>
        <v>45722.6875</v>
      </c>
      <c r="AB638" s="81">
        <f t="shared" si="115"/>
        <v>54.833333337664953</v>
      </c>
      <c r="AC638" s="82"/>
      <c r="AD638" s="83">
        <f t="shared" si="116"/>
        <v>0.788888888884685</v>
      </c>
      <c r="AE638" s="83">
        <v>3</v>
      </c>
      <c r="AF638" s="83">
        <f t="shared" si="117"/>
        <v>2.211111111115315</v>
      </c>
      <c r="AG638" s="83">
        <f t="shared" si="118"/>
        <v>18.93333333323244</v>
      </c>
      <c r="AH638" s="83">
        <f t="shared" si="119"/>
        <v>0</v>
      </c>
      <c r="AI638" s="83">
        <f t="shared" si="120"/>
        <v>18.93333333323244</v>
      </c>
      <c r="AJ638" s="83">
        <f t="shared" si="121"/>
        <v>8.2394366197622162</v>
      </c>
      <c r="AK638" s="83"/>
      <c r="AL638" s="83"/>
      <c r="AM638" s="83"/>
      <c r="AN638" s="83"/>
    </row>
    <row r="639" spans="1:40" ht="15" hidden="1" x14ac:dyDescent="0.25">
      <c r="A639" s="82">
        <v>45724</v>
      </c>
      <c r="B639" s="94" t="str">
        <f t="shared" si="111"/>
        <v>March</v>
      </c>
      <c r="C639" s="79" t="s">
        <v>2162</v>
      </c>
      <c r="D639" s="79" t="s">
        <v>391</v>
      </c>
      <c r="E639" s="80" t="s">
        <v>1017</v>
      </c>
      <c r="F639" s="79" t="s">
        <v>1031</v>
      </c>
      <c r="G639" s="79" t="s">
        <v>50</v>
      </c>
      <c r="H639" s="79" t="s">
        <v>464</v>
      </c>
      <c r="I639" s="79">
        <v>5.04</v>
      </c>
      <c r="J639" s="79" t="s">
        <v>391</v>
      </c>
      <c r="K639" s="80" t="s">
        <v>469</v>
      </c>
      <c r="L639" s="79">
        <v>256</v>
      </c>
      <c r="M639" s="80">
        <f>L639-1</f>
        <v>255</v>
      </c>
      <c r="N639" s="81">
        <f t="shared" si="122"/>
        <v>-1</v>
      </c>
      <c r="P639" s="82">
        <f>R639-TIME(0,28,0)</f>
        <v>45721.654861111114</v>
      </c>
      <c r="Q639" s="82">
        <v>45722.244444444441</v>
      </c>
      <c r="R639" s="82">
        <v>45721.674305555556</v>
      </c>
      <c r="S639" s="81">
        <f t="shared" si="112"/>
        <v>-817.1990740680485</v>
      </c>
      <c r="T639" s="81">
        <f t="shared" si="113"/>
        <v>27.870370367357584</v>
      </c>
      <c r="U639" s="79"/>
      <c r="V639" s="82">
        <v>45724.790277777778</v>
      </c>
      <c r="W639" s="82">
        <v>45725.522222222222</v>
      </c>
      <c r="X639" s="103">
        <f t="shared" si="114"/>
        <v>1032.0416666657547</v>
      </c>
      <c r="Y639" s="82" t="s">
        <v>1050</v>
      </c>
      <c r="Z639" s="82">
        <v>45723.686111111114</v>
      </c>
      <c r="AA639" s="82">
        <f>Z639+TIME(0,57,0)</f>
        <v>45723.725694444445</v>
      </c>
      <c r="AB639" s="81">
        <f t="shared" si="115"/>
        <v>55.81249999726424</v>
      </c>
      <c r="AC639" s="82"/>
      <c r="AD639" s="83">
        <f t="shared" si="116"/>
        <v>2.0118055555576575</v>
      </c>
      <c r="AE639" s="83">
        <v>2</v>
      </c>
      <c r="AF639" s="83">
        <f t="shared" si="117"/>
        <v>-1.1805555557657499E-2</v>
      </c>
      <c r="AG639" s="83">
        <f t="shared" si="118"/>
        <v>48.28333333338378</v>
      </c>
      <c r="AH639" s="83">
        <f t="shared" si="119"/>
        <v>24</v>
      </c>
      <c r="AI639" s="83">
        <f t="shared" si="120"/>
        <v>24.28333333338378</v>
      </c>
      <c r="AJ639" s="83">
        <f t="shared" si="121"/>
        <v>0.20754975977993945</v>
      </c>
      <c r="AK639" s="83"/>
      <c r="AL639" s="83"/>
      <c r="AM639" s="83"/>
      <c r="AN639" s="83"/>
    </row>
    <row r="640" spans="1:40" ht="15" hidden="1" x14ac:dyDescent="0.25">
      <c r="A640" s="82">
        <v>45724</v>
      </c>
      <c r="B640" s="94" t="str">
        <f t="shared" si="111"/>
        <v>March</v>
      </c>
      <c r="C640" s="79" t="s">
        <v>2161</v>
      </c>
      <c r="D640" s="79" t="s">
        <v>920</v>
      </c>
      <c r="E640" s="80" t="s">
        <v>1016</v>
      </c>
      <c r="F640" s="79" t="s">
        <v>958</v>
      </c>
      <c r="G640" s="79" t="s">
        <v>975</v>
      </c>
      <c r="H640" s="79" t="s">
        <v>982</v>
      </c>
      <c r="I640" s="79">
        <v>153.6</v>
      </c>
      <c r="J640" s="79" t="s">
        <v>919</v>
      </c>
      <c r="K640" s="80" t="s">
        <v>469</v>
      </c>
      <c r="L640" s="80">
        <v>298</v>
      </c>
      <c r="M640" s="80">
        <f>L640-1</f>
        <v>297</v>
      </c>
      <c r="N640" s="81">
        <f t="shared" si="122"/>
        <v>-1</v>
      </c>
      <c r="P640" s="82">
        <f>R640-TIME(0,28,0)</f>
        <v>45724.702777777777</v>
      </c>
      <c r="Q640" s="82">
        <v>45724.176388888889</v>
      </c>
      <c r="R640" s="82">
        <v>45724.722222222219</v>
      </c>
      <c r="S640" s="81">
        <f t="shared" si="112"/>
        <v>782.36111110624427</v>
      </c>
      <c r="T640" s="81">
        <f t="shared" si="113"/>
        <v>27.870370367357584</v>
      </c>
      <c r="U640" s="79"/>
      <c r="V640" s="82">
        <v>45727.39166666667</v>
      </c>
      <c r="W640" s="82">
        <v>45727.527777777781</v>
      </c>
      <c r="X640" s="103">
        <f t="shared" si="114"/>
        <v>191.91666666643869</v>
      </c>
      <c r="Y640" s="82" t="s">
        <v>1038</v>
      </c>
      <c r="Z640" s="82">
        <v>45725.76458333333</v>
      </c>
      <c r="AA640" s="82">
        <f>Z640+TIME(0,43,0)</f>
        <v>45725.794444444444</v>
      </c>
      <c r="AB640" s="81">
        <f t="shared" si="115"/>
        <v>42.104166670542327</v>
      </c>
      <c r="AC640" s="82" t="s">
        <v>1678</v>
      </c>
      <c r="AD640" s="83">
        <f t="shared" si="116"/>
        <v>1.0423611111109494</v>
      </c>
      <c r="AE640" s="83">
        <v>2</v>
      </c>
      <c r="AF640" s="83">
        <f t="shared" si="117"/>
        <v>0.95763888888905058</v>
      </c>
      <c r="AG640" s="83">
        <f t="shared" si="118"/>
        <v>25.016666666662786</v>
      </c>
      <c r="AH640" s="83">
        <f t="shared" si="119"/>
        <v>12</v>
      </c>
      <c r="AI640" s="83">
        <f t="shared" si="120"/>
        <v>13.016666666662786</v>
      </c>
      <c r="AJ640" s="83">
        <f t="shared" si="121"/>
        <v>11.80025608194974</v>
      </c>
      <c r="AK640" s="83"/>
      <c r="AL640" s="83"/>
      <c r="AM640" s="83"/>
      <c r="AN640" s="83"/>
    </row>
    <row r="641" spans="1:40" ht="15" hidden="1" x14ac:dyDescent="0.25">
      <c r="A641" s="82">
        <v>45724</v>
      </c>
      <c r="B641" s="94" t="str">
        <f t="shared" si="111"/>
        <v>March</v>
      </c>
      <c r="C641" s="79" t="s">
        <v>2161</v>
      </c>
      <c r="D641" s="79" t="s">
        <v>924</v>
      </c>
      <c r="E641" s="80" t="s">
        <v>1016</v>
      </c>
      <c r="F641" s="79" t="s">
        <v>964</v>
      </c>
      <c r="G641" s="79" t="s">
        <v>979</v>
      </c>
      <c r="H641" s="79" t="s">
        <v>465</v>
      </c>
      <c r="I641" s="79">
        <v>153.6</v>
      </c>
      <c r="J641" s="79" t="s">
        <v>917</v>
      </c>
      <c r="K641" s="80" t="s">
        <v>469</v>
      </c>
      <c r="L641" s="80">
        <v>382</v>
      </c>
      <c r="M641" s="80">
        <f>L641-1</f>
        <v>381</v>
      </c>
      <c r="N641" s="81">
        <f t="shared" si="122"/>
        <v>-1</v>
      </c>
      <c r="P641" s="82">
        <f>R641-TIME(0,53,0)</f>
        <v>45724.586111111108</v>
      </c>
      <c r="Q641" s="82">
        <v>45724.179861111108</v>
      </c>
      <c r="R641" s="82">
        <v>45724.622916666667</v>
      </c>
      <c r="S641" s="81">
        <f t="shared" si="112"/>
        <v>635.04629630139482</v>
      </c>
      <c r="T641" s="81">
        <f t="shared" si="113"/>
        <v>52.75462963472819</v>
      </c>
      <c r="U641" s="79"/>
      <c r="V641" s="82">
        <v>45725.381249999999</v>
      </c>
      <c r="W641" s="82">
        <v>45728.693055555559</v>
      </c>
      <c r="X641" s="103">
        <f t="shared" si="114"/>
        <v>4669.6458333404007</v>
      </c>
      <c r="Y641" s="82" t="s">
        <v>1039</v>
      </c>
      <c r="Z641" s="82">
        <v>45725.638888888891</v>
      </c>
      <c r="AA641" s="82">
        <f>Z641+TIME(0,59,0)</f>
        <v>45725.679861111115</v>
      </c>
      <c r="AB641" s="81">
        <f t="shared" si="115"/>
        <v>57.770833336981013</v>
      </c>
      <c r="AC641" s="82"/>
      <c r="AD641" s="83">
        <f t="shared" si="116"/>
        <v>1.015972222223354</v>
      </c>
      <c r="AE641" s="83">
        <v>2</v>
      </c>
      <c r="AF641" s="83">
        <f t="shared" si="117"/>
        <v>0.98402777777664596</v>
      </c>
      <c r="AG641" s="83">
        <f t="shared" si="118"/>
        <v>24.383333333360497</v>
      </c>
      <c r="AH641" s="83">
        <f t="shared" si="119"/>
        <v>12</v>
      </c>
      <c r="AI641" s="83">
        <f t="shared" si="120"/>
        <v>12.383333333360497</v>
      </c>
      <c r="AJ641" s="83">
        <f t="shared" si="121"/>
        <v>12.403768506029319</v>
      </c>
      <c r="AK641" s="83"/>
      <c r="AL641" s="83"/>
      <c r="AM641" s="83"/>
      <c r="AN641" s="83"/>
    </row>
    <row r="642" spans="1:40" ht="15" hidden="1" x14ac:dyDescent="0.25">
      <c r="A642" s="82">
        <v>45724</v>
      </c>
      <c r="B642" s="94" t="str">
        <f t="shared" ref="B642:B705" si="132">TEXT(A642, "MMMM")</f>
        <v>March</v>
      </c>
      <c r="C642" s="79" t="s">
        <v>2161</v>
      </c>
      <c r="D642" s="79" t="s">
        <v>922</v>
      </c>
      <c r="E642" s="80" t="s">
        <v>1016</v>
      </c>
      <c r="F642" s="79" t="s">
        <v>953</v>
      </c>
      <c r="G642" s="79" t="s">
        <v>970</v>
      </c>
      <c r="H642" s="79" t="s">
        <v>996</v>
      </c>
      <c r="I642" s="79">
        <v>153.6</v>
      </c>
      <c r="J642" s="79" t="s">
        <v>916</v>
      </c>
      <c r="K642" s="80" t="s">
        <v>469</v>
      </c>
      <c r="L642" s="79">
        <v>350</v>
      </c>
      <c r="M642" s="80">
        <f>L642+1</f>
        <v>351</v>
      </c>
      <c r="N642" s="81">
        <f t="shared" si="122"/>
        <v>1</v>
      </c>
      <c r="P642" s="82">
        <f>R642-TIME(0,29,0)</f>
        <v>45724.397222222222</v>
      </c>
      <c r="Q642" s="82">
        <v>45724.154861111114</v>
      </c>
      <c r="R642" s="82">
        <v>45724.417361111111</v>
      </c>
      <c r="S642" s="81">
        <f t="shared" ref="S642:S705" si="133">(R642-Q642)*86000/60</f>
        <v>376.24999999582843</v>
      </c>
      <c r="T642" s="81">
        <f t="shared" ref="T642:T705" si="134">(R642-P642)*86000/60</f>
        <v>28.865740740972495</v>
      </c>
      <c r="U642" s="79"/>
      <c r="V642" s="82">
        <v>45725.504166666666</v>
      </c>
      <c r="W642" s="82">
        <v>45725.810416666667</v>
      </c>
      <c r="X642" s="103">
        <f t="shared" ref="X642:X705" si="135">(W642-V642)*84600/60</f>
        <v>431.81250000205182</v>
      </c>
      <c r="Y642" s="82" t="s">
        <v>1040</v>
      </c>
      <c r="Z642" s="82">
        <v>45726.706250000003</v>
      </c>
      <c r="AA642" s="82">
        <f>Z642+TIME(0,57,0)</f>
        <v>45726.745833333334</v>
      </c>
      <c r="AB642" s="81">
        <f t="shared" ref="AB642:AB705" si="136">(AA642-Z642)*84600/60</f>
        <v>55.81249999726424</v>
      </c>
      <c r="AC642" s="82"/>
      <c r="AD642" s="83">
        <f t="shared" ref="AD642:AD705" si="137">Z642-R642</f>
        <v>2.288888888891961</v>
      </c>
      <c r="AE642" s="83">
        <v>2</v>
      </c>
      <c r="AF642" s="83">
        <f t="shared" ref="AF642:AF705" si="138">AE642-AD642</f>
        <v>-0.28888888889196096</v>
      </c>
      <c r="AG642" s="83">
        <f t="shared" ref="AG642:AG705" si="139">AD642*24</f>
        <v>54.933333333407063</v>
      </c>
      <c r="AH642" s="83">
        <f t="shared" ref="AH642:AH705" si="140">AG642-AI642</f>
        <v>24</v>
      </c>
      <c r="AI642" s="83">
        <f t="shared" ref="AI642:AI705" si="141" xml:space="preserve"> ((Z642 - R642) * 24) - (INT(Z642 - R642) * 12)</f>
        <v>30.933333333407063</v>
      </c>
      <c r="AJ642" s="83">
        <f t="shared" ref="AJ642:AJ705" si="142">I642/AI642</f>
        <v>4.9655172413674746</v>
      </c>
      <c r="AK642" s="83"/>
      <c r="AL642" s="83"/>
      <c r="AM642" s="83"/>
      <c r="AN642" s="83"/>
    </row>
    <row r="643" spans="1:40" ht="15" hidden="1" x14ac:dyDescent="0.25">
      <c r="A643" s="82">
        <v>45724</v>
      </c>
      <c r="B643" s="94" t="str">
        <f t="shared" si="132"/>
        <v>March</v>
      </c>
      <c r="C643" s="79" t="s">
        <v>2161</v>
      </c>
      <c r="D643" s="79" t="s">
        <v>921</v>
      </c>
      <c r="E643" s="80" t="s">
        <v>1016</v>
      </c>
      <c r="F643" s="79" t="s">
        <v>962</v>
      </c>
      <c r="G643" s="79" t="s">
        <v>978</v>
      </c>
      <c r="H643" s="79" t="s">
        <v>1284</v>
      </c>
      <c r="I643" s="79">
        <v>153.6</v>
      </c>
      <c r="J643" s="79" t="s">
        <v>918</v>
      </c>
      <c r="K643" s="80" t="s">
        <v>469</v>
      </c>
      <c r="L643" s="80">
        <v>620</v>
      </c>
      <c r="M643" s="80">
        <f>L643+2</f>
        <v>622</v>
      </c>
      <c r="N643" s="81">
        <f t="shared" si="122"/>
        <v>2</v>
      </c>
      <c r="P643" s="82">
        <f>R643-TIME(0,27,0)</f>
        <v>45724.304861111108</v>
      </c>
      <c r="Q643" s="82">
        <v>45724.082638888889</v>
      </c>
      <c r="R643" s="82">
        <v>45724.323611111111</v>
      </c>
      <c r="S643" s="81">
        <f t="shared" si="133"/>
        <v>345.39351851805503</v>
      </c>
      <c r="T643" s="81">
        <f t="shared" si="134"/>
        <v>26.87500000417155</v>
      </c>
      <c r="U643" s="79"/>
      <c r="V643" s="82">
        <v>45724.790277777778</v>
      </c>
      <c r="W643" s="82">
        <v>45725.522222222222</v>
      </c>
      <c r="X643" s="103">
        <f t="shared" si="135"/>
        <v>1032.0416666657547</v>
      </c>
      <c r="Y643" s="82" t="s">
        <v>1044</v>
      </c>
      <c r="Z643" s="82">
        <v>45726.648611111108</v>
      </c>
      <c r="AA643" s="82">
        <f>Z643+TIME(0,43,0)</f>
        <v>45726.678472222222</v>
      </c>
      <c r="AB643" s="81">
        <f t="shared" si="136"/>
        <v>42.104166670542327</v>
      </c>
      <c r="AC643" s="82"/>
      <c r="AD643" s="83">
        <f t="shared" si="137"/>
        <v>2.3249999999970896</v>
      </c>
      <c r="AE643" s="83">
        <v>3</v>
      </c>
      <c r="AF643" s="83">
        <f t="shared" si="138"/>
        <v>0.67500000000291038</v>
      </c>
      <c r="AG643" s="83">
        <f t="shared" si="139"/>
        <v>55.799999999930151</v>
      </c>
      <c r="AH643" s="83">
        <f t="shared" si="140"/>
        <v>24</v>
      </c>
      <c r="AI643" s="83">
        <f t="shared" si="141"/>
        <v>31.799999999930151</v>
      </c>
      <c r="AJ643" s="83">
        <f t="shared" si="142"/>
        <v>4.8301886792558921</v>
      </c>
      <c r="AK643" s="83"/>
      <c r="AL643" s="83"/>
      <c r="AM643" s="83"/>
      <c r="AN643" s="83"/>
    </row>
    <row r="644" spans="1:40" ht="15" hidden="1" x14ac:dyDescent="0.25">
      <c r="A644" s="82">
        <v>45724</v>
      </c>
      <c r="B644" s="94" t="str">
        <f t="shared" si="132"/>
        <v>March</v>
      </c>
      <c r="C644" s="79" t="s">
        <v>2161</v>
      </c>
      <c r="D644" s="79" t="s">
        <v>923</v>
      </c>
      <c r="E644" s="80" t="s">
        <v>1016</v>
      </c>
      <c r="F644" s="79" t="s">
        <v>950</v>
      </c>
      <c r="G644" s="79" t="s">
        <v>967</v>
      </c>
      <c r="H644" s="79" t="s">
        <v>982</v>
      </c>
      <c r="I644" s="79">
        <v>153.6</v>
      </c>
      <c r="J644" s="79" t="s">
        <v>914</v>
      </c>
      <c r="K644" s="80" t="s">
        <v>469</v>
      </c>
      <c r="L644" s="80">
        <v>298</v>
      </c>
      <c r="M644" s="80">
        <f>L644-3</f>
        <v>295</v>
      </c>
      <c r="N644" s="81">
        <f t="shared" ref="N644:N707" si="143">M644-L644</f>
        <v>-3</v>
      </c>
      <c r="P644" s="82">
        <f>R644-TIME(0,28,0)</f>
        <v>45724.290972222225</v>
      </c>
      <c r="Q644" s="82">
        <v>45724.176388888889</v>
      </c>
      <c r="R644" s="82">
        <v>45724.310416666667</v>
      </c>
      <c r="S644" s="81">
        <f t="shared" si="133"/>
        <v>192.106481481945</v>
      </c>
      <c r="T644" s="81">
        <f t="shared" si="134"/>
        <v>27.870370367357584</v>
      </c>
      <c r="U644" s="79"/>
      <c r="V644" s="82">
        <v>45724.517361111109</v>
      </c>
      <c r="W644" s="82">
        <v>45724.645833333336</v>
      </c>
      <c r="X644" s="103">
        <f t="shared" si="135"/>
        <v>181.14583333903283</v>
      </c>
      <c r="Y644" s="82" t="s">
        <v>1039</v>
      </c>
      <c r="Z644" s="82">
        <v>45726.686111111114</v>
      </c>
      <c r="AA644" s="82">
        <f>Z644+TIME(0,58,0)</f>
        <v>45726.726388888892</v>
      </c>
      <c r="AB644" s="81">
        <f t="shared" si="136"/>
        <v>56.791666667122627</v>
      </c>
      <c r="AC644" s="82"/>
      <c r="AD644" s="83">
        <f t="shared" si="137"/>
        <v>2.3756944444467081</v>
      </c>
      <c r="AE644" s="83">
        <v>2</v>
      </c>
      <c r="AF644" s="83">
        <f t="shared" si="138"/>
        <v>-0.37569444444670808</v>
      </c>
      <c r="AG644" s="83">
        <f t="shared" si="139"/>
        <v>57.016666666720994</v>
      </c>
      <c r="AH644" s="83">
        <f t="shared" si="140"/>
        <v>24</v>
      </c>
      <c r="AI644" s="83">
        <f t="shared" si="141"/>
        <v>33.016666666720994</v>
      </c>
      <c r="AJ644" s="83">
        <f t="shared" si="142"/>
        <v>4.6521958606687708</v>
      </c>
      <c r="AK644" s="83"/>
      <c r="AL644" s="83"/>
      <c r="AM644" s="83"/>
      <c r="AN644" s="83"/>
    </row>
    <row r="645" spans="1:40" ht="15" hidden="1" x14ac:dyDescent="0.25">
      <c r="A645" s="82">
        <v>45725</v>
      </c>
      <c r="B645" s="94" t="str">
        <f t="shared" si="132"/>
        <v>March</v>
      </c>
      <c r="C645" s="79" t="s">
        <v>2162</v>
      </c>
      <c r="D645" s="79" t="s">
        <v>392</v>
      </c>
      <c r="E645" s="80" t="s">
        <v>1017</v>
      </c>
      <c r="F645" s="79"/>
      <c r="G645" s="79" t="s">
        <v>40</v>
      </c>
      <c r="H645" s="79" t="s">
        <v>450</v>
      </c>
      <c r="I645" s="79">
        <v>78</v>
      </c>
      <c r="J645" s="79" t="s">
        <v>392</v>
      </c>
      <c r="K645" s="80" t="s">
        <v>469</v>
      </c>
      <c r="L645" s="80">
        <v>288</v>
      </c>
      <c r="M645" s="80">
        <f>L645-2</f>
        <v>286</v>
      </c>
      <c r="N645" s="81">
        <f t="shared" si="143"/>
        <v>-2</v>
      </c>
      <c r="P645" s="82">
        <f>R645-TIME(0,28,0)</f>
        <v>45723.456250000003</v>
      </c>
      <c r="Q645" s="82">
        <v>45722.59375</v>
      </c>
      <c r="R645" s="82">
        <v>45723.475694444445</v>
      </c>
      <c r="S645" s="81">
        <f t="shared" si="133"/>
        <v>1264.1203703715291</v>
      </c>
      <c r="T645" s="81">
        <f t="shared" si="134"/>
        <v>27.870370367357584</v>
      </c>
      <c r="U645" s="79"/>
      <c r="V645" s="82">
        <v>45727.505555555559</v>
      </c>
      <c r="W645" s="82">
        <v>45727.637499999997</v>
      </c>
      <c r="X645" s="103">
        <f t="shared" si="135"/>
        <v>186.04166665754747</v>
      </c>
      <c r="Y645" s="82" t="s">
        <v>1044</v>
      </c>
      <c r="Z645" s="82">
        <v>45725.498611111114</v>
      </c>
      <c r="AA645" s="82">
        <f>Z645+TIME(0,49,0)</f>
        <v>45725.532638888893</v>
      </c>
      <c r="AB645" s="81">
        <f t="shared" si="136"/>
        <v>47.979166669174447</v>
      </c>
      <c r="AC645" s="82"/>
      <c r="AD645" s="83">
        <f t="shared" si="137"/>
        <v>2.0229166666686069</v>
      </c>
      <c r="AE645" s="83">
        <v>2</v>
      </c>
      <c r="AF645" s="83">
        <f t="shared" si="138"/>
        <v>-2.2916666668606922E-2</v>
      </c>
      <c r="AG645" s="83">
        <f t="shared" si="139"/>
        <v>48.550000000046566</v>
      </c>
      <c r="AH645" s="83">
        <f t="shared" si="140"/>
        <v>24</v>
      </c>
      <c r="AI645" s="83">
        <f t="shared" si="141"/>
        <v>24.550000000046566</v>
      </c>
      <c r="AJ645" s="83">
        <f t="shared" si="142"/>
        <v>3.177189409362609</v>
      </c>
      <c r="AK645" s="83"/>
      <c r="AL645" s="83"/>
      <c r="AM645" s="83"/>
      <c r="AN645" s="83"/>
    </row>
    <row r="646" spans="1:40" ht="15" hidden="1" x14ac:dyDescent="0.25">
      <c r="A646" s="82">
        <v>45725</v>
      </c>
      <c r="B646" s="94" t="str">
        <f t="shared" si="132"/>
        <v>March</v>
      </c>
      <c r="C646" s="79" t="s">
        <v>2162</v>
      </c>
      <c r="D646" s="79" t="s">
        <v>393</v>
      </c>
      <c r="E646" s="80" t="s">
        <v>1017</v>
      </c>
      <c r="F646" s="79" t="s">
        <v>1019</v>
      </c>
      <c r="G646" s="79" t="s">
        <v>37</v>
      </c>
      <c r="H646" s="79" t="s">
        <v>462</v>
      </c>
      <c r="I646" s="79">
        <v>78</v>
      </c>
      <c r="J646" s="79" t="s">
        <v>393</v>
      </c>
      <c r="K646" s="80" t="s">
        <v>469</v>
      </c>
      <c r="L646" s="80">
        <v>680</v>
      </c>
      <c r="M646" s="80">
        <f>L646+3</f>
        <v>683</v>
      </c>
      <c r="N646" s="81">
        <f t="shared" si="143"/>
        <v>3</v>
      </c>
      <c r="P646" s="82">
        <f>R646-TIME(0,27,0)</f>
        <v>45723.768055555556</v>
      </c>
      <c r="Q646" s="82">
        <v>45723.098611111112</v>
      </c>
      <c r="R646" s="82">
        <v>45723.786805555559</v>
      </c>
      <c r="S646" s="81">
        <f t="shared" si="133"/>
        <v>986.41203704028158</v>
      </c>
      <c r="T646" s="81">
        <f t="shared" si="134"/>
        <v>26.87500000417155</v>
      </c>
      <c r="U646" s="79"/>
      <c r="V646" s="82">
        <v>45726.586111111108</v>
      </c>
      <c r="W646" s="82">
        <v>45726.701388888891</v>
      </c>
      <c r="X646" s="103">
        <f t="shared" si="135"/>
        <v>162.54166667327809</v>
      </c>
      <c r="Y646" s="82"/>
      <c r="Z646" s="82">
        <v>45726.454861111109</v>
      </c>
      <c r="AA646" s="82">
        <f>Z646+TIME(0,53,0)</f>
        <v>45726.491666666669</v>
      </c>
      <c r="AB646" s="81">
        <f t="shared" si="136"/>
        <v>51.895833338348893</v>
      </c>
      <c r="AC646" s="82"/>
      <c r="AD646" s="83">
        <f t="shared" si="137"/>
        <v>2.6680555555503815</v>
      </c>
      <c r="AE646" s="83">
        <v>3</v>
      </c>
      <c r="AF646" s="83">
        <f t="shared" si="138"/>
        <v>0.33194444444961846</v>
      </c>
      <c r="AG646" s="83">
        <f t="shared" si="139"/>
        <v>64.033333333209157</v>
      </c>
      <c r="AH646" s="83">
        <f t="shared" si="140"/>
        <v>24</v>
      </c>
      <c r="AI646" s="83">
        <f t="shared" si="141"/>
        <v>40.033333333209157</v>
      </c>
      <c r="AJ646" s="83">
        <f t="shared" si="142"/>
        <v>1.9483763530451776</v>
      </c>
      <c r="AK646" s="83"/>
      <c r="AL646" s="83"/>
      <c r="AM646" s="83"/>
      <c r="AN646" s="83"/>
    </row>
    <row r="647" spans="1:40" ht="15" hidden="1" x14ac:dyDescent="0.25">
      <c r="A647" s="82">
        <v>45725</v>
      </c>
      <c r="B647" s="94" t="str">
        <f t="shared" si="132"/>
        <v>March</v>
      </c>
      <c r="C647" s="79" t="s">
        <v>2162</v>
      </c>
      <c r="D647" s="79" t="s">
        <v>394</v>
      </c>
      <c r="E647" s="80" t="s">
        <v>1017</v>
      </c>
      <c r="F647" s="79" t="s">
        <v>1032</v>
      </c>
      <c r="G647" s="79" t="s">
        <v>72</v>
      </c>
      <c r="H647" s="79" t="s">
        <v>450</v>
      </c>
      <c r="I647" s="79">
        <v>156</v>
      </c>
      <c r="J647" s="79" t="s">
        <v>394</v>
      </c>
      <c r="K647" s="80" t="s">
        <v>469</v>
      </c>
      <c r="L647" s="80">
        <v>288</v>
      </c>
      <c r="M647" s="80">
        <f>L647-2</f>
        <v>286</v>
      </c>
      <c r="N647" s="81">
        <f t="shared" si="143"/>
        <v>-2</v>
      </c>
      <c r="P647" s="82">
        <f>R647-TIME(0,27,0)</f>
        <v>45723.431249999994</v>
      </c>
      <c r="Q647" s="82">
        <v>45723.179861111108</v>
      </c>
      <c r="R647" s="82">
        <v>45723.45</v>
      </c>
      <c r="S647" s="81">
        <f t="shared" si="133"/>
        <v>387.19907407430583</v>
      </c>
      <c r="T647" s="81">
        <f t="shared" si="134"/>
        <v>26.87500000417155</v>
      </c>
      <c r="U647" s="79"/>
      <c r="V647" s="82">
        <v>45725.756249999999</v>
      </c>
      <c r="W647" s="82">
        <v>45727.382638888892</v>
      </c>
      <c r="X647" s="103">
        <f t="shared" si="135"/>
        <v>2293.2083333397168</v>
      </c>
      <c r="Y647" s="82" t="s">
        <v>1044</v>
      </c>
      <c r="Z647" s="82">
        <v>45725.454861111109</v>
      </c>
      <c r="AA647" s="82">
        <f>Z647+TIME(0,57,0)</f>
        <v>45725.494444444441</v>
      </c>
      <c r="AB647" s="81">
        <f t="shared" si="136"/>
        <v>55.81249999726424</v>
      </c>
      <c r="AC647" s="82"/>
      <c r="AD647" s="83">
        <f t="shared" si="137"/>
        <v>2.0048611111124046</v>
      </c>
      <c r="AE647" s="83">
        <v>2</v>
      </c>
      <c r="AF647" s="83">
        <f t="shared" si="138"/>
        <v>-4.8611111124046147E-3</v>
      </c>
      <c r="AG647" s="83">
        <f t="shared" si="139"/>
        <v>48.116666666697711</v>
      </c>
      <c r="AH647" s="83">
        <f t="shared" si="140"/>
        <v>24</v>
      </c>
      <c r="AI647" s="83">
        <f t="shared" si="141"/>
        <v>24.116666666697711</v>
      </c>
      <c r="AJ647" s="83">
        <f t="shared" si="142"/>
        <v>6.4685556323344517</v>
      </c>
      <c r="AK647" s="83"/>
      <c r="AL647" s="83"/>
      <c r="AM647" s="83"/>
      <c r="AN647" s="83"/>
    </row>
    <row r="648" spans="1:40" ht="15" hidden="1" x14ac:dyDescent="0.25">
      <c r="A648" s="82">
        <v>45725</v>
      </c>
      <c r="B648" s="94" t="str">
        <f t="shared" si="132"/>
        <v>March</v>
      </c>
      <c r="C648" s="79" t="s">
        <v>2162</v>
      </c>
      <c r="D648" s="79" t="s">
        <v>395</v>
      </c>
      <c r="E648" s="80" t="s">
        <v>1017</v>
      </c>
      <c r="F648" s="79"/>
      <c r="G648" s="79" t="s">
        <v>47</v>
      </c>
      <c r="H648" s="79" t="s">
        <v>452</v>
      </c>
      <c r="I648" s="79">
        <v>157.5</v>
      </c>
      <c r="J648" s="79" t="s">
        <v>395</v>
      </c>
      <c r="K648" s="80" t="s">
        <v>469</v>
      </c>
      <c r="L648" s="80">
        <v>690</v>
      </c>
      <c r="M648" s="80">
        <f>L648+3</f>
        <v>693</v>
      </c>
      <c r="N648" s="81">
        <f t="shared" si="143"/>
        <v>3</v>
      </c>
      <c r="P648" s="82">
        <f>R648-TIME(0,50,0)</f>
        <v>45723.458333333336</v>
      </c>
      <c r="Q648" s="82">
        <v>45723.291666666664</v>
      </c>
      <c r="R648" s="82">
        <v>45723.493055555555</v>
      </c>
      <c r="S648" s="81">
        <f t="shared" si="133"/>
        <v>288.65740740972495</v>
      </c>
      <c r="T648" s="81">
        <f t="shared" si="134"/>
        <v>49.768518513883464</v>
      </c>
      <c r="U648" s="79"/>
      <c r="V648" s="82">
        <v>45724.646527777775</v>
      </c>
      <c r="W648" s="82">
        <v>45724.744444444441</v>
      </c>
      <c r="X648" s="103">
        <f t="shared" si="135"/>
        <v>138.06249999863212</v>
      </c>
      <c r="Y648" s="82"/>
      <c r="Z648" s="82">
        <v>45724.65347222222</v>
      </c>
      <c r="AA648" s="82">
        <f>Z648+TIME(0,57,0)</f>
        <v>45724.693055555552</v>
      </c>
      <c r="AB648" s="81">
        <f t="shared" si="136"/>
        <v>55.81249999726424</v>
      </c>
      <c r="AC648" s="82"/>
      <c r="AD648" s="83">
        <f t="shared" si="137"/>
        <v>1.1604166666656965</v>
      </c>
      <c r="AE648" s="83">
        <v>3</v>
      </c>
      <c r="AF648" s="83">
        <f t="shared" si="138"/>
        <v>1.8395833333343035</v>
      </c>
      <c r="AG648" s="83">
        <f t="shared" si="139"/>
        <v>27.849999999976717</v>
      </c>
      <c r="AH648" s="83">
        <f t="shared" si="140"/>
        <v>12</v>
      </c>
      <c r="AI648" s="83">
        <f t="shared" si="141"/>
        <v>15.849999999976717</v>
      </c>
      <c r="AJ648" s="83">
        <f t="shared" si="142"/>
        <v>9.9369085173647544</v>
      </c>
      <c r="AK648" s="83"/>
      <c r="AL648" s="83"/>
      <c r="AM648" s="83"/>
      <c r="AN648" s="83"/>
    </row>
    <row r="649" spans="1:40" ht="15" hidden="1" x14ac:dyDescent="0.25">
      <c r="A649" s="82">
        <v>45725</v>
      </c>
      <c r="B649" s="94" t="str">
        <f t="shared" si="132"/>
        <v>March</v>
      </c>
      <c r="C649" s="79" t="s">
        <v>2162</v>
      </c>
      <c r="D649" s="79" t="s">
        <v>396</v>
      </c>
      <c r="E649" s="80" t="s">
        <v>1017</v>
      </c>
      <c r="F649" s="79"/>
      <c r="G649" s="79" t="s">
        <v>69</v>
      </c>
      <c r="H649" s="79" t="s">
        <v>452</v>
      </c>
      <c r="I649" s="79">
        <v>157.5</v>
      </c>
      <c r="J649" s="79" t="s">
        <v>396</v>
      </c>
      <c r="K649" s="80" t="s">
        <v>469</v>
      </c>
      <c r="L649" s="80">
        <v>690</v>
      </c>
      <c r="M649" s="80">
        <f>L649+1</f>
        <v>691</v>
      </c>
      <c r="N649" s="81">
        <f t="shared" si="143"/>
        <v>1</v>
      </c>
      <c r="P649" s="82">
        <f>R649-TIME(0,52,0)</f>
        <v>45722.669444444444</v>
      </c>
      <c r="Q649" s="82">
        <v>45722.655555555553</v>
      </c>
      <c r="R649" s="82">
        <v>45722.705555555556</v>
      </c>
      <c r="S649" s="81">
        <f t="shared" si="133"/>
        <v>71.666666670838211</v>
      </c>
      <c r="T649" s="81">
        <f t="shared" si="134"/>
        <v>51.759259261113279</v>
      </c>
      <c r="U649" s="79" t="s">
        <v>2165</v>
      </c>
      <c r="V649" s="82">
        <v>45726.462500000001</v>
      </c>
      <c r="W649" s="82">
        <v>45726.665972222225</v>
      </c>
      <c r="X649" s="103">
        <f t="shared" si="135"/>
        <v>286.89583333492919</v>
      </c>
      <c r="Y649" s="82" t="s">
        <v>1046</v>
      </c>
      <c r="Z649" s="82">
        <v>45724.65347222222</v>
      </c>
      <c r="AA649" s="82">
        <f>Z649+TIME(0,36,0)</f>
        <v>45724.678472222222</v>
      </c>
      <c r="AB649" s="81">
        <f t="shared" si="136"/>
        <v>35.25000000205182</v>
      </c>
      <c r="AC649" s="82"/>
      <c r="AD649" s="83">
        <f t="shared" si="137"/>
        <v>1.9479166666642413</v>
      </c>
      <c r="AE649" s="83">
        <v>3</v>
      </c>
      <c r="AF649" s="83">
        <f t="shared" si="138"/>
        <v>1.0520833333357587</v>
      </c>
      <c r="AG649" s="83">
        <f t="shared" si="139"/>
        <v>46.749999999941792</v>
      </c>
      <c r="AH649" s="83">
        <f t="shared" si="140"/>
        <v>12</v>
      </c>
      <c r="AI649" s="83">
        <f t="shared" si="141"/>
        <v>34.749999999941792</v>
      </c>
      <c r="AJ649" s="83">
        <f t="shared" si="142"/>
        <v>4.532374100727016</v>
      </c>
      <c r="AK649" s="83"/>
      <c r="AL649" s="83"/>
      <c r="AM649" s="83"/>
      <c r="AN649" s="83"/>
    </row>
    <row r="650" spans="1:40" ht="15" hidden="1" x14ac:dyDescent="0.25">
      <c r="A650" s="82">
        <v>45725</v>
      </c>
      <c r="B650" s="94" t="str">
        <f t="shared" si="132"/>
        <v>March</v>
      </c>
      <c r="C650" s="79" t="s">
        <v>2162</v>
      </c>
      <c r="D650" s="79" t="s">
        <v>397</v>
      </c>
      <c r="E650" s="80" t="s">
        <v>1017</v>
      </c>
      <c r="F650" s="79"/>
      <c r="G650" s="79" t="s">
        <v>70</v>
      </c>
      <c r="H650" s="79" t="s">
        <v>987</v>
      </c>
      <c r="I650" s="79">
        <v>156</v>
      </c>
      <c r="J650" s="79" t="s">
        <v>397</v>
      </c>
      <c r="K650" s="80" t="s">
        <v>469</v>
      </c>
      <c r="L650" s="79">
        <v>320</v>
      </c>
      <c r="M650" s="80">
        <f>L650-157</f>
        <v>163</v>
      </c>
      <c r="N650" s="81">
        <f t="shared" si="143"/>
        <v>-157</v>
      </c>
      <c r="P650" s="82">
        <f>R650-TIME(0,26,0)</f>
        <v>45722.456944444442</v>
      </c>
      <c r="Q650" s="82">
        <v>45722.466666666667</v>
      </c>
      <c r="R650" s="82">
        <v>45722.474999999999</v>
      </c>
      <c r="S650" s="81">
        <f t="shared" si="133"/>
        <v>11.944444441663412</v>
      </c>
      <c r="T650" s="81">
        <f t="shared" si="134"/>
        <v>25.879629630556639</v>
      </c>
      <c r="U650" s="79"/>
      <c r="V650" s="82">
        <v>45725.758333333331</v>
      </c>
      <c r="W650" s="82">
        <v>45725.84375</v>
      </c>
      <c r="X650" s="103">
        <f t="shared" si="135"/>
        <v>120.43750000273576</v>
      </c>
      <c r="Y650" s="82"/>
      <c r="Z650" s="82">
        <v>45725.498611111114</v>
      </c>
      <c r="AA650" s="82">
        <f>Z650+TIME(0,56,0)</f>
        <v>45725.537500000006</v>
      </c>
      <c r="AB650" s="81">
        <f t="shared" si="136"/>
        <v>54.833333337664953</v>
      </c>
      <c r="AC650" s="82"/>
      <c r="AD650" s="83">
        <f t="shared" si="137"/>
        <v>3.023611111115315</v>
      </c>
      <c r="AE650" s="83">
        <v>2</v>
      </c>
      <c r="AF650" s="83">
        <f t="shared" si="138"/>
        <v>-1.023611111115315</v>
      </c>
      <c r="AG650" s="83">
        <f t="shared" si="139"/>
        <v>72.56666666676756</v>
      </c>
      <c r="AH650" s="83">
        <f t="shared" si="140"/>
        <v>36</v>
      </c>
      <c r="AI650" s="83">
        <f t="shared" si="141"/>
        <v>36.56666666676756</v>
      </c>
      <c r="AJ650" s="83">
        <f t="shared" si="142"/>
        <v>4.2661804922398243</v>
      </c>
      <c r="AK650" s="83"/>
      <c r="AL650" s="83"/>
      <c r="AM650" s="83"/>
      <c r="AN650" s="83"/>
    </row>
    <row r="651" spans="1:40" ht="15" hidden="1" x14ac:dyDescent="0.25">
      <c r="A651" s="82">
        <v>45725</v>
      </c>
      <c r="B651" s="94" t="str">
        <f t="shared" si="132"/>
        <v>March</v>
      </c>
      <c r="C651" s="79" t="s">
        <v>2162</v>
      </c>
      <c r="D651" s="79" t="s">
        <v>398</v>
      </c>
      <c r="E651" s="80" t="s">
        <v>1017</v>
      </c>
      <c r="F651" s="79"/>
      <c r="G651" s="79" t="s">
        <v>35</v>
      </c>
      <c r="H651" s="79" t="s">
        <v>464</v>
      </c>
      <c r="I651" s="79">
        <v>156</v>
      </c>
      <c r="J651" s="79" t="s">
        <v>398</v>
      </c>
      <c r="K651" s="80" t="s">
        <v>469</v>
      </c>
      <c r="L651" s="79">
        <v>256</v>
      </c>
      <c r="M651" s="80">
        <f>L651-1</f>
        <v>255</v>
      </c>
      <c r="N651" s="81">
        <f t="shared" si="143"/>
        <v>-1</v>
      </c>
      <c r="P651" s="82">
        <f>R651-TIME(0,29,0)</f>
        <v>45722.884027777778</v>
      </c>
      <c r="Q651" s="82">
        <v>45722.895833333336</v>
      </c>
      <c r="R651" s="82">
        <v>45722.904166666667</v>
      </c>
      <c r="S651" s="81">
        <f t="shared" si="133"/>
        <v>11.944444441663412</v>
      </c>
      <c r="T651" s="81">
        <f t="shared" si="134"/>
        <v>28.865740740972495</v>
      </c>
      <c r="U651" s="79"/>
      <c r="V651" s="82">
        <v>45728.393750000003</v>
      </c>
      <c r="W651" s="82">
        <v>45728.480555555558</v>
      </c>
      <c r="X651" s="103">
        <f t="shared" si="135"/>
        <v>122.39583333219343</v>
      </c>
      <c r="Y651" s="82"/>
      <c r="Z651" s="82">
        <v>45725.454861111109</v>
      </c>
      <c r="AA651" s="82">
        <f>Z651+TIME(0,57,0)</f>
        <v>45725.494444444441</v>
      </c>
      <c r="AB651" s="81">
        <f t="shared" si="136"/>
        <v>55.81249999726424</v>
      </c>
      <c r="AC651" s="82"/>
      <c r="AD651" s="83">
        <f t="shared" si="137"/>
        <v>2.5506944444423425</v>
      </c>
      <c r="AE651" s="83">
        <v>2</v>
      </c>
      <c r="AF651" s="83">
        <f t="shared" si="138"/>
        <v>-0.5506944444423425</v>
      </c>
      <c r="AG651" s="83">
        <f t="shared" si="139"/>
        <v>61.21666666661622</v>
      </c>
      <c r="AH651" s="83">
        <f t="shared" si="140"/>
        <v>24</v>
      </c>
      <c r="AI651" s="83">
        <f t="shared" si="141"/>
        <v>37.21666666661622</v>
      </c>
      <c r="AJ651" s="83">
        <f t="shared" si="142"/>
        <v>4.191670398572632</v>
      </c>
      <c r="AK651" s="83"/>
      <c r="AL651" s="83"/>
      <c r="AM651" s="83"/>
      <c r="AN651" s="83"/>
    </row>
    <row r="652" spans="1:40" ht="15" hidden="1" x14ac:dyDescent="0.25">
      <c r="A652" s="82">
        <v>45725</v>
      </c>
      <c r="B652" s="94" t="str">
        <f t="shared" si="132"/>
        <v>March</v>
      </c>
      <c r="C652" s="79" t="s">
        <v>2162</v>
      </c>
      <c r="D652" s="79" t="s">
        <v>399</v>
      </c>
      <c r="E652" s="80" t="s">
        <v>1017</v>
      </c>
      <c r="F652" s="79"/>
      <c r="G652" s="79" t="s">
        <v>79</v>
      </c>
      <c r="H652" s="79" t="s">
        <v>982</v>
      </c>
      <c r="I652" s="79">
        <v>72</v>
      </c>
      <c r="J652" s="79" t="s">
        <v>399</v>
      </c>
      <c r="K652" s="80" t="s">
        <v>469</v>
      </c>
      <c r="L652" s="80">
        <v>298</v>
      </c>
      <c r="M652" s="80">
        <f>L652-1</f>
        <v>297</v>
      </c>
      <c r="N652" s="81">
        <f t="shared" si="143"/>
        <v>-1</v>
      </c>
      <c r="P652" s="82">
        <f>R652-TIME(0,28,0)</f>
        <v>45722.475694444445</v>
      </c>
      <c r="Q652" s="82">
        <v>45722.487500000003</v>
      </c>
      <c r="R652" s="82">
        <v>45722.495138888888</v>
      </c>
      <c r="S652" s="81">
        <f t="shared" si="133"/>
        <v>10.949074068048503</v>
      </c>
      <c r="T652" s="81">
        <f t="shared" si="134"/>
        <v>27.870370367357584</v>
      </c>
      <c r="U652" s="79"/>
      <c r="V652" s="82">
        <v>45725.52847222222</v>
      </c>
      <c r="W652" s="82">
        <v>45725.619444444441</v>
      </c>
      <c r="X652" s="103">
        <f t="shared" si="135"/>
        <v>128.27083333082555</v>
      </c>
      <c r="Y652" s="82"/>
      <c r="Z652" s="82">
        <v>45724.769444444442</v>
      </c>
      <c r="AA652" s="82">
        <f>Z652+TIME(0,57,0)</f>
        <v>45724.809027777774</v>
      </c>
      <c r="AB652" s="81">
        <f t="shared" si="136"/>
        <v>55.81249999726424</v>
      </c>
      <c r="AC652" s="82"/>
      <c r="AD652" s="83">
        <f t="shared" si="137"/>
        <v>2.2743055555547471</v>
      </c>
      <c r="AE652" s="83">
        <v>2</v>
      </c>
      <c r="AF652" s="83">
        <f t="shared" si="138"/>
        <v>-0.27430555555474712</v>
      </c>
      <c r="AG652" s="83">
        <f t="shared" si="139"/>
        <v>54.583333333313931</v>
      </c>
      <c r="AH652" s="83">
        <f t="shared" si="140"/>
        <v>24</v>
      </c>
      <c r="AI652" s="83">
        <f t="shared" si="141"/>
        <v>30.583333333313931</v>
      </c>
      <c r="AJ652" s="83">
        <f t="shared" si="142"/>
        <v>2.3542234332440004</v>
      </c>
      <c r="AK652" s="83"/>
      <c r="AL652" s="83"/>
      <c r="AM652" s="83"/>
      <c r="AN652" s="83"/>
    </row>
    <row r="653" spans="1:40" ht="15" hidden="1" x14ac:dyDescent="0.25">
      <c r="A653" s="82">
        <v>45725</v>
      </c>
      <c r="B653" s="94" t="str">
        <f t="shared" si="132"/>
        <v>March</v>
      </c>
      <c r="C653" s="79" t="s">
        <v>2162</v>
      </c>
      <c r="D653" s="79" t="s">
        <v>400</v>
      </c>
      <c r="E653" s="80" t="s">
        <v>1017</v>
      </c>
      <c r="F653" s="79" t="s">
        <v>1013</v>
      </c>
      <c r="G653" s="79" t="s">
        <v>56</v>
      </c>
      <c r="H653" s="79" t="s">
        <v>458</v>
      </c>
      <c r="I653" s="79">
        <v>78</v>
      </c>
      <c r="J653" s="79" t="s">
        <v>400</v>
      </c>
      <c r="K653" s="80" t="s">
        <v>469</v>
      </c>
      <c r="L653" s="80">
        <v>448</v>
      </c>
      <c r="M653" s="80">
        <f>L653+1</f>
        <v>449</v>
      </c>
      <c r="N653" s="81">
        <f t="shared" si="143"/>
        <v>1</v>
      </c>
      <c r="P653" s="82">
        <f>R653-TIME(0,50,0)</f>
        <v>45722.836805555562</v>
      </c>
      <c r="Q653" s="82">
        <v>45723.176388888889</v>
      </c>
      <c r="R653" s="82">
        <v>45722.871527777781</v>
      </c>
      <c r="S653" s="81">
        <f t="shared" si="133"/>
        <v>-436.96759258818929</v>
      </c>
      <c r="T653" s="81">
        <f t="shared" si="134"/>
        <v>49.768518513883464</v>
      </c>
      <c r="U653" s="79"/>
      <c r="V653" s="82">
        <v>45725.354861111111</v>
      </c>
      <c r="W653" s="82">
        <v>45726.503472222219</v>
      </c>
      <c r="X653" s="103">
        <f t="shared" si="135"/>
        <v>1619.541666662335</v>
      </c>
      <c r="Y653" s="82" t="s">
        <v>1044</v>
      </c>
      <c r="Z653" s="82">
        <v>45725.454861111109</v>
      </c>
      <c r="AA653" s="82">
        <f>Z653+TIME(0,36,0)</f>
        <v>45725.479861111111</v>
      </c>
      <c r="AB653" s="81">
        <f t="shared" si="136"/>
        <v>35.25000000205182</v>
      </c>
      <c r="AC653" s="82"/>
      <c r="AD653" s="83">
        <f t="shared" si="137"/>
        <v>2.5833333333284827</v>
      </c>
      <c r="AE653" s="83">
        <v>2</v>
      </c>
      <c r="AF653" s="83">
        <f t="shared" si="138"/>
        <v>-0.58333333332848269</v>
      </c>
      <c r="AG653" s="83">
        <f t="shared" si="139"/>
        <v>61.999999999883585</v>
      </c>
      <c r="AH653" s="83">
        <f t="shared" si="140"/>
        <v>24</v>
      </c>
      <c r="AI653" s="83">
        <f t="shared" si="141"/>
        <v>37.999999999883585</v>
      </c>
      <c r="AJ653" s="83">
        <f t="shared" si="142"/>
        <v>2.0526315789536569</v>
      </c>
      <c r="AK653" s="83"/>
      <c r="AL653" s="83"/>
      <c r="AM653" s="83"/>
      <c r="AN653" s="83"/>
    </row>
    <row r="654" spans="1:40" ht="15" hidden="1" x14ac:dyDescent="0.25">
      <c r="A654" s="82">
        <v>45725</v>
      </c>
      <c r="B654" s="94" t="str">
        <f t="shared" si="132"/>
        <v>March</v>
      </c>
      <c r="C654" s="79" t="s">
        <v>2162</v>
      </c>
      <c r="D654" s="79" t="s">
        <v>401</v>
      </c>
      <c r="E654" s="80" t="s">
        <v>1017</v>
      </c>
      <c r="F654" s="79"/>
      <c r="G654" s="79" t="s">
        <v>75</v>
      </c>
      <c r="H654" s="79" t="s">
        <v>458</v>
      </c>
      <c r="I654" s="79">
        <v>156</v>
      </c>
      <c r="J654" s="79" t="s">
        <v>401</v>
      </c>
      <c r="K654" s="80" t="s">
        <v>469</v>
      </c>
      <c r="L654" s="80">
        <v>448</v>
      </c>
      <c r="M654" s="80">
        <f>L654+1</f>
        <v>449</v>
      </c>
      <c r="N654" s="81">
        <f t="shared" si="143"/>
        <v>1</v>
      </c>
      <c r="P654" s="82">
        <f>R654-TIME(0,28,0)</f>
        <v>45722.905555555561</v>
      </c>
      <c r="Q654" s="82">
        <v>45723.291666666664</v>
      </c>
      <c r="R654" s="82">
        <v>45722.925000000003</v>
      </c>
      <c r="S654" s="81">
        <f t="shared" si="133"/>
        <v>-525.55555554790772</v>
      </c>
      <c r="T654" s="81">
        <f t="shared" si="134"/>
        <v>27.870370367357584</v>
      </c>
      <c r="U654" s="79"/>
      <c r="V654" s="82">
        <v>45726.536805555559</v>
      </c>
      <c r="W654" s="82">
        <v>45726.769444444442</v>
      </c>
      <c r="X654" s="103">
        <f t="shared" si="135"/>
        <v>328.02083332535403</v>
      </c>
      <c r="Y654" s="82" t="s">
        <v>1044</v>
      </c>
      <c r="Z654" s="82">
        <v>45724.65347222222</v>
      </c>
      <c r="AA654" s="82">
        <f>Z654+TIME(0,36,0)</f>
        <v>45724.678472222222</v>
      </c>
      <c r="AB654" s="81">
        <f t="shared" si="136"/>
        <v>35.25000000205182</v>
      </c>
      <c r="AC654" s="82"/>
      <c r="AD654" s="83">
        <f t="shared" si="137"/>
        <v>1.7284722222175333</v>
      </c>
      <c r="AE654" s="83">
        <v>2</v>
      </c>
      <c r="AF654" s="83">
        <f t="shared" si="138"/>
        <v>0.27152777778246673</v>
      </c>
      <c r="AG654" s="83">
        <f t="shared" si="139"/>
        <v>41.483333333220799</v>
      </c>
      <c r="AH654" s="83">
        <f t="shared" si="140"/>
        <v>12</v>
      </c>
      <c r="AI654" s="83">
        <f t="shared" si="141"/>
        <v>29.483333333220799</v>
      </c>
      <c r="AJ654" s="83">
        <f t="shared" si="142"/>
        <v>5.291124929358805</v>
      </c>
      <c r="AK654" s="83"/>
      <c r="AL654" s="83"/>
      <c r="AM654" s="83"/>
      <c r="AN654" s="83"/>
    </row>
    <row r="655" spans="1:40" ht="15" hidden="1" x14ac:dyDescent="0.25">
      <c r="A655" s="82">
        <v>45725</v>
      </c>
      <c r="B655" s="94" t="str">
        <f t="shared" si="132"/>
        <v>March</v>
      </c>
      <c r="C655" s="79" t="s">
        <v>2162</v>
      </c>
      <c r="D655" s="79" t="s">
        <v>402</v>
      </c>
      <c r="E655" s="80" t="s">
        <v>1017</v>
      </c>
      <c r="F655" s="79" t="s">
        <v>1014</v>
      </c>
      <c r="G655" s="79" t="s">
        <v>52</v>
      </c>
      <c r="H655" s="79" t="s">
        <v>455</v>
      </c>
      <c r="I655" s="79">
        <v>156</v>
      </c>
      <c r="J655" s="79" t="s">
        <v>402</v>
      </c>
      <c r="K655" s="80" t="s">
        <v>469</v>
      </c>
      <c r="L655" s="80">
        <v>580</v>
      </c>
      <c r="M655" s="80">
        <f>L655+1</f>
        <v>581</v>
      </c>
      <c r="N655" s="81">
        <f t="shared" si="143"/>
        <v>1</v>
      </c>
      <c r="P655" s="82">
        <f>R655-TIME(0,53,0)</f>
        <v>45722.797916666663</v>
      </c>
      <c r="Q655" s="82">
        <v>45723.291666666664</v>
      </c>
      <c r="R655" s="82">
        <v>45722.834722222222</v>
      </c>
      <c r="S655" s="81">
        <f t="shared" si="133"/>
        <v>-654.95370370069088</v>
      </c>
      <c r="T655" s="81">
        <f t="shared" si="134"/>
        <v>52.75462963472819</v>
      </c>
      <c r="U655" s="79"/>
      <c r="V655" s="82">
        <v>45725.758333333331</v>
      </c>
      <c r="W655" s="82">
        <v>45725.84375</v>
      </c>
      <c r="X655" s="103">
        <f t="shared" si="135"/>
        <v>120.43750000273576</v>
      </c>
      <c r="Y655" s="82"/>
      <c r="Z655" s="82">
        <v>45724.661805555559</v>
      </c>
      <c r="AA655" s="82">
        <f>Z655+TIME(0,57,0)</f>
        <v>45724.701388888891</v>
      </c>
      <c r="AB655" s="81">
        <f t="shared" si="136"/>
        <v>55.81249999726424</v>
      </c>
      <c r="AC655" s="82"/>
      <c r="AD655" s="83">
        <f t="shared" si="137"/>
        <v>1.8270833333372138</v>
      </c>
      <c r="AE655" s="83">
        <v>2</v>
      </c>
      <c r="AF655" s="83">
        <f t="shared" si="138"/>
        <v>0.17291666666278616</v>
      </c>
      <c r="AG655" s="83">
        <f t="shared" si="139"/>
        <v>43.850000000093132</v>
      </c>
      <c r="AH655" s="83">
        <f t="shared" si="140"/>
        <v>12</v>
      </c>
      <c r="AI655" s="83">
        <f t="shared" si="141"/>
        <v>31.850000000093132</v>
      </c>
      <c r="AJ655" s="83">
        <f t="shared" si="142"/>
        <v>4.8979591836591476</v>
      </c>
      <c r="AK655" s="83"/>
      <c r="AL655" s="83"/>
      <c r="AM655" s="83"/>
      <c r="AN655" s="83"/>
    </row>
    <row r="656" spans="1:40" ht="15" hidden="1" x14ac:dyDescent="0.25">
      <c r="A656" s="82">
        <v>45725</v>
      </c>
      <c r="B656" s="94" t="str">
        <f t="shared" si="132"/>
        <v>March</v>
      </c>
      <c r="C656" s="79" t="s">
        <v>2162</v>
      </c>
      <c r="D656" s="79" t="s">
        <v>403</v>
      </c>
      <c r="E656" s="80" t="s">
        <v>1017</v>
      </c>
      <c r="F656" s="79" t="s">
        <v>1015</v>
      </c>
      <c r="G656" s="79" t="s">
        <v>43</v>
      </c>
      <c r="H656" s="79" t="s">
        <v>454</v>
      </c>
      <c r="I656" s="79">
        <v>156</v>
      </c>
      <c r="J656" s="79" t="s">
        <v>403</v>
      </c>
      <c r="K656" s="80" t="s">
        <v>469</v>
      </c>
      <c r="L656" s="80">
        <v>304</v>
      </c>
      <c r="M656" s="80">
        <f>L656-1</f>
        <v>303</v>
      </c>
      <c r="N656" s="81">
        <f t="shared" si="143"/>
        <v>-1</v>
      </c>
      <c r="P656" s="82">
        <f>R656-TIME(0,50,0)</f>
        <v>45722.637500000004</v>
      </c>
      <c r="Q656" s="82">
        <v>45723.243750000001</v>
      </c>
      <c r="R656" s="82">
        <v>45722.672222222223</v>
      </c>
      <c r="S656" s="81">
        <f t="shared" si="133"/>
        <v>-819.18981481527828</v>
      </c>
      <c r="T656" s="81">
        <f t="shared" si="134"/>
        <v>49.768518513883464</v>
      </c>
      <c r="U656" s="79"/>
      <c r="V656" s="82">
        <v>45728.393750000003</v>
      </c>
      <c r="W656" s="82">
        <v>45728.480555555558</v>
      </c>
      <c r="X656" s="103">
        <f t="shared" si="135"/>
        <v>122.39583333219343</v>
      </c>
      <c r="Y656" s="82"/>
      <c r="Z656" s="82">
        <v>45723.661805555559</v>
      </c>
      <c r="AA656" s="82">
        <f>Z656+TIME(0,69,0)</f>
        <v>45723.709722222229</v>
      </c>
      <c r="AB656" s="81">
        <f t="shared" si="136"/>
        <v>67.56250000478758</v>
      </c>
      <c r="AC656" s="82" t="s">
        <v>1673</v>
      </c>
      <c r="AD656" s="83">
        <f t="shared" si="137"/>
        <v>0.98958333333575865</v>
      </c>
      <c r="AE656" s="83">
        <v>2</v>
      </c>
      <c r="AF656" s="83">
        <f t="shared" si="138"/>
        <v>1.0104166666642413</v>
      </c>
      <c r="AG656" s="83">
        <f t="shared" si="139"/>
        <v>23.750000000058208</v>
      </c>
      <c r="AH656" s="83">
        <f t="shared" si="140"/>
        <v>0</v>
      </c>
      <c r="AI656" s="83">
        <f t="shared" si="141"/>
        <v>23.750000000058208</v>
      </c>
      <c r="AJ656" s="83">
        <f t="shared" si="142"/>
        <v>6.5684210526154807</v>
      </c>
      <c r="AK656" s="83"/>
      <c r="AL656" s="83"/>
      <c r="AM656" s="83"/>
      <c r="AN656" s="83"/>
    </row>
    <row r="657" spans="1:41" ht="15" hidden="1" x14ac:dyDescent="0.25">
      <c r="A657" s="82">
        <v>45725</v>
      </c>
      <c r="B657" s="94" t="str">
        <f t="shared" si="132"/>
        <v>March</v>
      </c>
      <c r="C657" s="79" t="s">
        <v>2162</v>
      </c>
      <c r="D657" s="79" t="s">
        <v>404</v>
      </c>
      <c r="E657" s="80" t="s">
        <v>1017</v>
      </c>
      <c r="F657" s="79" t="s">
        <v>1028</v>
      </c>
      <c r="G657" s="79" t="s">
        <v>45</v>
      </c>
      <c r="H657" s="79" t="s">
        <v>454</v>
      </c>
      <c r="I657" s="79">
        <v>156</v>
      </c>
      <c r="J657" s="79" t="s">
        <v>404</v>
      </c>
      <c r="K657" s="80" t="s">
        <v>469</v>
      </c>
      <c r="L657" s="80">
        <v>304</v>
      </c>
      <c r="M657" s="80">
        <f>L657-2</f>
        <v>302</v>
      </c>
      <c r="N657" s="81">
        <f t="shared" si="143"/>
        <v>-2</v>
      </c>
      <c r="P657" s="82">
        <f>R657-TIME(0,53,0)</f>
        <v>45722.571527777771</v>
      </c>
      <c r="Q657" s="82">
        <v>45723.206250000003</v>
      </c>
      <c r="R657" s="82">
        <v>45722.60833333333</v>
      </c>
      <c r="S657" s="81">
        <f t="shared" si="133"/>
        <v>-857.01388889792725</v>
      </c>
      <c r="T657" s="81">
        <f t="shared" si="134"/>
        <v>52.75462963472819</v>
      </c>
      <c r="U657" s="79"/>
      <c r="V657" s="82">
        <v>45725.52847222222</v>
      </c>
      <c r="W657" s="82">
        <v>45725.661111111112</v>
      </c>
      <c r="X657" s="103">
        <f t="shared" si="135"/>
        <v>187.02083333766495</v>
      </c>
      <c r="Y657" s="82" t="s">
        <v>1044</v>
      </c>
      <c r="Z657" s="82">
        <v>45725.509722222225</v>
      </c>
      <c r="AA657" s="82">
        <f>Z657+TIME(0,42,0)</f>
        <v>45725.538888888892</v>
      </c>
      <c r="AB657" s="81">
        <f t="shared" si="136"/>
        <v>41.12500000068394</v>
      </c>
      <c r="AC657" s="82"/>
      <c r="AD657" s="83">
        <f t="shared" si="137"/>
        <v>2.9013888888948713</v>
      </c>
      <c r="AE657" s="83">
        <v>2</v>
      </c>
      <c r="AF657" s="83">
        <f t="shared" si="138"/>
        <v>-0.90138888889487134</v>
      </c>
      <c r="AG657" s="83">
        <f t="shared" si="139"/>
        <v>69.633333333476912</v>
      </c>
      <c r="AH657" s="83">
        <f t="shared" si="140"/>
        <v>24</v>
      </c>
      <c r="AI657" s="83">
        <f t="shared" si="141"/>
        <v>45.633333333476912</v>
      </c>
      <c r="AJ657" s="83">
        <f t="shared" si="142"/>
        <v>3.4185536888132031</v>
      </c>
      <c r="AK657" s="83"/>
      <c r="AL657" s="83"/>
      <c r="AM657" s="83"/>
      <c r="AN657" s="83"/>
    </row>
    <row r="658" spans="1:41" ht="15" hidden="1" x14ac:dyDescent="0.25">
      <c r="A658" s="82">
        <v>45725</v>
      </c>
      <c r="B658" s="94" t="str">
        <f t="shared" si="132"/>
        <v>March</v>
      </c>
      <c r="C658" s="79" t="s">
        <v>2162</v>
      </c>
      <c r="D658" s="79" t="s">
        <v>405</v>
      </c>
      <c r="E658" s="80" t="s">
        <v>1017</v>
      </c>
      <c r="F658" s="79"/>
      <c r="G658" s="79" t="s">
        <v>42</v>
      </c>
      <c r="H658" s="79" t="s">
        <v>460</v>
      </c>
      <c r="I658" s="79">
        <v>156</v>
      </c>
      <c r="J658" s="79" t="s">
        <v>405</v>
      </c>
      <c r="K658" s="80" t="s">
        <v>469</v>
      </c>
      <c r="L658" s="80">
        <v>600</v>
      </c>
      <c r="M658" s="80">
        <f>L658-4</f>
        <v>596</v>
      </c>
      <c r="N658" s="81">
        <f t="shared" si="143"/>
        <v>-4</v>
      </c>
      <c r="P658" s="82">
        <f>R658-TIME(0,27,0)</f>
        <v>45722.635416666664</v>
      </c>
      <c r="Q658" s="82">
        <v>45723.273611111108</v>
      </c>
      <c r="R658" s="82">
        <v>45722.654166666667</v>
      </c>
      <c r="S658" s="81">
        <f t="shared" si="133"/>
        <v>-887.87037036527181</v>
      </c>
      <c r="T658" s="81">
        <f t="shared" si="134"/>
        <v>26.87500000417155</v>
      </c>
      <c r="U658" s="79"/>
      <c r="V658" s="82">
        <v>45725.354861111111</v>
      </c>
      <c r="W658" s="82">
        <v>45726.503472222219</v>
      </c>
      <c r="X658" s="103">
        <f t="shared" si="135"/>
        <v>1619.541666662335</v>
      </c>
      <c r="Y658" s="82" t="s">
        <v>1052</v>
      </c>
      <c r="Z658" s="82">
        <v>45725.509722222225</v>
      </c>
      <c r="AA658" s="82">
        <f>Z658+TIME(0,43,0)</f>
        <v>45725.539583333339</v>
      </c>
      <c r="AB658" s="81">
        <f t="shared" si="136"/>
        <v>42.104166670542327</v>
      </c>
      <c r="AC658" s="82"/>
      <c r="AD658" s="83">
        <f t="shared" si="137"/>
        <v>2.8555555555576575</v>
      </c>
      <c r="AE658" s="83">
        <v>2</v>
      </c>
      <c r="AF658" s="83">
        <f t="shared" si="138"/>
        <v>-0.8555555555576575</v>
      </c>
      <c r="AG658" s="83">
        <f t="shared" si="139"/>
        <v>68.53333333338378</v>
      </c>
      <c r="AH658" s="83">
        <f t="shared" si="140"/>
        <v>24</v>
      </c>
      <c r="AI658" s="83">
        <f t="shared" si="141"/>
        <v>44.53333333338378</v>
      </c>
      <c r="AJ658" s="83">
        <f t="shared" si="142"/>
        <v>3.5029940119720799</v>
      </c>
      <c r="AK658" s="83"/>
      <c r="AL658" s="83"/>
      <c r="AM658" s="83"/>
      <c r="AN658" s="83"/>
    </row>
    <row r="659" spans="1:41" ht="15" hidden="1" x14ac:dyDescent="0.25">
      <c r="A659" s="82">
        <v>45725</v>
      </c>
      <c r="B659" s="94" t="str">
        <f t="shared" si="132"/>
        <v>March</v>
      </c>
      <c r="C659" s="79" t="s">
        <v>2162</v>
      </c>
      <c r="D659" s="79" t="s">
        <v>919</v>
      </c>
      <c r="E659" s="80" t="s">
        <v>1016</v>
      </c>
      <c r="F659" s="79" t="s">
        <v>963</v>
      </c>
      <c r="G659" s="79" t="s">
        <v>60</v>
      </c>
      <c r="H659" s="79" t="s">
        <v>454</v>
      </c>
      <c r="I659" s="79">
        <v>153.6</v>
      </c>
      <c r="J659" s="79" t="s">
        <v>911</v>
      </c>
      <c r="K659" s="80" t="s">
        <v>469</v>
      </c>
      <c r="L659" s="80">
        <v>304</v>
      </c>
      <c r="M659" s="80">
        <f>L659-1</f>
        <v>303</v>
      </c>
      <c r="N659" s="81">
        <f t="shared" si="143"/>
        <v>-1</v>
      </c>
      <c r="P659" s="82">
        <f>R659-TIME(0,53,0)</f>
        <v>45727.411805555552</v>
      </c>
      <c r="Q659" s="82">
        <v>45725.850694444445</v>
      </c>
      <c r="R659" s="82">
        <v>45727.448611111111</v>
      </c>
      <c r="S659" s="81">
        <f t="shared" si="133"/>
        <v>2290.3472222208316</v>
      </c>
      <c r="T659" s="81">
        <f t="shared" si="134"/>
        <v>52.75462963472819</v>
      </c>
      <c r="U659" s="79"/>
      <c r="V659" s="82">
        <v>45727.451388888891</v>
      </c>
      <c r="W659" s="82">
        <v>45727.577777777777</v>
      </c>
      <c r="X659" s="103">
        <f t="shared" si="135"/>
        <v>178.20833332945767</v>
      </c>
      <c r="Y659" s="82"/>
      <c r="Z659" s="82">
        <v>45728.454861111109</v>
      </c>
      <c r="AA659" s="82">
        <f>Z659+TIME(0,57,0)</f>
        <v>45728.494444444441</v>
      </c>
      <c r="AB659" s="81">
        <f t="shared" si="136"/>
        <v>55.81249999726424</v>
      </c>
      <c r="AC659" s="82"/>
      <c r="AD659" s="83">
        <f t="shared" si="137"/>
        <v>1.0062499999985448</v>
      </c>
      <c r="AE659" s="83">
        <v>2</v>
      </c>
      <c r="AF659" s="83">
        <f t="shared" si="138"/>
        <v>0.99375000000145519</v>
      </c>
      <c r="AG659" s="83">
        <f t="shared" si="139"/>
        <v>24.149999999965075</v>
      </c>
      <c r="AH659" s="83">
        <f t="shared" si="140"/>
        <v>12</v>
      </c>
      <c r="AI659" s="83">
        <f t="shared" si="141"/>
        <v>12.149999999965075</v>
      </c>
      <c r="AJ659" s="83">
        <f t="shared" si="142"/>
        <v>12.641975308678314</v>
      </c>
      <c r="AK659" s="83"/>
      <c r="AL659" s="83"/>
      <c r="AM659" s="83"/>
      <c r="AN659" s="83"/>
    </row>
    <row r="660" spans="1:41" ht="15" hidden="1" x14ac:dyDescent="0.25">
      <c r="A660" s="82">
        <v>45726</v>
      </c>
      <c r="B660" s="94" t="str">
        <f t="shared" si="132"/>
        <v>March</v>
      </c>
      <c r="C660" s="79" t="s">
        <v>2162</v>
      </c>
      <c r="D660" s="79" t="s">
        <v>406</v>
      </c>
      <c r="E660" s="80" t="s">
        <v>1017</v>
      </c>
      <c r="F660" s="79" t="s">
        <v>1018</v>
      </c>
      <c r="G660" s="79" t="s">
        <v>39</v>
      </c>
      <c r="H660" s="79" t="s">
        <v>987</v>
      </c>
      <c r="I660" s="79">
        <v>70.8</v>
      </c>
      <c r="J660" s="79" t="s">
        <v>406</v>
      </c>
      <c r="K660" s="80" t="s">
        <v>469</v>
      </c>
      <c r="L660" s="79">
        <v>320</v>
      </c>
      <c r="M660" s="80">
        <f>L660+4</f>
        <v>324</v>
      </c>
      <c r="N660" s="81">
        <f t="shared" si="143"/>
        <v>4</v>
      </c>
      <c r="P660" s="82">
        <f>R660-TIME(0,50,0)</f>
        <v>45722.815972222226</v>
      </c>
      <c r="Q660" s="82">
        <v>45723.793749999997</v>
      </c>
      <c r="R660" s="82">
        <v>45722.850694444445</v>
      </c>
      <c r="S660" s="81">
        <f t="shared" si="133"/>
        <v>-1351.7129629576327</v>
      </c>
      <c r="T660" s="81">
        <f t="shared" si="134"/>
        <v>49.768518513883464</v>
      </c>
      <c r="U660" s="79"/>
      <c r="V660" s="82">
        <v>45727.713888888888</v>
      </c>
      <c r="W660" s="82">
        <v>45727.804166666669</v>
      </c>
      <c r="X660" s="103">
        <f t="shared" si="135"/>
        <v>127.29166667122627</v>
      </c>
      <c r="Y660" s="82"/>
      <c r="Z660" s="82">
        <v>45725.498611111114</v>
      </c>
      <c r="AA660" s="82">
        <f>Z660+TIME(0,57,0)</f>
        <v>45725.538194444445</v>
      </c>
      <c r="AB660" s="81">
        <f t="shared" si="136"/>
        <v>55.81249999726424</v>
      </c>
      <c r="AC660" s="82"/>
      <c r="AD660" s="83">
        <f t="shared" si="137"/>
        <v>2.6479166666686069</v>
      </c>
      <c r="AE660" s="83">
        <v>2</v>
      </c>
      <c r="AF660" s="83">
        <f t="shared" si="138"/>
        <v>-0.64791666666860692</v>
      </c>
      <c r="AG660" s="83">
        <f t="shared" si="139"/>
        <v>63.550000000046566</v>
      </c>
      <c r="AH660" s="83">
        <f t="shared" si="140"/>
        <v>24</v>
      </c>
      <c r="AI660" s="83">
        <f t="shared" si="141"/>
        <v>39.550000000046566</v>
      </c>
      <c r="AJ660" s="83">
        <f t="shared" si="142"/>
        <v>1.7901390644732398</v>
      </c>
      <c r="AK660" s="83"/>
      <c r="AL660" s="83"/>
      <c r="AM660" s="83"/>
      <c r="AN660" s="83"/>
    </row>
    <row r="661" spans="1:41" ht="15" hidden="1" x14ac:dyDescent="0.25">
      <c r="A661" s="82">
        <v>45726</v>
      </c>
      <c r="B661" s="94" t="str">
        <f t="shared" si="132"/>
        <v>March</v>
      </c>
      <c r="C661" s="79" t="s">
        <v>2162</v>
      </c>
      <c r="D661" s="79" t="s">
        <v>407</v>
      </c>
      <c r="E661" s="80" t="s">
        <v>1017</v>
      </c>
      <c r="F661" s="79" t="s">
        <v>1030</v>
      </c>
      <c r="G661" s="79" t="s">
        <v>55</v>
      </c>
      <c r="H661" s="79" t="s">
        <v>451</v>
      </c>
      <c r="I661" s="79">
        <v>147.6</v>
      </c>
      <c r="J661" s="79" t="s">
        <v>407</v>
      </c>
      <c r="K661" s="80" t="s">
        <v>469</v>
      </c>
      <c r="L661" s="80">
        <v>790</v>
      </c>
      <c r="M661" s="80">
        <f>L661-2</f>
        <v>788</v>
      </c>
      <c r="N661" s="81">
        <f t="shared" si="143"/>
        <v>-2</v>
      </c>
      <c r="P661" s="82">
        <f>R661-TIME(0,26,0)</f>
        <v>45724.704166666663</v>
      </c>
      <c r="Q661" s="82">
        <v>45724.176388888889</v>
      </c>
      <c r="R661" s="82">
        <v>45724.722222222219</v>
      </c>
      <c r="S661" s="81">
        <f t="shared" si="133"/>
        <v>782.36111110624427</v>
      </c>
      <c r="T661" s="81">
        <f t="shared" si="134"/>
        <v>25.879629630556639</v>
      </c>
      <c r="U661" s="79"/>
      <c r="V661" s="82">
        <v>45726.405555555553</v>
      </c>
      <c r="W661" s="82">
        <v>45726.59097222222</v>
      </c>
      <c r="X661" s="103">
        <f t="shared" si="135"/>
        <v>261.43750000068394</v>
      </c>
      <c r="Y661" s="82" t="s">
        <v>1066</v>
      </c>
      <c r="Z661" s="82">
        <v>45726.675000000003</v>
      </c>
      <c r="AA661" s="82">
        <f>Z661+TIME(0,43,0)</f>
        <v>45726.704861111117</v>
      </c>
      <c r="AB661" s="81">
        <f t="shared" si="136"/>
        <v>42.104166670542327</v>
      </c>
      <c r="AC661" s="82"/>
      <c r="AD661" s="83">
        <f t="shared" si="137"/>
        <v>1.9527777777839219</v>
      </c>
      <c r="AE661" s="83">
        <v>3</v>
      </c>
      <c r="AF661" s="83">
        <f t="shared" si="138"/>
        <v>1.0472222222160781</v>
      </c>
      <c r="AG661" s="83">
        <f t="shared" si="139"/>
        <v>46.866666666814126</v>
      </c>
      <c r="AH661" s="83">
        <f t="shared" si="140"/>
        <v>12</v>
      </c>
      <c r="AI661" s="83">
        <f t="shared" si="141"/>
        <v>34.866666666814126</v>
      </c>
      <c r="AJ661" s="83">
        <f t="shared" si="142"/>
        <v>4.23326959845246</v>
      </c>
      <c r="AK661" s="83"/>
      <c r="AL661" s="83"/>
      <c r="AM661" s="83"/>
      <c r="AN661" s="83"/>
    </row>
    <row r="662" spans="1:41" ht="15" hidden="1" x14ac:dyDescent="0.25">
      <c r="A662" s="82">
        <v>45726</v>
      </c>
      <c r="B662" s="94" t="str">
        <f t="shared" si="132"/>
        <v>March</v>
      </c>
      <c r="C662" s="79" t="s">
        <v>2162</v>
      </c>
      <c r="D662" s="79" t="s">
        <v>408</v>
      </c>
      <c r="E662" s="80" t="s">
        <v>1017</v>
      </c>
      <c r="F662" s="79" t="s">
        <v>1034</v>
      </c>
      <c r="G662" s="79" t="s">
        <v>53</v>
      </c>
      <c r="H662" s="79" t="s">
        <v>452</v>
      </c>
      <c r="I662" s="79">
        <v>134.4</v>
      </c>
      <c r="J662" s="79" t="s">
        <v>408</v>
      </c>
      <c r="K662" s="80" t="s">
        <v>469</v>
      </c>
      <c r="L662" s="80">
        <v>690</v>
      </c>
      <c r="M662" s="80">
        <f>L662-4</f>
        <v>686</v>
      </c>
      <c r="N662" s="81">
        <f t="shared" si="143"/>
        <v>-4</v>
      </c>
      <c r="P662" s="82">
        <f>R662-TIME(0,50,0)</f>
        <v>45724.382638888892</v>
      </c>
      <c r="Q662" s="82">
        <v>45724.154861111114</v>
      </c>
      <c r="R662" s="82">
        <v>45724.417361111111</v>
      </c>
      <c r="S662" s="81">
        <f t="shared" si="133"/>
        <v>376.24999999582843</v>
      </c>
      <c r="T662" s="81">
        <f t="shared" si="134"/>
        <v>49.768518513883464</v>
      </c>
      <c r="U662" s="79"/>
      <c r="V662" s="82">
        <v>45726.467361111114</v>
      </c>
      <c r="W662" s="82">
        <v>45726.547222222223</v>
      </c>
      <c r="X662" s="103">
        <f t="shared" si="135"/>
        <v>112.60416666438687</v>
      </c>
      <c r="Y662" s="82"/>
      <c r="Z662" s="82">
        <v>45726.568749999999</v>
      </c>
      <c r="AA662" s="82">
        <f>Z662+TIME(0,57,0)</f>
        <v>45726.60833333333</v>
      </c>
      <c r="AB662" s="81">
        <f t="shared" si="136"/>
        <v>55.81249999726424</v>
      </c>
      <c r="AC662" s="82"/>
      <c r="AD662" s="83">
        <f t="shared" si="137"/>
        <v>2.1513888888875954</v>
      </c>
      <c r="AE662" s="83">
        <v>3</v>
      </c>
      <c r="AF662" s="83">
        <f t="shared" si="138"/>
        <v>0.84861111111240461</v>
      </c>
      <c r="AG662" s="83">
        <f t="shared" si="139"/>
        <v>51.633333333302289</v>
      </c>
      <c r="AH662" s="83">
        <f t="shared" si="140"/>
        <v>24</v>
      </c>
      <c r="AI662" s="83">
        <f t="shared" si="141"/>
        <v>27.633333333302289</v>
      </c>
      <c r="AJ662" s="83">
        <f t="shared" si="142"/>
        <v>4.863691194215356</v>
      </c>
      <c r="AK662" s="83"/>
      <c r="AL662" s="83"/>
      <c r="AM662" s="83"/>
      <c r="AN662" s="83"/>
    </row>
    <row r="663" spans="1:41" ht="15" hidden="1" x14ac:dyDescent="0.25">
      <c r="A663" s="82">
        <v>45726</v>
      </c>
      <c r="B663" s="94" t="str">
        <f t="shared" si="132"/>
        <v>March</v>
      </c>
      <c r="C663" s="79" t="s">
        <v>2162</v>
      </c>
      <c r="D663" s="79" t="s">
        <v>409</v>
      </c>
      <c r="E663" s="80" t="s">
        <v>1017</v>
      </c>
      <c r="F663" s="79" t="s">
        <v>1033</v>
      </c>
      <c r="G663" s="79" t="s">
        <v>41</v>
      </c>
      <c r="H663" s="79" t="s">
        <v>448</v>
      </c>
      <c r="I663" s="79">
        <v>156</v>
      </c>
      <c r="J663" s="79" t="s">
        <v>409</v>
      </c>
      <c r="K663" s="80" t="s">
        <v>469</v>
      </c>
      <c r="L663" s="80">
        <v>560</v>
      </c>
      <c r="M663" s="80">
        <f>L663-1</f>
        <v>559</v>
      </c>
      <c r="N663" s="81">
        <f t="shared" si="143"/>
        <v>-1</v>
      </c>
      <c r="P663" s="82">
        <f>R663-TIME(0,27,0)</f>
        <v>45724.304861111108</v>
      </c>
      <c r="Q663" s="82">
        <v>45724.082638888889</v>
      </c>
      <c r="R663" s="82">
        <v>45724.323611111111</v>
      </c>
      <c r="S663" s="81">
        <f t="shared" si="133"/>
        <v>345.39351851805503</v>
      </c>
      <c r="T663" s="81">
        <f t="shared" si="134"/>
        <v>26.87500000417155</v>
      </c>
      <c r="U663" s="79"/>
      <c r="V663" s="82">
        <v>45726.38958333333</v>
      </c>
      <c r="W663" s="82">
        <v>45726.681944444441</v>
      </c>
      <c r="X663" s="103">
        <f t="shared" si="135"/>
        <v>412.22916666643869</v>
      </c>
      <c r="Y663" s="82" t="s">
        <v>1044</v>
      </c>
      <c r="Z663" s="82">
        <v>45727.567361111112</v>
      </c>
      <c r="AA663" s="82">
        <f>Z663+TIME(0,42,0)</f>
        <v>45727.59652777778</v>
      </c>
      <c r="AB663" s="81">
        <f t="shared" si="136"/>
        <v>41.12500000068394</v>
      </c>
      <c r="AC663" s="82"/>
      <c r="AD663" s="83">
        <f t="shared" si="137"/>
        <v>3.2437500000014552</v>
      </c>
      <c r="AE663" s="83">
        <v>2</v>
      </c>
      <c r="AF663" s="83">
        <f t="shared" si="138"/>
        <v>-1.2437500000014552</v>
      </c>
      <c r="AG663" s="83">
        <f t="shared" si="139"/>
        <v>77.850000000034925</v>
      </c>
      <c r="AH663" s="83">
        <f t="shared" si="140"/>
        <v>36</v>
      </c>
      <c r="AI663" s="83">
        <f t="shared" si="141"/>
        <v>41.850000000034925</v>
      </c>
      <c r="AJ663" s="83">
        <f t="shared" si="142"/>
        <v>3.727598566305133</v>
      </c>
      <c r="AK663" s="83"/>
      <c r="AL663" s="83"/>
      <c r="AM663" s="83"/>
      <c r="AN663" s="83"/>
    </row>
    <row r="664" spans="1:41" ht="15" hidden="1" x14ac:dyDescent="0.25">
      <c r="A664" s="82">
        <v>45726</v>
      </c>
      <c r="B664" s="94" t="str">
        <f t="shared" si="132"/>
        <v>March</v>
      </c>
      <c r="C664" s="79" t="s">
        <v>2162</v>
      </c>
      <c r="D664" s="79" t="s">
        <v>410</v>
      </c>
      <c r="E664" s="80" t="s">
        <v>1017</v>
      </c>
      <c r="F664" s="79"/>
      <c r="G664" s="79" t="s">
        <v>77</v>
      </c>
      <c r="H664" s="79" t="s">
        <v>1284</v>
      </c>
      <c r="I664" s="79">
        <v>148.80000000000001</v>
      </c>
      <c r="J664" s="79" t="s">
        <v>410</v>
      </c>
      <c r="K664" s="80" t="s">
        <v>469</v>
      </c>
      <c r="L664" s="80">
        <v>620</v>
      </c>
      <c r="M664" s="80">
        <f>L664-3</f>
        <v>617</v>
      </c>
      <c r="N664" s="81">
        <f t="shared" si="143"/>
        <v>-3</v>
      </c>
      <c r="P664" s="82">
        <f t="shared" ref="P664" si="144">R664-TIME(0,30,0)</f>
        <v>45723.554166666661</v>
      </c>
      <c r="Q664" s="82">
        <v>45723.520833333336</v>
      </c>
      <c r="R664" s="82">
        <v>45723.574999999997</v>
      </c>
      <c r="S664" s="81">
        <f t="shared" si="133"/>
        <v>77.638888881241044</v>
      </c>
      <c r="T664" s="81">
        <f t="shared" si="134"/>
        <v>29.861111114587402</v>
      </c>
      <c r="U664" s="79"/>
      <c r="V664" s="82">
        <v>45726.405555555553</v>
      </c>
      <c r="W664" s="82">
        <v>45726.59097222222</v>
      </c>
      <c r="X664" s="103">
        <f t="shared" si="135"/>
        <v>261.43750000068394</v>
      </c>
      <c r="Y664" s="82" t="s">
        <v>1038</v>
      </c>
      <c r="Z664" s="82">
        <v>45724.824305555558</v>
      </c>
      <c r="AA664" s="82">
        <f>Z664+TIME(0,57,0)</f>
        <v>45724.863888888889</v>
      </c>
      <c r="AB664" s="81">
        <f t="shared" si="136"/>
        <v>55.81249999726424</v>
      </c>
      <c r="AC664" s="82"/>
      <c r="AD664" s="83">
        <f t="shared" si="137"/>
        <v>1.2493055555605679</v>
      </c>
      <c r="AE664" s="83">
        <v>3</v>
      </c>
      <c r="AF664" s="83">
        <f t="shared" si="138"/>
        <v>1.7506944444394321</v>
      </c>
      <c r="AG664" s="83">
        <f t="shared" si="139"/>
        <v>29.983333333453629</v>
      </c>
      <c r="AH664" s="83">
        <f t="shared" si="140"/>
        <v>12</v>
      </c>
      <c r="AI664" s="83">
        <f t="shared" si="141"/>
        <v>17.983333333453629</v>
      </c>
      <c r="AJ664" s="83">
        <f t="shared" si="142"/>
        <v>8.2743280815016487</v>
      </c>
      <c r="AK664" s="83"/>
      <c r="AL664" s="83"/>
      <c r="AM664" s="83"/>
      <c r="AN664" s="83"/>
    </row>
    <row r="665" spans="1:41" s="86" customFormat="1" ht="15" hidden="1" x14ac:dyDescent="0.25">
      <c r="A665" s="82">
        <v>45726</v>
      </c>
      <c r="B665" s="94" t="str">
        <f t="shared" si="132"/>
        <v>March</v>
      </c>
      <c r="C665" s="79" t="s">
        <v>2162</v>
      </c>
      <c r="D665" s="79" t="s">
        <v>411</v>
      </c>
      <c r="E665" s="80" t="s">
        <v>1017</v>
      </c>
      <c r="F665" s="79" t="s">
        <v>1037</v>
      </c>
      <c r="G665" s="79" t="s">
        <v>59</v>
      </c>
      <c r="H665" s="79" t="s">
        <v>458</v>
      </c>
      <c r="I665" s="79">
        <v>44.4</v>
      </c>
      <c r="J665" s="79" t="s">
        <v>411</v>
      </c>
      <c r="K665" s="80" t="s">
        <v>469</v>
      </c>
      <c r="L665" s="80">
        <v>448</v>
      </c>
      <c r="M665" s="80">
        <f>L665-4</f>
        <v>444</v>
      </c>
      <c r="N665" s="81">
        <f t="shared" si="143"/>
        <v>-4</v>
      </c>
      <c r="O665" s="78"/>
      <c r="P665" s="82">
        <f>R665-TIME(0,28,0)</f>
        <v>45723.553472222222</v>
      </c>
      <c r="Q665" s="82">
        <v>45723.541666666664</v>
      </c>
      <c r="R665" s="82">
        <v>45723.572916666664</v>
      </c>
      <c r="S665" s="81">
        <f t="shared" si="133"/>
        <v>44.791666666666664</v>
      </c>
      <c r="T665" s="81">
        <f t="shared" si="134"/>
        <v>27.870370367357584</v>
      </c>
      <c r="U665" s="79"/>
      <c r="V665" s="82">
        <v>45728.413194444445</v>
      </c>
      <c r="W665" s="82">
        <v>45728.517361111109</v>
      </c>
      <c r="X665" s="103">
        <f t="shared" si="135"/>
        <v>146.8749999965803</v>
      </c>
      <c r="Y665" s="82"/>
      <c r="Z665" s="82">
        <v>45725.498611111114</v>
      </c>
      <c r="AA665" s="82">
        <f>Z665+TIME(0,43,0)</f>
        <v>45725.528472222228</v>
      </c>
      <c r="AB665" s="81">
        <f t="shared" si="136"/>
        <v>42.104166670542327</v>
      </c>
      <c r="AC665" s="82"/>
      <c r="AD665" s="83">
        <f t="shared" si="137"/>
        <v>1.9256944444496185</v>
      </c>
      <c r="AE665" s="83">
        <v>2</v>
      </c>
      <c r="AF665" s="83">
        <f t="shared" si="138"/>
        <v>7.4305555550381541E-2</v>
      </c>
      <c r="AG665" s="83">
        <f t="shared" si="139"/>
        <v>46.216666666790843</v>
      </c>
      <c r="AH665" s="83">
        <f t="shared" si="140"/>
        <v>12</v>
      </c>
      <c r="AI665" s="83">
        <f t="shared" si="141"/>
        <v>34.216666666790843</v>
      </c>
      <c r="AJ665" s="83">
        <f t="shared" si="142"/>
        <v>1.2976132488993337</v>
      </c>
      <c r="AK665" s="83"/>
      <c r="AL665" s="83"/>
      <c r="AM665" s="83"/>
      <c r="AN665" s="83"/>
      <c r="AO665" s="78"/>
    </row>
    <row r="666" spans="1:41" ht="15" hidden="1" x14ac:dyDescent="0.25">
      <c r="A666" s="82">
        <v>45726</v>
      </c>
      <c r="B666" s="94" t="str">
        <f t="shared" si="132"/>
        <v>March</v>
      </c>
      <c r="C666" s="79" t="s">
        <v>2162</v>
      </c>
      <c r="D666" s="79" t="s">
        <v>412</v>
      </c>
      <c r="E666" s="80" t="s">
        <v>1017</v>
      </c>
      <c r="F666" s="79" t="s">
        <v>1027</v>
      </c>
      <c r="G666" s="79" t="s">
        <v>34</v>
      </c>
      <c r="H666" s="79" t="s">
        <v>448</v>
      </c>
      <c r="I666" s="79">
        <v>156</v>
      </c>
      <c r="J666" s="79" t="s">
        <v>412</v>
      </c>
      <c r="K666" s="80" t="s">
        <v>469</v>
      </c>
      <c r="L666" s="80">
        <v>560</v>
      </c>
      <c r="M666" s="80">
        <f>L666-4</f>
        <v>556</v>
      </c>
      <c r="N666" s="81">
        <f t="shared" si="143"/>
        <v>-4</v>
      </c>
      <c r="P666" s="82">
        <f>R666-TIME(0,53,0)</f>
        <v>45726.834722222222</v>
      </c>
      <c r="Q666" s="82">
        <v>45726.386111111111</v>
      </c>
      <c r="R666" s="82">
        <v>45726.871527777781</v>
      </c>
      <c r="S666" s="81">
        <f t="shared" si="133"/>
        <v>695.76388889375573</v>
      </c>
      <c r="T666" s="81">
        <f t="shared" si="134"/>
        <v>52.75462963472819</v>
      </c>
      <c r="U666" s="79" t="s">
        <v>562</v>
      </c>
      <c r="V666" s="82">
        <v>45727.39166666667</v>
      </c>
      <c r="W666" s="82">
        <v>45727.527777777781</v>
      </c>
      <c r="X666" s="103">
        <f t="shared" si="135"/>
        <v>191.91666666643869</v>
      </c>
      <c r="Y666" s="82" t="s">
        <v>1044</v>
      </c>
      <c r="Z666" s="82">
        <v>45727.711805555555</v>
      </c>
      <c r="AA666" s="82">
        <f>Z666+TIME(0,58,0)</f>
        <v>45727.752083333333</v>
      </c>
      <c r="AB666" s="81">
        <f t="shared" si="136"/>
        <v>56.791666667122627</v>
      </c>
      <c r="AC666" s="82"/>
      <c r="AD666" s="83">
        <f t="shared" si="137"/>
        <v>0.84027777777373558</v>
      </c>
      <c r="AE666" s="83">
        <v>2</v>
      </c>
      <c r="AF666" s="83">
        <f t="shared" si="138"/>
        <v>1.1597222222262644</v>
      </c>
      <c r="AG666" s="83">
        <f t="shared" si="139"/>
        <v>20.166666666569654</v>
      </c>
      <c r="AH666" s="83">
        <f t="shared" si="140"/>
        <v>0</v>
      </c>
      <c r="AI666" s="83">
        <f t="shared" si="141"/>
        <v>20.166666666569654</v>
      </c>
      <c r="AJ666" s="83">
        <f t="shared" si="142"/>
        <v>7.7355371901198566</v>
      </c>
      <c r="AK666" s="83"/>
      <c r="AL666" s="83"/>
      <c r="AM666" s="83"/>
      <c r="AN666" s="83"/>
    </row>
    <row r="667" spans="1:41" ht="15" hidden="1" x14ac:dyDescent="0.25">
      <c r="A667" s="82">
        <v>45726</v>
      </c>
      <c r="B667" s="94" t="str">
        <f t="shared" si="132"/>
        <v>March</v>
      </c>
      <c r="C667" s="79" t="s">
        <v>2162</v>
      </c>
      <c r="D667" s="79" t="s">
        <v>413</v>
      </c>
      <c r="E667" s="80" t="s">
        <v>1017</v>
      </c>
      <c r="F667" s="79" t="s">
        <v>1031</v>
      </c>
      <c r="G667" s="79" t="s">
        <v>50</v>
      </c>
      <c r="H667" s="79" t="s">
        <v>465</v>
      </c>
      <c r="I667" s="79">
        <v>156</v>
      </c>
      <c r="J667" s="79" t="s">
        <v>413</v>
      </c>
      <c r="K667" s="80" t="s">
        <v>469</v>
      </c>
      <c r="L667" s="80">
        <v>382</v>
      </c>
      <c r="M667" s="80">
        <f>L667-3</f>
        <v>379</v>
      </c>
      <c r="N667" s="81">
        <f t="shared" si="143"/>
        <v>-3</v>
      </c>
      <c r="P667" s="82">
        <f>R667-TIME(0,24,0)</f>
        <v>45727.363888888889</v>
      </c>
      <c r="Q667" s="82">
        <v>45725.458333333336</v>
      </c>
      <c r="R667" s="82">
        <v>45727.380555555559</v>
      </c>
      <c r="S667" s="81">
        <f t="shared" si="133"/>
        <v>2755.1851851868073</v>
      </c>
      <c r="T667" s="81">
        <f t="shared" si="134"/>
        <v>23.888888893755695</v>
      </c>
      <c r="U667" s="79"/>
      <c r="V667" s="82">
        <v>45727.39166666667</v>
      </c>
      <c r="W667" s="82">
        <v>45727.527777777781</v>
      </c>
      <c r="X667" s="103">
        <f t="shared" si="135"/>
        <v>191.91666666643869</v>
      </c>
      <c r="Y667" s="82" t="s">
        <v>1049</v>
      </c>
      <c r="Z667" s="82">
        <v>45727.598611111112</v>
      </c>
      <c r="AA667" s="82">
        <v>45727.631249999999</v>
      </c>
      <c r="AB667" s="81">
        <f t="shared" si="136"/>
        <v>46.020833329457673</v>
      </c>
      <c r="AC667" s="82"/>
      <c r="AD667" s="83">
        <f t="shared" si="137"/>
        <v>0.21805555555329192</v>
      </c>
      <c r="AE667" s="83">
        <v>2</v>
      </c>
      <c r="AF667" s="83">
        <f t="shared" si="138"/>
        <v>1.7819444444467081</v>
      </c>
      <c r="AG667" s="83">
        <f t="shared" si="139"/>
        <v>5.2333333332790062</v>
      </c>
      <c r="AH667" s="83">
        <f t="shared" si="140"/>
        <v>0</v>
      </c>
      <c r="AI667" s="83">
        <f t="shared" si="141"/>
        <v>5.2333333332790062</v>
      </c>
      <c r="AJ667" s="83">
        <f t="shared" si="142"/>
        <v>29.808917197761676</v>
      </c>
      <c r="AK667" s="83"/>
      <c r="AL667" s="83"/>
      <c r="AM667" s="83"/>
      <c r="AN667" s="83"/>
    </row>
    <row r="668" spans="1:41" ht="15" hidden="1" x14ac:dyDescent="0.25">
      <c r="A668" s="82">
        <v>45726</v>
      </c>
      <c r="B668" s="94" t="str">
        <f t="shared" si="132"/>
        <v>March</v>
      </c>
      <c r="C668" s="79" t="s">
        <v>2161</v>
      </c>
      <c r="D668" s="79" t="s">
        <v>917</v>
      </c>
      <c r="E668" s="80" t="s">
        <v>1016</v>
      </c>
      <c r="F668" s="79" t="s">
        <v>958</v>
      </c>
      <c r="G668" s="79" t="s">
        <v>975</v>
      </c>
      <c r="H668" s="79" t="s">
        <v>1282</v>
      </c>
      <c r="I668" s="79">
        <v>153.6</v>
      </c>
      <c r="J668" s="79" t="s">
        <v>913</v>
      </c>
      <c r="K668" s="80" t="s">
        <v>469</v>
      </c>
      <c r="L668" s="79">
        <v>810</v>
      </c>
      <c r="M668" s="80">
        <f>L668-1</f>
        <v>809</v>
      </c>
      <c r="N668" s="81">
        <f t="shared" si="143"/>
        <v>-1</v>
      </c>
      <c r="O668" s="78" t="s">
        <v>1043</v>
      </c>
      <c r="P668" s="82">
        <f>R668-TIME(0,53,0)</f>
        <v>45726.351388888885</v>
      </c>
      <c r="Q668" s="82">
        <v>45725.708333333336</v>
      </c>
      <c r="R668" s="82">
        <v>45726.388194444444</v>
      </c>
      <c r="S668" s="81">
        <f t="shared" si="133"/>
        <v>974.46759258818929</v>
      </c>
      <c r="T668" s="81">
        <f t="shared" si="134"/>
        <v>52.75462963472819</v>
      </c>
      <c r="U668" s="79" t="s">
        <v>550</v>
      </c>
      <c r="V668" s="82">
        <v>45727.39166666667</v>
      </c>
      <c r="W668" s="82">
        <v>45727.527777777781</v>
      </c>
      <c r="X668" s="103">
        <f t="shared" si="135"/>
        <v>191.91666666643869</v>
      </c>
      <c r="Y668" s="82" t="s">
        <v>1044</v>
      </c>
      <c r="Z668" s="82">
        <v>45728.567361111112</v>
      </c>
      <c r="AA668" s="82">
        <f>Z668+TIME(0,36,0)</f>
        <v>45728.592361111114</v>
      </c>
      <c r="AB668" s="81">
        <f t="shared" si="136"/>
        <v>35.25000000205182</v>
      </c>
      <c r="AC668" s="82"/>
      <c r="AD668" s="83">
        <f t="shared" si="137"/>
        <v>2.1791666666686069</v>
      </c>
      <c r="AE668" s="83">
        <v>3</v>
      </c>
      <c r="AF668" s="83">
        <f t="shared" si="138"/>
        <v>0.82083333333139308</v>
      </c>
      <c r="AG668" s="83">
        <f t="shared" si="139"/>
        <v>52.300000000046566</v>
      </c>
      <c r="AH668" s="83">
        <f t="shared" si="140"/>
        <v>24</v>
      </c>
      <c r="AI668" s="83">
        <f t="shared" si="141"/>
        <v>28.300000000046566</v>
      </c>
      <c r="AJ668" s="83">
        <f t="shared" si="142"/>
        <v>5.4275618374468992</v>
      </c>
      <c r="AK668" s="83"/>
      <c r="AL668" s="83"/>
      <c r="AM668" s="83"/>
      <c r="AN668" s="83"/>
    </row>
    <row r="669" spans="1:41" ht="15" hidden="1" x14ac:dyDescent="0.25">
      <c r="A669" s="82">
        <v>45726</v>
      </c>
      <c r="B669" s="94" t="str">
        <f t="shared" si="132"/>
        <v>March</v>
      </c>
      <c r="C669" s="79" t="s">
        <v>2161</v>
      </c>
      <c r="D669" s="79" t="s">
        <v>916</v>
      </c>
      <c r="E669" s="80" t="s">
        <v>1016</v>
      </c>
      <c r="F669" s="79" t="s">
        <v>951</v>
      </c>
      <c r="G669" s="79" t="s">
        <v>968</v>
      </c>
      <c r="H669" s="79" t="s">
        <v>991</v>
      </c>
      <c r="I669" s="79">
        <v>153.6</v>
      </c>
      <c r="J669" s="79" t="s">
        <v>912</v>
      </c>
      <c r="K669" s="80" t="s">
        <v>469</v>
      </c>
      <c r="L669" s="79">
        <v>20</v>
      </c>
      <c r="M669" s="80">
        <f>L669-3</f>
        <v>17</v>
      </c>
      <c r="N669" s="81">
        <f t="shared" si="143"/>
        <v>-3</v>
      </c>
      <c r="P669" s="82">
        <f>R669-TIME(0,27,0)</f>
        <v>45726.338888888888</v>
      </c>
      <c r="Q669" s="82">
        <v>45726.320833333331</v>
      </c>
      <c r="R669" s="82">
        <v>45726.357638888891</v>
      </c>
      <c r="S669" s="81">
        <f t="shared" si="133"/>
        <v>52.75462963472819</v>
      </c>
      <c r="T669" s="81">
        <f t="shared" si="134"/>
        <v>26.87500000417155</v>
      </c>
      <c r="U669" s="79"/>
      <c r="V669" s="82">
        <v>45726.38958333333</v>
      </c>
      <c r="W669" s="82">
        <v>45726.681944444441</v>
      </c>
      <c r="X669" s="103">
        <f t="shared" si="135"/>
        <v>412.22916666643869</v>
      </c>
      <c r="Y669" s="82" t="s">
        <v>1047</v>
      </c>
      <c r="Z669" s="82">
        <v>45726.711805555555</v>
      </c>
      <c r="AA669" s="82">
        <v>45726.745138888888</v>
      </c>
      <c r="AB669" s="81">
        <f t="shared" si="136"/>
        <v>46.99999999931606</v>
      </c>
      <c r="AC669" s="82"/>
      <c r="AD669" s="83">
        <f t="shared" si="137"/>
        <v>0.35416666666424135</v>
      </c>
      <c r="AE669" s="83">
        <v>3</v>
      </c>
      <c r="AF669" s="83">
        <f t="shared" si="138"/>
        <v>2.6458333333357587</v>
      </c>
      <c r="AG669" s="83">
        <f t="shared" si="139"/>
        <v>8.4999999999417923</v>
      </c>
      <c r="AH669" s="83">
        <f t="shared" si="140"/>
        <v>0</v>
      </c>
      <c r="AI669" s="83">
        <f t="shared" si="141"/>
        <v>8.4999999999417923</v>
      </c>
      <c r="AJ669" s="83">
        <f t="shared" si="142"/>
        <v>18.070588235417862</v>
      </c>
      <c r="AK669" s="83"/>
      <c r="AL669" s="83"/>
      <c r="AM669" s="83"/>
      <c r="AN669" s="83"/>
    </row>
    <row r="670" spans="1:41" ht="15" hidden="1" x14ac:dyDescent="0.25">
      <c r="A670" s="82">
        <v>45726</v>
      </c>
      <c r="B670" s="94" t="str">
        <f t="shared" si="132"/>
        <v>March</v>
      </c>
      <c r="C670" s="79" t="s">
        <v>2161</v>
      </c>
      <c r="D670" s="79" t="s">
        <v>918</v>
      </c>
      <c r="E670" s="80" t="s">
        <v>1016</v>
      </c>
      <c r="F670" s="79" t="s">
        <v>952</v>
      </c>
      <c r="G670" s="79" t="s">
        <v>969</v>
      </c>
      <c r="H670" s="79" t="s">
        <v>996</v>
      </c>
      <c r="I670" s="79">
        <v>153.6</v>
      </c>
      <c r="K670" s="80" t="s">
        <v>469</v>
      </c>
      <c r="L670" s="79">
        <v>350</v>
      </c>
      <c r="M670" s="80">
        <f>L670-2</f>
        <v>348</v>
      </c>
      <c r="N670" s="81">
        <f t="shared" si="143"/>
        <v>-2</v>
      </c>
      <c r="P670" s="82">
        <f>R670-TIME(0,50,0)</f>
        <v>45725.688888888893</v>
      </c>
      <c r="Q670" s="82">
        <v>45726.154861111114</v>
      </c>
      <c r="R670" s="82">
        <v>45725.723611111112</v>
      </c>
      <c r="S670" s="81">
        <f t="shared" si="133"/>
        <v>-618.12500000208581</v>
      </c>
      <c r="T670" s="81">
        <f t="shared" si="134"/>
        <v>49.768518513883464</v>
      </c>
      <c r="U670" s="79" t="s">
        <v>2166</v>
      </c>
      <c r="V670" s="82">
        <v>45726.617361111108</v>
      </c>
      <c r="W670" s="82">
        <v>45726.698611111111</v>
      </c>
      <c r="X670" s="103">
        <f t="shared" si="135"/>
        <v>114.56250000410364</v>
      </c>
      <c r="Y670" s="82"/>
      <c r="Z670" s="82">
        <v>45727.598611111112</v>
      </c>
      <c r="AA670" s="82">
        <f>Z670+TIME(0,43,0)</f>
        <v>45727.628472222226</v>
      </c>
      <c r="AB670" s="81">
        <f t="shared" si="136"/>
        <v>42.104166670542327</v>
      </c>
      <c r="AC670" s="82"/>
      <c r="AD670" s="83">
        <f t="shared" si="137"/>
        <v>1.875</v>
      </c>
      <c r="AE670" s="83">
        <v>2</v>
      </c>
      <c r="AF670" s="83">
        <f t="shared" si="138"/>
        <v>0.125</v>
      </c>
      <c r="AG670" s="83">
        <f t="shared" si="139"/>
        <v>45</v>
      </c>
      <c r="AH670" s="83">
        <f t="shared" si="140"/>
        <v>12</v>
      </c>
      <c r="AI670" s="83">
        <f t="shared" si="141"/>
        <v>33</v>
      </c>
      <c r="AJ670" s="83">
        <f t="shared" si="142"/>
        <v>4.6545454545454543</v>
      </c>
      <c r="AK670" s="83"/>
      <c r="AL670" s="83"/>
      <c r="AM670" s="83"/>
      <c r="AN670" s="83"/>
    </row>
    <row r="671" spans="1:41" ht="15" hidden="1" x14ac:dyDescent="0.25">
      <c r="A671" s="82">
        <v>45727</v>
      </c>
      <c r="B671" s="94" t="str">
        <f t="shared" si="132"/>
        <v>March</v>
      </c>
      <c r="C671" s="79" t="s">
        <v>2162</v>
      </c>
      <c r="D671" s="79" t="s">
        <v>414</v>
      </c>
      <c r="E671" s="80" t="s">
        <v>1017</v>
      </c>
      <c r="F671" s="79" t="s">
        <v>1021</v>
      </c>
      <c r="G671" s="79" t="s">
        <v>57</v>
      </c>
      <c r="H671" s="79" t="s">
        <v>452</v>
      </c>
      <c r="I671" s="79">
        <v>148.80000000000001</v>
      </c>
      <c r="J671" s="79" t="s">
        <v>414</v>
      </c>
      <c r="K671" s="80" t="s">
        <v>469</v>
      </c>
      <c r="L671" s="80">
        <v>690</v>
      </c>
      <c r="M671" s="80">
        <f>L671+3</f>
        <v>693</v>
      </c>
      <c r="N671" s="81">
        <f t="shared" si="143"/>
        <v>3</v>
      </c>
      <c r="P671" s="82">
        <f>R671-TIME(0,22,0)</f>
        <v>45727.433333333334</v>
      </c>
      <c r="Q671" s="82">
        <v>45725.850694444445</v>
      </c>
      <c r="R671" s="82">
        <v>45727.448611111111</v>
      </c>
      <c r="S671" s="81">
        <f t="shared" si="133"/>
        <v>2290.3472222208316</v>
      </c>
      <c r="T671" s="81">
        <f t="shared" si="134"/>
        <v>21.89814814652588</v>
      </c>
      <c r="U671" s="79"/>
      <c r="V671" s="82">
        <v>45727.419444444444</v>
      </c>
      <c r="W671" s="82">
        <v>45727.570138888892</v>
      </c>
      <c r="X671" s="103">
        <f t="shared" si="135"/>
        <v>212.47916667191021</v>
      </c>
      <c r="Y671" s="82" t="s">
        <v>1046</v>
      </c>
      <c r="Z671" s="82">
        <v>45727.836805555555</v>
      </c>
      <c r="AA671" s="82">
        <f>Z671+TIME(0,53,0)</f>
        <v>45727.873611111114</v>
      </c>
      <c r="AB671" s="81">
        <f t="shared" si="136"/>
        <v>51.895833338348893</v>
      </c>
      <c r="AC671" s="82"/>
      <c r="AD671" s="83">
        <f t="shared" si="137"/>
        <v>0.38819444444379769</v>
      </c>
      <c r="AE671" s="83">
        <v>3</v>
      </c>
      <c r="AF671" s="83">
        <f t="shared" si="138"/>
        <v>2.6118055555562023</v>
      </c>
      <c r="AG671" s="83">
        <f t="shared" si="139"/>
        <v>9.3166666666511446</v>
      </c>
      <c r="AH671" s="83">
        <f t="shared" si="140"/>
        <v>0</v>
      </c>
      <c r="AI671" s="83">
        <f t="shared" si="141"/>
        <v>9.3166666666511446</v>
      </c>
      <c r="AJ671" s="83">
        <f t="shared" si="142"/>
        <v>15.971377459776162</v>
      </c>
      <c r="AK671" s="83"/>
      <c r="AL671" s="83"/>
      <c r="AM671" s="83"/>
      <c r="AN671" s="83"/>
    </row>
    <row r="672" spans="1:41" ht="15" hidden="1" x14ac:dyDescent="0.25">
      <c r="A672" s="82">
        <v>45727</v>
      </c>
      <c r="B672" s="94" t="str">
        <f t="shared" si="132"/>
        <v>March</v>
      </c>
      <c r="C672" s="79" t="s">
        <v>2162</v>
      </c>
      <c r="D672" s="79" t="s">
        <v>415</v>
      </c>
      <c r="E672" s="80" t="s">
        <v>1017</v>
      </c>
      <c r="F672" s="79" t="s">
        <v>1025</v>
      </c>
      <c r="G672" s="79" t="s">
        <v>54</v>
      </c>
      <c r="H672" s="79" t="s">
        <v>449</v>
      </c>
      <c r="I672" s="79">
        <v>54.6</v>
      </c>
      <c r="J672" s="79" t="s">
        <v>415</v>
      </c>
      <c r="K672" s="80" t="s">
        <v>469</v>
      </c>
      <c r="L672" s="80">
        <v>790</v>
      </c>
      <c r="M672" s="80">
        <f>L672+3</f>
        <v>793</v>
      </c>
      <c r="N672" s="81">
        <f t="shared" si="143"/>
        <v>3</v>
      </c>
      <c r="P672" s="82">
        <f>R672-TIME(0,29,0)</f>
        <v>45726.305555555555</v>
      </c>
      <c r="Q672" s="82">
        <v>45724.836805555555</v>
      </c>
      <c r="R672" s="82">
        <v>45726.325694444444</v>
      </c>
      <c r="S672" s="81">
        <f t="shared" si="133"/>
        <v>2134.0740740743058</v>
      </c>
      <c r="T672" s="81">
        <f t="shared" si="134"/>
        <v>28.865740740972495</v>
      </c>
      <c r="U672" s="79"/>
      <c r="V672" s="82">
        <v>45728.668055555558</v>
      </c>
      <c r="W672" s="82">
        <v>45728.754861111112</v>
      </c>
      <c r="X672" s="103">
        <f t="shared" si="135"/>
        <v>122.39583333219343</v>
      </c>
      <c r="Y672" s="82"/>
      <c r="Z672" s="82">
        <v>45727.861111111109</v>
      </c>
      <c r="AA672" s="82">
        <f>Z672+TIME(0,42,0)</f>
        <v>45727.890277777777</v>
      </c>
      <c r="AB672" s="81">
        <f t="shared" si="136"/>
        <v>41.12500000068394</v>
      </c>
      <c r="AC672" s="82"/>
      <c r="AD672" s="83">
        <f t="shared" si="137"/>
        <v>1.5354166666656965</v>
      </c>
      <c r="AE672" s="83">
        <v>3</v>
      </c>
      <c r="AF672" s="83">
        <f t="shared" si="138"/>
        <v>1.4645833333343035</v>
      </c>
      <c r="AG672" s="83">
        <f t="shared" si="139"/>
        <v>36.849999999976717</v>
      </c>
      <c r="AH672" s="83">
        <f t="shared" si="140"/>
        <v>12</v>
      </c>
      <c r="AI672" s="83">
        <f t="shared" si="141"/>
        <v>24.849999999976717</v>
      </c>
      <c r="AJ672" s="83">
        <f t="shared" si="142"/>
        <v>2.1971830985936078</v>
      </c>
      <c r="AK672" s="83"/>
      <c r="AL672" s="83"/>
      <c r="AM672" s="83"/>
      <c r="AN672" s="83"/>
    </row>
    <row r="673" spans="1:40" ht="15" hidden="1" x14ac:dyDescent="0.25">
      <c r="A673" s="82">
        <v>45727</v>
      </c>
      <c r="B673" s="94" t="str">
        <f t="shared" si="132"/>
        <v>March</v>
      </c>
      <c r="C673" s="79" t="s">
        <v>2162</v>
      </c>
      <c r="D673" s="79" t="s">
        <v>416</v>
      </c>
      <c r="E673" s="80" t="s">
        <v>1017</v>
      </c>
      <c r="F673" s="79" t="s">
        <v>1026</v>
      </c>
      <c r="G673" s="79" t="s">
        <v>51</v>
      </c>
      <c r="H673" s="79" t="s">
        <v>987</v>
      </c>
      <c r="I673" s="79">
        <v>6.3</v>
      </c>
      <c r="J673" s="79" t="s">
        <v>416</v>
      </c>
      <c r="K673" s="80" t="s">
        <v>469</v>
      </c>
      <c r="L673" s="79">
        <v>320</v>
      </c>
      <c r="M673" s="80">
        <f>L673+3</f>
        <v>323</v>
      </c>
      <c r="N673" s="81">
        <f t="shared" si="143"/>
        <v>3</v>
      </c>
      <c r="P673" s="82">
        <f>R673-TIME(0,27,0)</f>
        <v>45725.454166666663</v>
      </c>
      <c r="Q673" s="82">
        <v>45725.115277777775</v>
      </c>
      <c r="R673" s="82">
        <v>45725.472916666666</v>
      </c>
      <c r="S673" s="81">
        <f t="shared" si="133"/>
        <v>512.61574074305827</v>
      </c>
      <c r="T673" s="81">
        <f t="shared" si="134"/>
        <v>26.87500000417155</v>
      </c>
      <c r="U673" s="79"/>
      <c r="V673" s="82">
        <v>45727.522916666669</v>
      </c>
      <c r="W673" s="82">
        <v>45727.59652777778</v>
      </c>
      <c r="X673" s="103">
        <f t="shared" si="135"/>
        <v>103.79166666643869</v>
      </c>
      <c r="Y673" s="82"/>
      <c r="Z673" s="82">
        <v>45727.836805555555</v>
      </c>
      <c r="AA673" s="82">
        <f>Z673+TIME(0,58,0)</f>
        <v>45727.877083333333</v>
      </c>
      <c r="AB673" s="81">
        <f t="shared" si="136"/>
        <v>56.791666667122627</v>
      </c>
      <c r="AC673" s="82"/>
      <c r="AD673" s="83">
        <f t="shared" si="137"/>
        <v>2.3638888888890506</v>
      </c>
      <c r="AE673" s="83">
        <v>2</v>
      </c>
      <c r="AF673" s="83">
        <f t="shared" si="138"/>
        <v>-0.36388888888905058</v>
      </c>
      <c r="AG673" s="83">
        <f t="shared" si="139"/>
        <v>56.733333333337214</v>
      </c>
      <c r="AH673" s="83">
        <f t="shared" si="140"/>
        <v>24</v>
      </c>
      <c r="AI673" s="83">
        <f t="shared" si="141"/>
        <v>32.733333333337214</v>
      </c>
      <c r="AJ673" s="83">
        <f t="shared" si="142"/>
        <v>0.19246435845211568</v>
      </c>
      <c r="AK673" s="83"/>
      <c r="AL673" s="83"/>
      <c r="AM673" s="83"/>
      <c r="AN673" s="83"/>
    </row>
    <row r="674" spans="1:40" ht="15" hidden="1" x14ac:dyDescent="0.25">
      <c r="A674" s="82">
        <v>45727</v>
      </c>
      <c r="B674" s="94" t="str">
        <f t="shared" si="132"/>
        <v>March</v>
      </c>
      <c r="C674" s="79" t="s">
        <v>2162</v>
      </c>
      <c r="D674" s="79" t="s">
        <v>417</v>
      </c>
      <c r="E674" s="80" t="s">
        <v>1017</v>
      </c>
      <c r="F674" s="79" t="s">
        <v>1024</v>
      </c>
      <c r="G674" s="79" t="s">
        <v>63</v>
      </c>
      <c r="H674" s="79" t="s">
        <v>987</v>
      </c>
      <c r="I674" s="79">
        <v>156</v>
      </c>
      <c r="J674" s="79" t="s">
        <v>417</v>
      </c>
      <c r="K674" s="80" t="s">
        <v>469</v>
      </c>
      <c r="L674" s="79">
        <v>320</v>
      </c>
      <c r="M674" s="80">
        <f>L674-158</f>
        <v>162</v>
      </c>
      <c r="N674" s="81">
        <f t="shared" si="143"/>
        <v>-158</v>
      </c>
      <c r="P674" s="82">
        <f>R674-TIME(0,29,0)</f>
        <v>45724.606249999997</v>
      </c>
      <c r="Q674" s="82">
        <v>45724.583333333336</v>
      </c>
      <c r="R674" s="82">
        <v>45724.626388888886</v>
      </c>
      <c r="S674" s="81">
        <f t="shared" si="133"/>
        <v>61.712962955546878</v>
      </c>
      <c r="T674" s="81">
        <f t="shared" si="134"/>
        <v>28.865740740972495</v>
      </c>
      <c r="U674" s="79"/>
      <c r="V674" s="82">
        <v>45727.288194444445</v>
      </c>
      <c r="W674" s="82">
        <v>45727.4375</v>
      </c>
      <c r="X674" s="103">
        <f t="shared" si="135"/>
        <v>210.52083333219343</v>
      </c>
      <c r="Y674" s="82" t="s">
        <v>1044</v>
      </c>
      <c r="Z674" s="82">
        <v>45727.836805555555</v>
      </c>
      <c r="AA674" s="82">
        <f>Z674+TIME(0,56,0)</f>
        <v>45727.875694444447</v>
      </c>
      <c r="AB674" s="81">
        <f t="shared" si="136"/>
        <v>54.833333337664953</v>
      </c>
      <c r="AC674" s="82"/>
      <c r="AD674" s="83">
        <f t="shared" si="137"/>
        <v>3.2104166666686069</v>
      </c>
      <c r="AE674" s="83">
        <v>2</v>
      </c>
      <c r="AF674" s="83">
        <f t="shared" si="138"/>
        <v>-1.2104166666686069</v>
      </c>
      <c r="AG674" s="83">
        <f t="shared" si="139"/>
        <v>77.050000000046566</v>
      </c>
      <c r="AH674" s="83">
        <f t="shared" si="140"/>
        <v>36</v>
      </c>
      <c r="AI674" s="83">
        <f t="shared" si="141"/>
        <v>41.050000000046566</v>
      </c>
      <c r="AJ674" s="83">
        <f t="shared" si="142"/>
        <v>3.800243605355007</v>
      </c>
      <c r="AK674" s="83"/>
      <c r="AL674" s="83"/>
      <c r="AM674" s="83"/>
      <c r="AN674" s="83"/>
    </row>
    <row r="675" spans="1:40" ht="15" hidden="1" x14ac:dyDescent="0.25">
      <c r="A675" s="82">
        <v>45727</v>
      </c>
      <c r="B675" s="94" t="str">
        <f t="shared" si="132"/>
        <v>March</v>
      </c>
      <c r="C675" s="79" t="s">
        <v>2162</v>
      </c>
      <c r="D675" s="79" t="s">
        <v>418</v>
      </c>
      <c r="E675" s="80" t="s">
        <v>1017</v>
      </c>
      <c r="F675" s="79" t="s">
        <v>960</v>
      </c>
      <c r="G675" s="79" t="s">
        <v>62</v>
      </c>
      <c r="H675" s="79" t="s">
        <v>987</v>
      </c>
      <c r="I675" s="79">
        <v>156</v>
      </c>
      <c r="J675" s="79" t="s">
        <v>418</v>
      </c>
      <c r="K675" s="80" t="s">
        <v>469</v>
      </c>
      <c r="L675" s="79">
        <v>320</v>
      </c>
      <c r="M675" s="80">
        <f>L675-3</f>
        <v>317</v>
      </c>
      <c r="N675" s="81">
        <f t="shared" si="143"/>
        <v>-3</v>
      </c>
      <c r="P675" s="82">
        <f>R675-TIME(0,53,0)</f>
        <v>45724.462499999994</v>
      </c>
      <c r="Q675" s="82">
        <v>45724.619444444441</v>
      </c>
      <c r="R675" s="82">
        <v>45724.499305555553</v>
      </c>
      <c r="S675" s="81">
        <f t="shared" si="133"/>
        <v>-172.19907407222004</v>
      </c>
      <c r="T675" s="81">
        <f t="shared" si="134"/>
        <v>52.75462963472819</v>
      </c>
      <c r="U675" s="79"/>
      <c r="V675" s="82">
        <v>45727.357638888891</v>
      </c>
      <c r="W675" s="82">
        <v>45727.459027777775</v>
      </c>
      <c r="X675" s="103">
        <f t="shared" si="135"/>
        <v>142.95833332740585</v>
      </c>
      <c r="Y675" s="82"/>
      <c r="Z675" s="82">
        <v>45726.861111111109</v>
      </c>
      <c r="AA675" s="82">
        <f>Z675+TIME(0,75,0)</f>
        <v>45726.913194444445</v>
      </c>
      <c r="AB675" s="81">
        <f t="shared" si="136"/>
        <v>73.4375000034197</v>
      </c>
      <c r="AC675" s="82" t="s">
        <v>1674</v>
      </c>
      <c r="AD675" s="83">
        <f t="shared" si="137"/>
        <v>2.3618055555562023</v>
      </c>
      <c r="AE675" s="83">
        <v>2</v>
      </c>
      <c r="AF675" s="83">
        <f t="shared" si="138"/>
        <v>-0.36180555555620231</v>
      </c>
      <c r="AG675" s="83">
        <f t="shared" si="139"/>
        <v>56.683333333348855</v>
      </c>
      <c r="AH675" s="83">
        <f t="shared" si="140"/>
        <v>24</v>
      </c>
      <c r="AI675" s="83">
        <f t="shared" si="141"/>
        <v>32.683333333348855</v>
      </c>
      <c r="AJ675" s="83">
        <f t="shared" si="142"/>
        <v>4.7730749617519406</v>
      </c>
      <c r="AK675" s="83"/>
      <c r="AL675" s="83"/>
      <c r="AM675" s="83"/>
      <c r="AN675" s="83"/>
    </row>
    <row r="676" spans="1:40" ht="15" hidden="1" x14ac:dyDescent="0.25">
      <c r="A676" s="82">
        <v>45727</v>
      </c>
      <c r="B676" s="94" t="str">
        <f t="shared" si="132"/>
        <v>March</v>
      </c>
      <c r="C676" s="79" t="s">
        <v>2162</v>
      </c>
      <c r="D676" s="79" t="s">
        <v>419</v>
      </c>
      <c r="E676" s="80" t="s">
        <v>1017</v>
      </c>
      <c r="F676" s="79"/>
      <c r="G676" s="79" t="s">
        <v>75</v>
      </c>
      <c r="H676" s="79" t="s">
        <v>458</v>
      </c>
      <c r="I676" s="79">
        <v>156</v>
      </c>
      <c r="J676" s="79" t="s">
        <v>419</v>
      </c>
      <c r="K676" s="80" t="s">
        <v>469</v>
      </c>
      <c r="L676" s="80">
        <v>448</v>
      </c>
      <c r="M676" s="80">
        <f>L676-4</f>
        <v>444</v>
      </c>
      <c r="N676" s="81">
        <f t="shared" si="143"/>
        <v>-4</v>
      </c>
      <c r="P676" s="82">
        <f>R676-TIME(0,28,0)</f>
        <v>45724.491666666669</v>
      </c>
      <c r="Q676" s="82">
        <v>45724.793749999997</v>
      </c>
      <c r="R676" s="82">
        <v>45724.511111111111</v>
      </c>
      <c r="S676" s="81">
        <f t="shared" si="133"/>
        <v>-405.11574073680094</v>
      </c>
      <c r="T676" s="81">
        <f t="shared" si="134"/>
        <v>27.870370367357584</v>
      </c>
      <c r="U676" s="79"/>
      <c r="V676" s="82">
        <v>45727.698611111111</v>
      </c>
      <c r="W676" s="82">
        <v>45727.794444444444</v>
      </c>
      <c r="X676" s="103">
        <f t="shared" si="135"/>
        <v>135.12499999931606</v>
      </c>
      <c r="Y676" s="82"/>
      <c r="Z676" s="82">
        <v>45726.810416666667</v>
      </c>
      <c r="AA676" s="82">
        <f>Z676+TIME(0,43,0)</f>
        <v>45726.840277777781</v>
      </c>
      <c r="AB676" s="81">
        <f t="shared" si="136"/>
        <v>42.104166670542327</v>
      </c>
      <c r="AC676" s="82"/>
      <c r="AD676" s="83">
        <f t="shared" si="137"/>
        <v>2.2993055555562023</v>
      </c>
      <c r="AE676" s="83">
        <v>2</v>
      </c>
      <c r="AF676" s="83">
        <f t="shared" si="138"/>
        <v>-0.29930555555620231</v>
      </c>
      <c r="AG676" s="83">
        <f t="shared" si="139"/>
        <v>55.183333333348855</v>
      </c>
      <c r="AH676" s="83">
        <f t="shared" si="140"/>
        <v>24</v>
      </c>
      <c r="AI676" s="83">
        <f t="shared" si="141"/>
        <v>31.183333333348855</v>
      </c>
      <c r="AJ676" s="83">
        <f t="shared" si="142"/>
        <v>5.0026723677153075</v>
      </c>
      <c r="AK676" s="83"/>
      <c r="AL676" s="83"/>
      <c r="AM676" s="83"/>
      <c r="AN676" s="83"/>
    </row>
    <row r="677" spans="1:40" ht="15" hidden="1" x14ac:dyDescent="0.25">
      <c r="A677" s="82">
        <v>45727</v>
      </c>
      <c r="B677" s="94" t="str">
        <f t="shared" si="132"/>
        <v>March</v>
      </c>
      <c r="C677" s="79" t="s">
        <v>2162</v>
      </c>
      <c r="D677" s="79" t="s">
        <v>420</v>
      </c>
      <c r="E677" s="80" t="s">
        <v>1017</v>
      </c>
      <c r="F677" s="79" t="s">
        <v>1029</v>
      </c>
      <c r="G677" s="79" t="s">
        <v>38</v>
      </c>
      <c r="H677" s="79" t="s">
        <v>455</v>
      </c>
      <c r="I677" s="79">
        <v>156</v>
      </c>
      <c r="J677" s="79" t="s">
        <v>420</v>
      </c>
      <c r="K677" s="80" t="s">
        <v>469</v>
      </c>
      <c r="L677" s="80">
        <v>580</v>
      </c>
      <c r="M677" s="80">
        <f>L677-2</f>
        <v>578</v>
      </c>
      <c r="N677" s="81">
        <f t="shared" si="143"/>
        <v>-2</v>
      </c>
      <c r="P677" s="82">
        <f>R677-TIME(0,53,0)</f>
        <v>45724.811111111107</v>
      </c>
      <c r="Q677" s="82">
        <v>45725.244444444441</v>
      </c>
      <c r="R677" s="82">
        <v>45724.847916666666</v>
      </c>
      <c r="S677" s="81">
        <f t="shared" si="133"/>
        <v>-568.3564814777734</v>
      </c>
      <c r="T677" s="81">
        <f t="shared" si="134"/>
        <v>52.75462963472819</v>
      </c>
      <c r="U677" s="79"/>
      <c r="V677" s="82">
        <v>45727.442361111112</v>
      </c>
      <c r="W677" s="82">
        <v>45727.529166666667</v>
      </c>
      <c r="X677" s="103">
        <f t="shared" si="135"/>
        <v>122.39583333219343</v>
      </c>
      <c r="Y677" s="82"/>
      <c r="Z677" s="82">
        <v>45726.810416666667</v>
      </c>
      <c r="AA677" s="82">
        <f>Z677+TIME(0,51,0)</f>
        <v>45726.845833333333</v>
      </c>
      <c r="AB677" s="81">
        <f t="shared" si="136"/>
        <v>49.93749999863212</v>
      </c>
      <c r="AC677" s="82"/>
      <c r="AD677" s="83">
        <f t="shared" si="137"/>
        <v>1.9625000000014552</v>
      </c>
      <c r="AE677" s="83">
        <v>2</v>
      </c>
      <c r="AF677" s="83">
        <f t="shared" si="138"/>
        <v>3.7499999998544808E-2</v>
      </c>
      <c r="AG677" s="83">
        <f t="shared" si="139"/>
        <v>47.100000000034925</v>
      </c>
      <c r="AH677" s="83">
        <f t="shared" si="140"/>
        <v>12</v>
      </c>
      <c r="AI677" s="83">
        <f t="shared" si="141"/>
        <v>35.100000000034925</v>
      </c>
      <c r="AJ677" s="83">
        <f t="shared" si="142"/>
        <v>4.4444444444400224</v>
      </c>
      <c r="AK677" s="83"/>
      <c r="AL677" s="83"/>
      <c r="AM677" s="83"/>
      <c r="AN677" s="83"/>
    </row>
    <row r="678" spans="1:40" ht="15" hidden="1" x14ac:dyDescent="0.25">
      <c r="A678" s="82">
        <v>45727</v>
      </c>
      <c r="B678" s="94" t="str">
        <f t="shared" si="132"/>
        <v>March</v>
      </c>
      <c r="C678" s="79" t="s">
        <v>2162</v>
      </c>
      <c r="D678" s="79" t="s">
        <v>421</v>
      </c>
      <c r="E678" s="80" t="s">
        <v>1017</v>
      </c>
      <c r="F678" s="79" t="s">
        <v>1013</v>
      </c>
      <c r="G678" s="79" t="s">
        <v>56</v>
      </c>
      <c r="H678" s="79" t="s">
        <v>456</v>
      </c>
      <c r="I678" s="79">
        <v>39</v>
      </c>
      <c r="J678" s="79" t="s">
        <v>421</v>
      </c>
      <c r="K678" s="80" t="s">
        <v>469</v>
      </c>
      <c r="L678" s="80">
        <v>670</v>
      </c>
      <c r="M678" s="80">
        <f>L678+4</f>
        <v>674</v>
      </c>
      <c r="N678" s="81">
        <f t="shared" si="143"/>
        <v>4</v>
      </c>
      <c r="P678" s="82">
        <f>R678-TIME(0,26,0)</f>
        <v>45727.362500000003</v>
      </c>
      <c r="Q678" s="82">
        <v>45725.458333333336</v>
      </c>
      <c r="R678" s="82">
        <v>45727.380555555559</v>
      </c>
      <c r="S678" s="81">
        <f t="shared" si="133"/>
        <v>2755.1851851868073</v>
      </c>
      <c r="T678" s="81">
        <f t="shared" si="134"/>
        <v>25.879629630556639</v>
      </c>
      <c r="U678" s="79"/>
      <c r="V678" s="82">
        <v>45728.54583333333</v>
      </c>
      <c r="W678" s="82">
        <v>45728.831944444442</v>
      </c>
      <c r="X678" s="103">
        <f t="shared" si="135"/>
        <v>403.41666666849051</v>
      </c>
      <c r="Y678" s="82" t="s">
        <v>1049</v>
      </c>
      <c r="Z678" s="82">
        <v>45727.480555555558</v>
      </c>
      <c r="AA678" s="82">
        <f>Z678+TIME(0,56,0)</f>
        <v>45727.51944444445</v>
      </c>
      <c r="AB678" s="81">
        <f t="shared" si="136"/>
        <v>54.833333337664953</v>
      </c>
      <c r="AC678" s="82"/>
      <c r="AD678" s="83">
        <f t="shared" si="137"/>
        <v>9.9999999998544808E-2</v>
      </c>
      <c r="AE678" s="83">
        <v>2</v>
      </c>
      <c r="AF678" s="83">
        <f t="shared" si="138"/>
        <v>1.9000000000014552</v>
      </c>
      <c r="AG678" s="83">
        <f t="shared" si="139"/>
        <v>2.3999999999650754</v>
      </c>
      <c r="AH678" s="83">
        <f t="shared" si="140"/>
        <v>0</v>
      </c>
      <c r="AI678" s="83">
        <f t="shared" si="141"/>
        <v>2.3999999999650754</v>
      </c>
      <c r="AJ678" s="83">
        <f t="shared" si="142"/>
        <v>16.250000000236469</v>
      </c>
      <c r="AK678" s="83"/>
      <c r="AL678" s="83"/>
      <c r="AM678" s="83"/>
      <c r="AN678" s="83"/>
    </row>
    <row r="679" spans="1:40" ht="15" hidden="1" x14ac:dyDescent="0.25">
      <c r="A679" s="82">
        <v>45727</v>
      </c>
      <c r="B679" s="94" t="str">
        <f t="shared" si="132"/>
        <v>March</v>
      </c>
      <c r="C679" s="79" t="s">
        <v>2162</v>
      </c>
      <c r="D679" s="79" t="s">
        <v>422</v>
      </c>
      <c r="E679" s="80" t="s">
        <v>1017</v>
      </c>
      <c r="F679" s="79" t="s">
        <v>1036</v>
      </c>
      <c r="G679" s="79" t="s">
        <v>36</v>
      </c>
      <c r="H679" s="79" t="s">
        <v>448</v>
      </c>
      <c r="I679" s="79">
        <v>156</v>
      </c>
      <c r="J679" s="79" t="s">
        <v>422</v>
      </c>
      <c r="K679" s="80" t="s">
        <v>469</v>
      </c>
      <c r="L679" s="80">
        <v>560</v>
      </c>
      <c r="M679" s="80">
        <f>L679-3</f>
        <v>557</v>
      </c>
      <c r="N679" s="81">
        <f t="shared" si="143"/>
        <v>-3</v>
      </c>
      <c r="P679" s="82">
        <f>R679-TIME(0,52,0)</f>
        <v>45726.396527777775</v>
      </c>
      <c r="Q679" s="82">
        <v>45725.541666666664</v>
      </c>
      <c r="R679" s="82">
        <v>45726.432638888888</v>
      </c>
      <c r="S679" s="81">
        <f t="shared" si="133"/>
        <v>1277.0601851868075</v>
      </c>
      <c r="T679" s="81">
        <f t="shared" si="134"/>
        <v>51.759259261113279</v>
      </c>
      <c r="U679" s="79"/>
      <c r="V679" s="82">
        <v>45728.431944444441</v>
      </c>
      <c r="W679" s="82">
        <v>45728.558333333334</v>
      </c>
      <c r="X679" s="103">
        <f t="shared" si="135"/>
        <v>178.20833333971677</v>
      </c>
      <c r="Y679" s="82"/>
      <c r="Z679" s="82">
        <v>45728.350694444445</v>
      </c>
      <c r="AA679" s="82">
        <f>Z679+TIME(0,56,0)</f>
        <v>45728.389583333337</v>
      </c>
      <c r="AB679" s="81">
        <f t="shared" si="136"/>
        <v>54.833333337664953</v>
      </c>
      <c r="AC679" s="82"/>
      <c r="AD679" s="83">
        <f t="shared" si="137"/>
        <v>1.9180555555576575</v>
      </c>
      <c r="AE679" s="83">
        <v>2</v>
      </c>
      <c r="AF679" s="83">
        <f t="shared" si="138"/>
        <v>8.1944444442342501E-2</v>
      </c>
      <c r="AG679" s="83">
        <f t="shared" si="139"/>
        <v>46.03333333338378</v>
      </c>
      <c r="AH679" s="83">
        <f t="shared" si="140"/>
        <v>12</v>
      </c>
      <c r="AI679" s="83">
        <f t="shared" si="141"/>
        <v>34.03333333338378</v>
      </c>
      <c r="AJ679" s="83">
        <f t="shared" si="142"/>
        <v>4.5837414299638226</v>
      </c>
      <c r="AK679" s="83"/>
      <c r="AL679" s="83"/>
      <c r="AM679" s="83"/>
      <c r="AN679" s="83"/>
    </row>
    <row r="680" spans="1:40" ht="15" hidden="1" x14ac:dyDescent="0.25">
      <c r="A680" s="82">
        <v>45727</v>
      </c>
      <c r="B680" s="94" t="str">
        <f t="shared" si="132"/>
        <v>March</v>
      </c>
      <c r="C680" s="79" t="s">
        <v>2161</v>
      </c>
      <c r="D680" s="79" t="s">
        <v>915</v>
      </c>
      <c r="E680" s="80" t="s">
        <v>1016</v>
      </c>
      <c r="F680" s="79" t="s">
        <v>953</v>
      </c>
      <c r="G680" s="79" t="s">
        <v>970</v>
      </c>
      <c r="H680" s="79" t="s">
        <v>982</v>
      </c>
      <c r="I680" s="79">
        <v>153.6</v>
      </c>
      <c r="K680" s="80" t="s">
        <v>469</v>
      </c>
      <c r="L680" s="80">
        <v>298</v>
      </c>
      <c r="M680" s="80">
        <f>L680-3</f>
        <v>295</v>
      </c>
      <c r="N680" s="81">
        <f t="shared" si="143"/>
        <v>-3</v>
      </c>
      <c r="P680" s="82">
        <f>R680-TIME(0,21,0)</f>
        <v>45727.753472222226</v>
      </c>
      <c r="Q680" s="82">
        <v>45727.176388888889</v>
      </c>
      <c r="R680" s="82">
        <v>45727.768055555556</v>
      </c>
      <c r="S680" s="81">
        <f t="shared" si="133"/>
        <v>848.05555555625085</v>
      </c>
      <c r="T680" s="81">
        <f t="shared" si="134"/>
        <v>20.902777772910969</v>
      </c>
      <c r="U680" s="79"/>
      <c r="V680" s="82">
        <v>45728.431944444441</v>
      </c>
      <c r="W680" s="82">
        <v>45728.558333333334</v>
      </c>
      <c r="X680" s="103">
        <f t="shared" si="135"/>
        <v>178.20833333971677</v>
      </c>
      <c r="Y680" s="82"/>
      <c r="Z680" s="82">
        <v>45729.736805555556</v>
      </c>
      <c r="AA680" s="82">
        <f>Z680+TIME(0,41,0)</f>
        <v>45729.765277777777</v>
      </c>
      <c r="AB680" s="81">
        <f t="shared" si="136"/>
        <v>40.145833330825553</v>
      </c>
      <c r="AC680" s="82"/>
      <c r="AD680" s="83">
        <f t="shared" si="137"/>
        <v>1.96875</v>
      </c>
      <c r="AE680" s="83">
        <v>2</v>
      </c>
      <c r="AF680" s="83">
        <f t="shared" si="138"/>
        <v>3.125E-2</v>
      </c>
      <c r="AG680" s="83">
        <f t="shared" si="139"/>
        <v>47.25</v>
      </c>
      <c r="AH680" s="83">
        <f t="shared" si="140"/>
        <v>12</v>
      </c>
      <c r="AI680" s="83">
        <f t="shared" si="141"/>
        <v>35.25</v>
      </c>
      <c r="AJ680" s="83">
        <f t="shared" si="142"/>
        <v>4.3574468085106384</v>
      </c>
      <c r="AK680" s="83"/>
      <c r="AL680" s="83"/>
      <c r="AM680" s="83"/>
      <c r="AN680" s="83"/>
    </row>
    <row r="681" spans="1:40" ht="15" hidden="1" x14ac:dyDescent="0.25">
      <c r="A681" s="82">
        <v>45727</v>
      </c>
      <c r="B681" s="94" t="str">
        <f t="shared" si="132"/>
        <v>March</v>
      </c>
      <c r="C681" s="79" t="s">
        <v>2161</v>
      </c>
      <c r="D681" s="79" t="s">
        <v>1012</v>
      </c>
      <c r="E681" s="80" t="s">
        <v>1016</v>
      </c>
      <c r="F681" s="79" t="s">
        <v>951</v>
      </c>
      <c r="G681" s="79" t="s">
        <v>968</v>
      </c>
      <c r="H681" s="79" t="s">
        <v>1282</v>
      </c>
      <c r="I681" s="79">
        <v>153.6</v>
      </c>
      <c r="K681" s="80" t="s">
        <v>469</v>
      </c>
      <c r="L681" s="79">
        <v>810</v>
      </c>
      <c r="M681" s="80">
        <f>L681-1</f>
        <v>809</v>
      </c>
      <c r="N681" s="81">
        <f t="shared" si="143"/>
        <v>-1</v>
      </c>
      <c r="P681" s="82">
        <f>R681-TIME(0,27,0)</f>
        <v>45727.261111111111</v>
      </c>
      <c r="Q681" s="82">
        <v>45726.875</v>
      </c>
      <c r="R681" s="82">
        <v>45727.279861111114</v>
      </c>
      <c r="S681" s="81">
        <f t="shared" si="133"/>
        <v>580.30092592986568</v>
      </c>
      <c r="T681" s="81">
        <f t="shared" si="134"/>
        <v>26.87500000417155</v>
      </c>
      <c r="U681" s="79"/>
      <c r="V681" s="82">
        <v>45727.763194444444</v>
      </c>
      <c r="W681" s="82">
        <v>45728.56527777778</v>
      </c>
      <c r="X681" s="103">
        <f t="shared" si="135"/>
        <v>1130.9375000034197</v>
      </c>
      <c r="Y681" s="82" t="s">
        <v>1044</v>
      </c>
      <c r="Z681" s="82">
        <v>45728.736805555556</v>
      </c>
      <c r="AA681" s="82">
        <f>Z681+TIME(0,56,0)</f>
        <v>45728.775694444448</v>
      </c>
      <c r="AB681" s="81">
        <f t="shared" si="136"/>
        <v>54.833333337664953</v>
      </c>
      <c r="AC681" s="82"/>
      <c r="AD681" s="83">
        <f t="shared" si="137"/>
        <v>1.4569444444423425</v>
      </c>
      <c r="AE681" s="83">
        <v>3</v>
      </c>
      <c r="AF681" s="83">
        <f t="shared" si="138"/>
        <v>1.5430555555576575</v>
      </c>
      <c r="AG681" s="83">
        <f t="shared" si="139"/>
        <v>34.96666666661622</v>
      </c>
      <c r="AH681" s="83">
        <f t="shared" si="140"/>
        <v>12</v>
      </c>
      <c r="AI681" s="83">
        <f t="shared" si="141"/>
        <v>22.96666666661622</v>
      </c>
      <c r="AJ681" s="83">
        <f t="shared" si="142"/>
        <v>6.6879535558927738</v>
      </c>
      <c r="AK681" s="83"/>
      <c r="AL681" s="83"/>
      <c r="AM681" s="83"/>
      <c r="AN681" s="83"/>
    </row>
    <row r="682" spans="1:40" ht="15" hidden="1" x14ac:dyDescent="0.25">
      <c r="A682" s="82">
        <v>45728</v>
      </c>
      <c r="B682" s="94" t="str">
        <f t="shared" si="132"/>
        <v>March</v>
      </c>
      <c r="C682" s="79" t="s">
        <v>2162</v>
      </c>
      <c r="D682" s="79" t="s">
        <v>423</v>
      </c>
      <c r="E682" s="80" t="s">
        <v>1017</v>
      </c>
      <c r="F682" s="79" t="s">
        <v>1023</v>
      </c>
      <c r="G682" s="79" t="s">
        <v>61</v>
      </c>
      <c r="H682" s="79" t="s">
        <v>450</v>
      </c>
      <c r="I682" s="79">
        <v>156</v>
      </c>
      <c r="J682" s="79" t="s">
        <v>423</v>
      </c>
      <c r="K682" s="80" t="s">
        <v>469</v>
      </c>
      <c r="L682" s="80">
        <v>288</v>
      </c>
      <c r="M682" s="80">
        <f>L682-1</f>
        <v>287</v>
      </c>
      <c r="N682" s="81">
        <f t="shared" si="143"/>
        <v>-1</v>
      </c>
      <c r="P682" s="82">
        <f>R682-TIME(0,22,0)</f>
        <v>45726.372916666667</v>
      </c>
      <c r="Q682" s="82">
        <v>45725.708333333336</v>
      </c>
      <c r="R682" s="82">
        <v>45726.388194444444</v>
      </c>
      <c r="S682" s="81">
        <f t="shared" si="133"/>
        <v>974.46759258818929</v>
      </c>
      <c r="T682" s="81">
        <f t="shared" si="134"/>
        <v>21.89814814652588</v>
      </c>
      <c r="U682" s="79"/>
      <c r="V682" s="82">
        <v>45728.842361111114</v>
      </c>
      <c r="W682" s="82">
        <v>45729.556944444441</v>
      </c>
      <c r="X682" s="103">
        <f t="shared" si="135"/>
        <v>1007.5624999911088</v>
      </c>
      <c r="Y682" s="82" t="s">
        <v>1045</v>
      </c>
      <c r="Z682" s="82">
        <v>45728.736805555556</v>
      </c>
      <c r="AA682" s="82">
        <f>Z682+TIME(0,41,0)</f>
        <v>45728.765277777777</v>
      </c>
      <c r="AB682" s="81">
        <f t="shared" si="136"/>
        <v>40.145833330825553</v>
      </c>
      <c r="AC682" s="82"/>
      <c r="AD682" s="83">
        <f t="shared" si="137"/>
        <v>2.3486111111124046</v>
      </c>
      <c r="AE682" s="83">
        <v>2</v>
      </c>
      <c r="AF682" s="83">
        <f t="shared" si="138"/>
        <v>-0.34861111111240461</v>
      </c>
      <c r="AG682" s="83">
        <f t="shared" si="139"/>
        <v>56.366666666697711</v>
      </c>
      <c r="AH682" s="83">
        <f t="shared" si="140"/>
        <v>24</v>
      </c>
      <c r="AI682" s="83">
        <f t="shared" si="141"/>
        <v>32.366666666697711</v>
      </c>
      <c r="AJ682" s="83">
        <f t="shared" si="142"/>
        <v>4.8197734294495485</v>
      </c>
      <c r="AK682" s="83"/>
      <c r="AL682" s="83"/>
      <c r="AM682" s="83"/>
      <c r="AN682" s="83"/>
    </row>
    <row r="683" spans="1:40" ht="15" hidden="1" x14ac:dyDescent="0.25">
      <c r="A683" s="82">
        <v>45728</v>
      </c>
      <c r="B683" s="94" t="str">
        <f t="shared" si="132"/>
        <v>March</v>
      </c>
      <c r="C683" s="79" t="s">
        <v>2162</v>
      </c>
      <c r="D683" s="79" t="s">
        <v>424</v>
      </c>
      <c r="E683" s="80" t="s">
        <v>1017</v>
      </c>
      <c r="F683" s="79"/>
      <c r="G683" s="79" t="s">
        <v>67</v>
      </c>
      <c r="H683" s="79" t="s">
        <v>450</v>
      </c>
      <c r="I683" s="79">
        <v>156</v>
      </c>
      <c r="J683" s="79" t="s">
        <v>424</v>
      </c>
      <c r="K683" s="80" t="s">
        <v>469</v>
      </c>
      <c r="L683" s="80">
        <v>288</v>
      </c>
      <c r="M683" s="80">
        <f>L683+4</f>
        <v>292</v>
      </c>
      <c r="N683" s="81">
        <f t="shared" si="143"/>
        <v>4</v>
      </c>
      <c r="P683" s="82">
        <f>R683-TIME(0,26,0)</f>
        <v>45726.339583333334</v>
      </c>
      <c r="Q683" s="82">
        <v>45726.320833333331</v>
      </c>
      <c r="R683" s="82">
        <v>45726.357638888891</v>
      </c>
      <c r="S683" s="81">
        <f t="shared" si="133"/>
        <v>52.75462963472819</v>
      </c>
      <c r="T683" s="81">
        <f t="shared" si="134"/>
        <v>25.879629630556639</v>
      </c>
      <c r="U683" s="79"/>
      <c r="V683" s="82">
        <v>45728.502083333333</v>
      </c>
      <c r="W683" s="82">
        <v>45728.604861111111</v>
      </c>
      <c r="X683" s="103">
        <f t="shared" si="135"/>
        <v>144.91666666712263</v>
      </c>
      <c r="Y683" s="82"/>
      <c r="Z683" s="82">
        <v>45728.779861111114</v>
      </c>
      <c r="AA683" s="82">
        <v>45728.820138888892</v>
      </c>
      <c r="AB683" s="81">
        <f t="shared" si="136"/>
        <v>56.791666667122627</v>
      </c>
      <c r="AC683" s="82"/>
      <c r="AD683" s="83">
        <f t="shared" si="137"/>
        <v>2.422222222223354</v>
      </c>
      <c r="AE683" s="83">
        <v>2</v>
      </c>
      <c r="AF683" s="83">
        <f t="shared" si="138"/>
        <v>-0.42222222222335404</v>
      </c>
      <c r="AG683" s="83">
        <f t="shared" si="139"/>
        <v>58.133333333360497</v>
      </c>
      <c r="AH683" s="83">
        <f t="shared" si="140"/>
        <v>24</v>
      </c>
      <c r="AI683" s="83">
        <f t="shared" si="141"/>
        <v>34.133333333360497</v>
      </c>
      <c r="AJ683" s="83">
        <f t="shared" si="142"/>
        <v>4.5703124999963629</v>
      </c>
      <c r="AK683" s="83"/>
      <c r="AL683" s="83"/>
      <c r="AM683" s="83"/>
      <c r="AN683" s="83"/>
    </row>
    <row r="684" spans="1:40" ht="15" hidden="1" x14ac:dyDescent="0.25">
      <c r="A684" s="82">
        <v>45728</v>
      </c>
      <c r="B684" s="94" t="str">
        <f t="shared" si="132"/>
        <v>March</v>
      </c>
      <c r="C684" s="79" t="s">
        <v>2162</v>
      </c>
      <c r="D684" s="79" t="s">
        <v>425</v>
      </c>
      <c r="E684" s="80" t="s">
        <v>1017</v>
      </c>
      <c r="F684" s="79"/>
      <c r="G684" s="79" t="s">
        <v>71</v>
      </c>
      <c r="H684" s="79" t="s">
        <v>460</v>
      </c>
      <c r="I684" s="79">
        <v>21.6</v>
      </c>
      <c r="J684" s="79" t="s">
        <v>425</v>
      </c>
      <c r="K684" s="80" t="s">
        <v>469</v>
      </c>
      <c r="L684" s="80">
        <v>600</v>
      </c>
      <c r="M684" s="80">
        <f>L684-3</f>
        <v>597</v>
      </c>
      <c r="N684" s="81">
        <f t="shared" si="143"/>
        <v>-3</v>
      </c>
      <c r="P684" s="82">
        <f>R684-TIME(0,29,0)</f>
        <v>45725.703472222223</v>
      </c>
      <c r="Q684" s="82">
        <v>45726.154861111114</v>
      </c>
      <c r="R684" s="82">
        <v>45725.723611111112</v>
      </c>
      <c r="S684" s="81">
        <f t="shared" si="133"/>
        <v>-618.12500000208581</v>
      </c>
      <c r="T684" s="81">
        <f t="shared" si="134"/>
        <v>28.865740740972495</v>
      </c>
      <c r="U684" s="79"/>
      <c r="V684" s="82">
        <v>45729.511805555558</v>
      </c>
      <c r="W684" s="82">
        <v>45729.62777777778</v>
      </c>
      <c r="X684" s="103">
        <f t="shared" si="135"/>
        <v>163.52083333287737</v>
      </c>
      <c r="Y684" s="82"/>
      <c r="Z684" s="82">
        <v>45728.779861111114</v>
      </c>
      <c r="AA684" s="82">
        <f>Z684+TIME(0,57,0)</f>
        <v>45728.819444444445</v>
      </c>
      <c r="AB684" s="81">
        <f t="shared" si="136"/>
        <v>55.81249999726424</v>
      </c>
      <c r="AC684" s="82"/>
      <c r="AD684" s="83">
        <f t="shared" si="137"/>
        <v>3.0562500000014552</v>
      </c>
      <c r="AE684" s="83">
        <v>2</v>
      </c>
      <c r="AF684" s="83">
        <f t="shared" si="138"/>
        <v>-1.0562500000014552</v>
      </c>
      <c r="AG684" s="83">
        <f t="shared" si="139"/>
        <v>73.350000000034925</v>
      </c>
      <c r="AH684" s="83">
        <f t="shared" si="140"/>
        <v>36</v>
      </c>
      <c r="AI684" s="83">
        <f t="shared" si="141"/>
        <v>37.350000000034925</v>
      </c>
      <c r="AJ684" s="83">
        <f t="shared" si="142"/>
        <v>0.57831325301150749</v>
      </c>
      <c r="AK684" s="83"/>
      <c r="AL684" s="83"/>
      <c r="AM684" s="83"/>
      <c r="AN684" s="83"/>
    </row>
    <row r="685" spans="1:40" ht="15" hidden="1" x14ac:dyDescent="0.25">
      <c r="A685" s="82">
        <v>45728</v>
      </c>
      <c r="B685" s="94" t="str">
        <f t="shared" si="132"/>
        <v>March</v>
      </c>
      <c r="C685" s="79" t="s">
        <v>2162</v>
      </c>
      <c r="D685" s="79" t="s">
        <v>426</v>
      </c>
      <c r="E685" s="80" t="s">
        <v>1017</v>
      </c>
      <c r="F685" s="79"/>
      <c r="G685" s="79" t="s">
        <v>74</v>
      </c>
      <c r="H685" s="79" t="s">
        <v>454</v>
      </c>
      <c r="I685" s="79">
        <v>156</v>
      </c>
      <c r="J685" s="79" t="s">
        <v>426</v>
      </c>
      <c r="K685" s="80" t="s">
        <v>469</v>
      </c>
      <c r="L685" s="80">
        <v>304</v>
      </c>
      <c r="M685" s="80">
        <f>L685+3</f>
        <v>307</v>
      </c>
      <c r="N685" s="81">
        <f t="shared" si="143"/>
        <v>3</v>
      </c>
      <c r="P685" s="82">
        <f>R685-TIME(0,28,0)</f>
        <v>45727.756249999999</v>
      </c>
      <c r="Q685" s="82">
        <v>45726.934027777781</v>
      </c>
      <c r="R685" s="82">
        <v>45727.775694444441</v>
      </c>
      <c r="S685" s="81">
        <f t="shared" si="133"/>
        <v>1206.3888888791553</v>
      </c>
      <c r="T685" s="81">
        <f t="shared" si="134"/>
        <v>27.870370367357584</v>
      </c>
      <c r="U685" s="79"/>
      <c r="V685" s="82">
        <v>45728.734722222223</v>
      </c>
      <c r="W685" s="82">
        <v>45728.849305555559</v>
      </c>
      <c r="X685" s="103">
        <f t="shared" si="135"/>
        <v>161.5625000034197</v>
      </c>
      <c r="Y685" s="82"/>
      <c r="Z685" s="82">
        <v>45728.779861111114</v>
      </c>
      <c r="AA685" s="82">
        <f>Z685+TIME(0,56,0)</f>
        <v>45728.818750000006</v>
      </c>
      <c r="AB685" s="81">
        <f t="shared" si="136"/>
        <v>54.833333337664953</v>
      </c>
      <c r="AC685" s="82"/>
      <c r="AD685" s="83">
        <f t="shared" si="137"/>
        <v>1.0041666666729725</v>
      </c>
      <c r="AE685" s="83">
        <v>2</v>
      </c>
      <c r="AF685" s="83">
        <f t="shared" si="138"/>
        <v>0.9958333333270275</v>
      </c>
      <c r="AG685" s="83">
        <f t="shared" si="139"/>
        <v>24.10000000015134</v>
      </c>
      <c r="AH685" s="83">
        <f t="shared" si="140"/>
        <v>12</v>
      </c>
      <c r="AI685" s="83">
        <f t="shared" si="141"/>
        <v>12.10000000015134</v>
      </c>
      <c r="AJ685" s="83">
        <f t="shared" si="142"/>
        <v>12.892561983309822</v>
      </c>
      <c r="AK685" s="83"/>
      <c r="AL685" s="83"/>
      <c r="AM685" s="83"/>
      <c r="AN685" s="83"/>
    </row>
    <row r="686" spans="1:40" ht="15" hidden="1" x14ac:dyDescent="0.25">
      <c r="A686" s="82">
        <v>45728</v>
      </c>
      <c r="B686" s="94" t="str">
        <f t="shared" si="132"/>
        <v>March</v>
      </c>
      <c r="C686" s="79" t="s">
        <v>2162</v>
      </c>
      <c r="D686" s="79" t="s">
        <v>427</v>
      </c>
      <c r="E686" s="80" t="s">
        <v>1017</v>
      </c>
      <c r="F686" s="79" t="s">
        <v>963</v>
      </c>
      <c r="G686" s="79" t="s">
        <v>60</v>
      </c>
      <c r="H686" s="79" t="s">
        <v>454</v>
      </c>
      <c r="I686" s="79">
        <v>156</v>
      </c>
      <c r="J686" s="79" t="s">
        <v>427</v>
      </c>
      <c r="K686" s="80" t="s">
        <v>469</v>
      </c>
      <c r="L686" s="80">
        <v>304</v>
      </c>
      <c r="M686" s="80">
        <f>L686-3</f>
        <v>301</v>
      </c>
      <c r="N686" s="81">
        <f t="shared" si="143"/>
        <v>-3</v>
      </c>
      <c r="P686" s="82">
        <f>R686-TIME(0,53,0)</f>
        <v>45727.243055555555</v>
      </c>
      <c r="Q686" s="82">
        <v>45726.875</v>
      </c>
      <c r="R686" s="82">
        <v>45727.279861111114</v>
      </c>
      <c r="S686" s="81">
        <f t="shared" si="133"/>
        <v>580.30092592986568</v>
      </c>
      <c r="T686" s="81">
        <f t="shared" si="134"/>
        <v>52.75462963472819</v>
      </c>
      <c r="U686" s="79" t="s">
        <v>2164</v>
      </c>
      <c r="V686" s="82">
        <v>45728.306250000001</v>
      </c>
      <c r="W686" s="82">
        <v>45728.537499999999</v>
      </c>
      <c r="X686" s="103">
        <f t="shared" si="135"/>
        <v>326.06249999589636</v>
      </c>
      <c r="Y686" s="82" t="s">
        <v>1038</v>
      </c>
      <c r="Z686" s="82">
        <v>45729.366666666669</v>
      </c>
      <c r="AA686" s="82">
        <f>Z686+TIME(0,41,0)</f>
        <v>45729.395138888889</v>
      </c>
      <c r="AB686" s="81">
        <f t="shared" si="136"/>
        <v>40.145833330825553</v>
      </c>
      <c r="AC686" s="82"/>
      <c r="AD686" s="83">
        <f t="shared" si="137"/>
        <v>2.0868055555547471</v>
      </c>
      <c r="AE686" s="83">
        <v>2</v>
      </c>
      <c r="AF686" s="83">
        <f t="shared" si="138"/>
        <v>-8.6805555554747116E-2</v>
      </c>
      <c r="AG686" s="83">
        <f t="shared" si="139"/>
        <v>50.083333333313931</v>
      </c>
      <c r="AH686" s="83">
        <f t="shared" si="140"/>
        <v>24</v>
      </c>
      <c r="AI686" s="83">
        <f t="shared" si="141"/>
        <v>26.083333333313931</v>
      </c>
      <c r="AJ686" s="83">
        <f t="shared" si="142"/>
        <v>5.9808306709309669</v>
      </c>
      <c r="AK686" s="83"/>
      <c r="AL686" s="83"/>
      <c r="AM686" s="83"/>
      <c r="AN686" s="83"/>
    </row>
    <row r="687" spans="1:40" ht="15" hidden="1" x14ac:dyDescent="0.25">
      <c r="A687" s="82">
        <v>45728</v>
      </c>
      <c r="B687" s="94" t="str">
        <f t="shared" si="132"/>
        <v>March</v>
      </c>
      <c r="C687" s="79" t="s">
        <v>2162</v>
      </c>
      <c r="D687" s="79" t="s">
        <v>428</v>
      </c>
      <c r="E687" s="80" t="s">
        <v>1017</v>
      </c>
      <c r="F687" s="79"/>
      <c r="G687" s="79" t="s">
        <v>42</v>
      </c>
      <c r="H687" s="79" t="s">
        <v>451</v>
      </c>
      <c r="I687" s="79">
        <v>6.3</v>
      </c>
      <c r="J687" s="79" t="s">
        <v>428</v>
      </c>
      <c r="K687" s="80" t="s">
        <v>469</v>
      </c>
      <c r="L687" s="80">
        <v>790</v>
      </c>
      <c r="M687" s="80">
        <f>L687-4</f>
        <v>786</v>
      </c>
      <c r="N687" s="81">
        <f t="shared" si="143"/>
        <v>-4</v>
      </c>
      <c r="P687" s="82">
        <f>R687-TIME(0,26,0)</f>
        <v>45727.339583333334</v>
      </c>
      <c r="Q687" s="82">
        <v>45727.244444444441</v>
      </c>
      <c r="R687" s="82">
        <v>45727.357638888891</v>
      </c>
      <c r="S687" s="81">
        <f t="shared" si="133"/>
        <v>162.24537037778646</v>
      </c>
      <c r="T687" s="81">
        <f t="shared" si="134"/>
        <v>25.879629630556639</v>
      </c>
      <c r="U687" s="79"/>
      <c r="V687" s="82">
        <v>45729.5625</v>
      </c>
      <c r="W687" s="82">
        <v>45729.650694444441</v>
      </c>
      <c r="X687" s="103">
        <f t="shared" si="135"/>
        <v>124.35416666165111</v>
      </c>
      <c r="Y687" s="82"/>
      <c r="Z687" s="82">
        <v>45728.493055555555</v>
      </c>
      <c r="AA687" s="82">
        <v>45728.532638888886</v>
      </c>
      <c r="AB687" s="81">
        <f t="shared" si="136"/>
        <v>55.81249999726424</v>
      </c>
      <c r="AC687" s="82"/>
      <c r="AD687" s="83">
        <f t="shared" si="137"/>
        <v>1.1354166666642413</v>
      </c>
      <c r="AE687" s="83">
        <v>3</v>
      </c>
      <c r="AF687" s="83">
        <f t="shared" si="138"/>
        <v>1.8645833333357587</v>
      </c>
      <c r="AG687" s="83">
        <f t="shared" si="139"/>
        <v>27.249999999941792</v>
      </c>
      <c r="AH687" s="83">
        <f t="shared" si="140"/>
        <v>12</v>
      </c>
      <c r="AI687" s="83">
        <f t="shared" si="141"/>
        <v>15.249999999941792</v>
      </c>
      <c r="AJ687" s="83">
        <f t="shared" si="142"/>
        <v>0.41311475409993748</v>
      </c>
      <c r="AK687" s="83"/>
      <c r="AL687" s="83"/>
      <c r="AM687" s="83"/>
      <c r="AN687" s="83"/>
    </row>
    <row r="688" spans="1:40" ht="15" hidden="1" x14ac:dyDescent="0.25">
      <c r="A688" s="82">
        <v>45728</v>
      </c>
      <c r="B688" s="94" t="str">
        <f t="shared" si="132"/>
        <v>March</v>
      </c>
      <c r="C688" s="79" t="s">
        <v>2162</v>
      </c>
      <c r="D688" s="79" t="s">
        <v>429</v>
      </c>
      <c r="E688" s="80" t="s">
        <v>1017</v>
      </c>
      <c r="F688" s="79" t="s">
        <v>1027</v>
      </c>
      <c r="G688" s="79" t="s">
        <v>34</v>
      </c>
      <c r="H688" s="79" t="s">
        <v>462</v>
      </c>
      <c r="I688" s="79">
        <v>156</v>
      </c>
      <c r="J688" s="79" t="s">
        <v>429</v>
      </c>
      <c r="K688" s="80" t="s">
        <v>469</v>
      </c>
      <c r="L688" s="80">
        <v>680</v>
      </c>
      <c r="M688" s="80">
        <f>L688-3</f>
        <v>677</v>
      </c>
      <c r="N688" s="81">
        <f t="shared" si="143"/>
        <v>-3</v>
      </c>
      <c r="P688" s="82">
        <f>R688-TIME(0,27,0)</f>
        <v>45727.290277777778</v>
      </c>
      <c r="Q688" s="82">
        <v>45727.319444444445</v>
      </c>
      <c r="R688" s="82">
        <v>45727.309027777781</v>
      </c>
      <c r="S688" s="81">
        <f t="shared" si="133"/>
        <v>-14.930555552079264</v>
      </c>
      <c r="T688" s="81">
        <f t="shared" si="134"/>
        <v>26.87500000417155</v>
      </c>
      <c r="U688" s="79"/>
      <c r="V688" s="82">
        <v>45727.709722222222</v>
      </c>
      <c r="W688" s="82">
        <v>45728.455555555556</v>
      </c>
      <c r="X688" s="103">
        <f t="shared" si="135"/>
        <v>1051.6250000013679</v>
      </c>
      <c r="Y688" s="82" t="s">
        <v>1040</v>
      </c>
      <c r="Z688" s="82">
        <v>45728.535416666666</v>
      </c>
      <c r="AA688" s="82">
        <f>Z688+TIME(0,56,0)</f>
        <v>45728.574305555558</v>
      </c>
      <c r="AB688" s="81">
        <f t="shared" si="136"/>
        <v>54.833333337664953</v>
      </c>
      <c r="AC688" s="82"/>
      <c r="AD688" s="83">
        <f t="shared" si="137"/>
        <v>1.226388888884685</v>
      </c>
      <c r="AE688" s="83">
        <v>3</v>
      </c>
      <c r="AF688" s="83">
        <f t="shared" si="138"/>
        <v>1.773611111115315</v>
      </c>
      <c r="AG688" s="83">
        <f t="shared" si="139"/>
        <v>29.43333333323244</v>
      </c>
      <c r="AH688" s="83">
        <f t="shared" si="140"/>
        <v>12</v>
      </c>
      <c r="AI688" s="83">
        <f t="shared" si="141"/>
        <v>17.43333333323244</v>
      </c>
      <c r="AJ688" s="83">
        <f t="shared" si="142"/>
        <v>8.9483747610460522</v>
      </c>
      <c r="AK688" s="83"/>
      <c r="AL688" s="83"/>
      <c r="AM688" s="83"/>
      <c r="AN688" s="83"/>
    </row>
    <row r="689" spans="1:41" ht="15" hidden="1" x14ac:dyDescent="0.25">
      <c r="A689" s="82">
        <v>45728</v>
      </c>
      <c r="B689" s="94" t="str">
        <f t="shared" si="132"/>
        <v>March</v>
      </c>
      <c r="C689" s="79" t="s">
        <v>2162</v>
      </c>
      <c r="D689" s="79" t="s">
        <v>430</v>
      </c>
      <c r="E689" s="80" t="s">
        <v>1017</v>
      </c>
      <c r="F689" s="79" t="s">
        <v>1019</v>
      </c>
      <c r="G689" s="79" t="s">
        <v>37</v>
      </c>
      <c r="H689" s="79" t="s">
        <v>452</v>
      </c>
      <c r="I689" s="79">
        <v>156</v>
      </c>
      <c r="J689" s="79" t="s">
        <v>430</v>
      </c>
      <c r="K689" s="80" t="s">
        <v>469</v>
      </c>
      <c r="L689" s="80">
        <v>690</v>
      </c>
      <c r="M689" s="80">
        <f>L689-3</f>
        <v>687</v>
      </c>
      <c r="N689" s="81">
        <f t="shared" si="143"/>
        <v>-3</v>
      </c>
      <c r="P689" s="82">
        <f>R689-TIME(0,27,0)</f>
        <v>45726.439583333333</v>
      </c>
      <c r="Q689" s="82">
        <v>45726.694444444445</v>
      </c>
      <c r="R689" s="82">
        <v>45726.458333333336</v>
      </c>
      <c r="S689" s="81">
        <f t="shared" si="133"/>
        <v>-338.42592592360842</v>
      </c>
      <c r="T689" s="81">
        <f t="shared" si="134"/>
        <v>26.87500000417155</v>
      </c>
      <c r="U689" s="79"/>
      <c r="V689" s="82">
        <v>45728.359027777777</v>
      </c>
      <c r="W689" s="82">
        <v>45728.518750000003</v>
      </c>
      <c r="X689" s="103">
        <f t="shared" si="135"/>
        <v>225.20833333903283</v>
      </c>
      <c r="Y689" s="82" t="s">
        <v>1039</v>
      </c>
      <c r="Z689" s="82">
        <v>45728.544444444444</v>
      </c>
      <c r="AA689" s="82">
        <v>45728.583333333336</v>
      </c>
      <c r="AB689" s="81">
        <f t="shared" si="136"/>
        <v>54.833333337664953</v>
      </c>
      <c r="AC689" s="82"/>
      <c r="AD689" s="83">
        <f t="shared" si="137"/>
        <v>2.086111111108039</v>
      </c>
      <c r="AE689" s="83">
        <v>3</v>
      </c>
      <c r="AF689" s="83">
        <f t="shared" si="138"/>
        <v>0.91388888889196096</v>
      </c>
      <c r="AG689" s="83">
        <f t="shared" si="139"/>
        <v>50.066666666592937</v>
      </c>
      <c r="AH689" s="83">
        <f t="shared" si="140"/>
        <v>24</v>
      </c>
      <c r="AI689" s="83">
        <f t="shared" si="141"/>
        <v>26.066666666592937</v>
      </c>
      <c r="AJ689" s="83">
        <f t="shared" si="142"/>
        <v>5.9846547314747278</v>
      </c>
      <c r="AK689" s="83"/>
      <c r="AL689" s="83"/>
      <c r="AM689" s="83"/>
      <c r="AN689" s="83"/>
    </row>
    <row r="690" spans="1:41" ht="15" hidden="1" x14ac:dyDescent="0.25">
      <c r="A690" s="82">
        <v>45728</v>
      </c>
      <c r="B690" s="94" t="str">
        <f t="shared" si="132"/>
        <v>March</v>
      </c>
      <c r="C690" s="79" t="s">
        <v>2162</v>
      </c>
      <c r="D690" s="79" t="s">
        <v>431</v>
      </c>
      <c r="E690" s="87" t="s">
        <v>1017</v>
      </c>
      <c r="F690" s="79" t="s">
        <v>1015</v>
      </c>
      <c r="G690" s="79" t="s">
        <v>43</v>
      </c>
      <c r="H690" s="79" t="s">
        <v>460</v>
      </c>
      <c r="I690" s="79">
        <v>156</v>
      </c>
      <c r="J690" s="79" t="s">
        <v>431</v>
      </c>
      <c r="K690" s="80" t="s">
        <v>469</v>
      </c>
      <c r="L690" s="87">
        <v>600</v>
      </c>
      <c r="M690" s="87">
        <f>L690-2</f>
        <v>598</v>
      </c>
      <c r="N690" s="81">
        <f t="shared" si="143"/>
        <v>-2</v>
      </c>
      <c r="O690" s="86"/>
      <c r="P690" s="82">
        <f>R690-TIME(0,29,0)</f>
        <v>45726.628472222219</v>
      </c>
      <c r="Q690" s="82">
        <v>45727.240277777775</v>
      </c>
      <c r="R690" s="82">
        <v>45726.648611111108</v>
      </c>
      <c r="S690" s="81">
        <f t="shared" si="133"/>
        <v>-848.05555555625085</v>
      </c>
      <c r="T690" s="81">
        <f t="shared" si="134"/>
        <v>28.865740740972495</v>
      </c>
      <c r="U690" s="79"/>
      <c r="V690" s="82">
        <v>45728.504166666666</v>
      </c>
      <c r="W690" s="82">
        <v>45728.651388888888</v>
      </c>
      <c r="X690" s="103">
        <f t="shared" si="135"/>
        <v>207.58333333287737</v>
      </c>
      <c r="Y690" s="82" t="s">
        <v>1044</v>
      </c>
      <c r="Z690" s="82">
        <v>45729.416666666664</v>
      </c>
      <c r="AA690" s="82">
        <f>Z690+TIME(0,41,0)</f>
        <v>45729.445138888885</v>
      </c>
      <c r="AB690" s="81">
        <f t="shared" si="136"/>
        <v>40.145833330825553</v>
      </c>
      <c r="AC690" s="82"/>
      <c r="AD690" s="83">
        <f t="shared" si="137"/>
        <v>2.7680555555562023</v>
      </c>
      <c r="AE690" s="83">
        <v>3</v>
      </c>
      <c r="AF690" s="83">
        <f t="shared" si="138"/>
        <v>0.23194444444379769</v>
      </c>
      <c r="AG690" s="83">
        <f t="shared" si="139"/>
        <v>66.433333333348855</v>
      </c>
      <c r="AH690" s="83">
        <f t="shared" si="140"/>
        <v>24</v>
      </c>
      <c r="AI690" s="83">
        <f t="shared" si="141"/>
        <v>42.433333333348855</v>
      </c>
      <c r="AJ690" s="83">
        <f t="shared" si="142"/>
        <v>3.6763550667700615</v>
      </c>
      <c r="AK690" s="83"/>
      <c r="AL690" s="83"/>
      <c r="AM690" s="83"/>
      <c r="AN690" s="83"/>
      <c r="AO690" s="86"/>
    </row>
    <row r="691" spans="1:41" ht="15" hidden="1" x14ac:dyDescent="0.25">
      <c r="A691" s="82">
        <v>45728</v>
      </c>
      <c r="B691" s="94" t="str">
        <f t="shared" si="132"/>
        <v>March</v>
      </c>
      <c r="C691" s="79" t="s">
        <v>2161</v>
      </c>
      <c r="D691" s="79" t="s">
        <v>911</v>
      </c>
      <c r="E691" s="80" t="s">
        <v>1016</v>
      </c>
      <c r="F691" s="79" t="s">
        <v>954</v>
      </c>
      <c r="G691" s="79" t="s">
        <v>971</v>
      </c>
      <c r="H691" s="79" t="s">
        <v>991</v>
      </c>
      <c r="I691" s="79">
        <v>153.6</v>
      </c>
      <c r="K691" s="80" t="s">
        <v>469</v>
      </c>
      <c r="L691" s="79">
        <v>20</v>
      </c>
      <c r="M691" s="80">
        <f>L691-3</f>
        <v>17</v>
      </c>
      <c r="N691" s="81">
        <f t="shared" si="143"/>
        <v>-3</v>
      </c>
      <c r="P691" s="82">
        <f>R691-TIME(0,26,0)</f>
        <v>45728.347222222219</v>
      </c>
      <c r="Q691" s="82">
        <v>45728.416666666664</v>
      </c>
      <c r="R691" s="82">
        <v>45728.365277777775</v>
      </c>
      <c r="S691" s="81">
        <f t="shared" si="133"/>
        <v>-73.657407407639155</v>
      </c>
      <c r="T691" s="81">
        <f t="shared" si="134"/>
        <v>25.879629630556639</v>
      </c>
      <c r="U691" s="79"/>
      <c r="V691" s="82">
        <v>45728.668749999997</v>
      </c>
      <c r="W691" s="82">
        <v>45728.759027777778</v>
      </c>
      <c r="X691" s="103">
        <f t="shared" si="135"/>
        <v>127.29166667122627</v>
      </c>
      <c r="Y691" s="82"/>
      <c r="Z691" s="82">
        <v>45728.696527777778</v>
      </c>
      <c r="AA691" s="82">
        <f>Z691+TIME(0,56,0)</f>
        <v>45728.73541666667</v>
      </c>
      <c r="AB691" s="81">
        <f t="shared" si="136"/>
        <v>54.833333337664953</v>
      </c>
      <c r="AC691" s="82"/>
      <c r="AD691" s="83">
        <f t="shared" si="137"/>
        <v>0.33125000000291038</v>
      </c>
      <c r="AE691" s="83">
        <v>1</v>
      </c>
      <c r="AF691" s="83">
        <f t="shared" si="138"/>
        <v>0.66874999999708962</v>
      </c>
      <c r="AG691" s="83">
        <f t="shared" si="139"/>
        <v>7.9500000000698492</v>
      </c>
      <c r="AH691" s="83">
        <f t="shared" si="140"/>
        <v>0</v>
      </c>
      <c r="AI691" s="83">
        <f t="shared" si="141"/>
        <v>7.9500000000698492</v>
      </c>
      <c r="AJ691" s="83">
        <f t="shared" si="142"/>
        <v>19.320754716811379</v>
      </c>
      <c r="AK691" s="83"/>
      <c r="AL691" s="83"/>
      <c r="AM691" s="83"/>
      <c r="AN691" s="83"/>
    </row>
    <row r="692" spans="1:41" ht="15" hidden="1" x14ac:dyDescent="0.25">
      <c r="A692" s="82">
        <v>45728</v>
      </c>
      <c r="B692" s="94" t="str">
        <f t="shared" si="132"/>
        <v>March</v>
      </c>
      <c r="C692" s="79" t="s">
        <v>2161</v>
      </c>
      <c r="D692" s="79" t="s">
        <v>913</v>
      </c>
      <c r="E692" s="80" t="s">
        <v>1016</v>
      </c>
      <c r="F692" s="79" t="s">
        <v>962</v>
      </c>
      <c r="G692" s="79" t="s">
        <v>978</v>
      </c>
      <c r="H692" s="79" t="s">
        <v>982</v>
      </c>
      <c r="I692" s="79">
        <v>153.6</v>
      </c>
      <c r="K692" s="80" t="s">
        <v>469</v>
      </c>
      <c r="L692" s="80">
        <v>298</v>
      </c>
      <c r="M692" s="80">
        <f>L692-1</f>
        <v>297</v>
      </c>
      <c r="N692" s="81">
        <f t="shared" si="143"/>
        <v>-1</v>
      </c>
      <c r="P692" s="82">
        <f>R692-TIME(0,27,0)</f>
        <v>45727.852777777778</v>
      </c>
      <c r="Q692" s="82">
        <v>45728.333333333336</v>
      </c>
      <c r="R692" s="82">
        <v>45727.871527777781</v>
      </c>
      <c r="S692" s="81">
        <f t="shared" si="133"/>
        <v>-661.92129629513749</v>
      </c>
      <c r="T692" s="81">
        <f t="shared" si="134"/>
        <v>26.87500000417155</v>
      </c>
      <c r="U692" s="79"/>
      <c r="V692" s="82">
        <v>45728.504166666666</v>
      </c>
      <c r="W692" s="82">
        <v>45728.651388888888</v>
      </c>
      <c r="X692" s="103">
        <f t="shared" si="135"/>
        <v>207.58333333287737</v>
      </c>
      <c r="Y692" s="82" t="s">
        <v>1049</v>
      </c>
      <c r="Z692" s="82">
        <v>45729.416666666664</v>
      </c>
      <c r="AA692" s="82">
        <f>Z692+TIME(0,56,0)</f>
        <v>45729.455555555556</v>
      </c>
      <c r="AB692" s="81">
        <f t="shared" si="136"/>
        <v>54.833333337664953</v>
      </c>
      <c r="AC692" s="82"/>
      <c r="AD692" s="83">
        <f t="shared" si="137"/>
        <v>1.5451388888832298</v>
      </c>
      <c r="AE692" s="83">
        <v>2</v>
      </c>
      <c r="AF692" s="83">
        <f t="shared" si="138"/>
        <v>0.45486111111677019</v>
      </c>
      <c r="AG692" s="83">
        <f t="shared" si="139"/>
        <v>37.083333333197515</v>
      </c>
      <c r="AH692" s="83">
        <f t="shared" si="140"/>
        <v>12</v>
      </c>
      <c r="AI692" s="83">
        <f t="shared" si="141"/>
        <v>25.083333333197515</v>
      </c>
      <c r="AJ692" s="83">
        <f t="shared" si="142"/>
        <v>6.1235880399002669</v>
      </c>
      <c r="AK692" s="83"/>
      <c r="AL692" s="83"/>
      <c r="AM692" s="83"/>
      <c r="AN692" s="83"/>
    </row>
    <row r="693" spans="1:41" ht="15" hidden="1" x14ac:dyDescent="0.25">
      <c r="A693" s="82">
        <v>45728</v>
      </c>
      <c r="B693" s="94" t="str">
        <f t="shared" si="132"/>
        <v>March</v>
      </c>
      <c r="C693" s="79" t="s">
        <v>2161</v>
      </c>
      <c r="D693" s="79" t="s">
        <v>912</v>
      </c>
      <c r="E693" s="80" t="s">
        <v>1016</v>
      </c>
      <c r="F693" s="79" t="s">
        <v>952</v>
      </c>
      <c r="G693" s="79" t="s">
        <v>969</v>
      </c>
      <c r="H693" s="79" t="s">
        <v>991</v>
      </c>
      <c r="I693" s="79">
        <v>153.6</v>
      </c>
      <c r="J693" s="79"/>
      <c r="K693" s="80" t="s">
        <v>469</v>
      </c>
      <c r="L693" s="79">
        <v>20</v>
      </c>
      <c r="M693" s="80">
        <f>L693-3</f>
        <v>17</v>
      </c>
      <c r="N693" s="81">
        <f t="shared" si="143"/>
        <v>-3</v>
      </c>
      <c r="P693" s="82">
        <f t="shared" ref="P693:P694" si="145">R693-TIME(0,26,0)</f>
        <v>45727.84652777778</v>
      </c>
      <c r="Q693" s="82">
        <v>45728.416666666664</v>
      </c>
      <c r="R693" s="82">
        <v>45727.864583333336</v>
      </c>
      <c r="S693" s="81">
        <f t="shared" si="133"/>
        <v>-791.31944443749182</v>
      </c>
      <c r="T693" s="81">
        <f t="shared" si="134"/>
        <v>25.879629630556639</v>
      </c>
      <c r="U693" s="79"/>
      <c r="V693" s="82">
        <v>45728.359027777777</v>
      </c>
      <c r="W693" s="82">
        <v>45728.518750000003</v>
      </c>
      <c r="X693" s="103">
        <f t="shared" si="135"/>
        <v>225.20833333903283</v>
      </c>
      <c r="Y693" s="82" t="s">
        <v>1044</v>
      </c>
      <c r="Z693" s="82">
        <v>45728.544444444444</v>
      </c>
      <c r="AA693" s="82">
        <f>Z693+TIME(0,41,0)</f>
        <v>45728.572916666664</v>
      </c>
      <c r="AB693" s="81">
        <f t="shared" si="136"/>
        <v>40.145833330825553</v>
      </c>
      <c r="AC693" s="82"/>
      <c r="AD693" s="83">
        <f t="shared" si="137"/>
        <v>0.67986111110803904</v>
      </c>
      <c r="AE693" s="83">
        <v>1</v>
      </c>
      <c r="AF693" s="83">
        <f t="shared" si="138"/>
        <v>0.32013888889196096</v>
      </c>
      <c r="AG693" s="83">
        <f t="shared" si="139"/>
        <v>16.316666666592937</v>
      </c>
      <c r="AH693" s="83">
        <f t="shared" si="140"/>
        <v>0</v>
      </c>
      <c r="AI693" s="83">
        <f t="shared" si="141"/>
        <v>16.316666666592937</v>
      </c>
      <c r="AJ693" s="83">
        <f t="shared" si="142"/>
        <v>9.413687436201883</v>
      </c>
      <c r="AK693" s="83"/>
      <c r="AL693" s="83"/>
      <c r="AM693" s="83"/>
      <c r="AN693" s="83"/>
    </row>
    <row r="694" spans="1:41" ht="15" hidden="1" x14ac:dyDescent="0.25">
      <c r="A694" s="82">
        <v>45729</v>
      </c>
      <c r="B694" s="94" t="str">
        <f t="shared" si="132"/>
        <v>March</v>
      </c>
      <c r="C694" s="79" t="s">
        <v>2162</v>
      </c>
      <c r="D694" s="79" t="s">
        <v>432</v>
      </c>
      <c r="E694" s="80" t="s">
        <v>1017</v>
      </c>
      <c r="F694" s="79"/>
      <c r="G694" s="79" t="s">
        <v>80</v>
      </c>
      <c r="H694" s="79" t="s">
        <v>449</v>
      </c>
      <c r="I694" s="79">
        <v>5.04</v>
      </c>
      <c r="J694" s="79" t="s">
        <v>432</v>
      </c>
      <c r="K694" s="80" t="s">
        <v>469</v>
      </c>
      <c r="L694" s="80">
        <v>790</v>
      </c>
      <c r="M694" s="80">
        <f>L694-2</f>
        <v>788</v>
      </c>
      <c r="N694" s="81">
        <f t="shared" si="143"/>
        <v>-2</v>
      </c>
      <c r="P694" s="82">
        <f t="shared" si="145"/>
        <v>45727.640277777777</v>
      </c>
      <c r="Q694" s="82">
        <v>45727.604861111111</v>
      </c>
      <c r="R694" s="82">
        <v>45727.658333333333</v>
      </c>
      <c r="S694" s="81">
        <f t="shared" si="133"/>
        <v>76.643518518055018</v>
      </c>
      <c r="T694" s="81">
        <f t="shared" si="134"/>
        <v>25.879629630556639</v>
      </c>
      <c r="U694" s="79"/>
      <c r="V694" s="82">
        <v>45728.691666666666</v>
      </c>
      <c r="W694" s="82">
        <v>45728.768750000003</v>
      </c>
      <c r="X694" s="103">
        <f t="shared" si="135"/>
        <v>108.68750000547152</v>
      </c>
      <c r="Y694" s="82"/>
      <c r="Z694" s="82">
        <v>45729.705555555556</v>
      </c>
      <c r="AA694" s="82">
        <v>45729.744444444448</v>
      </c>
      <c r="AB694" s="81">
        <f t="shared" si="136"/>
        <v>54.833333337664953</v>
      </c>
      <c r="AC694" s="82"/>
      <c r="AD694" s="83">
        <f t="shared" si="137"/>
        <v>2.047222222223354</v>
      </c>
      <c r="AE694" s="83">
        <v>3</v>
      </c>
      <c r="AF694" s="83">
        <f t="shared" si="138"/>
        <v>0.95277777777664596</v>
      </c>
      <c r="AG694" s="83">
        <f t="shared" si="139"/>
        <v>49.133333333360497</v>
      </c>
      <c r="AH694" s="83">
        <f t="shared" si="140"/>
        <v>24</v>
      </c>
      <c r="AI694" s="83">
        <f t="shared" si="141"/>
        <v>25.133333333360497</v>
      </c>
      <c r="AJ694" s="83">
        <f t="shared" si="142"/>
        <v>0.20053050397856312</v>
      </c>
      <c r="AK694" s="83"/>
      <c r="AL694" s="83"/>
      <c r="AM694" s="83"/>
      <c r="AN694" s="83"/>
    </row>
    <row r="695" spans="1:41" ht="15" hidden="1" x14ac:dyDescent="0.25">
      <c r="A695" s="82">
        <v>45729</v>
      </c>
      <c r="B695" s="94" t="str">
        <f t="shared" si="132"/>
        <v>March</v>
      </c>
      <c r="C695" s="79" t="s">
        <v>2162</v>
      </c>
      <c r="D695" s="79" t="s">
        <v>433</v>
      </c>
      <c r="E695" s="80" t="s">
        <v>1017</v>
      </c>
      <c r="F695" s="79"/>
      <c r="G695" s="79" t="s">
        <v>70</v>
      </c>
      <c r="H695" s="79" t="s">
        <v>450</v>
      </c>
      <c r="I695" s="79">
        <v>5.04</v>
      </c>
      <c r="J695" s="79" t="s">
        <v>433</v>
      </c>
      <c r="K695" s="80" t="s">
        <v>469</v>
      </c>
      <c r="L695" s="80">
        <v>288</v>
      </c>
      <c r="M695" s="80">
        <f>L695+4</f>
        <v>292</v>
      </c>
      <c r="N695" s="81">
        <f t="shared" si="143"/>
        <v>4</v>
      </c>
      <c r="P695" s="82">
        <f t="shared" ref="P695:P696" si="146">R695-TIME(0,26,0)</f>
        <v>45726.516666666663</v>
      </c>
      <c r="Q695" s="82">
        <v>45726.515277777777</v>
      </c>
      <c r="R695" s="82">
        <v>45726.534722222219</v>
      </c>
      <c r="S695" s="81">
        <f t="shared" si="133"/>
        <v>27.870370367357584</v>
      </c>
      <c r="T695" s="81">
        <f t="shared" si="134"/>
        <v>25.879629630556639</v>
      </c>
      <c r="U695" s="79"/>
      <c r="V695" s="82">
        <v>45729.311111111114</v>
      </c>
      <c r="W695" s="82">
        <v>45729.54791666667</v>
      </c>
      <c r="X695" s="103">
        <f t="shared" si="135"/>
        <v>333.89583333424525</v>
      </c>
      <c r="Y695" s="82" t="s">
        <v>1049</v>
      </c>
      <c r="Z695" s="82">
        <v>45729.279861111114</v>
      </c>
      <c r="AA695" s="82">
        <f>Z695+TIME(0,41,0)</f>
        <v>45729.308333333334</v>
      </c>
      <c r="AB695" s="81">
        <f t="shared" si="136"/>
        <v>40.145833330825553</v>
      </c>
      <c r="AC695" s="82"/>
      <c r="AD695" s="83">
        <f t="shared" si="137"/>
        <v>2.7451388888948713</v>
      </c>
      <c r="AE695" s="83">
        <v>2</v>
      </c>
      <c r="AF695" s="83">
        <f t="shared" si="138"/>
        <v>-0.74513888889487134</v>
      </c>
      <c r="AG695" s="83">
        <f t="shared" si="139"/>
        <v>65.883333333476912</v>
      </c>
      <c r="AH695" s="83">
        <f t="shared" si="140"/>
        <v>24</v>
      </c>
      <c r="AI695" s="83">
        <f t="shared" si="141"/>
        <v>41.883333333476912</v>
      </c>
      <c r="AJ695" s="83">
        <f t="shared" si="142"/>
        <v>0.1203342618380276</v>
      </c>
      <c r="AK695" s="83"/>
      <c r="AL695" s="83"/>
      <c r="AM695" s="83"/>
      <c r="AN695" s="83"/>
    </row>
    <row r="696" spans="1:41" ht="15" hidden="1" x14ac:dyDescent="0.25">
      <c r="A696" s="82">
        <v>45729</v>
      </c>
      <c r="B696" s="95" t="str">
        <f t="shared" si="132"/>
        <v>March</v>
      </c>
      <c r="C696" s="79" t="s">
        <v>2162</v>
      </c>
      <c r="D696" s="79" t="s">
        <v>434</v>
      </c>
      <c r="E696" s="80" t="s">
        <v>1017</v>
      </c>
      <c r="F696" s="79" t="s">
        <v>1032</v>
      </c>
      <c r="G696" s="79" t="s">
        <v>81</v>
      </c>
      <c r="H696" s="79" t="s">
        <v>451</v>
      </c>
      <c r="I696" s="79">
        <v>156</v>
      </c>
      <c r="J696" s="79" t="s">
        <v>434</v>
      </c>
      <c r="K696" s="80" t="s">
        <v>469</v>
      </c>
      <c r="L696" s="80">
        <v>790</v>
      </c>
      <c r="M696" s="80">
        <f>L696-1</f>
        <v>789</v>
      </c>
      <c r="N696" s="81">
        <f t="shared" si="143"/>
        <v>-1</v>
      </c>
      <c r="P696" s="82">
        <f t="shared" si="146"/>
        <v>45727.732638888891</v>
      </c>
      <c r="Q696" s="82">
        <v>45727.743055555555</v>
      </c>
      <c r="R696" s="82">
        <v>45727.750694444447</v>
      </c>
      <c r="S696" s="81">
        <f t="shared" si="133"/>
        <v>10.949074078477375</v>
      </c>
      <c r="T696" s="81">
        <f t="shared" si="134"/>
        <v>25.879629630556639</v>
      </c>
      <c r="U696" s="79"/>
      <c r="V696" s="82">
        <v>45729.445833333331</v>
      </c>
      <c r="W696" s="82">
        <v>45729.538194444445</v>
      </c>
      <c r="X696" s="103">
        <f t="shared" si="135"/>
        <v>130.22916667054233</v>
      </c>
      <c r="Y696" s="82"/>
      <c r="Z696" s="82">
        <v>45729.650694444441</v>
      </c>
      <c r="AA696" s="82">
        <f>Z696+TIME(0,57,0)</f>
        <v>45729.690277777772</v>
      </c>
      <c r="AB696" s="81">
        <f t="shared" si="136"/>
        <v>55.81249999726424</v>
      </c>
      <c r="AC696" s="82"/>
      <c r="AD696" s="83">
        <f t="shared" si="137"/>
        <v>1.8999999999941792</v>
      </c>
      <c r="AE696" s="83">
        <v>3</v>
      </c>
      <c r="AF696" s="83">
        <f t="shared" si="138"/>
        <v>1.1000000000058208</v>
      </c>
      <c r="AG696" s="83">
        <f t="shared" si="139"/>
        <v>45.599999999860302</v>
      </c>
      <c r="AH696" s="83">
        <f t="shared" si="140"/>
        <v>12</v>
      </c>
      <c r="AI696" s="83">
        <f t="shared" si="141"/>
        <v>33.599999999860302</v>
      </c>
      <c r="AJ696" s="83">
        <f t="shared" si="142"/>
        <v>4.642857142876446</v>
      </c>
      <c r="AK696" s="83"/>
      <c r="AL696" s="83"/>
      <c r="AM696" s="83"/>
      <c r="AN696" s="83"/>
      <c r="AO696" s="86"/>
    </row>
    <row r="697" spans="1:41" ht="15" hidden="1" x14ac:dyDescent="0.25">
      <c r="A697" s="82">
        <v>45729</v>
      </c>
      <c r="B697" s="94" t="str">
        <f t="shared" si="132"/>
        <v>March</v>
      </c>
      <c r="C697" s="79" t="s">
        <v>2162</v>
      </c>
      <c r="D697" s="79" t="s">
        <v>435</v>
      </c>
      <c r="E697" s="80" t="s">
        <v>1017</v>
      </c>
      <c r="F697" s="79" t="s">
        <v>1014</v>
      </c>
      <c r="G697" s="79" t="s">
        <v>52</v>
      </c>
      <c r="H697" s="79" t="s">
        <v>451</v>
      </c>
      <c r="I697" s="79">
        <v>5.04</v>
      </c>
      <c r="J697" s="79" t="s">
        <v>435</v>
      </c>
      <c r="K697" s="80" t="s">
        <v>469</v>
      </c>
      <c r="L697" s="80">
        <v>790</v>
      </c>
      <c r="M697" s="80">
        <f>L697-3</f>
        <v>787</v>
      </c>
      <c r="N697" s="81">
        <f t="shared" si="143"/>
        <v>-3</v>
      </c>
      <c r="P697" s="82">
        <f>R697-TIME(0,53,0)</f>
        <v>45728.713194444441</v>
      </c>
      <c r="Q697" s="82">
        <v>45728.684027777781</v>
      </c>
      <c r="R697" s="82">
        <v>45728.75</v>
      </c>
      <c r="S697" s="81">
        <f t="shared" si="133"/>
        <v>94.560185180550135</v>
      </c>
      <c r="T697" s="81">
        <f t="shared" si="134"/>
        <v>52.75462963472819</v>
      </c>
      <c r="U697" s="79" t="s">
        <v>2167</v>
      </c>
      <c r="V697" s="82">
        <v>45729.45416666667</v>
      </c>
      <c r="W697" s="82">
        <v>45729.522916666669</v>
      </c>
      <c r="X697" s="103">
        <f t="shared" si="135"/>
        <v>96.93749999794818</v>
      </c>
      <c r="Y697" s="82"/>
      <c r="Z697" s="82">
        <v>45729.663194444445</v>
      </c>
      <c r="AA697" s="82">
        <f>Z697+TIME(0,41,0)</f>
        <v>45729.691666666666</v>
      </c>
      <c r="AB697" s="81">
        <f t="shared" si="136"/>
        <v>40.145833330825553</v>
      </c>
      <c r="AC697" s="82"/>
      <c r="AD697" s="83">
        <f t="shared" si="137"/>
        <v>0.91319444444525288</v>
      </c>
      <c r="AE697" s="83">
        <v>3</v>
      </c>
      <c r="AF697" s="83">
        <f t="shared" si="138"/>
        <v>2.0868055555547471</v>
      </c>
      <c r="AG697" s="83">
        <f t="shared" si="139"/>
        <v>21.916666666686069</v>
      </c>
      <c r="AH697" s="83">
        <f t="shared" si="140"/>
        <v>0</v>
      </c>
      <c r="AI697" s="83">
        <f t="shared" si="141"/>
        <v>21.916666666686069</v>
      </c>
      <c r="AJ697" s="83">
        <f t="shared" si="142"/>
        <v>0.2299619771861082</v>
      </c>
      <c r="AK697" s="83"/>
      <c r="AL697" s="83"/>
      <c r="AM697" s="83"/>
      <c r="AN697" s="83"/>
    </row>
    <row r="698" spans="1:41" ht="15" hidden="1" x14ac:dyDescent="0.25">
      <c r="A698" s="82">
        <v>45729</v>
      </c>
      <c r="B698" s="94" t="str">
        <f t="shared" si="132"/>
        <v>March</v>
      </c>
      <c r="C698" s="79" t="s">
        <v>2162</v>
      </c>
      <c r="D698" s="79" t="s">
        <v>436</v>
      </c>
      <c r="E698" s="80" t="s">
        <v>1017</v>
      </c>
      <c r="F698" s="79"/>
      <c r="G698" s="79" t="s">
        <v>77</v>
      </c>
      <c r="H698" s="79" t="s">
        <v>452</v>
      </c>
      <c r="I698" s="79">
        <v>156</v>
      </c>
      <c r="J698" s="79" t="s">
        <v>436</v>
      </c>
      <c r="K698" s="80" t="s">
        <v>469</v>
      </c>
      <c r="L698" s="80">
        <v>690</v>
      </c>
      <c r="M698" s="80">
        <f>L698-2</f>
        <v>688</v>
      </c>
      <c r="N698" s="81">
        <f t="shared" si="143"/>
        <v>-2</v>
      </c>
      <c r="P698" s="82">
        <f>R698-TIME(0,29,0)</f>
        <v>45727.559027777781</v>
      </c>
      <c r="Q698" s="82">
        <v>45727.570833333339</v>
      </c>
      <c r="R698" s="82">
        <v>45727.57916666667</v>
      </c>
      <c r="S698" s="81">
        <f t="shared" si="133"/>
        <v>11.944444441663412</v>
      </c>
      <c r="T698" s="81">
        <f t="shared" si="134"/>
        <v>28.865740740972495</v>
      </c>
      <c r="U698" s="79"/>
      <c r="V698" s="82">
        <v>45728.6875</v>
      </c>
      <c r="W698" s="82">
        <v>45729.442361111112</v>
      </c>
      <c r="X698" s="103">
        <f t="shared" si="135"/>
        <v>1064.3541666684905</v>
      </c>
      <c r="Y698" s="82" t="s">
        <v>1050</v>
      </c>
      <c r="Z698" s="82">
        <v>45729.299305555556</v>
      </c>
      <c r="AA698" s="82">
        <f>Z698+TIME(0,60,0)</f>
        <v>45729.34097222222</v>
      </c>
      <c r="AB698" s="81">
        <f t="shared" si="136"/>
        <v>58.7499999965803</v>
      </c>
      <c r="AC698" s="82"/>
      <c r="AD698" s="83">
        <f t="shared" si="137"/>
        <v>1.7201388888861402</v>
      </c>
      <c r="AE698" s="83">
        <v>3</v>
      </c>
      <c r="AF698" s="83">
        <f t="shared" si="138"/>
        <v>1.2798611111138598</v>
      </c>
      <c r="AG698" s="83">
        <f t="shared" si="139"/>
        <v>41.283333333267365</v>
      </c>
      <c r="AH698" s="83">
        <f t="shared" si="140"/>
        <v>12</v>
      </c>
      <c r="AI698" s="83">
        <f t="shared" si="141"/>
        <v>29.283333333267365</v>
      </c>
      <c r="AJ698" s="83">
        <f t="shared" si="142"/>
        <v>5.3272623790672089</v>
      </c>
      <c r="AK698" s="83"/>
      <c r="AL698" s="83"/>
      <c r="AM698" s="83"/>
      <c r="AN698" s="83"/>
    </row>
    <row r="699" spans="1:41" ht="15" hidden="1" x14ac:dyDescent="0.25">
      <c r="A699" s="82">
        <v>45729</v>
      </c>
      <c r="B699" s="94" t="str">
        <f t="shared" si="132"/>
        <v>March</v>
      </c>
      <c r="C699" s="79" t="s">
        <v>2162</v>
      </c>
      <c r="D699" s="79" t="s">
        <v>437</v>
      </c>
      <c r="E699" s="80" t="s">
        <v>1017</v>
      </c>
      <c r="F699" s="79" t="s">
        <v>1035</v>
      </c>
      <c r="G699" s="79" t="s">
        <v>44</v>
      </c>
      <c r="H699" s="79" t="s">
        <v>458</v>
      </c>
      <c r="I699" s="79">
        <v>78</v>
      </c>
      <c r="J699" s="79" t="s">
        <v>437</v>
      </c>
      <c r="K699" s="80" t="s">
        <v>469</v>
      </c>
      <c r="L699" s="80">
        <v>448</v>
      </c>
      <c r="M699" s="80">
        <f>L699-1</f>
        <v>447</v>
      </c>
      <c r="N699" s="81">
        <f t="shared" si="143"/>
        <v>-1</v>
      </c>
      <c r="P699" s="82">
        <f t="shared" ref="P699:P700" si="147">R699-TIME(0,27,0)</f>
        <v>45728.302777777775</v>
      </c>
      <c r="Q699" s="82">
        <v>45728.308333333334</v>
      </c>
      <c r="R699" s="82">
        <v>45728.321527777778</v>
      </c>
      <c r="S699" s="81">
        <f t="shared" si="133"/>
        <v>18.912037036110025</v>
      </c>
      <c r="T699" s="81">
        <f t="shared" si="134"/>
        <v>26.87500000417155</v>
      </c>
      <c r="U699" s="79"/>
      <c r="V699" s="82">
        <v>45728.645833333336</v>
      </c>
      <c r="W699" s="82">
        <v>45728.743750000001</v>
      </c>
      <c r="X699" s="103">
        <f t="shared" si="135"/>
        <v>138.06249999863212</v>
      </c>
      <c r="Y699" s="82"/>
      <c r="Z699" s="82">
        <v>45729.6875</v>
      </c>
      <c r="AA699" s="82">
        <v>45729.726388888892</v>
      </c>
      <c r="AB699" s="81">
        <f t="shared" si="136"/>
        <v>54.833333337664953</v>
      </c>
      <c r="AC699" s="82"/>
      <c r="AD699" s="83">
        <f t="shared" si="137"/>
        <v>1.3659722222218988</v>
      </c>
      <c r="AE699" s="83">
        <v>2</v>
      </c>
      <c r="AF699" s="83">
        <f t="shared" si="138"/>
        <v>0.63402777777810115</v>
      </c>
      <c r="AG699" s="83">
        <f t="shared" si="139"/>
        <v>32.783333333325572</v>
      </c>
      <c r="AH699" s="83">
        <f t="shared" si="140"/>
        <v>12</v>
      </c>
      <c r="AI699" s="83">
        <f t="shared" si="141"/>
        <v>20.783333333325572</v>
      </c>
      <c r="AJ699" s="83">
        <f t="shared" si="142"/>
        <v>3.7530072173229732</v>
      </c>
      <c r="AK699" s="83"/>
      <c r="AL699" s="83"/>
      <c r="AM699" s="83"/>
      <c r="AN699" s="83"/>
    </row>
    <row r="700" spans="1:41" ht="15" hidden="1" x14ac:dyDescent="0.25">
      <c r="A700" s="82">
        <v>45729</v>
      </c>
      <c r="B700" s="94" t="str">
        <f t="shared" si="132"/>
        <v>March</v>
      </c>
      <c r="C700" s="79" t="s">
        <v>2162</v>
      </c>
      <c r="D700" s="79" t="s">
        <v>438</v>
      </c>
      <c r="E700" s="80" t="s">
        <v>1017</v>
      </c>
      <c r="F700" s="79"/>
      <c r="G700" s="79" t="s">
        <v>69</v>
      </c>
      <c r="H700" s="79" t="s">
        <v>455</v>
      </c>
      <c r="I700" s="79">
        <v>6.3</v>
      </c>
      <c r="J700" s="79" t="s">
        <v>438</v>
      </c>
      <c r="K700" s="80" t="s">
        <v>469</v>
      </c>
      <c r="L700" s="80">
        <v>580</v>
      </c>
      <c r="M700" s="80">
        <f>L700-3</f>
        <v>577</v>
      </c>
      <c r="N700" s="81">
        <f t="shared" si="143"/>
        <v>-3</v>
      </c>
      <c r="P700" s="82">
        <f t="shared" si="147"/>
        <v>45727.571527777778</v>
      </c>
      <c r="Q700" s="82">
        <v>45727.524305555562</v>
      </c>
      <c r="R700" s="82">
        <v>45727.590277777781</v>
      </c>
      <c r="S700" s="81">
        <f t="shared" si="133"/>
        <v>94.560185180550135</v>
      </c>
      <c r="T700" s="81">
        <f t="shared" si="134"/>
        <v>26.87500000417155</v>
      </c>
      <c r="U700" s="79"/>
      <c r="V700" s="82">
        <v>45729.660416666666</v>
      </c>
      <c r="W700" s="82">
        <v>45729.73541666667</v>
      </c>
      <c r="X700" s="103">
        <f t="shared" si="135"/>
        <v>105.75000000615546</v>
      </c>
      <c r="Y700" s="82"/>
      <c r="Z700" s="82">
        <v>45729.719444444447</v>
      </c>
      <c r="AA700" s="82">
        <f>Z700+TIME(0,58,0)</f>
        <v>45729.759722222225</v>
      </c>
      <c r="AB700" s="81">
        <f t="shared" si="136"/>
        <v>56.791666667122627</v>
      </c>
      <c r="AC700" s="82"/>
      <c r="AD700" s="83">
        <f t="shared" si="137"/>
        <v>2.1291666666656965</v>
      </c>
      <c r="AE700" s="83">
        <v>2</v>
      </c>
      <c r="AF700" s="83">
        <f t="shared" si="138"/>
        <v>-0.12916666666569654</v>
      </c>
      <c r="AG700" s="83">
        <f t="shared" si="139"/>
        <v>51.099999999976717</v>
      </c>
      <c r="AH700" s="83">
        <f t="shared" si="140"/>
        <v>24</v>
      </c>
      <c r="AI700" s="83">
        <f t="shared" si="141"/>
        <v>27.099999999976717</v>
      </c>
      <c r="AJ700" s="83">
        <f t="shared" si="142"/>
        <v>0.23247232472344695</v>
      </c>
      <c r="AK700" s="83"/>
      <c r="AL700" s="83"/>
      <c r="AM700" s="83"/>
      <c r="AN700" s="83"/>
    </row>
    <row r="701" spans="1:41" ht="15" hidden="1" x14ac:dyDescent="0.25">
      <c r="A701" s="82">
        <v>45729</v>
      </c>
      <c r="B701" s="94" t="str">
        <f t="shared" si="132"/>
        <v>March</v>
      </c>
      <c r="C701" s="79" t="s">
        <v>2162</v>
      </c>
      <c r="D701" s="79" t="s">
        <v>439</v>
      </c>
      <c r="E701" s="80" t="s">
        <v>1017</v>
      </c>
      <c r="F701" s="79" t="s">
        <v>1031</v>
      </c>
      <c r="G701" s="79" t="s">
        <v>50</v>
      </c>
      <c r="H701" s="79" t="s">
        <v>1284</v>
      </c>
      <c r="I701" s="79">
        <v>156</v>
      </c>
      <c r="J701" s="79" t="s">
        <v>439</v>
      </c>
      <c r="K701" s="80" t="s">
        <v>469</v>
      </c>
      <c r="L701" s="80">
        <v>620</v>
      </c>
      <c r="M701" s="80">
        <f>L701-1</f>
        <v>619</v>
      </c>
      <c r="N701" s="81">
        <f t="shared" si="143"/>
        <v>-1</v>
      </c>
      <c r="P701" s="82">
        <f>R701-TIME(0,27,0)</f>
        <v>45728.346527777772</v>
      </c>
      <c r="Q701" s="82">
        <v>45728.356944444444</v>
      </c>
      <c r="R701" s="82">
        <v>45728.365277777775</v>
      </c>
      <c r="S701" s="81">
        <f t="shared" si="133"/>
        <v>11.944444441663412</v>
      </c>
      <c r="T701" s="81">
        <f t="shared" si="134"/>
        <v>26.87500000417155</v>
      </c>
      <c r="U701" s="79"/>
      <c r="V701" s="82">
        <v>45729.580555555556</v>
      </c>
      <c r="W701" s="82">
        <v>45729.751388888886</v>
      </c>
      <c r="X701" s="103">
        <f t="shared" si="135"/>
        <v>240.87499999521242</v>
      </c>
      <c r="Y701" s="82" t="s">
        <v>1038</v>
      </c>
      <c r="Z701" s="82">
        <v>45729.705555555556</v>
      </c>
      <c r="AA701" s="82">
        <f>Z701+TIME(0,41,0)</f>
        <v>45729.734027777777</v>
      </c>
      <c r="AB701" s="81">
        <f t="shared" si="136"/>
        <v>40.145833330825553</v>
      </c>
      <c r="AC701" s="82"/>
      <c r="AD701" s="83">
        <f t="shared" si="137"/>
        <v>1.3402777777810115</v>
      </c>
      <c r="AE701" s="83">
        <v>3</v>
      </c>
      <c r="AF701" s="83">
        <f t="shared" si="138"/>
        <v>1.6597222222189885</v>
      </c>
      <c r="AG701" s="83">
        <f t="shared" si="139"/>
        <v>32.166666666744277</v>
      </c>
      <c r="AH701" s="83">
        <f t="shared" si="140"/>
        <v>12</v>
      </c>
      <c r="AI701" s="83">
        <f t="shared" si="141"/>
        <v>20.166666666744277</v>
      </c>
      <c r="AJ701" s="83">
        <f t="shared" si="142"/>
        <v>7.7355371900528747</v>
      </c>
      <c r="AK701" s="83"/>
      <c r="AL701" s="83"/>
      <c r="AM701" s="83"/>
      <c r="AN701" s="83"/>
    </row>
    <row r="702" spans="1:41" ht="15" hidden="1" x14ac:dyDescent="0.25">
      <c r="A702" s="82">
        <v>45729</v>
      </c>
      <c r="B702" s="94" t="str">
        <f t="shared" si="132"/>
        <v>March</v>
      </c>
      <c r="C702" s="79" t="s">
        <v>2162</v>
      </c>
      <c r="D702" s="79" t="s">
        <v>440</v>
      </c>
      <c r="E702" s="80" t="s">
        <v>1017</v>
      </c>
      <c r="F702" s="79" t="s">
        <v>1028</v>
      </c>
      <c r="G702" s="79" t="s">
        <v>45</v>
      </c>
      <c r="H702" s="79" t="s">
        <v>462</v>
      </c>
      <c r="I702" s="79">
        <v>156</v>
      </c>
      <c r="J702" s="79" t="s">
        <v>440</v>
      </c>
      <c r="K702" s="80" t="s">
        <v>469</v>
      </c>
      <c r="L702" s="80">
        <v>680</v>
      </c>
      <c r="M702" s="80">
        <f>L702-1</f>
        <v>679</v>
      </c>
      <c r="N702" s="81">
        <f t="shared" si="143"/>
        <v>-1</v>
      </c>
      <c r="P702" s="82">
        <f>R702-TIME(0,26,0)</f>
        <v>45728.459722222222</v>
      </c>
      <c r="Q702" s="82">
        <v>45728.470833333333</v>
      </c>
      <c r="R702" s="82">
        <v>45728.477777777778</v>
      </c>
      <c r="S702" s="81">
        <f t="shared" si="133"/>
        <v>9.9537037048624679</v>
      </c>
      <c r="T702" s="81">
        <f t="shared" si="134"/>
        <v>25.879629630556639</v>
      </c>
      <c r="U702" s="79"/>
      <c r="V702" s="82">
        <v>45729.65</v>
      </c>
      <c r="W702" s="82">
        <v>45729.831944444442</v>
      </c>
      <c r="X702" s="103">
        <f t="shared" si="135"/>
        <v>256.54166666165111</v>
      </c>
      <c r="Y702" s="82" t="s">
        <v>1039</v>
      </c>
      <c r="Z702" s="82">
        <v>45729.279861111114</v>
      </c>
      <c r="AA702" s="82">
        <v>45729.318750000006</v>
      </c>
      <c r="AB702" s="81">
        <f t="shared" si="136"/>
        <v>54.833333337664953</v>
      </c>
      <c r="AC702" s="82"/>
      <c r="AD702" s="83">
        <f t="shared" si="137"/>
        <v>0.80208333333575865</v>
      </c>
      <c r="AE702" s="83">
        <v>3</v>
      </c>
      <c r="AF702" s="83">
        <f t="shared" si="138"/>
        <v>2.1979166666642413</v>
      </c>
      <c r="AG702" s="83">
        <f t="shared" si="139"/>
        <v>19.250000000058208</v>
      </c>
      <c r="AH702" s="83">
        <f t="shared" si="140"/>
        <v>0</v>
      </c>
      <c r="AI702" s="83">
        <f t="shared" si="141"/>
        <v>19.250000000058208</v>
      </c>
      <c r="AJ702" s="83">
        <f t="shared" si="142"/>
        <v>8.1038961038716</v>
      </c>
      <c r="AK702" s="83"/>
      <c r="AL702" s="83"/>
      <c r="AM702" s="83"/>
      <c r="AN702" s="83"/>
    </row>
    <row r="703" spans="1:41" ht="15" hidden="1" x14ac:dyDescent="0.25">
      <c r="A703" s="82">
        <v>45729</v>
      </c>
      <c r="B703" s="94" t="str">
        <f t="shared" si="132"/>
        <v>March</v>
      </c>
      <c r="C703" s="79" t="s">
        <v>2162</v>
      </c>
      <c r="D703" s="79" t="s">
        <v>441</v>
      </c>
      <c r="E703" s="80" t="s">
        <v>1017</v>
      </c>
      <c r="F703" s="79" t="s">
        <v>1669</v>
      </c>
      <c r="G703" s="79" t="s">
        <v>82</v>
      </c>
      <c r="H703" s="79" t="s">
        <v>462</v>
      </c>
      <c r="I703" s="79">
        <v>156</v>
      </c>
      <c r="J703" s="79" t="s">
        <v>441</v>
      </c>
      <c r="K703" s="80" t="s">
        <v>469</v>
      </c>
      <c r="L703" s="80">
        <v>680</v>
      </c>
      <c r="M703" s="80">
        <f>L703-1</f>
        <v>679</v>
      </c>
      <c r="N703" s="81">
        <f t="shared" si="143"/>
        <v>-1</v>
      </c>
      <c r="P703" s="82">
        <f>R703-TIME(0,26,0)</f>
        <v>45728.758333333331</v>
      </c>
      <c r="Q703" s="82">
        <v>45728.769444444442</v>
      </c>
      <c r="R703" s="82">
        <v>45728.776388888888</v>
      </c>
      <c r="S703" s="81">
        <f t="shared" si="133"/>
        <v>9.9537037048624679</v>
      </c>
      <c r="T703" s="81">
        <f t="shared" si="134"/>
        <v>25.879629630556639</v>
      </c>
      <c r="U703" s="79"/>
      <c r="V703" s="82">
        <v>45729.311111111114</v>
      </c>
      <c r="W703" s="82">
        <v>45729.54791666667</v>
      </c>
      <c r="X703" s="103">
        <f t="shared" si="135"/>
        <v>333.89583333424525</v>
      </c>
      <c r="Y703" s="82" t="s">
        <v>1039</v>
      </c>
      <c r="Z703" s="82">
        <v>45730.299305555556</v>
      </c>
      <c r="AA703" s="82">
        <f>Z703+TIME(0,41,0)</f>
        <v>45730.327777777777</v>
      </c>
      <c r="AB703" s="81">
        <f t="shared" si="136"/>
        <v>40.145833330825553</v>
      </c>
      <c r="AC703" s="82"/>
      <c r="AD703" s="83">
        <f t="shared" si="137"/>
        <v>1.5229166666686069</v>
      </c>
      <c r="AE703" s="83">
        <v>3</v>
      </c>
      <c r="AF703" s="83">
        <f t="shared" si="138"/>
        <v>1.4770833333313931</v>
      </c>
      <c r="AG703" s="83">
        <f t="shared" si="139"/>
        <v>36.550000000046566</v>
      </c>
      <c r="AH703" s="83">
        <f t="shared" si="140"/>
        <v>12</v>
      </c>
      <c r="AI703" s="83">
        <f t="shared" si="141"/>
        <v>24.550000000046566</v>
      </c>
      <c r="AJ703" s="83">
        <f t="shared" si="142"/>
        <v>6.3543788187252179</v>
      </c>
      <c r="AK703" s="83"/>
      <c r="AL703" s="83"/>
      <c r="AM703" s="83"/>
      <c r="AN703" s="83"/>
    </row>
    <row r="704" spans="1:41" ht="15" hidden="1" x14ac:dyDescent="0.25">
      <c r="A704" s="82">
        <v>45729</v>
      </c>
      <c r="B704" s="94" t="str">
        <f t="shared" si="132"/>
        <v>March</v>
      </c>
      <c r="C704" s="79" t="s">
        <v>2162</v>
      </c>
      <c r="D704" s="79" t="s">
        <v>442</v>
      </c>
      <c r="E704" s="80" t="s">
        <v>1017</v>
      </c>
      <c r="F704" s="79" t="s">
        <v>1029</v>
      </c>
      <c r="G704" s="79" t="s">
        <v>38</v>
      </c>
      <c r="H704" s="79" t="s">
        <v>452</v>
      </c>
      <c r="I704" s="79">
        <v>78</v>
      </c>
      <c r="J704" s="79" t="s">
        <v>442</v>
      </c>
      <c r="K704" s="80" t="s">
        <v>469</v>
      </c>
      <c r="L704" s="80">
        <v>690</v>
      </c>
      <c r="M704" s="80">
        <f>L704+4</f>
        <v>694</v>
      </c>
      <c r="N704" s="81">
        <f t="shared" si="143"/>
        <v>4</v>
      </c>
      <c r="P704" s="82">
        <f>R704-TIME(0,26,0)</f>
        <v>45728.643055555556</v>
      </c>
      <c r="Q704" s="82">
        <v>45728.646527777782</v>
      </c>
      <c r="R704" s="82">
        <v>45728.661111111112</v>
      </c>
      <c r="S704" s="81">
        <f t="shared" si="133"/>
        <v>20.902777772910969</v>
      </c>
      <c r="T704" s="81">
        <f t="shared" si="134"/>
        <v>25.879629630556639</v>
      </c>
      <c r="U704" s="79"/>
      <c r="V704" s="82">
        <v>45729.45416666667</v>
      </c>
      <c r="W704" s="82">
        <v>45729.522916666669</v>
      </c>
      <c r="X704" s="103">
        <f t="shared" si="135"/>
        <v>96.93749999794818</v>
      </c>
      <c r="Y704" s="82"/>
      <c r="Z704" s="82">
        <v>45729.719444444447</v>
      </c>
      <c r="AA704" s="82">
        <f>Z704+TIME(0,41,0)</f>
        <v>45729.747916666667</v>
      </c>
      <c r="AB704" s="81">
        <f t="shared" si="136"/>
        <v>40.145833330825553</v>
      </c>
      <c r="AC704" s="82"/>
      <c r="AD704" s="83">
        <f t="shared" si="137"/>
        <v>1.0583333333343035</v>
      </c>
      <c r="AE704" s="83">
        <v>3</v>
      </c>
      <c r="AF704" s="83">
        <f t="shared" si="138"/>
        <v>1.9416666666656965</v>
      </c>
      <c r="AG704" s="83">
        <f t="shared" si="139"/>
        <v>25.400000000023283</v>
      </c>
      <c r="AH704" s="83">
        <f t="shared" si="140"/>
        <v>12</v>
      </c>
      <c r="AI704" s="83">
        <f t="shared" si="141"/>
        <v>13.400000000023283</v>
      </c>
      <c r="AJ704" s="83">
        <f t="shared" si="142"/>
        <v>5.8208955223779455</v>
      </c>
      <c r="AK704" s="83"/>
      <c r="AL704" s="83"/>
      <c r="AM704" s="83"/>
      <c r="AN704" s="83"/>
    </row>
    <row r="705" spans="1:41" ht="15" hidden="1" x14ac:dyDescent="0.25">
      <c r="A705" s="82">
        <v>45729</v>
      </c>
      <c r="B705" s="94" t="str">
        <f t="shared" si="132"/>
        <v>March</v>
      </c>
      <c r="C705" s="79" t="s">
        <v>2162</v>
      </c>
      <c r="D705" s="79" t="s">
        <v>443</v>
      </c>
      <c r="E705" s="80" t="s">
        <v>1017</v>
      </c>
      <c r="F705" s="79"/>
      <c r="G705" s="79" t="s">
        <v>47</v>
      </c>
      <c r="H705" s="79" t="s">
        <v>454</v>
      </c>
      <c r="I705" s="79">
        <v>156</v>
      </c>
      <c r="J705" s="79" t="s">
        <v>443</v>
      </c>
      <c r="K705" s="80" t="s">
        <v>469</v>
      </c>
      <c r="L705" s="80">
        <v>304</v>
      </c>
      <c r="M705" s="80">
        <f>L705-1</f>
        <v>303</v>
      </c>
      <c r="N705" s="81">
        <f t="shared" si="143"/>
        <v>-1</v>
      </c>
      <c r="P705" s="82">
        <f>R705-TIME(0,25,0)</f>
        <v>45727.504861111112</v>
      </c>
      <c r="Q705" s="82">
        <v>45727.513194444444</v>
      </c>
      <c r="R705" s="82">
        <v>45727.522222222222</v>
      </c>
      <c r="S705" s="81">
        <f t="shared" si="133"/>
        <v>12.93981481527832</v>
      </c>
      <c r="T705" s="81">
        <f t="shared" si="134"/>
        <v>24.884259256941732</v>
      </c>
      <c r="U705" s="79"/>
      <c r="V705" s="82">
        <v>45728.645833333336</v>
      </c>
      <c r="W705" s="82">
        <v>45728.743750000001</v>
      </c>
      <c r="X705" s="103">
        <f t="shared" si="135"/>
        <v>138.06249999863212</v>
      </c>
      <c r="Y705" s="82"/>
      <c r="Z705" s="82">
        <v>45729.705555555556</v>
      </c>
      <c r="AA705" s="82">
        <f>Z705+TIME(0,57,0)</f>
        <v>45729.745138888888</v>
      </c>
      <c r="AB705" s="81">
        <f t="shared" si="136"/>
        <v>55.81249999726424</v>
      </c>
      <c r="AC705" s="82"/>
      <c r="AD705" s="83">
        <f t="shared" si="137"/>
        <v>2.1833333333343035</v>
      </c>
      <c r="AE705" s="83">
        <v>2</v>
      </c>
      <c r="AF705" s="83">
        <f t="shared" si="138"/>
        <v>-0.18333333333430346</v>
      </c>
      <c r="AG705" s="83">
        <f t="shared" si="139"/>
        <v>52.400000000023283</v>
      </c>
      <c r="AH705" s="83">
        <f t="shared" si="140"/>
        <v>24</v>
      </c>
      <c r="AI705" s="83">
        <f t="shared" si="141"/>
        <v>28.400000000023283</v>
      </c>
      <c r="AJ705" s="83">
        <f t="shared" si="142"/>
        <v>5.49295774647437</v>
      </c>
      <c r="AK705" s="83"/>
      <c r="AL705" s="83"/>
      <c r="AM705" s="83"/>
      <c r="AN705" s="83"/>
    </row>
    <row r="706" spans="1:41" s="86" customFormat="1" ht="15" hidden="1" x14ac:dyDescent="0.25">
      <c r="A706" s="82">
        <v>45729</v>
      </c>
      <c r="B706" s="94" t="str">
        <f t="shared" ref="B706:B769" si="148">TEXT(A706, "MMMM")</f>
        <v>March</v>
      </c>
      <c r="C706" s="79" t="s">
        <v>2162</v>
      </c>
      <c r="D706" s="79" t="s">
        <v>444</v>
      </c>
      <c r="E706" s="80" t="s">
        <v>1017</v>
      </c>
      <c r="F706" s="79" t="s">
        <v>1033</v>
      </c>
      <c r="G706" s="79" t="s">
        <v>41</v>
      </c>
      <c r="H706" s="79" t="s">
        <v>1284</v>
      </c>
      <c r="I706" s="79">
        <v>5.5439999999999996</v>
      </c>
      <c r="J706" s="79" t="s">
        <v>444</v>
      </c>
      <c r="K706" s="80" t="s">
        <v>469</v>
      </c>
      <c r="L706" s="80">
        <v>620</v>
      </c>
      <c r="M706" s="80">
        <f>L706-2</f>
        <v>618</v>
      </c>
      <c r="N706" s="81">
        <f t="shared" si="143"/>
        <v>-2</v>
      </c>
      <c r="O706" s="78"/>
      <c r="P706" s="82">
        <f>R706-TIME(0,26,0)</f>
        <v>45728.351388888885</v>
      </c>
      <c r="Q706" s="82">
        <v>45728.303472222222</v>
      </c>
      <c r="R706" s="82">
        <v>45728.369444444441</v>
      </c>
      <c r="S706" s="81">
        <f t="shared" ref="S706:S723" si="149">(R706-Q706)*86000/60</f>
        <v>94.560185180550135</v>
      </c>
      <c r="T706" s="81">
        <f t="shared" ref="T706:T769" si="150">(R706-P706)*86000/60</f>
        <v>25.879629630556639</v>
      </c>
      <c r="U706" s="79"/>
      <c r="V706" s="82">
        <v>45729.660416666666</v>
      </c>
      <c r="W706" s="82">
        <v>45729.73541666667</v>
      </c>
      <c r="X706" s="103">
        <f t="shared" ref="X706:X769" si="151">(W706-V706)*84600/60</f>
        <v>105.75000000615546</v>
      </c>
      <c r="Y706" s="82"/>
      <c r="Z706" s="82">
        <v>45729.279861111114</v>
      </c>
      <c r="AA706" s="82">
        <v>45729.313888888893</v>
      </c>
      <c r="AB706" s="81">
        <f t="shared" ref="AB706:AB769" si="152">(AA706-Z706)*84600/60</f>
        <v>47.979166669174447</v>
      </c>
      <c r="AC706" s="82"/>
      <c r="AD706" s="83">
        <f t="shared" ref="AD706:AD769" si="153">Z706-R706</f>
        <v>0.9104166666729725</v>
      </c>
      <c r="AE706" s="83">
        <v>3</v>
      </c>
      <c r="AF706" s="83">
        <f t="shared" ref="AF706:AF769" si="154">AE706-AD706</f>
        <v>2.0895833333270275</v>
      </c>
      <c r="AG706" s="83">
        <f t="shared" ref="AG706:AG769" si="155">AD706*24</f>
        <v>21.85000000015134</v>
      </c>
      <c r="AH706" s="83">
        <f t="shared" ref="AH706:AH769" si="156">AG706-AI706</f>
        <v>0</v>
      </c>
      <c r="AI706" s="83">
        <f t="shared" ref="AI706:AI769" si="157" xml:space="preserve"> ((Z706 - R706) * 24) - (INT(Z706 - R706) * 12)</f>
        <v>21.85000000015134</v>
      </c>
      <c r="AJ706" s="83">
        <f t="shared" ref="AJ706:AJ769" si="158">I706/AI706</f>
        <v>0.25372997711494738</v>
      </c>
      <c r="AK706" s="83"/>
      <c r="AL706" s="83"/>
      <c r="AM706" s="83"/>
      <c r="AN706" s="83"/>
      <c r="AO706" s="78"/>
    </row>
    <row r="707" spans="1:41" s="86" customFormat="1" ht="15" hidden="1" x14ac:dyDescent="0.25">
      <c r="A707" s="82">
        <v>45729</v>
      </c>
      <c r="B707" s="94" t="str">
        <f t="shared" si="148"/>
        <v>March</v>
      </c>
      <c r="C707" s="79" t="s">
        <v>2162</v>
      </c>
      <c r="D707" s="79" t="s">
        <v>445</v>
      </c>
      <c r="E707" s="80" t="s">
        <v>1017</v>
      </c>
      <c r="F707" s="79" t="s">
        <v>1034</v>
      </c>
      <c r="G707" s="79" t="s">
        <v>53</v>
      </c>
      <c r="H707" s="79" t="s">
        <v>455</v>
      </c>
      <c r="I707" s="79">
        <v>156</v>
      </c>
      <c r="J707" s="79" t="s">
        <v>445</v>
      </c>
      <c r="K707" s="80" t="s">
        <v>469</v>
      </c>
      <c r="L707" s="80">
        <v>580</v>
      </c>
      <c r="M707" s="80">
        <f>L707-1</f>
        <v>579</v>
      </c>
      <c r="N707" s="81">
        <f t="shared" si="143"/>
        <v>-1</v>
      </c>
      <c r="O707" s="78"/>
      <c r="P707" s="82">
        <f>R707-TIME(0,27,0)</f>
        <v>45728.731249999997</v>
      </c>
      <c r="Q707" s="82">
        <v>45728.743055555555</v>
      </c>
      <c r="R707" s="82">
        <v>45728.75</v>
      </c>
      <c r="S707" s="81">
        <f t="shared" si="149"/>
        <v>9.9537037048624679</v>
      </c>
      <c r="T707" s="81">
        <f t="shared" si="150"/>
        <v>26.87500000417155</v>
      </c>
      <c r="U707" s="79"/>
      <c r="V707" s="82">
        <v>45729.580555555556</v>
      </c>
      <c r="W707" s="82">
        <v>45729.668055555558</v>
      </c>
      <c r="X707" s="103">
        <f t="shared" si="151"/>
        <v>123.37500000205182</v>
      </c>
      <c r="Y707" s="82"/>
      <c r="Z707" s="82">
        <v>45729.705555555556</v>
      </c>
      <c r="AA707" s="82">
        <f>Z707+TIME(0,37,0)</f>
        <v>45729.731249999997</v>
      </c>
      <c r="AB707" s="81">
        <f t="shared" si="152"/>
        <v>36.229166661651107</v>
      </c>
      <c r="AC707" s="82"/>
      <c r="AD707" s="83">
        <f t="shared" si="153"/>
        <v>0.95555555555620231</v>
      </c>
      <c r="AE707" s="83">
        <v>2</v>
      </c>
      <c r="AF707" s="83">
        <f t="shared" si="154"/>
        <v>1.0444444444437977</v>
      </c>
      <c r="AG707" s="83">
        <f t="shared" si="155"/>
        <v>22.933333333348855</v>
      </c>
      <c r="AH707" s="83">
        <f t="shared" si="156"/>
        <v>0</v>
      </c>
      <c r="AI707" s="83">
        <f t="shared" si="157"/>
        <v>22.933333333348855</v>
      </c>
      <c r="AJ707" s="83">
        <f t="shared" si="158"/>
        <v>6.8023255813907451</v>
      </c>
      <c r="AK707" s="83"/>
      <c r="AL707" s="83"/>
      <c r="AM707" s="83"/>
      <c r="AN707" s="83"/>
      <c r="AO707" s="78"/>
    </row>
    <row r="708" spans="1:41" ht="15" hidden="1" x14ac:dyDescent="0.25">
      <c r="A708" s="82">
        <v>45729</v>
      </c>
      <c r="B708" s="94" t="str">
        <f t="shared" si="148"/>
        <v>March</v>
      </c>
      <c r="C708" s="79" t="s">
        <v>2162</v>
      </c>
      <c r="D708" s="79" t="s">
        <v>446</v>
      </c>
      <c r="E708" s="80" t="s">
        <v>1017</v>
      </c>
      <c r="F708" s="79" t="s">
        <v>1030</v>
      </c>
      <c r="G708" s="79" t="s">
        <v>55</v>
      </c>
      <c r="H708" s="79" t="s">
        <v>458</v>
      </c>
      <c r="I708" s="79">
        <v>156</v>
      </c>
      <c r="J708" s="79" t="s">
        <v>446</v>
      </c>
      <c r="K708" s="80" t="s">
        <v>469</v>
      </c>
      <c r="L708" s="80">
        <v>448</v>
      </c>
      <c r="M708" s="80">
        <f>L708+1</f>
        <v>449</v>
      </c>
      <c r="N708" s="81">
        <f t="shared" ref="N708:N771" si="159">M708-L708</f>
        <v>1</v>
      </c>
      <c r="P708" s="82">
        <f>R708-TIME(0,26,0)</f>
        <v>45728.512499999997</v>
      </c>
      <c r="Q708" s="82">
        <v>45728.506944444445</v>
      </c>
      <c r="R708" s="82">
        <v>45728.530555555553</v>
      </c>
      <c r="S708" s="81">
        <f t="shared" si="149"/>
        <v>33.842592588189291</v>
      </c>
      <c r="T708" s="81">
        <f t="shared" si="150"/>
        <v>25.879629630556639</v>
      </c>
      <c r="U708" s="79"/>
      <c r="V708" s="82">
        <v>45729.65</v>
      </c>
      <c r="W708" s="82">
        <v>45729.831944444442</v>
      </c>
      <c r="X708" s="103">
        <f t="shared" si="151"/>
        <v>256.54166666165111</v>
      </c>
      <c r="Y708" s="82" t="s">
        <v>1044</v>
      </c>
      <c r="Z708" s="82">
        <v>45729.279861111114</v>
      </c>
      <c r="AA708" s="82">
        <f>Z708+TIME(0,56,0)</f>
        <v>45729.318750000006</v>
      </c>
      <c r="AB708" s="81">
        <f t="shared" si="152"/>
        <v>54.833333337664953</v>
      </c>
      <c r="AC708" s="82"/>
      <c r="AD708" s="83">
        <f t="shared" si="153"/>
        <v>0.74930555556056788</v>
      </c>
      <c r="AE708" s="83">
        <v>2</v>
      </c>
      <c r="AF708" s="83">
        <f t="shared" si="154"/>
        <v>1.2506944444394321</v>
      </c>
      <c r="AG708" s="83">
        <f t="shared" si="155"/>
        <v>17.983333333453629</v>
      </c>
      <c r="AH708" s="83">
        <f t="shared" si="156"/>
        <v>0</v>
      </c>
      <c r="AI708" s="83">
        <f t="shared" si="157"/>
        <v>17.983333333453629</v>
      </c>
      <c r="AJ708" s="83">
        <f t="shared" si="158"/>
        <v>8.6746987951226959</v>
      </c>
      <c r="AK708" s="83"/>
      <c r="AL708" s="83"/>
      <c r="AM708" s="83"/>
      <c r="AN708" s="83"/>
    </row>
    <row r="709" spans="1:41" ht="15" hidden="1" x14ac:dyDescent="0.25">
      <c r="A709" s="82">
        <v>45729</v>
      </c>
      <c r="B709" s="94" t="str">
        <f t="shared" si="148"/>
        <v>March</v>
      </c>
      <c r="C709" s="79" t="s">
        <v>2162</v>
      </c>
      <c r="D709" s="79" t="s">
        <v>447</v>
      </c>
      <c r="E709" s="80" t="s">
        <v>1017</v>
      </c>
      <c r="F709" s="79" t="s">
        <v>1037</v>
      </c>
      <c r="G709" s="79" t="s">
        <v>59</v>
      </c>
      <c r="H709" s="79" t="s">
        <v>1284</v>
      </c>
      <c r="I709" s="79">
        <v>156</v>
      </c>
      <c r="J709" s="79" t="s">
        <v>447</v>
      </c>
      <c r="K709" s="80" t="s">
        <v>469</v>
      </c>
      <c r="L709" s="80">
        <v>620</v>
      </c>
      <c r="M709" s="80">
        <f>L709-1</f>
        <v>619</v>
      </c>
      <c r="N709" s="81">
        <f t="shared" si="159"/>
        <v>-1</v>
      </c>
      <c r="P709" s="82">
        <f>R709-TIME(0,26,0)</f>
        <v>45728.459722222222</v>
      </c>
      <c r="Q709" s="82">
        <v>45728.463194444448</v>
      </c>
      <c r="R709" s="82">
        <v>45728.477777777778</v>
      </c>
      <c r="S709" s="81">
        <f t="shared" si="149"/>
        <v>20.902777772910969</v>
      </c>
      <c r="T709" s="81">
        <f t="shared" si="150"/>
        <v>25.879629630556639</v>
      </c>
      <c r="U709" s="79"/>
      <c r="V709" s="82">
        <v>45729.559027777781</v>
      </c>
      <c r="W709" s="82">
        <v>45729.645833333336</v>
      </c>
      <c r="X709" s="103">
        <f t="shared" si="151"/>
        <v>122.39583333219343</v>
      </c>
      <c r="Y709" s="82"/>
      <c r="Z709" s="82">
        <v>45729.650694444441</v>
      </c>
      <c r="AA709" s="82">
        <f>Z709+TIME(0,36,0)</f>
        <v>45729.675694444442</v>
      </c>
      <c r="AB709" s="81">
        <f t="shared" si="152"/>
        <v>35.25000000205182</v>
      </c>
      <c r="AC709" s="82"/>
      <c r="AD709" s="83">
        <f t="shared" si="153"/>
        <v>1.1729166666627862</v>
      </c>
      <c r="AE709" s="83">
        <v>3</v>
      </c>
      <c r="AF709" s="83">
        <f t="shared" si="154"/>
        <v>1.8270833333372138</v>
      </c>
      <c r="AG709" s="83">
        <f t="shared" si="155"/>
        <v>28.149999999906868</v>
      </c>
      <c r="AH709" s="83">
        <f t="shared" si="156"/>
        <v>12</v>
      </c>
      <c r="AI709" s="83">
        <f t="shared" si="157"/>
        <v>16.149999999906868</v>
      </c>
      <c r="AJ709" s="83">
        <f t="shared" si="158"/>
        <v>9.659442724513907</v>
      </c>
      <c r="AK709" s="83"/>
      <c r="AL709" s="83"/>
      <c r="AM709" s="83"/>
      <c r="AN709" s="83"/>
    </row>
    <row r="710" spans="1:41" ht="15" hidden="1" x14ac:dyDescent="0.25">
      <c r="A710" s="82">
        <v>45730</v>
      </c>
      <c r="B710" s="94" t="str">
        <f t="shared" si="148"/>
        <v>March</v>
      </c>
      <c r="C710" s="79" t="s">
        <v>2162</v>
      </c>
      <c r="D710" s="79" t="s">
        <v>1486</v>
      </c>
      <c r="E710" s="79" t="s">
        <v>1017</v>
      </c>
      <c r="F710" s="79"/>
      <c r="G710" s="79" t="s">
        <v>1662</v>
      </c>
      <c r="H710" s="79" t="s">
        <v>457</v>
      </c>
      <c r="I710" s="79">
        <v>11.087999999999999</v>
      </c>
      <c r="J710" s="79" t="s">
        <v>1486</v>
      </c>
      <c r="K710" s="80" t="s">
        <v>469</v>
      </c>
      <c r="L710" s="79">
        <v>320</v>
      </c>
      <c r="M710" s="80">
        <f>L710-1</f>
        <v>319</v>
      </c>
      <c r="N710" s="81">
        <f t="shared" si="159"/>
        <v>-1</v>
      </c>
      <c r="O710" s="80"/>
      <c r="P710" s="82">
        <f>R710-TIME(0,26,0)</f>
        <v>45365.355555555558</v>
      </c>
      <c r="Q710" s="82">
        <v>45365.3125</v>
      </c>
      <c r="R710" s="82">
        <v>45365.373611111114</v>
      </c>
      <c r="S710" s="81">
        <f t="shared" si="149"/>
        <v>87.592592596532384</v>
      </c>
      <c r="T710" s="81">
        <f t="shared" si="150"/>
        <v>25.879629630556639</v>
      </c>
      <c r="U710" s="79"/>
      <c r="V710" s="82">
        <v>45365.748611111114</v>
      </c>
      <c r="W710" s="82">
        <v>45366.731608796297</v>
      </c>
      <c r="X710" s="103">
        <f t="shared" si="151"/>
        <v>1386.0267361085425</v>
      </c>
      <c r="Y710" s="82" t="s">
        <v>1044</v>
      </c>
      <c r="Z710" s="82">
        <v>45367.631608796299</v>
      </c>
      <c r="AA710" s="82">
        <f>Z710+TIME(0,36,0)</f>
        <v>45367.6566087963</v>
      </c>
      <c r="AB710" s="81">
        <f t="shared" si="152"/>
        <v>35.25000000205182</v>
      </c>
      <c r="AC710" s="82"/>
      <c r="AD710" s="83">
        <f t="shared" si="153"/>
        <v>2.2579976851848187</v>
      </c>
      <c r="AE710" s="83">
        <v>2</v>
      </c>
      <c r="AF710" s="83">
        <f t="shared" si="154"/>
        <v>-0.25799768518481869</v>
      </c>
      <c r="AG710" s="83">
        <f t="shared" si="155"/>
        <v>54.191944444435649</v>
      </c>
      <c r="AH710" s="83">
        <f t="shared" si="156"/>
        <v>24</v>
      </c>
      <c r="AI710" s="83">
        <f t="shared" si="157"/>
        <v>30.191944444435649</v>
      </c>
      <c r="AJ710" s="83">
        <f t="shared" si="158"/>
        <v>0.36725027831201873</v>
      </c>
      <c r="AK710" s="83"/>
      <c r="AL710" s="83"/>
      <c r="AM710" s="83"/>
      <c r="AN710" s="83"/>
    </row>
    <row r="711" spans="1:41" ht="15" hidden="1" x14ac:dyDescent="0.25">
      <c r="A711" s="82">
        <v>45730</v>
      </c>
      <c r="B711" s="94" t="str">
        <f t="shared" si="148"/>
        <v>March</v>
      </c>
      <c r="C711" s="79" t="s">
        <v>2162</v>
      </c>
      <c r="D711" s="79" t="s">
        <v>1487</v>
      </c>
      <c r="E711" s="79" t="s">
        <v>1017</v>
      </c>
      <c r="F711" s="79" t="s">
        <v>1668</v>
      </c>
      <c r="G711" s="79" t="s">
        <v>1263</v>
      </c>
      <c r="H711" s="79" t="s">
        <v>462</v>
      </c>
      <c r="I711" s="79">
        <v>93.6</v>
      </c>
      <c r="J711" s="79" t="s">
        <v>1487</v>
      </c>
      <c r="K711" s="80" t="s">
        <v>469</v>
      </c>
      <c r="L711" s="79">
        <v>680</v>
      </c>
      <c r="M711" s="80">
        <f>L711-3</f>
        <v>677</v>
      </c>
      <c r="N711" s="81">
        <f t="shared" si="159"/>
        <v>-3</v>
      </c>
      <c r="O711" s="80"/>
      <c r="P711" s="82">
        <f>R711-TIME(0,28,0)</f>
        <v>45365.34652777778</v>
      </c>
      <c r="Q711" s="82">
        <v>45365.3125</v>
      </c>
      <c r="R711" s="82">
        <v>45365.365972222222</v>
      </c>
      <c r="S711" s="81">
        <f t="shared" si="149"/>
        <v>76.643518518055018</v>
      </c>
      <c r="T711" s="81">
        <f t="shared" si="150"/>
        <v>27.870370367357584</v>
      </c>
      <c r="U711" s="79"/>
      <c r="V711" s="82">
        <v>45366.126388888886</v>
      </c>
      <c r="W711" s="82">
        <f>V711+TIME(0,178,0)</f>
        <v>45366.25</v>
      </c>
      <c r="X711" s="103">
        <f t="shared" si="151"/>
        <v>174.29166667054233</v>
      </c>
      <c r="Y711" s="82"/>
      <c r="Z711" s="82">
        <v>45367.659618055557</v>
      </c>
      <c r="AA711" s="82">
        <f>Z711+TIME(0,57,0)</f>
        <v>45367.699201388888</v>
      </c>
      <c r="AB711" s="81">
        <f t="shared" si="152"/>
        <v>55.81249999726424</v>
      </c>
      <c r="AC711" s="82"/>
      <c r="AD711" s="83">
        <f t="shared" si="153"/>
        <v>2.2936458333351766</v>
      </c>
      <c r="AE711" s="83">
        <v>3</v>
      </c>
      <c r="AF711" s="83">
        <f t="shared" si="154"/>
        <v>0.70635416666482342</v>
      </c>
      <c r="AG711" s="83">
        <f t="shared" si="155"/>
        <v>55.047500000044238</v>
      </c>
      <c r="AH711" s="83">
        <f t="shared" si="156"/>
        <v>24</v>
      </c>
      <c r="AI711" s="83">
        <f t="shared" si="157"/>
        <v>31.047500000044238</v>
      </c>
      <c r="AJ711" s="83">
        <f t="shared" si="158"/>
        <v>3.0147354859446533</v>
      </c>
      <c r="AK711" s="83"/>
      <c r="AL711" s="83"/>
      <c r="AM711" s="83"/>
      <c r="AN711" s="83"/>
    </row>
    <row r="712" spans="1:41" ht="15" hidden="1" x14ac:dyDescent="0.25">
      <c r="A712" s="82">
        <v>45730</v>
      </c>
      <c r="B712" s="94" t="str">
        <f t="shared" si="148"/>
        <v>March</v>
      </c>
      <c r="C712" s="79" t="s">
        <v>2162</v>
      </c>
      <c r="D712" s="79" t="s">
        <v>1488</v>
      </c>
      <c r="E712" s="79" t="s">
        <v>1017</v>
      </c>
      <c r="F712" s="79" t="s">
        <v>1023</v>
      </c>
      <c r="G712" s="79" t="s">
        <v>61</v>
      </c>
      <c r="H712" s="79" t="s">
        <v>450</v>
      </c>
      <c r="I712" s="79">
        <v>156</v>
      </c>
      <c r="J712" s="79" t="s">
        <v>1488</v>
      </c>
      <c r="K712" s="80" t="s">
        <v>469</v>
      </c>
      <c r="L712" s="80">
        <v>288</v>
      </c>
      <c r="M712" s="80">
        <f>L712-2</f>
        <v>286</v>
      </c>
      <c r="N712" s="81">
        <f t="shared" si="159"/>
        <v>-2</v>
      </c>
      <c r="O712" s="80"/>
      <c r="P712" s="82">
        <f>R712-TIME(0,27,0)</f>
        <v>45365.357638888883</v>
      </c>
      <c r="Q712" s="82">
        <v>45365.3125</v>
      </c>
      <c r="R712" s="82">
        <v>45365.376388888886</v>
      </c>
      <c r="S712" s="81">
        <f t="shared" si="149"/>
        <v>91.574074070134273</v>
      </c>
      <c r="T712" s="81">
        <f t="shared" si="150"/>
        <v>26.87500000417155</v>
      </c>
      <c r="U712" s="79"/>
      <c r="V712" s="82">
        <v>45366.428472222222</v>
      </c>
      <c r="W712" s="82">
        <v>45367.52847222222</v>
      </c>
      <c r="X712" s="103">
        <f t="shared" si="151"/>
        <v>1550.9999999979482</v>
      </c>
      <c r="Y712" s="82" t="s">
        <v>1049</v>
      </c>
      <c r="Z712" s="82">
        <v>45367.728472222225</v>
      </c>
      <c r="AA712" s="82">
        <f>Z712+TIME(0,52,0)</f>
        <v>45367.764583333337</v>
      </c>
      <c r="AB712" s="81">
        <f t="shared" si="152"/>
        <v>50.916666668490507</v>
      </c>
      <c r="AC712" s="82"/>
      <c r="AD712" s="83">
        <f t="shared" si="153"/>
        <v>2.352083333338669</v>
      </c>
      <c r="AE712" s="83">
        <v>2</v>
      </c>
      <c r="AF712" s="83">
        <f t="shared" si="154"/>
        <v>-0.35208333333866904</v>
      </c>
      <c r="AG712" s="83">
        <f t="shared" si="155"/>
        <v>56.450000000128057</v>
      </c>
      <c r="AH712" s="83">
        <f t="shared" si="156"/>
        <v>24</v>
      </c>
      <c r="AI712" s="83">
        <f t="shared" si="157"/>
        <v>32.450000000128057</v>
      </c>
      <c r="AJ712" s="83">
        <f t="shared" si="158"/>
        <v>4.8073959938177007</v>
      </c>
      <c r="AK712" s="83"/>
      <c r="AL712" s="83"/>
      <c r="AM712" s="83"/>
      <c r="AN712" s="83"/>
    </row>
    <row r="713" spans="1:41" ht="15" hidden="1" x14ac:dyDescent="0.25">
      <c r="A713" s="82">
        <v>45730</v>
      </c>
      <c r="B713" s="94" t="str">
        <f t="shared" si="148"/>
        <v>March</v>
      </c>
      <c r="C713" s="79" t="s">
        <v>2162</v>
      </c>
      <c r="D713" s="79" t="s">
        <v>1489</v>
      </c>
      <c r="E713" s="79" t="s">
        <v>1017</v>
      </c>
      <c r="F713" s="79" t="s">
        <v>1036</v>
      </c>
      <c r="G713" s="79" t="s">
        <v>36</v>
      </c>
      <c r="H713" s="79" t="s">
        <v>463</v>
      </c>
      <c r="I713" s="79">
        <v>156</v>
      </c>
      <c r="J713" s="79" t="s">
        <v>1489</v>
      </c>
      <c r="K713" s="80" t="s">
        <v>469</v>
      </c>
      <c r="L713" s="80">
        <v>464</v>
      </c>
      <c r="M713" s="80">
        <f>L713-3</f>
        <v>461</v>
      </c>
      <c r="N713" s="81">
        <f t="shared" si="159"/>
        <v>-3</v>
      </c>
      <c r="O713" s="80"/>
      <c r="P713" s="82">
        <f>R713-TIME(0,29,0)</f>
        <v>45365.339583333334</v>
      </c>
      <c r="Q713" s="82">
        <v>45365.3125</v>
      </c>
      <c r="R713" s="82">
        <v>45365.359722222223</v>
      </c>
      <c r="S713" s="81">
        <f t="shared" si="149"/>
        <v>67.685185186807459</v>
      </c>
      <c r="T713" s="81">
        <f t="shared" si="150"/>
        <v>28.865740740972495</v>
      </c>
      <c r="U713" s="79"/>
      <c r="V713" s="82">
        <v>45366.297222222223</v>
      </c>
      <c r="W713" s="82">
        <v>45366.650694444441</v>
      </c>
      <c r="X713" s="103">
        <f t="shared" si="151"/>
        <v>498.39583332672191</v>
      </c>
      <c r="Y713" s="82" t="s">
        <v>1046</v>
      </c>
      <c r="Z713" s="82">
        <v>45367.427222222221</v>
      </c>
      <c r="AA713" s="82">
        <v>45367.457777777781</v>
      </c>
      <c r="AB713" s="81">
        <f t="shared" si="152"/>
        <v>43.083333340400713</v>
      </c>
      <c r="AC713" s="82"/>
      <c r="AD713" s="83">
        <f t="shared" si="153"/>
        <v>2.0674999999973807</v>
      </c>
      <c r="AE713" s="83">
        <v>3</v>
      </c>
      <c r="AF713" s="83">
        <f t="shared" si="154"/>
        <v>0.93250000000261934</v>
      </c>
      <c r="AG713" s="83">
        <f t="shared" si="155"/>
        <v>49.619999999937136</v>
      </c>
      <c r="AH713" s="83">
        <f t="shared" si="156"/>
        <v>24</v>
      </c>
      <c r="AI713" s="83">
        <f t="shared" si="157"/>
        <v>25.619999999937136</v>
      </c>
      <c r="AJ713" s="83">
        <f t="shared" si="158"/>
        <v>6.0889929742538165</v>
      </c>
      <c r="AK713" s="83"/>
      <c r="AL713" s="83"/>
      <c r="AM713" s="83"/>
      <c r="AN713" s="83"/>
    </row>
    <row r="714" spans="1:41" ht="15" hidden="1" x14ac:dyDescent="0.25">
      <c r="A714" s="82">
        <v>45730</v>
      </c>
      <c r="B714" s="94" t="str">
        <f t="shared" si="148"/>
        <v>March</v>
      </c>
      <c r="C714" s="79" t="s">
        <v>2162</v>
      </c>
      <c r="D714" s="79" t="s">
        <v>1490</v>
      </c>
      <c r="E714" s="79" t="s">
        <v>1017</v>
      </c>
      <c r="F714" s="79"/>
      <c r="G714" s="79" t="s">
        <v>65</v>
      </c>
      <c r="H714" s="79" t="s">
        <v>455</v>
      </c>
      <c r="I714" s="79">
        <v>139.19999999999999</v>
      </c>
      <c r="J714" s="79" t="s">
        <v>1490</v>
      </c>
      <c r="K714" s="80" t="s">
        <v>469</v>
      </c>
      <c r="L714" s="80">
        <v>580</v>
      </c>
      <c r="M714" s="80">
        <f>L714-1</f>
        <v>579</v>
      </c>
      <c r="N714" s="81">
        <f t="shared" si="159"/>
        <v>-1</v>
      </c>
      <c r="O714" s="80"/>
      <c r="P714" s="82">
        <f>R714-TIME(0,29,0)</f>
        <v>45365.345138888886</v>
      </c>
      <c r="Q714" s="82">
        <v>45365.3125</v>
      </c>
      <c r="R714" s="82">
        <v>45365.365277777775</v>
      </c>
      <c r="S714" s="81">
        <f t="shared" si="149"/>
        <v>75.6481481444401</v>
      </c>
      <c r="T714" s="81">
        <f t="shared" si="150"/>
        <v>28.865740740972495</v>
      </c>
      <c r="U714" s="79"/>
      <c r="V714" s="82">
        <v>45366.261111111111</v>
      </c>
      <c r="W714" s="82">
        <v>45366.411805555559</v>
      </c>
      <c r="X714" s="103">
        <f t="shared" si="151"/>
        <v>212.47916667191021</v>
      </c>
      <c r="Y714" s="82" t="s">
        <v>1038</v>
      </c>
      <c r="Z714" s="82">
        <v>45367.361805555556</v>
      </c>
      <c r="AA714" s="82">
        <v>45367.404166666667</v>
      </c>
      <c r="AB714" s="81">
        <f t="shared" si="152"/>
        <v>59.729166666438687</v>
      </c>
      <c r="AC714" s="82"/>
      <c r="AD714" s="83">
        <f t="shared" si="153"/>
        <v>1.9965277777810115</v>
      </c>
      <c r="AE714" s="83">
        <v>2</v>
      </c>
      <c r="AF714" s="83">
        <f t="shared" si="154"/>
        <v>3.4722222189884633E-3</v>
      </c>
      <c r="AG714" s="83">
        <f t="shared" si="155"/>
        <v>47.916666666744277</v>
      </c>
      <c r="AH714" s="83">
        <f t="shared" si="156"/>
        <v>12</v>
      </c>
      <c r="AI714" s="83">
        <f t="shared" si="157"/>
        <v>35.916666666744277</v>
      </c>
      <c r="AJ714" s="83">
        <f t="shared" si="158"/>
        <v>3.8756380510357085</v>
      </c>
      <c r="AK714" s="83"/>
      <c r="AL714" s="83"/>
      <c r="AM714" s="83"/>
      <c r="AN714" s="83"/>
    </row>
    <row r="715" spans="1:41" ht="15" hidden="1" x14ac:dyDescent="0.25">
      <c r="A715" s="82">
        <v>45730</v>
      </c>
      <c r="B715" s="94" t="str">
        <f t="shared" si="148"/>
        <v>March</v>
      </c>
      <c r="C715" s="79" t="s">
        <v>2162</v>
      </c>
      <c r="D715" s="79" t="s">
        <v>1491</v>
      </c>
      <c r="E715" s="79" t="s">
        <v>1017</v>
      </c>
      <c r="F715" s="79" t="s">
        <v>1018</v>
      </c>
      <c r="G715" s="79" t="s">
        <v>39</v>
      </c>
      <c r="H715" s="79" t="s">
        <v>457</v>
      </c>
      <c r="I715" s="79">
        <v>156</v>
      </c>
      <c r="J715" s="79" t="s">
        <v>1491</v>
      </c>
      <c r="K715" s="80" t="s">
        <v>469</v>
      </c>
      <c r="L715" s="79">
        <v>320</v>
      </c>
      <c r="M715" s="80">
        <f>L715-3</f>
        <v>317</v>
      </c>
      <c r="N715" s="81">
        <f t="shared" si="159"/>
        <v>-3</v>
      </c>
      <c r="O715" s="80"/>
      <c r="P715" s="82">
        <f>R715-TIME(0,28,0)</f>
        <v>45366.063310185185</v>
      </c>
      <c r="Q715" s="82">
        <v>45366.035532407404</v>
      </c>
      <c r="R715" s="82">
        <v>45366.082754629628</v>
      </c>
      <c r="S715" s="81">
        <f t="shared" si="149"/>
        <v>67.685185186807459</v>
      </c>
      <c r="T715" s="81">
        <f t="shared" si="150"/>
        <v>27.870370367357584</v>
      </c>
      <c r="U715" s="79"/>
      <c r="V715" s="82">
        <v>45367.145254629628</v>
      </c>
      <c r="W715" s="82">
        <v>45367.730254629627</v>
      </c>
      <c r="X715" s="103">
        <f t="shared" si="151"/>
        <v>824.84999999876891</v>
      </c>
      <c r="Y715" s="82" t="s">
        <v>1044</v>
      </c>
      <c r="Z715" s="82">
        <v>45367.844837962963</v>
      </c>
      <c r="AA715" s="82">
        <v>45367.884421296294</v>
      </c>
      <c r="AB715" s="81">
        <f t="shared" si="152"/>
        <v>55.81249999726424</v>
      </c>
      <c r="AC715" s="82"/>
      <c r="AD715" s="83">
        <f t="shared" si="153"/>
        <v>1.7620833333348855</v>
      </c>
      <c r="AE715" s="83">
        <v>2</v>
      </c>
      <c r="AF715" s="83">
        <f t="shared" si="154"/>
        <v>0.23791666666511446</v>
      </c>
      <c r="AG715" s="83">
        <f t="shared" si="155"/>
        <v>42.290000000037253</v>
      </c>
      <c r="AH715" s="83">
        <f t="shared" si="156"/>
        <v>12</v>
      </c>
      <c r="AI715" s="83">
        <f t="shared" si="157"/>
        <v>30.290000000037253</v>
      </c>
      <c r="AJ715" s="83">
        <f t="shared" si="158"/>
        <v>5.1502145922683438</v>
      </c>
      <c r="AK715" s="83"/>
      <c r="AL715" s="83"/>
      <c r="AM715" s="83"/>
      <c r="AN715" s="83"/>
    </row>
    <row r="716" spans="1:41" ht="15" hidden="1" x14ac:dyDescent="0.25">
      <c r="A716" s="82">
        <v>45730</v>
      </c>
      <c r="B716" s="94" t="str">
        <f t="shared" si="148"/>
        <v>March</v>
      </c>
      <c r="C716" s="79" t="s">
        <v>2162</v>
      </c>
      <c r="D716" s="79" t="s">
        <v>1492</v>
      </c>
      <c r="E716" s="79" t="s">
        <v>1017</v>
      </c>
      <c r="F716" s="79" t="s">
        <v>1667</v>
      </c>
      <c r="G716" s="79" t="s">
        <v>977</v>
      </c>
      <c r="H716" s="79" t="s">
        <v>450</v>
      </c>
      <c r="I716" s="79">
        <v>156</v>
      </c>
      <c r="J716" s="79" t="s">
        <v>1492</v>
      </c>
      <c r="K716" s="80" t="s">
        <v>469</v>
      </c>
      <c r="L716" s="80">
        <v>288</v>
      </c>
      <c r="M716" s="80">
        <f>L716-3</f>
        <v>285</v>
      </c>
      <c r="N716" s="81">
        <f t="shared" si="159"/>
        <v>-3</v>
      </c>
      <c r="O716" s="80"/>
      <c r="P716" s="82">
        <f t="shared" ref="P716:P717" si="160">R716-TIME(0,27,0)</f>
        <v>45366.084490740737</v>
      </c>
      <c r="Q716" s="82">
        <v>45366.042129629626</v>
      </c>
      <c r="R716" s="82">
        <v>45366.10324074074</v>
      </c>
      <c r="S716" s="81">
        <f t="shared" si="149"/>
        <v>87.592592596532384</v>
      </c>
      <c r="T716" s="81">
        <f t="shared" si="150"/>
        <v>26.87500000417155</v>
      </c>
      <c r="U716" s="79"/>
      <c r="V716" s="82">
        <v>45367.35324074074</v>
      </c>
      <c r="W716" s="82">
        <v>45368.644236111111</v>
      </c>
      <c r="X716" s="103">
        <f t="shared" si="151"/>
        <v>1820.3034722232405</v>
      </c>
      <c r="Y716" s="82" t="s">
        <v>1040</v>
      </c>
      <c r="Z716" s="82">
        <v>45368.734236111108</v>
      </c>
      <c r="AA716" s="82">
        <f>Z716+TIME(0,56,0)</f>
        <v>45368.773125</v>
      </c>
      <c r="AB716" s="81">
        <f t="shared" si="152"/>
        <v>54.833333337664953</v>
      </c>
      <c r="AC716" s="82"/>
      <c r="AD716" s="83">
        <f t="shared" si="153"/>
        <v>2.6309953703676001</v>
      </c>
      <c r="AE716" s="83">
        <v>2</v>
      </c>
      <c r="AF716" s="83">
        <f t="shared" si="154"/>
        <v>-0.63099537036760012</v>
      </c>
      <c r="AG716" s="83">
        <f t="shared" si="155"/>
        <v>63.143888888822403</v>
      </c>
      <c r="AH716" s="83">
        <f t="shared" si="156"/>
        <v>24</v>
      </c>
      <c r="AI716" s="83">
        <f t="shared" si="157"/>
        <v>39.143888888822403</v>
      </c>
      <c r="AJ716" s="83">
        <f t="shared" si="158"/>
        <v>3.9852964135238498</v>
      </c>
      <c r="AK716" s="83"/>
      <c r="AL716" s="83"/>
      <c r="AM716" s="83"/>
      <c r="AN716" s="83"/>
    </row>
    <row r="717" spans="1:41" ht="15" hidden="1" x14ac:dyDescent="0.25">
      <c r="A717" s="82">
        <v>45730</v>
      </c>
      <c r="B717" s="94" t="str">
        <f t="shared" si="148"/>
        <v>March</v>
      </c>
      <c r="C717" s="79" t="s">
        <v>2162</v>
      </c>
      <c r="D717" s="79" t="s">
        <v>1493</v>
      </c>
      <c r="E717" s="79" t="s">
        <v>1017</v>
      </c>
      <c r="F717" s="79"/>
      <c r="G717" s="79" t="s">
        <v>75</v>
      </c>
      <c r="H717" s="79" t="s">
        <v>458</v>
      </c>
      <c r="I717" s="79">
        <v>139.19999999999999</v>
      </c>
      <c r="J717" s="79" t="s">
        <v>1493</v>
      </c>
      <c r="K717" s="80" t="s">
        <v>469</v>
      </c>
      <c r="L717" s="80">
        <v>448</v>
      </c>
      <c r="M717" s="80">
        <f>L717-3</f>
        <v>445</v>
      </c>
      <c r="N717" s="81">
        <f t="shared" si="159"/>
        <v>-3</v>
      </c>
      <c r="O717" s="80"/>
      <c r="P717" s="82">
        <f t="shared" si="160"/>
        <v>45366.804861111108</v>
      </c>
      <c r="Q717" s="82">
        <v>45366.154861111114</v>
      </c>
      <c r="R717" s="82">
        <v>45366.823611111111</v>
      </c>
      <c r="S717" s="81">
        <f t="shared" si="149"/>
        <v>958.54166666249512</v>
      </c>
      <c r="T717" s="81">
        <f t="shared" si="150"/>
        <v>26.87500000417155</v>
      </c>
      <c r="U717" s="79"/>
      <c r="V717" s="82">
        <v>45367.165277777778</v>
      </c>
      <c r="W717" s="82">
        <v>45367.727083333331</v>
      </c>
      <c r="X717" s="103">
        <f t="shared" si="151"/>
        <v>792.14583333014161</v>
      </c>
      <c r="Y717" s="82" t="s">
        <v>1047</v>
      </c>
      <c r="Z717" s="82">
        <v>45368.593055555553</v>
      </c>
      <c r="AA717" s="82">
        <v>45368.624305555553</v>
      </c>
      <c r="AB717" s="81">
        <f t="shared" si="152"/>
        <v>44.0625</v>
      </c>
      <c r="AC717" s="82"/>
      <c r="AD717" s="83">
        <f t="shared" si="153"/>
        <v>1.7694444444423425</v>
      </c>
      <c r="AE717" s="83">
        <v>2</v>
      </c>
      <c r="AF717" s="83">
        <f t="shared" si="154"/>
        <v>0.2305555555576575</v>
      </c>
      <c r="AG717" s="83">
        <f t="shared" si="155"/>
        <v>42.46666666661622</v>
      </c>
      <c r="AH717" s="83">
        <f t="shared" si="156"/>
        <v>12</v>
      </c>
      <c r="AI717" s="83">
        <f t="shared" si="157"/>
        <v>30.46666666661622</v>
      </c>
      <c r="AJ717" s="83">
        <f t="shared" si="158"/>
        <v>4.5689277899419194</v>
      </c>
      <c r="AK717" s="83"/>
      <c r="AL717" s="83"/>
      <c r="AM717" s="83"/>
      <c r="AN717" s="83"/>
    </row>
    <row r="718" spans="1:41" ht="15" hidden="1" x14ac:dyDescent="0.25">
      <c r="A718" s="82">
        <v>45730</v>
      </c>
      <c r="B718" s="94" t="str">
        <f t="shared" si="148"/>
        <v>March</v>
      </c>
      <c r="C718" s="79" t="s">
        <v>2162</v>
      </c>
      <c r="D718" s="79" t="s">
        <v>1494</v>
      </c>
      <c r="E718" s="79" t="s">
        <v>1017</v>
      </c>
      <c r="F718" s="79" t="s">
        <v>960</v>
      </c>
      <c r="G718" s="79" t="s">
        <v>62</v>
      </c>
      <c r="H718" s="79" t="s">
        <v>448</v>
      </c>
      <c r="I718" s="79">
        <v>156</v>
      </c>
      <c r="J718" s="79" t="s">
        <v>1494</v>
      </c>
      <c r="K718" s="80" t="s">
        <v>469</v>
      </c>
      <c r="L718" s="79">
        <v>560</v>
      </c>
      <c r="M718" s="80">
        <f>L718-3</f>
        <v>557</v>
      </c>
      <c r="N718" s="81">
        <f t="shared" si="159"/>
        <v>-3</v>
      </c>
      <c r="O718" s="80"/>
      <c r="P718" s="82">
        <f>R718-TIME(0,26,0)</f>
        <v>45365.582118055558</v>
      </c>
      <c r="Q718" s="82">
        <v>45365.550173611111</v>
      </c>
      <c r="R718" s="82">
        <v>45365.600173611114</v>
      </c>
      <c r="S718" s="81">
        <f t="shared" si="149"/>
        <v>71.666666670838211</v>
      </c>
      <c r="T718" s="81">
        <f t="shared" si="150"/>
        <v>25.879629630556639</v>
      </c>
      <c r="U718" s="79"/>
      <c r="V718" s="82">
        <v>45366.412673611114</v>
      </c>
      <c r="W718" s="82">
        <v>45366.605034722219</v>
      </c>
      <c r="X718" s="103">
        <f t="shared" si="151"/>
        <v>271.22916665823141</v>
      </c>
      <c r="Y718" s="82" t="s">
        <v>1044</v>
      </c>
      <c r="Z718" s="82">
        <v>45367.430034722223</v>
      </c>
      <c r="AA718" s="82">
        <f>Z718+TIME(0,60,0)</f>
        <v>45367.471701388888</v>
      </c>
      <c r="AB718" s="81">
        <f t="shared" si="152"/>
        <v>58.7499999965803</v>
      </c>
      <c r="AC718" s="82"/>
      <c r="AD718" s="83">
        <f t="shared" si="153"/>
        <v>1.8298611111094942</v>
      </c>
      <c r="AE718" s="83">
        <v>2</v>
      </c>
      <c r="AF718" s="83">
        <f t="shared" si="154"/>
        <v>0.17013888889050577</v>
      </c>
      <c r="AG718" s="83">
        <f t="shared" si="155"/>
        <v>43.916666666627862</v>
      </c>
      <c r="AH718" s="83">
        <f t="shared" si="156"/>
        <v>12</v>
      </c>
      <c r="AI718" s="83">
        <f t="shared" si="157"/>
        <v>31.916666666627862</v>
      </c>
      <c r="AJ718" s="83">
        <f t="shared" si="158"/>
        <v>4.8877284595359685</v>
      </c>
      <c r="AK718" s="83"/>
      <c r="AL718" s="83"/>
      <c r="AM718" s="83"/>
      <c r="AN718" s="83"/>
    </row>
    <row r="719" spans="1:41" ht="15" hidden="1" x14ac:dyDescent="0.25">
      <c r="A719" s="82">
        <v>45730</v>
      </c>
      <c r="B719" s="94" t="str">
        <f t="shared" si="148"/>
        <v>March</v>
      </c>
      <c r="C719" s="79" t="s">
        <v>2162</v>
      </c>
      <c r="D719" s="79" t="s">
        <v>1495</v>
      </c>
      <c r="E719" s="79" t="s">
        <v>1017</v>
      </c>
      <c r="F719" s="79" t="s">
        <v>1026</v>
      </c>
      <c r="G719" s="79" t="s">
        <v>51</v>
      </c>
      <c r="H719" s="79" t="s">
        <v>454</v>
      </c>
      <c r="I719" s="79">
        <v>116.4</v>
      </c>
      <c r="J719" s="79" t="s">
        <v>1495</v>
      </c>
      <c r="K719" s="80" t="s">
        <v>469</v>
      </c>
      <c r="L719" s="80">
        <v>304</v>
      </c>
      <c r="M719" s="80">
        <f>L719-3</f>
        <v>301</v>
      </c>
      <c r="N719" s="81">
        <f t="shared" si="159"/>
        <v>-3</v>
      </c>
      <c r="O719" s="80"/>
      <c r="P719" s="82">
        <f>R719-TIME(0,27,0)</f>
        <v>45365.574999999997</v>
      </c>
      <c r="Q719" s="82">
        <v>45366.179861111108</v>
      </c>
      <c r="R719" s="82">
        <v>45365.59375</v>
      </c>
      <c r="S719" s="81">
        <f t="shared" si="149"/>
        <v>-840.09259258818929</v>
      </c>
      <c r="T719" s="81">
        <f t="shared" si="150"/>
        <v>26.87500000417155</v>
      </c>
      <c r="U719" s="79"/>
      <c r="V719" s="82">
        <v>45365.915972222225</v>
      </c>
      <c r="W719" s="82">
        <f>V719+TIME(0,168,0)</f>
        <v>45366.032638888893</v>
      </c>
      <c r="X719" s="103">
        <f t="shared" si="151"/>
        <v>164.50000000273576</v>
      </c>
      <c r="Y719" s="82"/>
      <c r="Z719" s="82">
        <v>45366.909722222219</v>
      </c>
      <c r="AA719" s="82">
        <v>45366.949305555558</v>
      </c>
      <c r="AB719" s="81">
        <f t="shared" si="152"/>
        <v>55.81250000752334</v>
      </c>
      <c r="AC719" s="82"/>
      <c r="AD719" s="83">
        <f t="shared" si="153"/>
        <v>1.3159722222189885</v>
      </c>
      <c r="AE719" s="83">
        <v>2</v>
      </c>
      <c r="AF719" s="83">
        <f t="shared" si="154"/>
        <v>0.68402777778101154</v>
      </c>
      <c r="AG719" s="83">
        <f t="shared" si="155"/>
        <v>31.583333333255723</v>
      </c>
      <c r="AH719" s="83">
        <f t="shared" si="156"/>
        <v>12</v>
      </c>
      <c r="AI719" s="83">
        <f t="shared" si="157"/>
        <v>19.583333333255723</v>
      </c>
      <c r="AJ719" s="83">
        <f t="shared" si="158"/>
        <v>5.9438297872575987</v>
      </c>
      <c r="AK719" s="83"/>
      <c r="AL719" s="83"/>
      <c r="AM719" s="83"/>
      <c r="AN719" s="83"/>
    </row>
    <row r="720" spans="1:41" ht="15" hidden="1" x14ac:dyDescent="0.25">
      <c r="A720" s="82">
        <v>45731</v>
      </c>
      <c r="B720" s="94" t="str">
        <f t="shared" si="148"/>
        <v>March</v>
      </c>
      <c r="C720" s="79" t="s">
        <v>2162</v>
      </c>
      <c r="D720" s="79" t="s">
        <v>1496</v>
      </c>
      <c r="E720" s="79" t="s">
        <v>1017</v>
      </c>
      <c r="F720" s="79"/>
      <c r="G720" s="79" t="s">
        <v>74</v>
      </c>
      <c r="H720" s="79" t="s">
        <v>458</v>
      </c>
      <c r="I720" s="79">
        <v>78</v>
      </c>
      <c r="J720" s="79" t="s">
        <v>1496</v>
      </c>
      <c r="K720" s="80" t="s">
        <v>469</v>
      </c>
      <c r="L720" s="80">
        <v>448</v>
      </c>
      <c r="M720" s="80">
        <f>L720-1</f>
        <v>447</v>
      </c>
      <c r="N720" s="81">
        <f t="shared" si="159"/>
        <v>-1</v>
      </c>
      <c r="O720" s="80"/>
      <c r="P720" s="82">
        <f>R720-TIME(0,27,0)</f>
        <v>45366.379270833328</v>
      </c>
      <c r="Q720" s="82">
        <v>45366.340381944443</v>
      </c>
      <c r="R720" s="82">
        <v>45366.398020833331</v>
      </c>
      <c r="S720" s="81">
        <f t="shared" si="149"/>
        <v>82.615740738886714</v>
      </c>
      <c r="T720" s="81">
        <f t="shared" si="150"/>
        <v>26.87500000417155</v>
      </c>
      <c r="U720" s="79"/>
      <c r="V720" s="82">
        <v>45366.648020833331</v>
      </c>
      <c r="W720" s="82">
        <v>45366.842465277776</v>
      </c>
      <c r="X720" s="103">
        <f t="shared" si="151"/>
        <v>274.16666666780657</v>
      </c>
      <c r="Y720" s="82" t="s">
        <v>1049</v>
      </c>
      <c r="Z720" s="82">
        <v>45367.422465277778</v>
      </c>
      <c r="AA720" s="82">
        <f>Z720+TIME(0,41,0)</f>
        <v>45367.450937499998</v>
      </c>
      <c r="AB720" s="81">
        <f t="shared" si="152"/>
        <v>40.145833330825553</v>
      </c>
      <c r="AC720" s="82"/>
      <c r="AD720" s="83">
        <f t="shared" si="153"/>
        <v>1.0244444444469991</v>
      </c>
      <c r="AE720" s="83">
        <v>2</v>
      </c>
      <c r="AF720" s="83">
        <f t="shared" si="154"/>
        <v>0.97555555555300089</v>
      </c>
      <c r="AG720" s="83">
        <f t="shared" si="155"/>
        <v>24.586666666727979</v>
      </c>
      <c r="AH720" s="83">
        <f t="shared" si="156"/>
        <v>12</v>
      </c>
      <c r="AI720" s="83">
        <f t="shared" si="157"/>
        <v>12.586666666727979</v>
      </c>
      <c r="AJ720" s="83">
        <f t="shared" si="158"/>
        <v>6.1970338982748974</v>
      </c>
      <c r="AK720" s="83"/>
      <c r="AL720" s="83"/>
      <c r="AM720" s="83"/>
      <c r="AN720" s="83"/>
    </row>
    <row r="721" spans="1:40" ht="15" hidden="1" x14ac:dyDescent="0.25">
      <c r="A721" s="82">
        <v>45731</v>
      </c>
      <c r="B721" s="94" t="str">
        <f t="shared" si="148"/>
        <v>March</v>
      </c>
      <c r="C721" s="79" t="s">
        <v>2162</v>
      </c>
      <c r="D721" s="79" t="s">
        <v>1497</v>
      </c>
      <c r="E721" s="79" t="s">
        <v>1017</v>
      </c>
      <c r="F721" s="79"/>
      <c r="G721" s="79" t="s">
        <v>47</v>
      </c>
      <c r="H721" s="79" t="s">
        <v>450</v>
      </c>
      <c r="I721" s="79">
        <v>156</v>
      </c>
      <c r="J721" s="79" t="s">
        <v>1497</v>
      </c>
      <c r="K721" s="80" t="s">
        <v>469</v>
      </c>
      <c r="L721" s="80">
        <v>288</v>
      </c>
      <c r="M721" s="80">
        <f>L721-1</f>
        <v>287</v>
      </c>
      <c r="N721" s="81">
        <f t="shared" si="159"/>
        <v>-1</v>
      </c>
      <c r="O721" s="80"/>
      <c r="P721" s="82">
        <f>R721-TIME(0,53,0)</f>
        <v>45365.912499999999</v>
      </c>
      <c r="Q721" s="82">
        <v>45365.854166666664</v>
      </c>
      <c r="R721" s="82">
        <v>45365.949305555558</v>
      </c>
      <c r="S721" s="81">
        <f t="shared" si="149"/>
        <v>136.36574074722981</v>
      </c>
      <c r="T721" s="81">
        <f t="shared" si="150"/>
        <v>52.75462963472819</v>
      </c>
      <c r="U721" s="79" t="s">
        <v>2163</v>
      </c>
      <c r="V721" s="82">
        <v>45367.331944444442</v>
      </c>
      <c r="W721" s="82">
        <f>V721+TIME(0,164,0)</f>
        <v>45367.445833333331</v>
      </c>
      <c r="X721" s="103">
        <f t="shared" si="151"/>
        <v>160.58333333356131</v>
      </c>
      <c r="Y721" s="82"/>
      <c r="Z721" s="82">
        <v>45367.762499999997</v>
      </c>
      <c r="AA721" s="82">
        <f>Z721+TIME(0,49,0)</f>
        <v>45367.796527777777</v>
      </c>
      <c r="AB721" s="81">
        <f t="shared" si="152"/>
        <v>47.979166669174447</v>
      </c>
      <c r="AC721" s="82"/>
      <c r="AD721" s="83">
        <f t="shared" si="153"/>
        <v>1.8131944444394321</v>
      </c>
      <c r="AE721" s="83">
        <v>2</v>
      </c>
      <c r="AF721" s="83">
        <f t="shared" si="154"/>
        <v>0.18680555556056788</v>
      </c>
      <c r="AG721" s="83">
        <f t="shared" si="155"/>
        <v>43.516666666546371</v>
      </c>
      <c r="AH721" s="83">
        <f t="shared" si="156"/>
        <v>12</v>
      </c>
      <c r="AI721" s="83">
        <f t="shared" si="157"/>
        <v>31.516666666546371</v>
      </c>
      <c r="AJ721" s="83">
        <f t="shared" si="158"/>
        <v>4.9497620306904953</v>
      </c>
      <c r="AK721" s="83"/>
      <c r="AL721" s="83"/>
      <c r="AM721" s="83"/>
      <c r="AN721" s="83"/>
    </row>
    <row r="722" spans="1:40" ht="15" hidden="1" x14ac:dyDescent="0.25">
      <c r="A722" s="82">
        <v>45731</v>
      </c>
      <c r="B722" s="94" t="str">
        <f t="shared" si="148"/>
        <v>March</v>
      </c>
      <c r="C722" s="79" t="s">
        <v>2162</v>
      </c>
      <c r="D722" s="79" t="s">
        <v>1498</v>
      </c>
      <c r="E722" s="79" t="s">
        <v>1017</v>
      </c>
      <c r="F722" s="79" t="s">
        <v>1013</v>
      </c>
      <c r="G722" s="79" t="s">
        <v>56</v>
      </c>
      <c r="H722" s="79" t="s">
        <v>465</v>
      </c>
      <c r="I722" s="79">
        <v>15.75</v>
      </c>
      <c r="J722" s="79" t="s">
        <v>1498</v>
      </c>
      <c r="K722" s="80" t="s">
        <v>469</v>
      </c>
      <c r="L722" s="80">
        <v>382</v>
      </c>
      <c r="M722" s="80">
        <f>L722-3</f>
        <v>379</v>
      </c>
      <c r="N722" s="81">
        <f t="shared" si="159"/>
        <v>-3</v>
      </c>
      <c r="O722" s="80"/>
      <c r="P722" s="82">
        <f t="shared" ref="P722:P723" si="161">R722-TIME(0,26,0)</f>
        <v>45366.341666666667</v>
      </c>
      <c r="Q722" s="82">
        <v>45366.3125</v>
      </c>
      <c r="R722" s="82">
        <v>45366.359722222223</v>
      </c>
      <c r="S722" s="81">
        <f t="shared" si="149"/>
        <v>67.685185186807459</v>
      </c>
      <c r="T722" s="81">
        <f t="shared" si="150"/>
        <v>25.879629630556639</v>
      </c>
      <c r="U722" s="79"/>
      <c r="V722" s="82">
        <v>45366.609722222223</v>
      </c>
      <c r="W722" s="82">
        <v>45366.790277777778</v>
      </c>
      <c r="X722" s="103">
        <f t="shared" si="151"/>
        <v>254.58333333219343</v>
      </c>
      <c r="Y722" s="82" t="s">
        <v>1044</v>
      </c>
      <c r="Z722" s="82">
        <v>45367.37027777778</v>
      </c>
      <c r="AA722" s="82">
        <v>45367.403611111113</v>
      </c>
      <c r="AB722" s="81">
        <f t="shared" si="152"/>
        <v>46.99999999931606</v>
      </c>
      <c r="AC722" s="82"/>
      <c r="AD722" s="83">
        <f t="shared" si="153"/>
        <v>1.0105555555564933</v>
      </c>
      <c r="AE722" s="83">
        <v>2</v>
      </c>
      <c r="AF722" s="83">
        <f t="shared" si="154"/>
        <v>0.98944444444350665</v>
      </c>
      <c r="AG722" s="83">
        <f t="shared" si="155"/>
        <v>24.25333333335584</v>
      </c>
      <c r="AH722" s="83">
        <f t="shared" si="156"/>
        <v>12</v>
      </c>
      <c r="AI722" s="83">
        <f t="shared" si="157"/>
        <v>12.25333333335584</v>
      </c>
      <c r="AJ722" s="83">
        <f t="shared" si="158"/>
        <v>1.2853645266570515</v>
      </c>
      <c r="AK722" s="83"/>
      <c r="AL722" s="83"/>
      <c r="AM722" s="83"/>
      <c r="AN722" s="83"/>
    </row>
    <row r="723" spans="1:40" ht="15" hidden="1" x14ac:dyDescent="0.25">
      <c r="A723" s="82">
        <v>45731</v>
      </c>
      <c r="B723" s="94" t="str">
        <f t="shared" si="148"/>
        <v>March</v>
      </c>
      <c r="C723" s="79" t="s">
        <v>2162</v>
      </c>
      <c r="D723" s="79" t="s">
        <v>1499</v>
      </c>
      <c r="E723" s="79" t="s">
        <v>1017</v>
      </c>
      <c r="F723" s="79" t="s">
        <v>1025</v>
      </c>
      <c r="G723" s="79" t="s">
        <v>54</v>
      </c>
      <c r="H723" s="79" t="s">
        <v>465</v>
      </c>
      <c r="I723" s="79">
        <v>139.19999999999999</v>
      </c>
      <c r="J723" s="79" t="s">
        <v>1499</v>
      </c>
      <c r="K723" s="80" t="s">
        <v>469</v>
      </c>
      <c r="L723" s="80">
        <v>382</v>
      </c>
      <c r="M723" s="80">
        <f>L723-3</f>
        <v>379</v>
      </c>
      <c r="N723" s="81">
        <f t="shared" si="159"/>
        <v>-3</v>
      </c>
      <c r="O723" s="80"/>
      <c r="P723" s="82">
        <f t="shared" si="161"/>
        <v>45366.904861111114</v>
      </c>
      <c r="Q723" s="82">
        <v>45367.098611111112</v>
      </c>
      <c r="R723" s="82">
        <v>45366.92291666667</v>
      </c>
      <c r="S723" s="81">
        <f t="shared" si="149"/>
        <v>-251.82870370069091</v>
      </c>
      <c r="T723" s="81">
        <f t="shared" si="150"/>
        <v>25.879629630556639</v>
      </c>
      <c r="U723" s="79"/>
      <c r="V723" s="82">
        <v>45368.523611111108</v>
      </c>
      <c r="W723" s="82">
        <v>45368.737500000003</v>
      </c>
      <c r="X723" s="103">
        <f t="shared" si="151"/>
        <v>301.58333334176859</v>
      </c>
      <c r="Y723" s="82" t="s">
        <v>1044</v>
      </c>
      <c r="Z723" s="82">
        <v>45368.77847222222</v>
      </c>
      <c r="AA723" s="82">
        <v>45368.809027777781</v>
      </c>
      <c r="AB723" s="81">
        <f t="shared" si="152"/>
        <v>43.083333340400713</v>
      </c>
      <c r="AC723" s="82"/>
      <c r="AD723" s="83">
        <f t="shared" si="153"/>
        <v>1.8555555555503815</v>
      </c>
      <c r="AE723" s="83">
        <v>2</v>
      </c>
      <c r="AF723" s="83">
        <f t="shared" si="154"/>
        <v>0.14444444444961846</v>
      </c>
      <c r="AG723" s="83">
        <f t="shared" si="155"/>
        <v>44.533333333209157</v>
      </c>
      <c r="AH723" s="83">
        <f t="shared" si="156"/>
        <v>12</v>
      </c>
      <c r="AI723" s="83">
        <f t="shared" si="157"/>
        <v>32.533333333209157</v>
      </c>
      <c r="AJ723" s="83">
        <f t="shared" si="158"/>
        <v>4.278688524606495</v>
      </c>
      <c r="AK723" s="83"/>
      <c r="AL723" s="83"/>
      <c r="AM723" s="83"/>
      <c r="AN723" s="83"/>
    </row>
    <row r="724" spans="1:40" ht="15" hidden="1" x14ac:dyDescent="0.25">
      <c r="A724" s="82">
        <v>45731</v>
      </c>
      <c r="B724" s="94" t="str">
        <f t="shared" si="148"/>
        <v>March</v>
      </c>
      <c r="C724" s="79" t="s">
        <v>2161</v>
      </c>
      <c r="D724" s="79" t="s">
        <v>1500</v>
      </c>
      <c r="E724" s="79" t="s">
        <v>1017</v>
      </c>
      <c r="F724" s="79"/>
      <c r="G724" s="79" t="s">
        <v>979</v>
      </c>
      <c r="H724" s="79" t="s">
        <v>452</v>
      </c>
      <c r="I724" s="79">
        <v>69.599999999999994</v>
      </c>
      <c r="J724" s="79" t="s">
        <v>1500</v>
      </c>
      <c r="K724" s="80" t="s">
        <v>469</v>
      </c>
      <c r="L724" s="79">
        <v>690</v>
      </c>
      <c r="M724" s="80">
        <f>L724-3</f>
        <v>687</v>
      </c>
      <c r="N724" s="81">
        <f t="shared" si="159"/>
        <v>-3</v>
      </c>
      <c r="O724" s="80"/>
      <c r="P724" s="82">
        <f>R724-TIME(0,54,0)</f>
        <v>45367.794444444444</v>
      </c>
      <c r="Q724" s="82">
        <v>45367.082638888889</v>
      </c>
      <c r="R724" s="82">
        <v>45367.831944444442</v>
      </c>
      <c r="S724" s="81">
        <f t="shared" ref="S724:S769" si="162">(R724-Q724)*86000/60</f>
        <v>1074.0046296263852</v>
      </c>
      <c r="T724" s="81">
        <f t="shared" si="150"/>
        <v>53.749999997914223</v>
      </c>
      <c r="U724" s="79" t="s">
        <v>2164</v>
      </c>
      <c r="V724" s="82">
        <v>45368.431944444441</v>
      </c>
      <c r="W724" s="82">
        <v>45368.652777777781</v>
      </c>
      <c r="X724" s="103">
        <f t="shared" si="151"/>
        <v>311.37500000957516</v>
      </c>
      <c r="Y724" s="82" t="s">
        <v>1044</v>
      </c>
      <c r="Z724" s="82">
        <v>45369.501388888886</v>
      </c>
      <c r="AA724" s="82">
        <v>45369.543749999997</v>
      </c>
      <c r="AB724" s="81">
        <f t="shared" si="152"/>
        <v>59.729166666438687</v>
      </c>
      <c r="AC724" s="82"/>
      <c r="AD724" s="83">
        <f t="shared" si="153"/>
        <v>1.6694444444437977</v>
      </c>
      <c r="AE724" s="83">
        <v>3</v>
      </c>
      <c r="AF724" s="83">
        <f t="shared" si="154"/>
        <v>1.3305555555562023</v>
      </c>
      <c r="AG724" s="83">
        <f t="shared" si="155"/>
        <v>40.066666666651145</v>
      </c>
      <c r="AH724" s="83">
        <f t="shared" si="156"/>
        <v>12</v>
      </c>
      <c r="AI724" s="83">
        <f t="shared" si="157"/>
        <v>28.066666666651145</v>
      </c>
      <c r="AJ724" s="83">
        <f t="shared" si="158"/>
        <v>2.479809976248402</v>
      </c>
      <c r="AK724" s="83"/>
      <c r="AL724" s="83"/>
      <c r="AM724" s="83"/>
      <c r="AN724" s="83"/>
    </row>
    <row r="725" spans="1:40" ht="15" hidden="1" x14ac:dyDescent="0.25">
      <c r="A725" s="82">
        <v>45731</v>
      </c>
      <c r="B725" s="94" t="str">
        <f t="shared" si="148"/>
        <v>March</v>
      </c>
      <c r="C725" s="79" t="s">
        <v>2161</v>
      </c>
      <c r="D725" s="79" t="s">
        <v>1501</v>
      </c>
      <c r="E725" s="79" t="s">
        <v>1017</v>
      </c>
      <c r="F725" s="79"/>
      <c r="G725" s="79" t="s">
        <v>980</v>
      </c>
      <c r="H725" s="79" t="s">
        <v>462</v>
      </c>
      <c r="I725" s="79">
        <v>146.4</v>
      </c>
      <c r="J725" s="79" t="s">
        <v>1501</v>
      </c>
      <c r="K725" s="80" t="s">
        <v>469</v>
      </c>
      <c r="L725" s="79">
        <v>680</v>
      </c>
      <c r="M725" s="80">
        <f>L725-3</f>
        <v>677</v>
      </c>
      <c r="N725" s="81">
        <f t="shared" si="159"/>
        <v>-3</v>
      </c>
      <c r="O725" s="80"/>
      <c r="P725" s="82">
        <f>R725-TIME(0,28,0)</f>
        <v>45367.34652777778</v>
      </c>
      <c r="Q725" s="82">
        <v>45367.3125</v>
      </c>
      <c r="R725" s="82">
        <v>45367.365972222222</v>
      </c>
      <c r="S725" s="81">
        <f t="shared" si="162"/>
        <v>76.643518518055018</v>
      </c>
      <c r="T725" s="81">
        <f t="shared" si="150"/>
        <v>27.870370367357584</v>
      </c>
      <c r="U725" s="79"/>
      <c r="V725" s="82">
        <v>45368.129861111112</v>
      </c>
      <c r="W725" s="82">
        <v>45368.601388888892</v>
      </c>
      <c r="X725" s="103">
        <f t="shared" si="151"/>
        <v>664.85416666917445</v>
      </c>
      <c r="Y725" s="82" t="s">
        <v>1044</v>
      </c>
      <c r="Z725" s="82">
        <v>45368.886111111111</v>
      </c>
      <c r="AA725" s="82">
        <v>45368.921527777777</v>
      </c>
      <c r="AB725" s="81">
        <f t="shared" si="152"/>
        <v>49.93749999863212</v>
      </c>
      <c r="AC725" s="82"/>
      <c r="AD725" s="83">
        <f t="shared" si="153"/>
        <v>1.5201388888890506</v>
      </c>
      <c r="AE725" s="83">
        <v>3</v>
      </c>
      <c r="AF725" s="83">
        <f t="shared" si="154"/>
        <v>1.4798611111109494</v>
      </c>
      <c r="AG725" s="83">
        <f t="shared" si="155"/>
        <v>36.483333333337214</v>
      </c>
      <c r="AH725" s="83">
        <f t="shared" si="156"/>
        <v>12</v>
      </c>
      <c r="AI725" s="83">
        <f t="shared" si="157"/>
        <v>24.483333333337214</v>
      </c>
      <c r="AJ725" s="83">
        <f t="shared" si="158"/>
        <v>5.9795779441787662</v>
      </c>
      <c r="AK725" s="83"/>
      <c r="AL725" s="83"/>
      <c r="AM725" s="83"/>
      <c r="AN725" s="83"/>
    </row>
    <row r="726" spans="1:40" ht="15" hidden="1" x14ac:dyDescent="0.25">
      <c r="A726" s="82">
        <v>45731</v>
      </c>
      <c r="B726" s="94" t="str">
        <f t="shared" si="148"/>
        <v>March</v>
      </c>
      <c r="C726" s="79" t="s">
        <v>2161</v>
      </c>
      <c r="D726" s="79" t="s">
        <v>1502</v>
      </c>
      <c r="E726" s="79" t="s">
        <v>1017</v>
      </c>
      <c r="F726" s="79"/>
      <c r="G726" s="79" t="s">
        <v>974</v>
      </c>
      <c r="H726" s="79" t="s">
        <v>457</v>
      </c>
      <c r="I726" s="79">
        <v>153.6</v>
      </c>
      <c r="J726" s="79" t="s">
        <v>1502</v>
      </c>
      <c r="K726" s="80" t="s">
        <v>469</v>
      </c>
      <c r="L726" s="79">
        <v>320</v>
      </c>
      <c r="M726" s="80">
        <f>L726-2</f>
        <v>318</v>
      </c>
      <c r="N726" s="81">
        <f t="shared" si="159"/>
        <v>-2</v>
      </c>
      <c r="O726" s="80"/>
      <c r="P726" s="82">
        <f>R726-TIME(0,28,0)</f>
        <v>45367.660416666666</v>
      </c>
      <c r="Q726" s="82">
        <v>45367.842361111114</v>
      </c>
      <c r="R726" s="82">
        <v>45367.679861111108</v>
      </c>
      <c r="S726" s="81">
        <f t="shared" si="162"/>
        <v>-232.91666667500976</v>
      </c>
      <c r="T726" s="81">
        <f t="shared" si="150"/>
        <v>27.870370367357584</v>
      </c>
      <c r="U726" s="79"/>
      <c r="V726" s="82">
        <v>45368.427777777775</v>
      </c>
      <c r="W726" s="82">
        <v>45368.658333333333</v>
      </c>
      <c r="X726" s="103">
        <f t="shared" si="151"/>
        <v>325.08333333629707</v>
      </c>
      <c r="Y726" s="82" t="s">
        <v>1044</v>
      </c>
      <c r="Z726" s="82">
        <v>45369.618750000001</v>
      </c>
      <c r="AA726" s="82">
        <f>Z726+TIME(0,57,0)</f>
        <v>45369.658333333333</v>
      </c>
      <c r="AB726" s="81">
        <f t="shared" si="152"/>
        <v>55.81249999726424</v>
      </c>
      <c r="AC726" s="82"/>
      <c r="AD726" s="83">
        <f t="shared" si="153"/>
        <v>1.9388888888934162</v>
      </c>
      <c r="AE726" s="83">
        <v>2</v>
      </c>
      <c r="AF726" s="83">
        <f t="shared" si="154"/>
        <v>6.1111111106583849E-2</v>
      </c>
      <c r="AG726" s="83">
        <f t="shared" si="155"/>
        <v>46.533333333441988</v>
      </c>
      <c r="AH726" s="83">
        <f t="shared" si="156"/>
        <v>12</v>
      </c>
      <c r="AI726" s="83">
        <f t="shared" si="157"/>
        <v>34.533333333441988</v>
      </c>
      <c r="AJ726" s="83">
        <f t="shared" si="158"/>
        <v>4.4478764478624528</v>
      </c>
      <c r="AK726" s="83"/>
      <c r="AL726" s="83"/>
      <c r="AM726" s="83"/>
      <c r="AN726" s="83"/>
    </row>
    <row r="727" spans="1:40" ht="15" hidden="1" x14ac:dyDescent="0.25">
      <c r="A727" s="82">
        <v>45731</v>
      </c>
      <c r="B727" s="94" t="str">
        <f t="shared" si="148"/>
        <v>March</v>
      </c>
      <c r="C727" s="79" t="s">
        <v>2162</v>
      </c>
      <c r="D727" s="79" t="s">
        <v>1503</v>
      </c>
      <c r="E727" s="79" t="s">
        <v>1017</v>
      </c>
      <c r="F727" s="79"/>
      <c r="G727" s="79" t="s">
        <v>67</v>
      </c>
      <c r="H727" s="79" t="s">
        <v>464</v>
      </c>
      <c r="I727" s="79">
        <v>156</v>
      </c>
      <c r="J727" s="79" t="s">
        <v>1503</v>
      </c>
      <c r="K727" s="80" t="s">
        <v>469</v>
      </c>
      <c r="L727" s="79">
        <v>256</v>
      </c>
      <c r="M727" s="80">
        <f>L727-3</f>
        <v>253</v>
      </c>
      <c r="N727" s="81">
        <f t="shared" si="159"/>
        <v>-3</v>
      </c>
      <c r="O727" s="80"/>
      <c r="P727" s="82">
        <f>R727-TIME(0,29,0)</f>
        <v>45368.089375000003</v>
      </c>
      <c r="Q727" s="82">
        <v>45368.057430555556</v>
      </c>
      <c r="R727" s="82">
        <v>45368.109513888892</v>
      </c>
      <c r="S727" s="81">
        <f t="shared" si="162"/>
        <v>74.652777781254073</v>
      </c>
      <c r="T727" s="81">
        <f t="shared" si="150"/>
        <v>28.865740740972495</v>
      </c>
      <c r="U727" s="79"/>
      <c r="V727" s="82">
        <v>45370.359513888892</v>
      </c>
      <c r="W727" s="82">
        <v>45370.550486111111</v>
      </c>
      <c r="X727" s="103">
        <f t="shared" si="151"/>
        <v>269.27083332877373</v>
      </c>
      <c r="Y727" s="82" t="s">
        <v>1044</v>
      </c>
      <c r="Z727" s="82">
        <v>45371.296516203707</v>
      </c>
      <c r="AA727" s="82">
        <f>Z727+TIME(0,41,0)</f>
        <v>45371.324988425928</v>
      </c>
      <c r="AB727" s="81">
        <f t="shared" si="152"/>
        <v>40.145833330825553</v>
      </c>
      <c r="AC727" s="82"/>
      <c r="AD727" s="83">
        <f t="shared" si="153"/>
        <v>3.1870023148148903</v>
      </c>
      <c r="AE727" s="83">
        <v>2</v>
      </c>
      <c r="AF727" s="83">
        <f t="shared" si="154"/>
        <v>-1.1870023148148903</v>
      </c>
      <c r="AG727" s="83">
        <f t="shared" si="155"/>
        <v>76.488055555557366</v>
      </c>
      <c r="AH727" s="83">
        <f t="shared" si="156"/>
        <v>36</v>
      </c>
      <c r="AI727" s="83">
        <f t="shared" si="157"/>
        <v>40.488055555557366</v>
      </c>
      <c r="AJ727" s="83">
        <f t="shared" si="158"/>
        <v>3.8529881926766802</v>
      </c>
      <c r="AK727" s="83"/>
      <c r="AL727" s="83"/>
      <c r="AM727" s="83"/>
      <c r="AN727" s="83"/>
    </row>
    <row r="728" spans="1:40" ht="15" hidden="1" x14ac:dyDescent="0.25">
      <c r="A728" s="82">
        <v>45731</v>
      </c>
      <c r="B728" s="94" t="str">
        <f t="shared" si="148"/>
        <v>March</v>
      </c>
      <c r="C728" s="79" t="s">
        <v>2162</v>
      </c>
      <c r="D728" s="79" t="s">
        <v>1505</v>
      </c>
      <c r="E728" s="79" t="s">
        <v>1017</v>
      </c>
      <c r="F728" s="79" t="s">
        <v>1024</v>
      </c>
      <c r="G728" s="79" t="s">
        <v>63</v>
      </c>
      <c r="H728" s="79" t="s">
        <v>451</v>
      </c>
      <c r="I728" s="79">
        <v>148.80000000000001</v>
      </c>
      <c r="J728" s="79" t="s">
        <v>1505</v>
      </c>
      <c r="K728" s="80" t="s">
        <v>469</v>
      </c>
      <c r="L728" s="80">
        <v>790</v>
      </c>
      <c r="M728" s="80">
        <f>L728-3</f>
        <v>787</v>
      </c>
      <c r="N728" s="81">
        <f t="shared" si="159"/>
        <v>-3</v>
      </c>
      <c r="O728" s="80"/>
      <c r="P728" s="82">
        <f>R728-TIME(0,29,0)</f>
        <v>45368.100023148145</v>
      </c>
      <c r="Q728" s="82">
        <v>45368.070162037038</v>
      </c>
      <c r="R728" s="82">
        <v>45368.120162037034</v>
      </c>
      <c r="S728" s="81">
        <f t="shared" si="162"/>
        <v>71.666666660409348</v>
      </c>
      <c r="T728" s="81">
        <f t="shared" si="150"/>
        <v>28.865740740972495</v>
      </c>
      <c r="U728" s="79"/>
      <c r="V728" s="82">
        <v>45369.381967592592</v>
      </c>
      <c r="W728" s="82">
        <v>45369.635439814818</v>
      </c>
      <c r="X728" s="103">
        <f t="shared" si="151"/>
        <v>357.39583333903283</v>
      </c>
      <c r="Y728" s="82" t="s">
        <v>1048</v>
      </c>
      <c r="Z728" s="82">
        <v>45369.755439814813</v>
      </c>
      <c r="AA728" s="82">
        <f>Z728+TIME(0,56,0)</f>
        <v>45369.794328703705</v>
      </c>
      <c r="AB728" s="81">
        <f t="shared" si="152"/>
        <v>54.833333337664953</v>
      </c>
      <c r="AC728" s="82"/>
      <c r="AD728" s="83">
        <f t="shared" si="153"/>
        <v>1.6352777777792653</v>
      </c>
      <c r="AE728" s="83">
        <v>3</v>
      </c>
      <c r="AF728" s="83">
        <f t="shared" si="154"/>
        <v>1.3647222222207347</v>
      </c>
      <c r="AG728" s="83">
        <f t="shared" si="155"/>
        <v>39.246666666702367</v>
      </c>
      <c r="AH728" s="83">
        <f t="shared" si="156"/>
        <v>12</v>
      </c>
      <c r="AI728" s="83">
        <f t="shared" si="157"/>
        <v>27.246666666702367</v>
      </c>
      <c r="AJ728" s="83">
        <f t="shared" si="158"/>
        <v>5.4612184976684013</v>
      </c>
      <c r="AK728" s="83"/>
      <c r="AL728" s="83"/>
      <c r="AM728" s="83"/>
      <c r="AN728" s="83"/>
    </row>
    <row r="729" spans="1:40" ht="15" hidden="1" x14ac:dyDescent="0.25">
      <c r="A729" s="82">
        <v>45731</v>
      </c>
      <c r="B729" s="94" t="str">
        <f t="shared" si="148"/>
        <v>March</v>
      </c>
      <c r="C729" s="79" t="s">
        <v>2162</v>
      </c>
      <c r="D729" s="79" t="s">
        <v>1504</v>
      </c>
      <c r="E729" s="79" t="s">
        <v>1017</v>
      </c>
      <c r="F729" s="79"/>
      <c r="G729" s="79" t="s">
        <v>70</v>
      </c>
      <c r="H729" s="79" t="s">
        <v>452</v>
      </c>
      <c r="I729" s="79">
        <v>5.04</v>
      </c>
      <c r="J729" s="79" t="s">
        <v>1504</v>
      </c>
      <c r="K729" s="80" t="s">
        <v>469</v>
      </c>
      <c r="L729" s="79">
        <v>690</v>
      </c>
      <c r="M729" s="80">
        <f>L729-2</f>
        <v>688</v>
      </c>
      <c r="N729" s="81">
        <f t="shared" si="159"/>
        <v>-2</v>
      </c>
      <c r="O729" s="80"/>
      <c r="P729" s="82">
        <f>R729-TIME(0,27,0)</f>
        <v>45368.664976851847</v>
      </c>
      <c r="Q729" s="82">
        <v>45368.136504629627</v>
      </c>
      <c r="R729" s="82">
        <v>45368.68372685185</v>
      </c>
      <c r="S729" s="81">
        <f t="shared" si="162"/>
        <v>784.35185185347416</v>
      </c>
      <c r="T729" s="81">
        <f t="shared" si="150"/>
        <v>26.87500000417155</v>
      </c>
      <c r="U729" s="79"/>
      <c r="V729" s="82">
        <v>45368.705254629633</v>
      </c>
      <c r="W729" s="82">
        <v>45369.140925925924</v>
      </c>
      <c r="X729" s="103">
        <f t="shared" si="151"/>
        <v>614.29652777005685</v>
      </c>
      <c r="Y729" s="82" t="s">
        <v>1050</v>
      </c>
      <c r="Z729" s="82">
        <v>45369.160370370373</v>
      </c>
      <c r="AA729" s="82">
        <f>Z729+TIME(0,57,0)</f>
        <v>45369.199953703705</v>
      </c>
      <c r="AB729" s="81">
        <f t="shared" si="152"/>
        <v>55.81249999726424</v>
      </c>
      <c r="AC729" s="82"/>
      <c r="AD729" s="83">
        <f t="shared" si="153"/>
        <v>0.47664351852290565</v>
      </c>
      <c r="AE729" s="83">
        <v>3</v>
      </c>
      <c r="AF729" s="83">
        <f t="shared" si="154"/>
        <v>2.5233564814770943</v>
      </c>
      <c r="AG729" s="83">
        <f t="shared" si="155"/>
        <v>11.439444444549736</v>
      </c>
      <c r="AH729" s="83">
        <f t="shared" si="156"/>
        <v>0</v>
      </c>
      <c r="AI729" s="83">
        <f t="shared" si="157"/>
        <v>11.439444444549736</v>
      </c>
      <c r="AJ729" s="83">
        <f t="shared" si="158"/>
        <v>0.44058083628364331</v>
      </c>
      <c r="AK729" s="83"/>
      <c r="AL729" s="83"/>
      <c r="AM729" s="83"/>
      <c r="AN729" s="83"/>
    </row>
    <row r="730" spans="1:40" ht="15" hidden="1" x14ac:dyDescent="0.25">
      <c r="A730" s="82">
        <v>45732</v>
      </c>
      <c r="B730" s="94" t="str">
        <f t="shared" si="148"/>
        <v>March</v>
      </c>
      <c r="C730" s="79" t="s">
        <v>2162</v>
      </c>
      <c r="D730" s="79" t="s">
        <v>1506</v>
      </c>
      <c r="E730" s="79" t="s">
        <v>1017</v>
      </c>
      <c r="F730" s="79"/>
      <c r="G730" s="79" t="s">
        <v>42</v>
      </c>
      <c r="H730" s="79" t="s">
        <v>451</v>
      </c>
      <c r="I730" s="79">
        <v>156</v>
      </c>
      <c r="J730" s="79" t="s">
        <v>1506</v>
      </c>
      <c r="K730" s="80" t="s">
        <v>469</v>
      </c>
      <c r="L730" s="80">
        <v>790</v>
      </c>
      <c r="M730" s="80">
        <f>L730-3</f>
        <v>787</v>
      </c>
      <c r="N730" s="81">
        <f t="shared" si="159"/>
        <v>-3</v>
      </c>
      <c r="O730" s="80"/>
      <c r="P730" s="82">
        <f>R730-TIME(0,27,0)</f>
        <v>45368.364583333328</v>
      </c>
      <c r="Q730" s="82">
        <v>45367.333333333336</v>
      </c>
      <c r="R730" s="82">
        <v>45368.383333333331</v>
      </c>
      <c r="S730" s="81">
        <f t="shared" si="162"/>
        <v>1504.9999999937427</v>
      </c>
      <c r="T730" s="81">
        <f t="shared" si="150"/>
        <v>26.87500000417155</v>
      </c>
      <c r="U730" s="79"/>
      <c r="V730" s="82">
        <v>45368.409722222219</v>
      </c>
      <c r="W730" s="82">
        <v>45368.727777777778</v>
      </c>
      <c r="X730" s="103">
        <f t="shared" si="151"/>
        <v>448.45833333834889</v>
      </c>
      <c r="Y730" s="82" t="s">
        <v>1044</v>
      </c>
      <c r="Z730" s="82">
        <v>45368.759722222225</v>
      </c>
      <c r="AA730" s="82">
        <f>Z730+TIME(0,41,0)</f>
        <v>45368.788194444445</v>
      </c>
      <c r="AB730" s="81">
        <f t="shared" si="152"/>
        <v>40.145833330825553</v>
      </c>
      <c r="AC730" s="82"/>
      <c r="AD730" s="83">
        <f t="shared" si="153"/>
        <v>0.37638888889341615</v>
      </c>
      <c r="AE730" s="83">
        <v>3</v>
      </c>
      <c r="AF730" s="83">
        <f t="shared" si="154"/>
        <v>2.6236111111065838</v>
      </c>
      <c r="AG730" s="83">
        <f t="shared" si="155"/>
        <v>9.0333333334419876</v>
      </c>
      <c r="AH730" s="83">
        <f t="shared" si="156"/>
        <v>0</v>
      </c>
      <c r="AI730" s="83">
        <f t="shared" si="157"/>
        <v>9.0333333334419876</v>
      </c>
      <c r="AJ730" s="83">
        <f t="shared" si="158"/>
        <v>17.26937269351922</v>
      </c>
      <c r="AK730" s="83"/>
      <c r="AL730" s="83"/>
      <c r="AM730" s="83"/>
      <c r="AN730" s="83"/>
    </row>
    <row r="731" spans="1:40" ht="15" hidden="1" x14ac:dyDescent="0.25">
      <c r="A731" s="82">
        <v>45732</v>
      </c>
      <c r="B731" s="94" t="str">
        <f t="shared" si="148"/>
        <v>March</v>
      </c>
      <c r="C731" s="79" t="s">
        <v>2162</v>
      </c>
      <c r="D731" s="79" t="s">
        <v>1507</v>
      </c>
      <c r="E731" s="79" t="s">
        <v>1017</v>
      </c>
      <c r="F731" s="79" t="s">
        <v>1028</v>
      </c>
      <c r="G731" s="79" t="s">
        <v>45</v>
      </c>
      <c r="H731" s="79" t="s">
        <v>465</v>
      </c>
      <c r="I731" s="79">
        <v>15.75</v>
      </c>
      <c r="J731" s="79" t="s">
        <v>1507</v>
      </c>
      <c r="K731" s="80" t="s">
        <v>469</v>
      </c>
      <c r="L731" s="80">
        <v>382</v>
      </c>
      <c r="M731" s="80">
        <f>L731-3</f>
        <v>379</v>
      </c>
      <c r="N731" s="81">
        <f t="shared" si="159"/>
        <v>-3</v>
      </c>
      <c r="O731" s="80"/>
      <c r="P731" s="82">
        <f>R731-TIME(0,28,0)</f>
        <v>45367.873611111114</v>
      </c>
      <c r="Q731" s="82">
        <v>45367.333333333336</v>
      </c>
      <c r="R731" s="82">
        <v>45367.893055555556</v>
      </c>
      <c r="S731" s="81">
        <f t="shared" si="162"/>
        <v>802.26851851596928</v>
      </c>
      <c r="T731" s="81">
        <f t="shared" si="150"/>
        <v>27.870370367357584</v>
      </c>
      <c r="U731" s="79"/>
      <c r="V731" s="82">
        <v>45368.676388888889</v>
      </c>
      <c r="W731" s="82">
        <v>45369.145833333336</v>
      </c>
      <c r="X731" s="103">
        <f t="shared" si="151"/>
        <v>661.91666666985839</v>
      </c>
      <c r="Y731" s="82" t="s">
        <v>1044</v>
      </c>
      <c r="Z731" s="82">
        <v>45369.370138888888</v>
      </c>
      <c r="AA731" s="82">
        <f>Z731+TIME(0,49,0)</f>
        <v>45369.404166666667</v>
      </c>
      <c r="AB731" s="81">
        <f t="shared" si="152"/>
        <v>47.979166669174447</v>
      </c>
      <c r="AC731" s="82"/>
      <c r="AD731" s="83">
        <f t="shared" si="153"/>
        <v>1.4770833333313931</v>
      </c>
      <c r="AE731" s="83">
        <v>2</v>
      </c>
      <c r="AF731" s="83">
        <f t="shared" si="154"/>
        <v>0.52291666666860692</v>
      </c>
      <c r="AG731" s="83">
        <f t="shared" si="155"/>
        <v>35.449999999953434</v>
      </c>
      <c r="AH731" s="83">
        <f t="shared" si="156"/>
        <v>12</v>
      </c>
      <c r="AI731" s="83">
        <f t="shared" si="157"/>
        <v>23.449999999953434</v>
      </c>
      <c r="AJ731" s="83">
        <f t="shared" si="158"/>
        <v>0.67164179104610988</v>
      </c>
      <c r="AK731" s="83"/>
      <c r="AL731" s="83"/>
      <c r="AM731" s="83"/>
      <c r="AN731" s="83"/>
    </row>
    <row r="732" spans="1:40" ht="15" hidden="1" x14ac:dyDescent="0.25">
      <c r="A732" s="82">
        <v>45732</v>
      </c>
      <c r="B732" s="94" t="str">
        <f t="shared" si="148"/>
        <v>March</v>
      </c>
      <c r="C732" s="79" t="s">
        <v>2162</v>
      </c>
      <c r="D732" s="79" t="s">
        <v>1508</v>
      </c>
      <c r="E732" s="79" t="s">
        <v>1017</v>
      </c>
      <c r="F732" s="79" t="s">
        <v>1033</v>
      </c>
      <c r="G732" s="79" t="s">
        <v>41</v>
      </c>
      <c r="H732" s="79" t="s">
        <v>457</v>
      </c>
      <c r="I732" s="79">
        <v>156</v>
      </c>
      <c r="J732" s="79" t="s">
        <v>1508</v>
      </c>
      <c r="K732" s="80" t="s">
        <v>469</v>
      </c>
      <c r="L732" s="79">
        <v>320</v>
      </c>
      <c r="M732" s="80">
        <f>L732-3</f>
        <v>317</v>
      </c>
      <c r="N732" s="81">
        <f t="shared" si="159"/>
        <v>-3</v>
      </c>
      <c r="O732" s="80"/>
      <c r="P732" s="82">
        <f>R732-TIME(0,26,0)</f>
        <v>45369.113888888889</v>
      </c>
      <c r="Q732" s="82">
        <v>45368.333333333336</v>
      </c>
      <c r="R732" s="82">
        <v>45369.131944444445</v>
      </c>
      <c r="S732" s="81">
        <f t="shared" si="162"/>
        <v>1144.6759259236085</v>
      </c>
      <c r="T732" s="81">
        <f t="shared" si="150"/>
        <v>25.879629630556639</v>
      </c>
      <c r="U732" s="79"/>
      <c r="V732" s="82">
        <v>45369.136111111111</v>
      </c>
      <c r="W732" s="82">
        <v>45369.732638888891</v>
      </c>
      <c r="X732" s="103">
        <f t="shared" si="151"/>
        <v>841.10416666917445</v>
      </c>
      <c r="Y732" s="82" t="s">
        <v>1044</v>
      </c>
      <c r="Z732" s="82">
        <v>45369.79791666667</v>
      </c>
      <c r="AA732" s="82">
        <v>45369.821527777778</v>
      </c>
      <c r="AB732" s="81">
        <f t="shared" si="152"/>
        <v>33.291666662335047</v>
      </c>
      <c r="AC732" s="82"/>
      <c r="AD732" s="83">
        <f t="shared" si="153"/>
        <v>0.66597222222480923</v>
      </c>
      <c r="AE732" s="83">
        <v>2</v>
      </c>
      <c r="AF732" s="83">
        <f t="shared" si="154"/>
        <v>1.3340277777751908</v>
      </c>
      <c r="AG732" s="83">
        <f t="shared" si="155"/>
        <v>15.983333333395422</v>
      </c>
      <c r="AH732" s="83">
        <f t="shared" si="156"/>
        <v>0</v>
      </c>
      <c r="AI732" s="83">
        <f t="shared" si="157"/>
        <v>15.983333333395422</v>
      </c>
      <c r="AJ732" s="83">
        <f t="shared" si="158"/>
        <v>9.7601668404208972</v>
      </c>
      <c r="AK732" s="83"/>
      <c r="AL732" s="83"/>
      <c r="AM732" s="83"/>
      <c r="AN732" s="83"/>
    </row>
    <row r="733" spans="1:40" ht="15" hidden="1" x14ac:dyDescent="0.25">
      <c r="A733" s="82">
        <v>45732</v>
      </c>
      <c r="B733" s="94" t="str">
        <f t="shared" si="148"/>
        <v>March</v>
      </c>
      <c r="C733" s="79" t="s">
        <v>2162</v>
      </c>
      <c r="D733" s="79" t="s">
        <v>1509</v>
      </c>
      <c r="E733" s="79" t="s">
        <v>1017</v>
      </c>
      <c r="F733" s="79" t="s">
        <v>1027</v>
      </c>
      <c r="G733" s="79" t="s">
        <v>34</v>
      </c>
      <c r="H733" s="79" t="s">
        <v>458</v>
      </c>
      <c r="I733" s="79">
        <v>156</v>
      </c>
      <c r="J733" s="79" t="s">
        <v>1509</v>
      </c>
      <c r="K733" s="80" t="s">
        <v>469</v>
      </c>
      <c r="L733" s="80">
        <v>448</v>
      </c>
      <c r="M733" s="80">
        <f>L733-2</f>
        <v>446</v>
      </c>
      <c r="N733" s="81">
        <f t="shared" si="159"/>
        <v>-2</v>
      </c>
      <c r="O733" s="80"/>
      <c r="P733" s="82">
        <f>R733-TIME(0,28,0)</f>
        <v>45369.340277777781</v>
      </c>
      <c r="Q733" s="82">
        <v>45369.3125</v>
      </c>
      <c r="R733" s="82">
        <v>45369.359722222223</v>
      </c>
      <c r="S733" s="81">
        <f t="shared" si="162"/>
        <v>67.685185186807459</v>
      </c>
      <c r="T733" s="81">
        <f t="shared" si="150"/>
        <v>27.870370367357584</v>
      </c>
      <c r="U733" s="79"/>
      <c r="V733" s="82">
        <v>45370.411805555559</v>
      </c>
      <c r="W733" s="82">
        <v>45370.551388888889</v>
      </c>
      <c r="X733" s="103">
        <f t="shared" si="151"/>
        <v>196.81249999521242</v>
      </c>
      <c r="Z733" s="82">
        <v>45371.751388888886</v>
      </c>
      <c r="AA733" s="82">
        <f>Z733+TIME(0,58,0)</f>
        <v>45371.791666666664</v>
      </c>
      <c r="AB733" s="81">
        <f t="shared" si="152"/>
        <v>56.791666667122627</v>
      </c>
      <c r="AC733" s="82"/>
      <c r="AD733" s="83">
        <f t="shared" si="153"/>
        <v>2.3916666666627862</v>
      </c>
      <c r="AE733" s="83">
        <v>2</v>
      </c>
      <c r="AF733" s="83">
        <f t="shared" si="154"/>
        <v>-0.39166666666278616</v>
      </c>
      <c r="AG733" s="83">
        <f t="shared" si="155"/>
        <v>57.399999999906868</v>
      </c>
      <c r="AH733" s="83">
        <f t="shared" si="156"/>
        <v>24</v>
      </c>
      <c r="AI733" s="83">
        <f t="shared" si="157"/>
        <v>33.399999999906868</v>
      </c>
      <c r="AJ733" s="83">
        <f t="shared" si="158"/>
        <v>4.6706586826477539</v>
      </c>
      <c r="AK733" s="83"/>
      <c r="AL733" s="83"/>
      <c r="AM733" s="83"/>
      <c r="AN733" s="83"/>
    </row>
    <row r="734" spans="1:40" ht="15" hidden="1" x14ac:dyDescent="0.25">
      <c r="A734" s="82">
        <v>45732</v>
      </c>
      <c r="B734" s="94" t="str">
        <f t="shared" si="148"/>
        <v>March</v>
      </c>
      <c r="C734" s="79" t="s">
        <v>2162</v>
      </c>
      <c r="D734" s="79" t="s">
        <v>1510</v>
      </c>
      <c r="E734" s="79" t="s">
        <v>1017</v>
      </c>
      <c r="F734" s="79" t="s">
        <v>1034</v>
      </c>
      <c r="G734" s="79" t="s">
        <v>53</v>
      </c>
      <c r="H734" s="79" t="s">
        <v>452</v>
      </c>
      <c r="I734" s="79">
        <v>78</v>
      </c>
      <c r="J734" s="79" t="s">
        <v>1510</v>
      </c>
      <c r="K734" s="80" t="s">
        <v>469</v>
      </c>
      <c r="L734" s="79">
        <v>690</v>
      </c>
      <c r="M734" s="80">
        <f>L734-1</f>
        <v>689</v>
      </c>
      <c r="N734" s="81">
        <f t="shared" si="159"/>
        <v>-1</v>
      </c>
      <c r="O734" s="80"/>
      <c r="P734" s="82">
        <f>R734-TIME(0,54,0)</f>
        <v>45369.338888888888</v>
      </c>
      <c r="Q734" s="82">
        <v>45369.3125</v>
      </c>
      <c r="R734" s="82">
        <v>45369.376388888886</v>
      </c>
      <c r="S734" s="81">
        <f t="shared" si="162"/>
        <v>91.574074070134273</v>
      </c>
      <c r="T734" s="81">
        <f t="shared" si="150"/>
        <v>53.749999997914223</v>
      </c>
      <c r="U734" s="79" t="s">
        <v>2165</v>
      </c>
      <c r="V734" s="82">
        <v>45369.751388888886</v>
      </c>
      <c r="W734" s="82">
        <v>45370.734386574077</v>
      </c>
      <c r="X734" s="103">
        <f t="shared" si="151"/>
        <v>1386.0267361188016</v>
      </c>
      <c r="Y734" s="82" t="s">
        <v>1044</v>
      </c>
      <c r="Z734" s="82">
        <v>45371.534386574072</v>
      </c>
      <c r="AA734" s="82">
        <v>45371.571886574071</v>
      </c>
      <c r="AB734" s="81">
        <f t="shared" si="152"/>
        <v>52.87499999794818</v>
      </c>
      <c r="AC734" s="82"/>
      <c r="AD734" s="83">
        <f t="shared" si="153"/>
        <v>2.1579976851862739</v>
      </c>
      <c r="AE734" s="83">
        <v>3</v>
      </c>
      <c r="AF734" s="83">
        <f t="shared" si="154"/>
        <v>0.84200231481372612</v>
      </c>
      <c r="AG734" s="83">
        <f t="shared" si="155"/>
        <v>51.791944444470573</v>
      </c>
      <c r="AH734" s="83">
        <f t="shared" si="156"/>
        <v>24</v>
      </c>
      <c r="AI734" s="83">
        <f t="shared" si="157"/>
        <v>27.791944444470573</v>
      </c>
      <c r="AJ734" s="83">
        <f t="shared" si="158"/>
        <v>2.8065686499858673</v>
      </c>
      <c r="AK734" s="83"/>
      <c r="AL734" s="83"/>
      <c r="AM734" s="83"/>
      <c r="AN734" s="83"/>
    </row>
    <row r="735" spans="1:40" ht="15" hidden="1" x14ac:dyDescent="0.25">
      <c r="A735" s="82">
        <v>45732</v>
      </c>
      <c r="B735" s="94" t="str">
        <f t="shared" si="148"/>
        <v>March</v>
      </c>
      <c r="C735" s="79" t="s">
        <v>2162</v>
      </c>
      <c r="D735" s="79" t="s">
        <v>1511</v>
      </c>
      <c r="E735" s="79" t="s">
        <v>1017</v>
      </c>
      <c r="F735" s="79"/>
      <c r="G735" s="79" t="s">
        <v>81</v>
      </c>
      <c r="H735" s="79" t="s">
        <v>457</v>
      </c>
      <c r="I735" s="79">
        <v>156</v>
      </c>
      <c r="J735" s="79" t="s">
        <v>1511</v>
      </c>
      <c r="K735" s="80" t="s">
        <v>469</v>
      </c>
      <c r="L735" s="79">
        <v>320</v>
      </c>
      <c r="M735" s="80">
        <f>L735-1</f>
        <v>319</v>
      </c>
      <c r="N735" s="81">
        <f t="shared" si="159"/>
        <v>-1</v>
      </c>
      <c r="O735" s="80"/>
      <c r="P735" s="82">
        <f>R735-TIME(0,26,0)</f>
        <v>45369.341666666667</v>
      </c>
      <c r="Q735" s="82">
        <v>45369.3125</v>
      </c>
      <c r="R735" s="82">
        <v>45369.359722222223</v>
      </c>
      <c r="S735" s="81">
        <f t="shared" si="162"/>
        <v>67.685185186807459</v>
      </c>
      <c r="T735" s="81">
        <f t="shared" si="150"/>
        <v>25.879629630556639</v>
      </c>
      <c r="U735" s="79"/>
      <c r="V735" s="82">
        <v>45369.734722222223</v>
      </c>
      <c r="W735" s="82">
        <v>45370.717719907407</v>
      </c>
      <c r="X735" s="103">
        <f t="shared" si="151"/>
        <v>1386.0267361085425</v>
      </c>
      <c r="Y735" s="82" t="s">
        <v>1047</v>
      </c>
      <c r="Z735" s="82">
        <v>45371.51771990741</v>
      </c>
      <c r="AA735" s="82">
        <v>45371.559386574074</v>
      </c>
      <c r="AB735" s="81">
        <f t="shared" si="152"/>
        <v>58.7499999965803</v>
      </c>
      <c r="AC735" s="82"/>
      <c r="AD735" s="83">
        <f t="shared" si="153"/>
        <v>2.1579976851862739</v>
      </c>
      <c r="AE735" s="83">
        <v>2</v>
      </c>
      <c r="AF735" s="83">
        <f t="shared" si="154"/>
        <v>-0.15799768518627388</v>
      </c>
      <c r="AG735" s="83">
        <f t="shared" si="155"/>
        <v>51.791944444470573</v>
      </c>
      <c r="AH735" s="83">
        <f t="shared" si="156"/>
        <v>24</v>
      </c>
      <c r="AI735" s="83">
        <f t="shared" si="157"/>
        <v>27.791944444470573</v>
      </c>
      <c r="AJ735" s="83">
        <f t="shared" si="158"/>
        <v>5.6131372999717346</v>
      </c>
      <c r="AK735" s="83"/>
      <c r="AL735" s="83"/>
      <c r="AM735" s="83"/>
      <c r="AN735" s="83"/>
    </row>
    <row r="736" spans="1:40" ht="15" hidden="1" x14ac:dyDescent="0.25">
      <c r="A736" s="82">
        <v>45732</v>
      </c>
      <c r="B736" s="94" t="str">
        <f t="shared" si="148"/>
        <v>March</v>
      </c>
      <c r="C736" s="79" t="s">
        <v>2161</v>
      </c>
      <c r="D736" s="79" t="s">
        <v>1512</v>
      </c>
      <c r="E736" s="79" t="s">
        <v>1017</v>
      </c>
      <c r="F736" s="79"/>
      <c r="G736" s="79" t="s">
        <v>974</v>
      </c>
      <c r="H736" s="79" t="s">
        <v>461</v>
      </c>
      <c r="I736" s="79">
        <v>153.6</v>
      </c>
      <c r="J736" s="79" t="s">
        <v>1512</v>
      </c>
      <c r="K736" s="80" t="s">
        <v>469</v>
      </c>
      <c r="L736" s="80">
        <v>298</v>
      </c>
      <c r="M736" s="80">
        <f>L736-3</f>
        <v>295</v>
      </c>
      <c r="N736" s="81">
        <f t="shared" si="159"/>
        <v>-3</v>
      </c>
      <c r="O736" s="80"/>
      <c r="P736" s="82">
        <f>R736-TIME(0,29,0)</f>
        <v>45369.322222222225</v>
      </c>
      <c r="Q736" s="82">
        <v>45369.3125</v>
      </c>
      <c r="R736" s="82">
        <v>45369.342361111114</v>
      </c>
      <c r="S736" s="81">
        <f t="shared" si="162"/>
        <v>42.80092592986572</v>
      </c>
      <c r="T736" s="81">
        <f t="shared" si="150"/>
        <v>28.865740740972495</v>
      </c>
      <c r="U736" s="79"/>
      <c r="V736" s="82">
        <v>45370.154861111114</v>
      </c>
      <c r="W736" s="82">
        <v>45370.680555555555</v>
      </c>
      <c r="X736" s="103">
        <f t="shared" si="151"/>
        <v>741.22916666165111</v>
      </c>
      <c r="Y736" s="82" t="s">
        <v>1046</v>
      </c>
      <c r="Z736" s="82">
        <v>45371.165219907409</v>
      </c>
      <c r="AA736" s="82">
        <f>Z736+TIME(0,41,0)</f>
        <v>45371.193692129629</v>
      </c>
      <c r="AB736" s="81">
        <f t="shared" si="152"/>
        <v>40.145833330825553</v>
      </c>
      <c r="AC736" s="82" t="s">
        <v>1674</v>
      </c>
      <c r="AD736" s="83">
        <f t="shared" si="153"/>
        <v>1.822858796294895</v>
      </c>
      <c r="AE736" s="83">
        <v>2</v>
      </c>
      <c r="AF736" s="83">
        <f t="shared" si="154"/>
        <v>0.177141203705105</v>
      </c>
      <c r="AG736" s="83">
        <f t="shared" si="155"/>
        <v>43.74861111107748</v>
      </c>
      <c r="AH736" s="83">
        <f t="shared" si="156"/>
        <v>12</v>
      </c>
      <c r="AI736" s="83">
        <f t="shared" si="157"/>
        <v>31.74861111107748</v>
      </c>
      <c r="AJ736" s="83">
        <f t="shared" si="158"/>
        <v>4.8380069119435296</v>
      </c>
      <c r="AK736" s="83"/>
      <c r="AL736" s="83"/>
      <c r="AM736" s="83"/>
      <c r="AN736" s="83"/>
    </row>
    <row r="737" spans="1:40" ht="15" hidden="1" x14ac:dyDescent="0.25">
      <c r="A737" s="82">
        <v>45732</v>
      </c>
      <c r="B737" s="94" t="str">
        <f t="shared" si="148"/>
        <v>March</v>
      </c>
      <c r="C737" s="79" t="s">
        <v>2162</v>
      </c>
      <c r="D737" s="79" t="s">
        <v>1513</v>
      </c>
      <c r="E737" s="79" t="s">
        <v>1017</v>
      </c>
      <c r="F737" s="79" t="s">
        <v>1015</v>
      </c>
      <c r="G737" s="79" t="s">
        <v>43</v>
      </c>
      <c r="H737" s="79" t="s">
        <v>458</v>
      </c>
      <c r="I737" s="79">
        <v>156</v>
      </c>
      <c r="J737" s="79" t="s">
        <v>1513</v>
      </c>
      <c r="K737" s="80" t="s">
        <v>469</v>
      </c>
      <c r="L737" s="80">
        <v>448</v>
      </c>
      <c r="M737" s="80">
        <f>L737-3</f>
        <v>445</v>
      </c>
      <c r="N737" s="81">
        <f t="shared" si="159"/>
        <v>-3</v>
      </c>
      <c r="O737" s="80"/>
      <c r="P737" s="82">
        <f>R737-TIME(0,27,0)</f>
        <v>45370.288888888885</v>
      </c>
      <c r="Q737" s="82">
        <v>45369.913194444445</v>
      </c>
      <c r="R737" s="82">
        <v>45370.307638888888</v>
      </c>
      <c r="S737" s="81">
        <f t="shared" si="162"/>
        <v>565.37037036735762</v>
      </c>
      <c r="T737" s="81">
        <f t="shared" si="150"/>
        <v>26.87500000417155</v>
      </c>
      <c r="U737" s="79"/>
      <c r="V737" s="82">
        <v>45371.165277777778</v>
      </c>
      <c r="W737" s="82">
        <v>45371.636805555558</v>
      </c>
      <c r="X737" s="103">
        <f t="shared" si="151"/>
        <v>664.85416666917445</v>
      </c>
      <c r="Y737" s="82" t="s">
        <v>1038</v>
      </c>
      <c r="Z737" s="82">
        <v>45371.413888888892</v>
      </c>
      <c r="AA737" s="82">
        <f>Z737+TIME(0,60,0)</f>
        <v>45371.455555555556</v>
      </c>
      <c r="AB737" s="81">
        <f t="shared" si="152"/>
        <v>58.7499999965803</v>
      </c>
      <c r="AC737" s="82"/>
      <c r="AD737" s="83">
        <f t="shared" si="153"/>
        <v>1.1062500000043656</v>
      </c>
      <c r="AE737" s="83">
        <v>2</v>
      </c>
      <c r="AF737" s="83">
        <f t="shared" si="154"/>
        <v>0.89374999999563443</v>
      </c>
      <c r="AG737" s="83">
        <f t="shared" si="155"/>
        <v>26.550000000104774</v>
      </c>
      <c r="AH737" s="83">
        <f t="shared" si="156"/>
        <v>12</v>
      </c>
      <c r="AI737" s="83">
        <f t="shared" si="157"/>
        <v>14.550000000104774</v>
      </c>
      <c r="AJ737" s="83">
        <f t="shared" si="158"/>
        <v>10.721649484458876</v>
      </c>
      <c r="AK737" s="83"/>
      <c r="AL737" s="83"/>
      <c r="AM737" s="83"/>
      <c r="AN737" s="83"/>
    </row>
    <row r="738" spans="1:40" ht="15" hidden="1" x14ac:dyDescent="0.25">
      <c r="A738" s="82">
        <v>45733</v>
      </c>
      <c r="B738" s="94" t="str">
        <f t="shared" si="148"/>
        <v>March</v>
      </c>
      <c r="C738" s="79" t="s">
        <v>2162</v>
      </c>
      <c r="D738" s="79" t="s">
        <v>1514</v>
      </c>
      <c r="E738" s="79" t="s">
        <v>1017</v>
      </c>
      <c r="F738" s="79"/>
      <c r="G738" s="79" t="s">
        <v>71</v>
      </c>
      <c r="H738" s="79" t="s">
        <v>459</v>
      </c>
      <c r="I738" s="79">
        <v>156</v>
      </c>
      <c r="J738" s="79" t="s">
        <v>1514</v>
      </c>
      <c r="K738" s="80" t="s">
        <v>469</v>
      </c>
      <c r="L738" s="79">
        <v>560</v>
      </c>
      <c r="M738" s="80">
        <f>L738-2</f>
        <v>558</v>
      </c>
      <c r="N738" s="81">
        <f t="shared" si="159"/>
        <v>-2</v>
      </c>
      <c r="O738" s="80"/>
      <c r="P738" s="82">
        <f>R738-TIME(0,29,0)</f>
        <v>45370.350312499999</v>
      </c>
      <c r="Q738" s="82">
        <v>45370.3128125</v>
      </c>
      <c r="R738" s="82">
        <v>45370.370451388888</v>
      </c>
      <c r="S738" s="81">
        <f t="shared" si="162"/>
        <v>82.615740738886714</v>
      </c>
      <c r="T738" s="81">
        <f t="shared" si="150"/>
        <v>28.865740740972495</v>
      </c>
      <c r="U738" s="79"/>
      <c r="V738" s="82">
        <v>45371.307951388888</v>
      </c>
      <c r="W738" s="82">
        <v>45371.539201388892</v>
      </c>
      <c r="X738" s="103">
        <f t="shared" si="151"/>
        <v>326.06250000615546</v>
      </c>
      <c r="Y738" s="82" t="s">
        <v>1044</v>
      </c>
      <c r="Z738" s="82">
        <v>45372.251956018517</v>
      </c>
      <c r="AA738" s="82">
        <v>45372.282511574071</v>
      </c>
      <c r="AB738" s="81">
        <f t="shared" si="152"/>
        <v>43.083333330141613</v>
      </c>
      <c r="AC738" s="82"/>
      <c r="AD738" s="83">
        <f t="shared" si="153"/>
        <v>1.8815046296294895</v>
      </c>
      <c r="AE738" s="83">
        <v>3</v>
      </c>
      <c r="AF738" s="83">
        <f t="shared" si="154"/>
        <v>1.1184953703705105</v>
      </c>
      <c r="AG738" s="83">
        <f t="shared" si="155"/>
        <v>45.156111111107748</v>
      </c>
      <c r="AH738" s="83">
        <f t="shared" si="156"/>
        <v>12</v>
      </c>
      <c r="AI738" s="83">
        <f t="shared" si="157"/>
        <v>33.156111111107748</v>
      </c>
      <c r="AJ738" s="83">
        <f t="shared" si="158"/>
        <v>4.705014996397991</v>
      </c>
      <c r="AK738" s="83"/>
      <c r="AL738" s="83"/>
      <c r="AM738" s="83"/>
      <c r="AN738" s="83"/>
    </row>
    <row r="739" spans="1:40" ht="15" hidden="1" x14ac:dyDescent="0.25">
      <c r="A739" s="82">
        <v>45733</v>
      </c>
      <c r="B739" s="94" t="str">
        <f t="shared" si="148"/>
        <v>March</v>
      </c>
      <c r="C739" s="79" t="s">
        <v>2162</v>
      </c>
      <c r="D739" s="79" t="s">
        <v>1515</v>
      </c>
      <c r="E739" s="79" t="s">
        <v>1017</v>
      </c>
      <c r="F739" s="79" t="s">
        <v>1669</v>
      </c>
      <c r="G739" s="79" t="s">
        <v>82</v>
      </c>
      <c r="H739" s="79" t="s">
        <v>462</v>
      </c>
      <c r="I739" s="79">
        <v>78</v>
      </c>
      <c r="J739" s="79" t="s">
        <v>1515</v>
      </c>
      <c r="K739" s="80" t="s">
        <v>469</v>
      </c>
      <c r="L739" s="79">
        <v>680</v>
      </c>
      <c r="M739" s="80">
        <f>L739-3</f>
        <v>677</v>
      </c>
      <c r="N739" s="81">
        <f t="shared" si="159"/>
        <v>-3</v>
      </c>
      <c r="O739" s="80"/>
      <c r="P739" s="82">
        <f t="shared" ref="P739:P740" si="163">R739-TIME(0,26,0)</f>
        <v>45370.652083333334</v>
      </c>
      <c r="Q739" s="82">
        <v>45369.815972222219</v>
      </c>
      <c r="R739" s="82">
        <v>45370.670138888891</v>
      </c>
      <c r="S739" s="81">
        <f t="shared" si="162"/>
        <v>1224.3055555625081</v>
      </c>
      <c r="T739" s="81">
        <f t="shared" si="150"/>
        <v>25.879629630556639</v>
      </c>
      <c r="U739" s="79"/>
      <c r="V739" s="82">
        <v>45371.518750000003</v>
      </c>
      <c r="W739" s="82">
        <v>45371.695833333331</v>
      </c>
      <c r="X739" s="103">
        <f t="shared" si="151"/>
        <v>249.6874999931606</v>
      </c>
      <c r="Y739" s="82" t="s">
        <v>1044</v>
      </c>
      <c r="Z739" s="82">
        <v>45372.329861111109</v>
      </c>
      <c r="AA739" s="82">
        <f>Z739+TIME(0,59,0)</f>
        <v>45372.370833333334</v>
      </c>
      <c r="AB739" s="81">
        <f t="shared" si="152"/>
        <v>57.770833336981013</v>
      </c>
      <c r="AC739" s="82"/>
      <c r="AD739" s="83">
        <f t="shared" si="153"/>
        <v>1.6597222222189885</v>
      </c>
      <c r="AE739" s="83">
        <v>3</v>
      </c>
      <c r="AF739" s="83">
        <f t="shared" si="154"/>
        <v>1.3402777777810115</v>
      </c>
      <c r="AG739" s="83">
        <f t="shared" si="155"/>
        <v>39.833333333255723</v>
      </c>
      <c r="AH739" s="83">
        <f t="shared" si="156"/>
        <v>12</v>
      </c>
      <c r="AI739" s="83">
        <f t="shared" si="157"/>
        <v>27.833333333255723</v>
      </c>
      <c r="AJ739" s="83">
        <f t="shared" si="158"/>
        <v>2.8023952095886524</v>
      </c>
      <c r="AK739" s="83"/>
      <c r="AL739" s="83"/>
      <c r="AM739" s="83"/>
      <c r="AN739" s="83"/>
    </row>
    <row r="740" spans="1:40" ht="15" hidden="1" x14ac:dyDescent="0.25">
      <c r="A740" s="82">
        <v>45733</v>
      </c>
      <c r="B740" s="94" t="str">
        <f t="shared" si="148"/>
        <v>March</v>
      </c>
      <c r="C740" s="79" t="s">
        <v>2162</v>
      </c>
      <c r="D740" s="79" t="s">
        <v>1516</v>
      </c>
      <c r="E740" s="79" t="s">
        <v>1017</v>
      </c>
      <c r="F740" s="79"/>
      <c r="G740" s="79" t="s">
        <v>67</v>
      </c>
      <c r="H740" s="79" t="s">
        <v>453</v>
      </c>
      <c r="I740" s="79">
        <v>56</v>
      </c>
      <c r="J740" s="79" t="s">
        <v>1516</v>
      </c>
      <c r="K740" s="80" t="s">
        <v>469</v>
      </c>
      <c r="L740" s="80">
        <v>464</v>
      </c>
      <c r="M740" s="80">
        <f>L740-3</f>
        <v>461</v>
      </c>
      <c r="N740" s="81">
        <f t="shared" si="159"/>
        <v>-3</v>
      </c>
      <c r="O740" s="80"/>
      <c r="P740" s="82">
        <f t="shared" si="163"/>
        <v>45370.55</v>
      </c>
      <c r="Q740" s="82">
        <v>45369.658333333333</v>
      </c>
      <c r="R740" s="82">
        <v>45370.568055555559</v>
      </c>
      <c r="S740" s="81">
        <f t="shared" si="162"/>
        <v>1303.9351851909789</v>
      </c>
      <c r="T740" s="81">
        <f t="shared" si="150"/>
        <v>25.879629630556639</v>
      </c>
      <c r="U740" s="79"/>
      <c r="V740" s="82">
        <v>45372.371527777781</v>
      </c>
      <c r="W740" s="82">
        <v>45372.581944444442</v>
      </c>
      <c r="X740" s="103">
        <f t="shared" si="151"/>
        <v>296.68749999247666</v>
      </c>
      <c r="Y740" s="82" t="s">
        <v>1040</v>
      </c>
      <c r="Z740" s="82">
        <v>45373.385416666664</v>
      </c>
      <c r="AA740" s="82">
        <v>45373.420138888891</v>
      </c>
      <c r="AB740" s="81">
        <f t="shared" si="152"/>
        <v>48.958333339032833</v>
      </c>
      <c r="AC740" s="82"/>
      <c r="AD740" s="83">
        <f t="shared" si="153"/>
        <v>2.8173611111051287</v>
      </c>
      <c r="AE740" s="83">
        <v>3</v>
      </c>
      <c r="AF740" s="83">
        <f t="shared" si="154"/>
        <v>0.18263888889487134</v>
      </c>
      <c r="AG740" s="83">
        <f t="shared" si="155"/>
        <v>67.616666666523088</v>
      </c>
      <c r="AH740" s="83">
        <f t="shared" si="156"/>
        <v>24</v>
      </c>
      <c r="AI740" s="83">
        <f t="shared" si="157"/>
        <v>43.616666666523088</v>
      </c>
      <c r="AJ740" s="83">
        <f t="shared" si="158"/>
        <v>1.2839128773446926</v>
      </c>
      <c r="AK740" s="83"/>
      <c r="AL740" s="83"/>
      <c r="AM740" s="83"/>
      <c r="AN740" s="83"/>
    </row>
    <row r="741" spans="1:40" ht="15" hidden="1" x14ac:dyDescent="0.25">
      <c r="A741" s="82">
        <v>45733</v>
      </c>
      <c r="B741" s="94" t="str">
        <f t="shared" si="148"/>
        <v>March</v>
      </c>
      <c r="C741" s="79" t="s">
        <v>2162</v>
      </c>
      <c r="D741" s="79" t="s">
        <v>1517</v>
      </c>
      <c r="E741" s="79" t="s">
        <v>1017</v>
      </c>
      <c r="F741" s="79" t="s">
        <v>963</v>
      </c>
      <c r="G741" s="79" t="s">
        <v>60</v>
      </c>
      <c r="H741" s="79" t="s">
        <v>1284</v>
      </c>
      <c r="I741" s="79">
        <v>148.80000000000001</v>
      </c>
      <c r="J741" s="79" t="s">
        <v>1517</v>
      </c>
      <c r="K741" s="80" t="s">
        <v>469</v>
      </c>
      <c r="L741" s="79">
        <v>620</v>
      </c>
      <c r="M741" s="80">
        <f>L741+1</f>
        <v>621</v>
      </c>
      <c r="N741" s="81">
        <f t="shared" si="159"/>
        <v>1</v>
      </c>
      <c r="O741" s="80"/>
      <c r="P741" s="82">
        <f>R741-TIME(0,29,0)</f>
        <v>45370.353472222225</v>
      </c>
      <c r="Q741" s="82">
        <v>45370.3125</v>
      </c>
      <c r="R741" s="82">
        <v>45370.373611111114</v>
      </c>
      <c r="S741" s="81">
        <f t="shared" si="162"/>
        <v>87.592592596532384</v>
      </c>
      <c r="T741" s="81">
        <f t="shared" si="150"/>
        <v>28.865740740972495</v>
      </c>
      <c r="U741" s="79"/>
      <c r="V741" s="82">
        <v>45371.324999999997</v>
      </c>
      <c r="W741" s="82">
        <v>45371.586805555555</v>
      </c>
      <c r="X741" s="103">
        <f t="shared" si="151"/>
        <v>369.14583333629707</v>
      </c>
      <c r="Y741" s="82" t="s">
        <v>1044</v>
      </c>
      <c r="Z741" s="82">
        <v>45372.536805555559</v>
      </c>
      <c r="AA741" s="82">
        <v>45372.563194444447</v>
      </c>
      <c r="AB741" s="81">
        <f t="shared" si="152"/>
        <v>37.208333331509493</v>
      </c>
      <c r="AC741" s="82"/>
      <c r="AD741" s="83">
        <f t="shared" si="153"/>
        <v>2.1631944444452529</v>
      </c>
      <c r="AE741" s="83">
        <v>3</v>
      </c>
      <c r="AF741" s="83">
        <f t="shared" si="154"/>
        <v>0.83680555555474712</v>
      </c>
      <c r="AG741" s="83">
        <f t="shared" si="155"/>
        <v>51.916666666686069</v>
      </c>
      <c r="AH741" s="83">
        <f t="shared" si="156"/>
        <v>24</v>
      </c>
      <c r="AI741" s="83">
        <f t="shared" si="157"/>
        <v>27.916666666686069</v>
      </c>
      <c r="AJ741" s="83">
        <f t="shared" si="158"/>
        <v>5.3301492537276394</v>
      </c>
      <c r="AK741" s="83"/>
      <c r="AL741" s="83"/>
      <c r="AM741" s="83"/>
      <c r="AN741" s="83"/>
    </row>
    <row r="742" spans="1:40" ht="15" hidden="1" x14ac:dyDescent="0.25">
      <c r="A742" s="82">
        <v>45733</v>
      </c>
      <c r="B742" s="94" t="str">
        <f t="shared" si="148"/>
        <v>March</v>
      </c>
      <c r="C742" s="79" t="s">
        <v>2162</v>
      </c>
      <c r="D742" s="79" t="s">
        <v>1518</v>
      </c>
      <c r="E742" s="79" t="s">
        <v>1017</v>
      </c>
      <c r="F742" s="79"/>
      <c r="G742" s="79" t="s">
        <v>80</v>
      </c>
      <c r="H742" s="79" t="s">
        <v>450</v>
      </c>
      <c r="I742" s="79">
        <v>156</v>
      </c>
      <c r="J742" s="79" t="s">
        <v>1518</v>
      </c>
      <c r="K742" s="80" t="s">
        <v>469</v>
      </c>
      <c r="L742" s="80">
        <v>288</v>
      </c>
      <c r="M742" s="80">
        <f>L742-3</f>
        <v>285</v>
      </c>
      <c r="N742" s="81">
        <f t="shared" si="159"/>
        <v>-3</v>
      </c>
      <c r="O742" s="80"/>
      <c r="P742" s="82">
        <f>R742-TIME(0,28,0)</f>
        <v>45370.340277777781</v>
      </c>
      <c r="Q742" s="82">
        <v>45370.3125</v>
      </c>
      <c r="R742" s="82">
        <v>45370.359722222223</v>
      </c>
      <c r="S742" s="81">
        <f t="shared" si="162"/>
        <v>67.685185186807459</v>
      </c>
      <c r="T742" s="81">
        <f t="shared" si="150"/>
        <v>27.870370367357584</v>
      </c>
      <c r="U742" s="79"/>
      <c r="V742" s="82">
        <v>45371.443055555559</v>
      </c>
      <c r="W742" s="82">
        <v>45371.652777777781</v>
      </c>
      <c r="X742" s="103">
        <f t="shared" si="151"/>
        <v>295.70833333287737</v>
      </c>
      <c r="Y742" s="82" t="s">
        <v>1044</v>
      </c>
      <c r="Z742" s="82">
        <v>45372.545775462961</v>
      </c>
      <c r="AA742" s="82">
        <v>45372.581192129626</v>
      </c>
      <c r="AB742" s="81">
        <f t="shared" si="152"/>
        <v>49.93749999863212</v>
      </c>
      <c r="AC742" s="82"/>
      <c r="AD742" s="83">
        <f t="shared" si="153"/>
        <v>2.1860532407372375</v>
      </c>
      <c r="AE742" s="83">
        <v>2</v>
      </c>
      <c r="AF742" s="83">
        <f t="shared" si="154"/>
        <v>-0.1860532407372375</v>
      </c>
      <c r="AG742" s="83">
        <f t="shared" si="155"/>
        <v>52.4652777776937</v>
      </c>
      <c r="AH742" s="83">
        <f t="shared" si="156"/>
        <v>24</v>
      </c>
      <c r="AI742" s="83">
        <f t="shared" si="157"/>
        <v>28.4652777776937</v>
      </c>
      <c r="AJ742" s="83">
        <f t="shared" si="158"/>
        <v>5.4803610636902542</v>
      </c>
      <c r="AK742" s="83"/>
      <c r="AL742" s="83"/>
      <c r="AM742" s="83"/>
      <c r="AN742" s="83"/>
    </row>
    <row r="743" spans="1:40" ht="15" hidden="1" x14ac:dyDescent="0.25">
      <c r="A743" s="82">
        <v>45733</v>
      </c>
      <c r="B743" s="94" t="str">
        <f t="shared" si="148"/>
        <v>March</v>
      </c>
      <c r="C743" s="79" t="s">
        <v>2162</v>
      </c>
      <c r="D743" s="79" t="s">
        <v>1519</v>
      </c>
      <c r="E743" s="79" t="s">
        <v>1017</v>
      </c>
      <c r="F743" s="79" t="s">
        <v>1667</v>
      </c>
      <c r="G743" s="79" t="s">
        <v>977</v>
      </c>
      <c r="H743" s="79" t="s">
        <v>464</v>
      </c>
      <c r="I743" s="79">
        <v>156</v>
      </c>
      <c r="J743" s="79" t="s">
        <v>1519</v>
      </c>
      <c r="K743" s="80" t="s">
        <v>469</v>
      </c>
      <c r="L743" s="79">
        <v>256</v>
      </c>
      <c r="M743" s="80">
        <f>L743-3</f>
        <v>253</v>
      </c>
      <c r="N743" s="81">
        <f t="shared" si="159"/>
        <v>-3</v>
      </c>
      <c r="O743" s="80"/>
      <c r="P743" s="82">
        <f>R743-TIME(0,27,0)</f>
        <v>45370.34375</v>
      </c>
      <c r="Q743" s="82">
        <v>45370.3125</v>
      </c>
      <c r="R743" s="82">
        <v>45370.362500000003</v>
      </c>
      <c r="S743" s="81">
        <f t="shared" si="162"/>
        <v>71.666666670838211</v>
      </c>
      <c r="T743" s="81">
        <f t="shared" si="150"/>
        <v>26.87500000417155</v>
      </c>
      <c r="U743" s="79"/>
      <c r="V743" s="82">
        <v>45370.883333333331</v>
      </c>
      <c r="W743" s="82">
        <v>45371.724328703705</v>
      </c>
      <c r="X743" s="103">
        <f t="shared" si="151"/>
        <v>1185.8034722273442</v>
      </c>
      <c r="Y743" s="82" t="s">
        <v>1044</v>
      </c>
      <c r="Z743" s="82">
        <v>45372.639328703706</v>
      </c>
      <c r="AA743" s="82">
        <f>Z743+TIME(0,57,0)</f>
        <v>45372.678912037038</v>
      </c>
      <c r="AB743" s="81">
        <f t="shared" si="152"/>
        <v>55.81249999726424</v>
      </c>
      <c r="AC743" s="82"/>
      <c r="AD743" s="83">
        <f t="shared" si="153"/>
        <v>2.2768287037033588</v>
      </c>
      <c r="AE743" s="83">
        <v>2</v>
      </c>
      <c r="AF743" s="83">
        <f t="shared" si="154"/>
        <v>-0.27682870370335877</v>
      </c>
      <c r="AG743" s="83">
        <f t="shared" si="155"/>
        <v>54.64388888888061</v>
      </c>
      <c r="AH743" s="83">
        <f t="shared" si="156"/>
        <v>24</v>
      </c>
      <c r="AI743" s="83">
        <f t="shared" si="157"/>
        <v>30.64388888888061</v>
      </c>
      <c r="AJ743" s="83">
        <f t="shared" si="158"/>
        <v>5.0907376856011863</v>
      </c>
      <c r="AK743" s="83"/>
      <c r="AL743" s="83"/>
      <c r="AM743" s="83"/>
      <c r="AN743" s="83"/>
    </row>
    <row r="744" spans="1:40" ht="15" hidden="1" x14ac:dyDescent="0.25">
      <c r="A744" s="82">
        <v>45733</v>
      </c>
      <c r="B744" s="94" t="str">
        <f t="shared" si="148"/>
        <v>March</v>
      </c>
      <c r="C744" s="79" t="s">
        <v>2162</v>
      </c>
      <c r="D744" s="79" t="s">
        <v>1520</v>
      </c>
      <c r="E744" s="79" t="s">
        <v>1017</v>
      </c>
      <c r="F744" s="79" t="s">
        <v>1668</v>
      </c>
      <c r="G744" s="79" t="s">
        <v>1263</v>
      </c>
      <c r="H744" s="79" t="s">
        <v>452</v>
      </c>
      <c r="I744" s="79">
        <v>187.2</v>
      </c>
      <c r="J744" s="79" t="s">
        <v>1520</v>
      </c>
      <c r="K744" s="80" t="s">
        <v>469</v>
      </c>
      <c r="L744" s="79">
        <v>690</v>
      </c>
      <c r="M744" s="80">
        <f>L744-3</f>
        <v>687</v>
      </c>
      <c r="N744" s="81">
        <f t="shared" si="159"/>
        <v>-3</v>
      </c>
      <c r="O744" s="80"/>
      <c r="P744" s="82">
        <f>R744-TIME(0,27,0)</f>
        <v>45371.06585648148</v>
      </c>
      <c r="Q744" s="82">
        <v>45371.03738425926</v>
      </c>
      <c r="R744" s="82">
        <v>45371.084606481483</v>
      </c>
      <c r="S744" s="81">
        <f t="shared" si="162"/>
        <v>67.685185186807459</v>
      </c>
      <c r="T744" s="81">
        <f t="shared" si="150"/>
        <v>26.87500000417155</v>
      </c>
      <c r="U744" s="79"/>
      <c r="V744" s="82">
        <v>45371.605439814812</v>
      </c>
      <c r="W744" s="82">
        <v>45371.75613425926</v>
      </c>
      <c r="X744" s="103">
        <f t="shared" si="151"/>
        <v>212.47916667191021</v>
      </c>
      <c r="Y744" s="82" t="s">
        <v>1051</v>
      </c>
      <c r="Z744" s="82">
        <v>45372.606134259258</v>
      </c>
      <c r="AA744" s="82">
        <v>45372.647800925923</v>
      </c>
      <c r="AB744" s="81">
        <f t="shared" si="152"/>
        <v>58.7499999965803</v>
      </c>
      <c r="AC744" s="82"/>
      <c r="AD744" s="83">
        <f t="shared" si="153"/>
        <v>1.5215277777751908</v>
      </c>
      <c r="AE744" s="83">
        <v>3</v>
      </c>
      <c r="AF744" s="83">
        <f t="shared" si="154"/>
        <v>1.4784722222248092</v>
      </c>
      <c r="AG744" s="83">
        <f t="shared" si="155"/>
        <v>36.516666666604578</v>
      </c>
      <c r="AH744" s="83">
        <f t="shared" si="156"/>
        <v>12</v>
      </c>
      <c r="AI744" s="83">
        <f t="shared" si="157"/>
        <v>24.516666666604578</v>
      </c>
      <c r="AJ744" s="83">
        <f t="shared" si="158"/>
        <v>7.6356220258521033</v>
      </c>
      <c r="AK744" s="83"/>
      <c r="AL744" s="83"/>
      <c r="AM744" s="83"/>
      <c r="AN744" s="83"/>
    </row>
    <row r="745" spans="1:40" ht="15" hidden="1" x14ac:dyDescent="0.25">
      <c r="A745" s="82">
        <v>45733</v>
      </c>
      <c r="B745" s="94" t="str">
        <f t="shared" si="148"/>
        <v>March</v>
      </c>
      <c r="C745" s="79" t="s">
        <v>2162</v>
      </c>
      <c r="D745" s="79" t="s">
        <v>1521</v>
      </c>
      <c r="E745" s="79" t="s">
        <v>1017</v>
      </c>
      <c r="F745" s="79" t="s">
        <v>1030</v>
      </c>
      <c r="G745" s="79" t="s">
        <v>55</v>
      </c>
      <c r="H745" s="79" t="s">
        <v>451</v>
      </c>
      <c r="I745" s="79">
        <v>70.8</v>
      </c>
      <c r="J745" s="79" t="s">
        <v>1521</v>
      </c>
      <c r="K745" s="80" t="s">
        <v>469</v>
      </c>
      <c r="L745" s="80">
        <v>790</v>
      </c>
      <c r="M745" s="80">
        <f>L745-3</f>
        <v>787</v>
      </c>
      <c r="N745" s="81">
        <f t="shared" si="159"/>
        <v>-3</v>
      </c>
      <c r="O745" s="80"/>
      <c r="P745" s="82">
        <f>R745-TIME(0,28,0)</f>
        <v>45371.346898148149</v>
      </c>
      <c r="Q745" s="82">
        <v>45371.31287037037</v>
      </c>
      <c r="R745" s="82">
        <v>45371.366342592592</v>
      </c>
      <c r="S745" s="81">
        <f t="shared" si="162"/>
        <v>76.643518518055018</v>
      </c>
      <c r="T745" s="81">
        <f t="shared" si="150"/>
        <v>27.870370367357584</v>
      </c>
      <c r="U745" s="79"/>
      <c r="V745" s="82">
        <v>45371.385092592594</v>
      </c>
      <c r="W745" s="82">
        <v>45371.521898148145</v>
      </c>
      <c r="X745" s="103">
        <f t="shared" si="151"/>
        <v>192.89583332603797</v>
      </c>
      <c r="Y745" s="82" t="s">
        <v>1044</v>
      </c>
      <c r="Z745" s="82">
        <v>45371.542731481481</v>
      </c>
      <c r="AA745" s="82">
        <v>45371.573981481481</v>
      </c>
      <c r="AB745" s="81">
        <f t="shared" si="152"/>
        <v>44.0625</v>
      </c>
      <c r="AC745" s="82"/>
      <c r="AD745" s="83">
        <f t="shared" si="153"/>
        <v>0.17638888888905058</v>
      </c>
      <c r="AE745" s="83">
        <v>3</v>
      </c>
      <c r="AF745" s="83">
        <f t="shared" si="154"/>
        <v>2.8236111111109494</v>
      </c>
      <c r="AG745" s="83">
        <f t="shared" si="155"/>
        <v>4.2333333333372138</v>
      </c>
      <c r="AH745" s="83">
        <f t="shared" si="156"/>
        <v>0</v>
      </c>
      <c r="AI745" s="83">
        <f t="shared" si="157"/>
        <v>4.2333333333372138</v>
      </c>
      <c r="AJ745" s="83">
        <f t="shared" si="158"/>
        <v>16.724409448803566</v>
      </c>
      <c r="AK745" s="83"/>
      <c r="AL745" s="83"/>
      <c r="AM745" s="83"/>
      <c r="AN745" s="83"/>
    </row>
    <row r="746" spans="1:40" ht="15" hidden="1" x14ac:dyDescent="0.25">
      <c r="A746" s="82">
        <v>45733</v>
      </c>
      <c r="B746" s="94" t="str">
        <f t="shared" si="148"/>
        <v>March</v>
      </c>
      <c r="C746" s="79" t="s">
        <v>2162</v>
      </c>
      <c r="D746" s="79" t="s">
        <v>1522</v>
      </c>
      <c r="E746" s="79" t="s">
        <v>1017</v>
      </c>
      <c r="F746" s="79"/>
      <c r="G746" s="79" t="s">
        <v>1662</v>
      </c>
      <c r="H746" s="79" t="s">
        <v>463</v>
      </c>
      <c r="I746" s="79">
        <v>156</v>
      </c>
      <c r="J746" s="79" t="s">
        <v>1522</v>
      </c>
      <c r="K746" s="80" t="s">
        <v>469</v>
      </c>
      <c r="L746" s="80">
        <v>464</v>
      </c>
      <c r="M746" s="80">
        <f>L746-3</f>
        <v>461</v>
      </c>
      <c r="N746" s="81">
        <f t="shared" si="159"/>
        <v>-3</v>
      </c>
      <c r="O746" s="80"/>
      <c r="P746" s="82">
        <f>R746-TIME(0,28,0)</f>
        <v>45371.342303240745</v>
      </c>
      <c r="Q746" s="82">
        <v>45371.314525462964</v>
      </c>
      <c r="R746" s="82">
        <v>45371.361747685187</v>
      </c>
      <c r="S746" s="81">
        <f t="shared" si="162"/>
        <v>67.685185186807459</v>
      </c>
      <c r="T746" s="81">
        <f t="shared" si="150"/>
        <v>27.870370367357584</v>
      </c>
      <c r="U746" s="79"/>
      <c r="V746" s="82">
        <v>45371.452025462961</v>
      </c>
      <c r="W746" s="82">
        <v>45371.646469907406</v>
      </c>
      <c r="X746" s="103">
        <f t="shared" si="151"/>
        <v>274.16666666780657</v>
      </c>
      <c r="Y746" s="82" t="s">
        <v>1044</v>
      </c>
      <c r="Z746" s="82">
        <v>45371.736747685187</v>
      </c>
      <c r="AA746" s="82">
        <v>45371.77008101852</v>
      </c>
      <c r="AB746" s="81">
        <f t="shared" si="152"/>
        <v>46.99999999931606</v>
      </c>
      <c r="AC746" s="82"/>
      <c r="AD746" s="83">
        <f t="shared" si="153"/>
        <v>0.375</v>
      </c>
      <c r="AE746" s="83">
        <v>3</v>
      </c>
      <c r="AF746" s="83">
        <f t="shared" si="154"/>
        <v>2.625</v>
      </c>
      <c r="AG746" s="83">
        <f t="shared" si="155"/>
        <v>9</v>
      </c>
      <c r="AH746" s="83">
        <f t="shared" si="156"/>
        <v>0</v>
      </c>
      <c r="AI746" s="83">
        <f t="shared" si="157"/>
        <v>9</v>
      </c>
      <c r="AJ746" s="83">
        <f t="shared" si="158"/>
        <v>17.333333333333332</v>
      </c>
      <c r="AK746" s="83"/>
      <c r="AL746" s="83"/>
      <c r="AM746" s="83"/>
      <c r="AN746" s="83"/>
    </row>
    <row r="747" spans="1:40" ht="15" hidden="1" x14ac:dyDescent="0.25">
      <c r="A747" s="82">
        <v>45733</v>
      </c>
      <c r="B747" s="94" t="str">
        <f t="shared" si="148"/>
        <v>March</v>
      </c>
      <c r="C747" s="79" t="s">
        <v>2162</v>
      </c>
      <c r="D747" s="79" t="s">
        <v>1523</v>
      </c>
      <c r="E747" s="79" t="s">
        <v>1017</v>
      </c>
      <c r="F747" s="79" t="s">
        <v>1014</v>
      </c>
      <c r="G747" s="79" t="s">
        <v>52</v>
      </c>
      <c r="H747" s="79" t="s">
        <v>456</v>
      </c>
      <c r="I747" s="79">
        <v>156</v>
      </c>
      <c r="J747" s="79" t="s">
        <v>1523</v>
      </c>
      <c r="K747" s="80" t="s">
        <v>469</v>
      </c>
      <c r="L747" s="80">
        <v>670</v>
      </c>
      <c r="M747" s="80">
        <f>L747+1</f>
        <v>671</v>
      </c>
      <c r="N747" s="81">
        <f t="shared" si="159"/>
        <v>1</v>
      </c>
      <c r="O747" s="80"/>
      <c r="P747" s="82">
        <f t="shared" ref="P747" si="164">R747-TIME(0,26,0)</f>
        <v>45368.865972222222</v>
      </c>
      <c r="Q747" s="82">
        <v>45368.082638888889</v>
      </c>
      <c r="R747" s="82">
        <v>45368.884027777778</v>
      </c>
      <c r="S747" s="81">
        <f t="shared" si="162"/>
        <v>1148.6574074076391</v>
      </c>
      <c r="T747" s="81">
        <f t="shared" si="150"/>
        <v>25.879629630556639</v>
      </c>
      <c r="U747" s="79"/>
      <c r="V747" s="82">
        <v>45369.585416666669</v>
      </c>
      <c r="W747" s="82">
        <v>45369.677777777775</v>
      </c>
      <c r="X747" s="103">
        <f t="shared" si="151"/>
        <v>130.22916666028323</v>
      </c>
      <c r="Y747" s="82" t="s">
        <v>1038</v>
      </c>
      <c r="Z747" s="82">
        <v>45370.388194444444</v>
      </c>
      <c r="AA747" s="82">
        <v>45370.421527777777</v>
      </c>
      <c r="AB747" s="81">
        <f t="shared" si="152"/>
        <v>46.99999999931606</v>
      </c>
      <c r="AC747" s="82"/>
      <c r="AD747" s="83">
        <f t="shared" si="153"/>
        <v>1.5041666666656965</v>
      </c>
      <c r="AE747" s="83">
        <v>2</v>
      </c>
      <c r="AF747" s="83">
        <f t="shared" si="154"/>
        <v>0.49583333333430346</v>
      </c>
      <c r="AG747" s="83">
        <f t="shared" si="155"/>
        <v>36.099999999976717</v>
      </c>
      <c r="AH747" s="83">
        <f t="shared" si="156"/>
        <v>12</v>
      </c>
      <c r="AI747" s="83">
        <f t="shared" si="157"/>
        <v>24.099999999976717</v>
      </c>
      <c r="AJ747" s="83">
        <f t="shared" si="158"/>
        <v>6.4730290456494073</v>
      </c>
      <c r="AK747" s="83"/>
      <c r="AL747" s="83"/>
      <c r="AM747" s="83"/>
      <c r="AN747" s="83"/>
    </row>
    <row r="748" spans="1:40" ht="15" hidden="1" x14ac:dyDescent="0.25">
      <c r="A748" s="82">
        <v>45733</v>
      </c>
      <c r="B748" s="94" t="str">
        <f t="shared" si="148"/>
        <v>March</v>
      </c>
      <c r="C748" s="79" t="s">
        <v>2161</v>
      </c>
      <c r="D748" s="79" t="s">
        <v>1524</v>
      </c>
      <c r="E748" s="79" t="s">
        <v>1017</v>
      </c>
      <c r="F748" s="79"/>
      <c r="G748" s="79" t="s">
        <v>974</v>
      </c>
      <c r="H748" s="79" t="s">
        <v>997</v>
      </c>
      <c r="I748" s="79">
        <v>153.6</v>
      </c>
      <c r="J748" s="79" t="s">
        <v>1524</v>
      </c>
      <c r="K748" s="80" t="s">
        <v>469</v>
      </c>
      <c r="L748" s="80">
        <v>414</v>
      </c>
      <c r="M748" s="80">
        <f>L748-3</f>
        <v>411</v>
      </c>
      <c r="N748" s="81">
        <f t="shared" si="159"/>
        <v>-3</v>
      </c>
      <c r="O748" s="80"/>
      <c r="P748" s="82">
        <f>R748-TIME(0,27,0)</f>
        <v>45371.345833333333</v>
      </c>
      <c r="Q748" s="82">
        <v>45371.3125</v>
      </c>
      <c r="R748" s="82">
        <v>45371.364583333336</v>
      </c>
      <c r="S748" s="81">
        <f t="shared" si="162"/>
        <v>74.652777781254073</v>
      </c>
      <c r="T748" s="81">
        <f t="shared" si="150"/>
        <v>26.87500000417155</v>
      </c>
      <c r="U748" s="79"/>
      <c r="V748" s="82">
        <v>45372.364583333336</v>
      </c>
      <c r="W748" s="82">
        <v>45372.572222222225</v>
      </c>
      <c r="X748" s="103">
        <f t="shared" si="151"/>
        <v>292.77083333356131</v>
      </c>
      <c r="Y748" s="82" t="s">
        <v>1044</v>
      </c>
      <c r="Z748" s="82">
        <v>45373.414583333331</v>
      </c>
      <c r="AA748" s="82">
        <f>Z748+TIME(0,56,0)</f>
        <v>45373.453472222223</v>
      </c>
      <c r="AB748" s="81">
        <f t="shared" si="152"/>
        <v>54.833333337664953</v>
      </c>
      <c r="AC748" s="82"/>
      <c r="AD748" s="83">
        <f t="shared" si="153"/>
        <v>2.0499999999956344</v>
      </c>
      <c r="AE748" s="83">
        <v>2</v>
      </c>
      <c r="AF748" s="83">
        <f t="shared" si="154"/>
        <v>-4.9999999995634425E-2</v>
      </c>
      <c r="AG748" s="83">
        <f t="shared" si="155"/>
        <v>49.199999999895226</v>
      </c>
      <c r="AH748" s="83">
        <f t="shared" si="156"/>
        <v>24</v>
      </c>
      <c r="AI748" s="83">
        <f t="shared" si="157"/>
        <v>25.199999999895226</v>
      </c>
      <c r="AJ748" s="83">
        <f t="shared" si="158"/>
        <v>6.0952380952634373</v>
      </c>
      <c r="AK748" s="83"/>
      <c r="AL748" s="83"/>
      <c r="AM748" s="83"/>
      <c r="AN748" s="83"/>
    </row>
    <row r="749" spans="1:40" ht="15" hidden="1" x14ac:dyDescent="0.25">
      <c r="A749" s="82">
        <v>45733</v>
      </c>
      <c r="B749" s="94" t="str">
        <f t="shared" si="148"/>
        <v>March</v>
      </c>
      <c r="C749" s="79" t="s">
        <v>2162</v>
      </c>
      <c r="D749" s="79" t="s">
        <v>1525</v>
      </c>
      <c r="E749" s="79" t="s">
        <v>1017</v>
      </c>
      <c r="F749" s="79" t="s">
        <v>1023</v>
      </c>
      <c r="G749" s="79" t="s">
        <v>61</v>
      </c>
      <c r="H749" s="79" t="s">
        <v>457</v>
      </c>
      <c r="I749" s="79">
        <v>148.80000000000001</v>
      </c>
      <c r="J749" s="79" t="s">
        <v>1525</v>
      </c>
      <c r="K749" s="80" t="s">
        <v>469</v>
      </c>
      <c r="L749" s="79">
        <v>320</v>
      </c>
      <c r="M749" s="80">
        <f>L749-1</f>
        <v>319</v>
      </c>
      <c r="N749" s="81">
        <f t="shared" si="159"/>
        <v>-1</v>
      </c>
      <c r="O749" s="80"/>
      <c r="P749" s="82">
        <f>R749-TIME(0,26,0)</f>
        <v>45371.352083333331</v>
      </c>
      <c r="Q749" s="82">
        <v>45371.3125</v>
      </c>
      <c r="R749" s="82">
        <v>45371.370138888888</v>
      </c>
      <c r="S749" s="81">
        <f t="shared" si="162"/>
        <v>82.615740738886714</v>
      </c>
      <c r="T749" s="81">
        <f t="shared" si="150"/>
        <v>25.879629630556639</v>
      </c>
      <c r="U749" s="79"/>
      <c r="V749" s="82">
        <v>45372.349305555559</v>
      </c>
      <c r="W749" s="82">
        <v>45372.541666666664</v>
      </c>
      <c r="X749" s="103">
        <f t="shared" si="151"/>
        <v>271.22916665823141</v>
      </c>
      <c r="Y749" s="82" t="s">
        <v>1044</v>
      </c>
      <c r="Z749" s="82">
        <v>45373.158333333333</v>
      </c>
      <c r="AA749" s="82">
        <f>Z749+TIME(0,53,0)</f>
        <v>45373.195138888892</v>
      </c>
      <c r="AB749" s="81">
        <f t="shared" si="152"/>
        <v>51.895833338348893</v>
      </c>
      <c r="AC749" s="82"/>
      <c r="AD749" s="83">
        <f t="shared" si="153"/>
        <v>1.7881944444452529</v>
      </c>
      <c r="AE749" s="83">
        <v>2</v>
      </c>
      <c r="AF749" s="83">
        <f t="shared" si="154"/>
        <v>0.21180555555474712</v>
      </c>
      <c r="AG749" s="83">
        <f t="shared" si="155"/>
        <v>42.916666666686069</v>
      </c>
      <c r="AH749" s="83">
        <f t="shared" si="156"/>
        <v>12</v>
      </c>
      <c r="AI749" s="83">
        <f t="shared" si="157"/>
        <v>30.916666666686069</v>
      </c>
      <c r="AJ749" s="83">
        <f t="shared" si="158"/>
        <v>4.8129380053878155</v>
      </c>
      <c r="AK749" s="83"/>
      <c r="AL749" s="83"/>
      <c r="AM749" s="83"/>
      <c r="AN749" s="83"/>
    </row>
    <row r="750" spans="1:40" ht="15" hidden="1" x14ac:dyDescent="0.25">
      <c r="A750" s="82">
        <v>45733</v>
      </c>
      <c r="B750" s="94" t="str">
        <f t="shared" si="148"/>
        <v>March</v>
      </c>
      <c r="C750" s="79" t="s">
        <v>2162</v>
      </c>
      <c r="D750" s="79" t="s">
        <v>1526</v>
      </c>
      <c r="E750" s="79" t="s">
        <v>1017</v>
      </c>
      <c r="F750" s="79"/>
      <c r="G750" s="79" t="s">
        <v>59</v>
      </c>
      <c r="H750" s="79" t="s">
        <v>454</v>
      </c>
      <c r="I750" s="79">
        <v>156</v>
      </c>
      <c r="J750" s="79" t="s">
        <v>1526</v>
      </c>
      <c r="K750" s="80" t="s">
        <v>469</v>
      </c>
      <c r="L750" s="80">
        <v>304</v>
      </c>
      <c r="M750" s="80">
        <f>L750-3</f>
        <v>301</v>
      </c>
      <c r="N750" s="81">
        <f t="shared" si="159"/>
        <v>-3</v>
      </c>
      <c r="O750" s="80"/>
      <c r="P750" s="82">
        <f>R750-TIME(0,29,0)</f>
        <v>45371.869444444441</v>
      </c>
      <c r="Q750" s="82">
        <v>45371.694444444445</v>
      </c>
      <c r="R750" s="82">
        <v>45371.88958333333</v>
      </c>
      <c r="S750" s="81">
        <f t="shared" si="162"/>
        <v>279.6990740680485</v>
      </c>
      <c r="T750" s="81">
        <f t="shared" si="150"/>
        <v>28.865740740972495</v>
      </c>
      <c r="U750" s="79"/>
      <c r="V750" s="82">
        <v>45372.640972222223</v>
      </c>
      <c r="W750" s="82">
        <v>45373.368750000001</v>
      </c>
      <c r="X750" s="103">
        <f t="shared" si="151"/>
        <v>1026.1666666671226</v>
      </c>
      <c r="Y750" s="82" t="s">
        <v>1050</v>
      </c>
      <c r="Z750" s="82">
        <v>45374.723611111112</v>
      </c>
      <c r="AA750" s="82">
        <f>Z750+TIME(0,41,0)</f>
        <v>45374.752083333333</v>
      </c>
      <c r="AB750" s="81">
        <f t="shared" si="152"/>
        <v>40.145833330825553</v>
      </c>
      <c r="AC750" s="82"/>
      <c r="AD750" s="83">
        <f t="shared" si="153"/>
        <v>2.8340277777824667</v>
      </c>
      <c r="AE750" s="83">
        <v>2</v>
      </c>
      <c r="AF750" s="83">
        <f t="shared" si="154"/>
        <v>-0.83402777778246673</v>
      </c>
      <c r="AG750" s="83">
        <f t="shared" si="155"/>
        <v>68.016666666779201</v>
      </c>
      <c r="AH750" s="83">
        <f t="shared" si="156"/>
        <v>24</v>
      </c>
      <c r="AI750" s="83">
        <f t="shared" si="157"/>
        <v>44.016666666779201</v>
      </c>
      <c r="AJ750" s="83">
        <f t="shared" si="158"/>
        <v>3.5441120787489853</v>
      </c>
      <c r="AK750" s="83"/>
      <c r="AL750" s="83"/>
      <c r="AM750" s="83"/>
      <c r="AN750" s="83"/>
    </row>
    <row r="751" spans="1:40" ht="15" hidden="1" x14ac:dyDescent="0.25">
      <c r="A751" s="82">
        <v>45734</v>
      </c>
      <c r="B751" s="94" t="str">
        <f t="shared" si="148"/>
        <v>March</v>
      </c>
      <c r="C751" s="79" t="s">
        <v>2162</v>
      </c>
      <c r="D751" s="79" t="s">
        <v>1527</v>
      </c>
      <c r="E751" s="79" t="s">
        <v>1017</v>
      </c>
      <c r="F751" s="79" t="s">
        <v>1031</v>
      </c>
      <c r="G751" s="79" t="s">
        <v>50</v>
      </c>
      <c r="H751" s="79" t="s">
        <v>457</v>
      </c>
      <c r="I751" s="79">
        <v>156</v>
      </c>
      <c r="J751" s="79" t="s">
        <v>1527</v>
      </c>
      <c r="K751" s="80" t="s">
        <v>469</v>
      </c>
      <c r="L751" s="79">
        <v>320</v>
      </c>
      <c r="M751" s="80">
        <f>L751-3</f>
        <v>317</v>
      </c>
      <c r="N751" s="81">
        <f t="shared" si="159"/>
        <v>-3</v>
      </c>
      <c r="O751" s="80"/>
      <c r="P751" s="82">
        <f>R751-TIME(0,27,0)</f>
        <v>45372.411539351851</v>
      </c>
      <c r="Q751" s="82">
        <v>45372.377511574072</v>
      </c>
      <c r="R751" s="82">
        <v>45372.430289351854</v>
      </c>
      <c r="S751" s="81">
        <f t="shared" si="162"/>
        <v>75.648148154868977</v>
      </c>
      <c r="T751" s="81">
        <f t="shared" si="150"/>
        <v>26.87500000417155</v>
      </c>
      <c r="U751" s="79"/>
      <c r="V751" s="82">
        <v>45373.367789351854</v>
      </c>
      <c r="W751" s="82">
        <v>45373.518483796295</v>
      </c>
      <c r="X751" s="103">
        <f t="shared" si="151"/>
        <v>212.47916666165111</v>
      </c>
      <c r="Y751" s="82" t="s">
        <v>1044</v>
      </c>
      <c r="Z751" s="82">
        <v>45374.433483796296</v>
      </c>
      <c r="AA751" s="82">
        <f>Z751+TIME(0,60,0)</f>
        <v>45374.47515046296</v>
      </c>
      <c r="AB751" s="81">
        <f t="shared" si="152"/>
        <v>58.7499999965803</v>
      </c>
      <c r="AC751" s="82"/>
      <c r="AD751" s="83">
        <f t="shared" si="153"/>
        <v>2.0031944444417604</v>
      </c>
      <c r="AE751" s="83">
        <v>2</v>
      </c>
      <c r="AF751" s="83">
        <f t="shared" si="154"/>
        <v>-3.1944444417604245E-3</v>
      </c>
      <c r="AG751" s="83">
        <f t="shared" si="155"/>
        <v>48.07666666660225</v>
      </c>
      <c r="AH751" s="83">
        <f t="shared" si="156"/>
        <v>24</v>
      </c>
      <c r="AI751" s="83">
        <f t="shared" si="157"/>
        <v>24.07666666660225</v>
      </c>
      <c r="AJ751" s="83">
        <f t="shared" si="158"/>
        <v>6.4793022290080593</v>
      </c>
      <c r="AK751" s="83"/>
      <c r="AL751" s="83"/>
      <c r="AM751" s="83"/>
      <c r="AN751" s="83"/>
    </row>
    <row r="752" spans="1:40" ht="15" hidden="1" x14ac:dyDescent="0.25">
      <c r="A752" s="82">
        <v>45734</v>
      </c>
      <c r="B752" s="94" t="str">
        <f t="shared" si="148"/>
        <v>March</v>
      </c>
      <c r="C752" s="79" t="s">
        <v>2161</v>
      </c>
      <c r="D752" s="79" t="s">
        <v>1528</v>
      </c>
      <c r="E752" s="79" t="s">
        <v>1017</v>
      </c>
      <c r="F752" s="79"/>
      <c r="G752" s="79" t="s">
        <v>979</v>
      </c>
      <c r="H752" s="79" t="s">
        <v>461</v>
      </c>
      <c r="I752" s="79">
        <v>76.8</v>
      </c>
      <c r="J752" s="79" t="s">
        <v>1528</v>
      </c>
      <c r="K752" s="80" t="s">
        <v>469</v>
      </c>
      <c r="L752" s="80">
        <v>298</v>
      </c>
      <c r="M752" s="80">
        <f>L752-1</f>
        <v>297</v>
      </c>
      <c r="N752" s="81">
        <f t="shared" si="159"/>
        <v>-1</v>
      </c>
      <c r="O752" s="80"/>
      <c r="P752" s="82">
        <f t="shared" ref="P752:P753" si="165">R752-TIME(0,26,0)</f>
        <v>45372.665972222225</v>
      </c>
      <c r="Q752" s="82">
        <v>45371.375</v>
      </c>
      <c r="R752" s="82">
        <v>45372.684027777781</v>
      </c>
      <c r="S752" s="81">
        <f t="shared" si="162"/>
        <v>1876.2731481527833</v>
      </c>
      <c r="T752" s="81">
        <f t="shared" si="150"/>
        <v>25.879629630556639</v>
      </c>
      <c r="U752" s="79"/>
      <c r="V752" s="82">
        <v>45373.522222222222</v>
      </c>
      <c r="W752" s="82">
        <v>45375.3125</v>
      </c>
      <c r="X752" s="103">
        <f t="shared" si="151"/>
        <v>2524.2916666671226</v>
      </c>
      <c r="Y752" s="82" t="s">
        <v>1044</v>
      </c>
      <c r="Z752" s="82">
        <v>45375.627083333333</v>
      </c>
      <c r="AA752" s="82">
        <v>45375.666666666664</v>
      </c>
      <c r="AB752" s="81">
        <f t="shared" si="152"/>
        <v>55.81249999726424</v>
      </c>
      <c r="AC752" s="82"/>
      <c r="AD752" s="83">
        <f t="shared" si="153"/>
        <v>2.9430555555518367</v>
      </c>
      <c r="AE752" s="83">
        <v>2</v>
      </c>
      <c r="AF752" s="83">
        <f t="shared" si="154"/>
        <v>-0.94305555555183673</v>
      </c>
      <c r="AG752" s="83">
        <f t="shared" si="155"/>
        <v>70.633333333244082</v>
      </c>
      <c r="AH752" s="83">
        <f t="shared" si="156"/>
        <v>24</v>
      </c>
      <c r="AI752" s="83">
        <f t="shared" si="157"/>
        <v>46.633333333244082</v>
      </c>
      <c r="AJ752" s="83">
        <f t="shared" si="158"/>
        <v>1.6468906361718438</v>
      </c>
      <c r="AK752" s="83"/>
      <c r="AL752" s="83"/>
      <c r="AM752" s="83"/>
      <c r="AN752" s="83"/>
    </row>
    <row r="753" spans="1:40" ht="15" hidden="1" x14ac:dyDescent="0.25">
      <c r="A753" s="82">
        <v>45734</v>
      </c>
      <c r="B753" s="94" t="str">
        <f t="shared" si="148"/>
        <v>March</v>
      </c>
      <c r="C753" s="79" t="s">
        <v>2162</v>
      </c>
      <c r="D753" s="79" t="s">
        <v>1529</v>
      </c>
      <c r="E753" s="79" t="s">
        <v>1017</v>
      </c>
      <c r="F753" s="79" t="s">
        <v>1018</v>
      </c>
      <c r="G753" s="79" t="s">
        <v>39</v>
      </c>
      <c r="H753" s="79" t="s">
        <v>457</v>
      </c>
      <c r="I753" s="79">
        <v>156</v>
      </c>
      <c r="J753" s="79" t="s">
        <v>1529</v>
      </c>
      <c r="K753" s="80" t="s">
        <v>469</v>
      </c>
      <c r="L753" s="79">
        <v>320</v>
      </c>
      <c r="M753" s="80">
        <f>L753-1</f>
        <v>319</v>
      </c>
      <c r="N753" s="81">
        <f t="shared" si="159"/>
        <v>-1</v>
      </c>
      <c r="O753" s="80"/>
      <c r="P753" s="82">
        <f t="shared" si="165"/>
        <v>45372.706944444442</v>
      </c>
      <c r="Q753" s="82">
        <v>45371.333333333336</v>
      </c>
      <c r="R753" s="82">
        <v>45372.724999999999</v>
      </c>
      <c r="S753" s="81">
        <f t="shared" si="162"/>
        <v>1994.7222222166602</v>
      </c>
      <c r="T753" s="81">
        <f t="shared" si="150"/>
        <v>25.879629630556639</v>
      </c>
      <c r="U753" s="79"/>
      <c r="V753" s="82">
        <v>45374.505555555559</v>
      </c>
      <c r="W753" s="82">
        <v>45374.675000000003</v>
      </c>
      <c r="X753" s="103">
        <f t="shared" si="151"/>
        <v>238.91666666575475</v>
      </c>
      <c r="Y753" s="82" t="s">
        <v>1046</v>
      </c>
      <c r="Z753" s="82">
        <v>45375.146527777775</v>
      </c>
      <c r="AA753" s="82">
        <f>Z753+TIME(0,41,0)</f>
        <v>45375.174999999996</v>
      </c>
      <c r="AB753" s="81">
        <f t="shared" si="152"/>
        <v>40.145833330825553</v>
      </c>
      <c r="AC753" s="82"/>
      <c r="AD753" s="83">
        <f t="shared" si="153"/>
        <v>2.421527777776646</v>
      </c>
      <c r="AE753" s="83">
        <v>2</v>
      </c>
      <c r="AF753" s="83">
        <f t="shared" si="154"/>
        <v>-0.42152777777664596</v>
      </c>
      <c r="AG753" s="83">
        <f t="shared" si="155"/>
        <v>58.116666666639503</v>
      </c>
      <c r="AH753" s="83">
        <f t="shared" si="156"/>
        <v>24</v>
      </c>
      <c r="AI753" s="83">
        <f t="shared" si="157"/>
        <v>34.116666666639503</v>
      </c>
      <c r="AJ753" s="83">
        <f t="shared" si="158"/>
        <v>4.5725451880837582</v>
      </c>
      <c r="AK753" s="83"/>
      <c r="AL753" s="83"/>
      <c r="AM753" s="83"/>
      <c r="AN753" s="83"/>
    </row>
    <row r="754" spans="1:40" ht="15" hidden="1" x14ac:dyDescent="0.25">
      <c r="A754" s="82">
        <v>45734</v>
      </c>
      <c r="B754" s="94" t="str">
        <f t="shared" si="148"/>
        <v>March</v>
      </c>
      <c r="C754" s="79" t="s">
        <v>2161</v>
      </c>
      <c r="D754" s="79" t="s">
        <v>1530</v>
      </c>
      <c r="E754" s="79" t="s">
        <v>1017</v>
      </c>
      <c r="F754" s="79"/>
      <c r="G754" s="79" t="s">
        <v>980</v>
      </c>
      <c r="H754" s="79" t="s">
        <v>457</v>
      </c>
      <c r="I754" s="79">
        <v>153.6</v>
      </c>
      <c r="J754" s="79" t="s">
        <v>1530</v>
      </c>
      <c r="K754" s="80" t="s">
        <v>469</v>
      </c>
      <c r="L754" s="79">
        <v>320</v>
      </c>
      <c r="M754" s="80">
        <f>L754-1</f>
        <v>319</v>
      </c>
      <c r="N754" s="81">
        <f t="shared" si="159"/>
        <v>-1</v>
      </c>
      <c r="O754" s="80"/>
      <c r="P754" s="82">
        <f>R754-TIME(0,27,0)</f>
        <v>45373.274999999994</v>
      </c>
      <c r="Q754" s="82">
        <v>45371.333333333336</v>
      </c>
      <c r="R754" s="82">
        <v>45373.293749999997</v>
      </c>
      <c r="S754" s="81">
        <f t="shared" si="162"/>
        <v>2809.9305555479077</v>
      </c>
      <c r="T754" s="81">
        <f t="shared" si="150"/>
        <v>26.87500000417155</v>
      </c>
      <c r="U754" s="79"/>
      <c r="V754" s="82">
        <v>45373.585416666669</v>
      </c>
      <c r="W754" s="82">
        <v>45373.681250000001</v>
      </c>
      <c r="X754" s="103">
        <f t="shared" si="151"/>
        <v>135.12499999931606</v>
      </c>
      <c r="Y754" s="82"/>
      <c r="Z754" s="82">
        <v>45374.146527777775</v>
      </c>
      <c r="AA754" s="82">
        <f>Z754+TIME(0,52,0)</f>
        <v>45374.182638888888</v>
      </c>
      <c r="AB754" s="81">
        <f t="shared" si="152"/>
        <v>50.916666668490507</v>
      </c>
      <c r="AC754" s="82"/>
      <c r="AD754" s="83">
        <f t="shared" si="153"/>
        <v>0.85277777777810115</v>
      </c>
      <c r="AE754" s="83">
        <v>2</v>
      </c>
      <c r="AF754" s="83">
        <f t="shared" si="154"/>
        <v>1.1472222222218988</v>
      </c>
      <c r="AG754" s="83">
        <f t="shared" si="155"/>
        <v>20.466666666674428</v>
      </c>
      <c r="AH754" s="83">
        <f t="shared" si="156"/>
        <v>0</v>
      </c>
      <c r="AI754" s="83">
        <f t="shared" si="157"/>
        <v>20.466666666674428</v>
      </c>
      <c r="AJ754" s="83">
        <f t="shared" si="158"/>
        <v>7.5048859934824961</v>
      </c>
      <c r="AK754" s="83"/>
      <c r="AL754" s="83"/>
      <c r="AM754" s="83"/>
      <c r="AN754" s="83"/>
    </row>
    <row r="755" spans="1:40" ht="15" hidden="1" x14ac:dyDescent="0.25">
      <c r="A755" s="82">
        <v>45734</v>
      </c>
      <c r="B755" s="94" t="str">
        <f t="shared" si="148"/>
        <v>March</v>
      </c>
      <c r="C755" s="79" t="s">
        <v>2162</v>
      </c>
      <c r="D755" s="79" t="s">
        <v>1531</v>
      </c>
      <c r="E755" s="79" t="s">
        <v>1017</v>
      </c>
      <c r="F755" s="79" t="s">
        <v>1013</v>
      </c>
      <c r="G755" s="79" t="s">
        <v>56</v>
      </c>
      <c r="H755" s="79" t="s">
        <v>457</v>
      </c>
      <c r="I755" s="79">
        <v>156</v>
      </c>
      <c r="J755" s="79" t="s">
        <v>1531</v>
      </c>
      <c r="K755" s="80" t="s">
        <v>469</v>
      </c>
      <c r="L755" s="79">
        <v>320</v>
      </c>
      <c r="M755" s="80">
        <f>L755-2</f>
        <v>318</v>
      </c>
      <c r="N755" s="81">
        <f t="shared" si="159"/>
        <v>-2</v>
      </c>
      <c r="O755" s="80"/>
      <c r="P755" s="82">
        <f>R755-TIME(0,26,0)</f>
        <v>45372.341666666667</v>
      </c>
      <c r="Q755" s="82">
        <v>45372.3125</v>
      </c>
      <c r="R755" s="82">
        <v>45372.359722222223</v>
      </c>
      <c r="S755" s="81">
        <f t="shared" si="162"/>
        <v>67.685185186807459</v>
      </c>
      <c r="T755" s="81">
        <f t="shared" si="150"/>
        <v>25.879629630556639</v>
      </c>
      <c r="U755" s="79"/>
      <c r="V755" s="82">
        <v>45373.432638888888</v>
      </c>
      <c r="W755" s="82">
        <v>45373.65625</v>
      </c>
      <c r="X755" s="103">
        <f t="shared" si="151"/>
        <v>315.29166666849051</v>
      </c>
      <c r="Y755" s="82" t="s">
        <v>1044</v>
      </c>
      <c r="Z755" s="82">
        <v>45374.746249999997</v>
      </c>
      <c r="AA755" s="82">
        <f>Z755+TIME(0,41,0)</f>
        <v>45374.774722222217</v>
      </c>
      <c r="AB755" s="81">
        <f t="shared" si="152"/>
        <v>40.145833330825553</v>
      </c>
      <c r="AC755" s="82"/>
      <c r="AD755" s="83">
        <f t="shared" si="153"/>
        <v>2.3865277777731535</v>
      </c>
      <c r="AE755" s="83">
        <v>2</v>
      </c>
      <c r="AF755" s="83">
        <f t="shared" si="154"/>
        <v>-0.3865277777731535</v>
      </c>
      <c r="AG755" s="83">
        <f t="shared" si="155"/>
        <v>57.276666666555684</v>
      </c>
      <c r="AH755" s="83">
        <f t="shared" si="156"/>
        <v>24</v>
      </c>
      <c r="AI755" s="83">
        <f t="shared" si="157"/>
        <v>33.276666666555684</v>
      </c>
      <c r="AJ755" s="83">
        <f t="shared" si="158"/>
        <v>4.6879695482476293</v>
      </c>
      <c r="AK755" s="83"/>
      <c r="AL755" s="83"/>
      <c r="AM755" s="83"/>
      <c r="AN755" s="83"/>
    </row>
    <row r="756" spans="1:40" ht="15" hidden="1" x14ac:dyDescent="0.25">
      <c r="A756" s="82">
        <v>45734</v>
      </c>
      <c r="B756" s="94" t="str">
        <f t="shared" si="148"/>
        <v>March</v>
      </c>
      <c r="C756" s="79" t="s">
        <v>2162</v>
      </c>
      <c r="D756" s="79" t="s">
        <v>1532</v>
      </c>
      <c r="E756" s="79" t="s">
        <v>1017</v>
      </c>
      <c r="F756" s="79" t="s">
        <v>1026</v>
      </c>
      <c r="G756" s="79" t="s">
        <v>51</v>
      </c>
      <c r="H756" s="79" t="s">
        <v>465</v>
      </c>
      <c r="I756" s="79">
        <v>156</v>
      </c>
      <c r="J756" s="79" t="s">
        <v>1532</v>
      </c>
      <c r="K756" s="80" t="s">
        <v>469</v>
      </c>
      <c r="L756" s="80">
        <v>382</v>
      </c>
      <c r="M756" s="80">
        <f>L756-1</f>
        <v>381</v>
      </c>
      <c r="N756" s="81">
        <f t="shared" si="159"/>
        <v>-1</v>
      </c>
      <c r="O756" s="80"/>
      <c r="P756" s="82">
        <f>R756-TIME(0,26,0)</f>
        <v>45372.344444444447</v>
      </c>
      <c r="Q756" s="82">
        <v>45372.3125</v>
      </c>
      <c r="R756" s="82">
        <v>45372.362500000003</v>
      </c>
      <c r="S756" s="81">
        <f t="shared" si="162"/>
        <v>71.666666670838211</v>
      </c>
      <c r="T756" s="81">
        <f t="shared" si="150"/>
        <v>25.879629630556639</v>
      </c>
      <c r="U756" s="79"/>
      <c r="V756" s="82">
        <v>45373.129861111112</v>
      </c>
      <c r="W756" s="82">
        <v>45373.811111111114</v>
      </c>
      <c r="X756" s="103">
        <f t="shared" si="151"/>
        <v>960.56250000205182</v>
      </c>
      <c r="Y756" s="82" t="s">
        <v>1048</v>
      </c>
      <c r="Z756" s="82">
        <v>45374.91300925926</v>
      </c>
      <c r="AA756" s="82">
        <v>45374.954675925925</v>
      </c>
      <c r="AB756" s="81">
        <f t="shared" si="152"/>
        <v>58.7499999965803</v>
      </c>
      <c r="AC756" s="82"/>
      <c r="AD756" s="83">
        <f t="shared" si="153"/>
        <v>2.5505092592575238</v>
      </c>
      <c r="AE756" s="83">
        <v>2</v>
      </c>
      <c r="AF756" s="83">
        <f t="shared" si="154"/>
        <v>-0.55050925925752381</v>
      </c>
      <c r="AG756" s="83">
        <f t="shared" si="155"/>
        <v>61.212222222180571</v>
      </c>
      <c r="AH756" s="83">
        <f t="shared" si="156"/>
        <v>24</v>
      </c>
      <c r="AI756" s="83">
        <f t="shared" si="157"/>
        <v>37.212222222180571</v>
      </c>
      <c r="AJ756" s="83">
        <f t="shared" si="158"/>
        <v>4.1921710310279519</v>
      </c>
      <c r="AK756" s="83"/>
      <c r="AL756" s="83"/>
      <c r="AM756" s="83"/>
      <c r="AN756" s="83"/>
    </row>
    <row r="757" spans="1:40" ht="15" hidden="1" x14ac:dyDescent="0.25">
      <c r="A757" s="82">
        <v>45734</v>
      </c>
      <c r="B757" s="94" t="str">
        <f t="shared" si="148"/>
        <v>March</v>
      </c>
      <c r="C757" s="79" t="s">
        <v>2162</v>
      </c>
      <c r="D757" s="79" t="s">
        <v>1533</v>
      </c>
      <c r="E757" s="79" t="s">
        <v>1017</v>
      </c>
      <c r="F757" s="79" t="s">
        <v>960</v>
      </c>
      <c r="G757" s="79" t="s">
        <v>62</v>
      </c>
      <c r="H757" s="79" t="s">
        <v>458</v>
      </c>
      <c r="I757" s="79">
        <v>156</v>
      </c>
      <c r="J757" s="79" t="s">
        <v>1533</v>
      </c>
      <c r="K757" s="80" t="s">
        <v>469</v>
      </c>
      <c r="L757" s="80">
        <v>448</v>
      </c>
      <c r="M757" s="80">
        <f>L757-1</f>
        <v>447</v>
      </c>
      <c r="N757" s="81">
        <f t="shared" si="159"/>
        <v>-1</v>
      </c>
      <c r="O757" s="80"/>
      <c r="P757" s="82">
        <f>R757-TIME(0,27,0)</f>
        <v>45372.34097222222</v>
      </c>
      <c r="Q757" s="82">
        <v>45372.3125</v>
      </c>
      <c r="R757" s="82">
        <v>45372.359722222223</v>
      </c>
      <c r="S757" s="81">
        <f t="shared" si="162"/>
        <v>67.685185186807459</v>
      </c>
      <c r="T757" s="81">
        <f t="shared" si="150"/>
        <v>26.87500000417155</v>
      </c>
      <c r="U757" s="79"/>
      <c r="V757" s="82">
        <v>45373.401388888888</v>
      </c>
      <c r="W757" s="82">
        <v>45373.609722222223</v>
      </c>
      <c r="X757" s="103">
        <f t="shared" si="151"/>
        <v>293.7500000034197</v>
      </c>
      <c r="Y757" s="82" t="s">
        <v>1049</v>
      </c>
      <c r="Z757" s="82">
        <v>45374.509722222225</v>
      </c>
      <c r="AA757" s="82">
        <v>45374.551388888889</v>
      </c>
      <c r="AB757" s="81">
        <f t="shared" si="152"/>
        <v>58.7499999965803</v>
      </c>
      <c r="AC757" s="82"/>
      <c r="AD757" s="83">
        <f t="shared" si="153"/>
        <v>2.1500000000014552</v>
      </c>
      <c r="AE757" s="83">
        <v>2</v>
      </c>
      <c r="AF757" s="83">
        <f t="shared" si="154"/>
        <v>-0.15000000000145519</v>
      </c>
      <c r="AG757" s="83">
        <f t="shared" si="155"/>
        <v>51.600000000034925</v>
      </c>
      <c r="AH757" s="83">
        <f t="shared" si="156"/>
        <v>24</v>
      </c>
      <c r="AI757" s="83">
        <f t="shared" si="157"/>
        <v>27.600000000034925</v>
      </c>
      <c r="AJ757" s="83">
        <f t="shared" si="158"/>
        <v>5.652173913036326</v>
      </c>
      <c r="AK757" s="83"/>
      <c r="AL757" s="83"/>
      <c r="AM757" s="83"/>
      <c r="AN757" s="83"/>
    </row>
    <row r="758" spans="1:40" ht="15" hidden="1" x14ac:dyDescent="0.25">
      <c r="A758" s="82">
        <v>45734</v>
      </c>
      <c r="B758" s="94" t="str">
        <f t="shared" si="148"/>
        <v>March</v>
      </c>
      <c r="C758" s="79" t="s">
        <v>2162</v>
      </c>
      <c r="D758" s="79" t="s">
        <v>1534</v>
      </c>
      <c r="E758" s="79" t="s">
        <v>1017</v>
      </c>
      <c r="F758" s="79"/>
      <c r="G758" s="79" t="s">
        <v>81</v>
      </c>
      <c r="H758" s="79" t="s">
        <v>454</v>
      </c>
      <c r="I758" s="79">
        <v>156</v>
      </c>
      <c r="J758" s="79" t="s">
        <v>1534</v>
      </c>
      <c r="K758" s="80" t="s">
        <v>469</v>
      </c>
      <c r="L758" s="80">
        <v>304</v>
      </c>
      <c r="M758" s="80">
        <f>L758-3</f>
        <v>301</v>
      </c>
      <c r="N758" s="81">
        <f t="shared" si="159"/>
        <v>-3</v>
      </c>
      <c r="O758" s="80"/>
      <c r="P758" s="82">
        <f t="shared" ref="P758" si="166">R758-TIME(0,26,0)</f>
        <v>45372.341666666667</v>
      </c>
      <c r="Q758" s="82">
        <v>45372.3125</v>
      </c>
      <c r="R758" s="82">
        <v>45372.359722222223</v>
      </c>
      <c r="S758" s="81">
        <f t="shared" si="162"/>
        <v>67.685185186807459</v>
      </c>
      <c r="T758" s="81">
        <f t="shared" si="150"/>
        <v>25.879629630556639</v>
      </c>
      <c r="U758" s="79"/>
      <c r="V758" s="82">
        <v>45373.297222222223</v>
      </c>
      <c r="W758" s="82">
        <v>45373.678472222222</v>
      </c>
      <c r="X758" s="103">
        <f t="shared" si="151"/>
        <v>537.56249999794818</v>
      </c>
      <c r="Y758" s="82" t="s">
        <v>1050</v>
      </c>
      <c r="Z758" s="82">
        <v>45374.370219907411</v>
      </c>
      <c r="AA758" s="82">
        <v>45374.401469907411</v>
      </c>
      <c r="AB758" s="81">
        <f t="shared" si="152"/>
        <v>44.0625</v>
      </c>
      <c r="AC758" s="82"/>
      <c r="AD758" s="83">
        <f t="shared" si="153"/>
        <v>2.010497685187147</v>
      </c>
      <c r="AE758" s="83">
        <v>2</v>
      </c>
      <c r="AF758" s="83">
        <f t="shared" si="154"/>
        <v>-1.0497685187146999E-2</v>
      </c>
      <c r="AG758" s="83">
        <f t="shared" si="155"/>
        <v>48.251944444491528</v>
      </c>
      <c r="AH758" s="83">
        <f t="shared" si="156"/>
        <v>24</v>
      </c>
      <c r="AI758" s="83">
        <f t="shared" si="157"/>
        <v>24.251944444491528</v>
      </c>
      <c r="AJ758" s="83">
        <f t="shared" si="158"/>
        <v>6.4324739138775779</v>
      </c>
      <c r="AK758" s="83"/>
      <c r="AL758" s="83"/>
      <c r="AM758" s="83"/>
      <c r="AN758" s="83"/>
    </row>
    <row r="759" spans="1:40" ht="15" hidden="1" x14ac:dyDescent="0.25">
      <c r="A759" s="82">
        <v>45736</v>
      </c>
      <c r="B759" s="94" t="str">
        <f t="shared" si="148"/>
        <v>March</v>
      </c>
      <c r="C759" s="79" t="s">
        <v>2162</v>
      </c>
      <c r="D759" s="79" t="s">
        <v>1535</v>
      </c>
      <c r="E759" s="79" t="s">
        <v>1017</v>
      </c>
      <c r="F759" s="79"/>
      <c r="G759" s="79" t="s">
        <v>65</v>
      </c>
      <c r="H759" s="79" t="s">
        <v>464</v>
      </c>
      <c r="I759" s="79">
        <v>156</v>
      </c>
      <c r="J759" s="79" t="s">
        <v>1535</v>
      </c>
      <c r="K759" s="80" t="s">
        <v>469</v>
      </c>
      <c r="L759" s="79">
        <v>256</v>
      </c>
      <c r="M759" s="80">
        <f>L759-1</f>
        <v>255</v>
      </c>
      <c r="N759" s="81">
        <f t="shared" si="159"/>
        <v>-1</v>
      </c>
      <c r="O759" s="80"/>
      <c r="P759" s="82">
        <f>R759-TIME(0,27,0)</f>
        <v>45372.354861111111</v>
      </c>
      <c r="Q759" s="82">
        <v>45372.3125</v>
      </c>
      <c r="R759" s="82">
        <v>45372.373611111114</v>
      </c>
      <c r="S759" s="81">
        <f t="shared" si="162"/>
        <v>87.592592596532384</v>
      </c>
      <c r="T759" s="81">
        <f t="shared" si="150"/>
        <v>26.87500000417155</v>
      </c>
      <c r="U759" s="79"/>
      <c r="V759" s="82">
        <v>45372.665277777778</v>
      </c>
      <c r="W759" s="82">
        <v>45372.811805555553</v>
      </c>
      <c r="X759" s="103">
        <f t="shared" si="151"/>
        <v>206.60416666301899</v>
      </c>
      <c r="Y759" s="82" t="s">
        <v>1039</v>
      </c>
      <c r="Z759" s="82">
        <v>45373.811805555553</v>
      </c>
      <c r="AA759" s="82">
        <f>Z759+TIME(0,69,0)</f>
        <v>45373.859722222223</v>
      </c>
      <c r="AB759" s="81">
        <f t="shared" si="152"/>
        <v>67.56250000478758</v>
      </c>
      <c r="AC759" s="82" t="s">
        <v>1673</v>
      </c>
      <c r="AD759" s="83">
        <f t="shared" si="153"/>
        <v>1.4381944444394321</v>
      </c>
      <c r="AE759" s="83">
        <v>2</v>
      </c>
      <c r="AF759" s="83">
        <f t="shared" si="154"/>
        <v>0.56180555556056788</v>
      </c>
      <c r="AG759" s="83">
        <f t="shared" si="155"/>
        <v>34.516666666546371</v>
      </c>
      <c r="AH759" s="83">
        <f t="shared" si="156"/>
        <v>12</v>
      </c>
      <c r="AI759" s="83">
        <f t="shared" si="157"/>
        <v>22.516666666546371</v>
      </c>
      <c r="AJ759" s="83">
        <f t="shared" si="158"/>
        <v>6.9282013323834244</v>
      </c>
      <c r="AK759" s="83"/>
      <c r="AL759" s="83"/>
      <c r="AM759" s="83"/>
      <c r="AN759" s="83"/>
    </row>
    <row r="760" spans="1:40" ht="15" hidden="1" x14ac:dyDescent="0.25">
      <c r="A760" s="82">
        <v>45736</v>
      </c>
      <c r="B760" s="94" t="str">
        <f t="shared" si="148"/>
        <v>March</v>
      </c>
      <c r="C760" s="79" t="s">
        <v>2161</v>
      </c>
      <c r="D760" s="79" t="s">
        <v>1536</v>
      </c>
      <c r="E760" s="79" t="s">
        <v>1017</v>
      </c>
      <c r="F760" s="79"/>
      <c r="G760" s="79" t="s">
        <v>979</v>
      </c>
      <c r="H760" s="79" t="s">
        <v>449</v>
      </c>
      <c r="I760" s="79">
        <v>76.8</v>
      </c>
      <c r="J760" s="79" t="s">
        <v>1536</v>
      </c>
      <c r="K760" s="80" t="s">
        <v>469</v>
      </c>
      <c r="L760" s="80">
        <v>790</v>
      </c>
      <c r="M760" s="80">
        <f>L760-2</f>
        <v>788</v>
      </c>
      <c r="N760" s="81">
        <f t="shared" si="159"/>
        <v>-2</v>
      </c>
      <c r="O760" s="80"/>
      <c r="P760" s="82">
        <f t="shared" ref="P760:P761" si="167">R760-TIME(0,26,0)</f>
        <v>45372.344444444447</v>
      </c>
      <c r="Q760" s="82">
        <v>45372.3125</v>
      </c>
      <c r="R760" s="82">
        <v>45372.362500000003</v>
      </c>
      <c r="S760" s="81">
        <f t="shared" si="162"/>
        <v>71.666666670838211</v>
      </c>
      <c r="T760" s="81">
        <f t="shared" si="150"/>
        <v>25.879629630556639</v>
      </c>
      <c r="U760" s="79"/>
      <c r="V760" s="82">
        <v>45372.654166666667</v>
      </c>
      <c r="W760" s="82">
        <v>45372.805555555555</v>
      </c>
      <c r="X760" s="103">
        <f t="shared" si="151"/>
        <v>213.45833333150949</v>
      </c>
      <c r="Y760" s="82" t="s">
        <v>1044</v>
      </c>
      <c r="Z760" s="82">
        <v>45373.118055555555</v>
      </c>
      <c r="AA760" s="82">
        <v>45373.15347222222</v>
      </c>
      <c r="AB760" s="81">
        <f t="shared" si="152"/>
        <v>49.93749999863212</v>
      </c>
      <c r="AC760" s="82"/>
      <c r="AD760" s="83">
        <f t="shared" si="153"/>
        <v>0.75555555555183673</v>
      </c>
      <c r="AE760" s="83">
        <v>3</v>
      </c>
      <c r="AF760" s="83">
        <f t="shared" si="154"/>
        <v>2.2444444444481633</v>
      </c>
      <c r="AG760" s="83">
        <f t="shared" si="155"/>
        <v>18.133333333244082</v>
      </c>
      <c r="AH760" s="83">
        <f t="shared" si="156"/>
        <v>0</v>
      </c>
      <c r="AI760" s="83">
        <f t="shared" si="157"/>
        <v>18.133333333244082</v>
      </c>
      <c r="AJ760" s="83">
        <f t="shared" si="158"/>
        <v>4.2352941176679044</v>
      </c>
      <c r="AK760" s="83"/>
      <c r="AL760" s="83"/>
      <c r="AM760" s="83"/>
      <c r="AN760" s="83"/>
    </row>
    <row r="761" spans="1:40" ht="15" hidden="1" x14ac:dyDescent="0.25">
      <c r="A761" s="82">
        <v>45736</v>
      </c>
      <c r="B761" s="94" t="str">
        <f t="shared" si="148"/>
        <v>March</v>
      </c>
      <c r="C761" s="79" t="s">
        <v>2162</v>
      </c>
      <c r="D761" s="79" t="s">
        <v>1537</v>
      </c>
      <c r="E761" s="79" t="s">
        <v>1017</v>
      </c>
      <c r="F761" s="79" t="s">
        <v>1023</v>
      </c>
      <c r="G761" s="79" t="s">
        <v>61</v>
      </c>
      <c r="H761" s="79" t="s">
        <v>450</v>
      </c>
      <c r="I761" s="79">
        <v>6.3</v>
      </c>
      <c r="J761" s="79" t="s">
        <v>1537</v>
      </c>
      <c r="K761" s="80" t="s">
        <v>469</v>
      </c>
      <c r="L761" s="80">
        <v>288</v>
      </c>
      <c r="M761" s="80">
        <f>L761-3</f>
        <v>285</v>
      </c>
      <c r="N761" s="81">
        <f t="shared" si="159"/>
        <v>-3</v>
      </c>
      <c r="O761" s="80"/>
      <c r="P761" s="82">
        <f t="shared" si="167"/>
        <v>45373.35833333333</v>
      </c>
      <c r="Q761" s="82">
        <v>45372.850694444445</v>
      </c>
      <c r="R761" s="82">
        <v>45373.376388888886</v>
      </c>
      <c r="S761" s="81">
        <f t="shared" si="162"/>
        <v>753.49537036527181</v>
      </c>
      <c r="T761" s="81">
        <f t="shared" si="150"/>
        <v>25.879629630556639</v>
      </c>
      <c r="U761" s="79"/>
      <c r="V761" s="82">
        <v>45374.365972222222</v>
      </c>
      <c r="W761" s="82">
        <v>45374.55</v>
      </c>
      <c r="X761" s="103">
        <f t="shared" si="151"/>
        <v>259.47916667122627</v>
      </c>
      <c r="Y761" s="82" t="s">
        <v>1044</v>
      </c>
      <c r="Z761" s="82">
        <v>45374.570138888892</v>
      </c>
      <c r="AA761" s="82">
        <v>45374.609722222223</v>
      </c>
      <c r="AB761" s="81">
        <f t="shared" si="152"/>
        <v>55.81249999726424</v>
      </c>
      <c r="AC761" s="82"/>
      <c r="AD761" s="83">
        <f t="shared" si="153"/>
        <v>1.1937500000058208</v>
      </c>
      <c r="AE761" s="83">
        <v>2</v>
      </c>
      <c r="AF761" s="83">
        <f t="shared" si="154"/>
        <v>0.80624999999417923</v>
      </c>
      <c r="AG761" s="83">
        <f t="shared" si="155"/>
        <v>28.650000000139698</v>
      </c>
      <c r="AH761" s="83">
        <f t="shared" si="156"/>
        <v>12</v>
      </c>
      <c r="AI761" s="83">
        <f t="shared" si="157"/>
        <v>16.650000000139698</v>
      </c>
      <c r="AJ761" s="83">
        <f t="shared" si="158"/>
        <v>0.37837837837520366</v>
      </c>
      <c r="AK761" s="83"/>
      <c r="AL761" s="83"/>
      <c r="AM761" s="83"/>
      <c r="AN761" s="83"/>
    </row>
    <row r="762" spans="1:40" ht="15" hidden="1" x14ac:dyDescent="0.25">
      <c r="A762" s="82">
        <v>45736</v>
      </c>
      <c r="B762" s="94" t="str">
        <f t="shared" si="148"/>
        <v>March</v>
      </c>
      <c r="C762" s="79" t="s">
        <v>2162</v>
      </c>
      <c r="D762" s="79" t="s">
        <v>1538</v>
      </c>
      <c r="E762" s="79" t="s">
        <v>1017</v>
      </c>
      <c r="F762" s="79"/>
      <c r="G762" s="79" t="s">
        <v>74</v>
      </c>
      <c r="H762" s="79" t="s">
        <v>456</v>
      </c>
      <c r="I762" s="79">
        <v>78</v>
      </c>
      <c r="J762" s="79" t="s">
        <v>1538</v>
      </c>
      <c r="K762" s="80" t="s">
        <v>469</v>
      </c>
      <c r="L762" s="80">
        <v>670</v>
      </c>
      <c r="M762" s="80">
        <f>L762-3</f>
        <v>667</v>
      </c>
      <c r="N762" s="81">
        <f t="shared" si="159"/>
        <v>-3</v>
      </c>
      <c r="O762" s="80"/>
      <c r="P762" s="82">
        <f>R762-TIME(0,27,0)</f>
        <v>45373.129861111105</v>
      </c>
      <c r="Q762" s="82">
        <v>45372.333333333336</v>
      </c>
      <c r="R762" s="82">
        <v>45373.148611111108</v>
      </c>
      <c r="S762" s="81">
        <f t="shared" si="162"/>
        <v>1168.5648148069351</v>
      </c>
      <c r="T762" s="81">
        <f t="shared" si="150"/>
        <v>26.87500000417155</v>
      </c>
      <c r="U762" s="79"/>
      <c r="V762" s="82">
        <v>45374.359027777777</v>
      </c>
      <c r="W762" s="82">
        <v>45374.581250000003</v>
      </c>
      <c r="X762" s="103">
        <f t="shared" si="151"/>
        <v>313.33333333903283</v>
      </c>
      <c r="Z762" s="82">
        <v>45374.904861111114</v>
      </c>
      <c r="AA762" s="82">
        <v>45374.93472222222</v>
      </c>
      <c r="AB762" s="81">
        <f t="shared" si="152"/>
        <v>42.104166660283227</v>
      </c>
      <c r="AC762" s="82"/>
      <c r="AD762" s="83">
        <f t="shared" si="153"/>
        <v>1.7562500000058208</v>
      </c>
      <c r="AE762" s="83">
        <v>2</v>
      </c>
      <c r="AF762" s="83">
        <f t="shared" si="154"/>
        <v>0.24374999999417923</v>
      </c>
      <c r="AG762" s="83">
        <f t="shared" si="155"/>
        <v>42.150000000139698</v>
      </c>
      <c r="AH762" s="83">
        <f t="shared" si="156"/>
        <v>12</v>
      </c>
      <c r="AI762" s="83">
        <f t="shared" si="157"/>
        <v>30.150000000139698</v>
      </c>
      <c r="AJ762" s="83">
        <f t="shared" si="158"/>
        <v>2.5870646766049283</v>
      </c>
      <c r="AK762" s="83"/>
      <c r="AL762" s="83"/>
      <c r="AM762" s="83"/>
      <c r="AN762" s="83"/>
    </row>
    <row r="763" spans="1:40" ht="15" hidden="1" x14ac:dyDescent="0.25">
      <c r="A763" s="82">
        <v>45736</v>
      </c>
      <c r="B763" s="94" t="str">
        <f t="shared" si="148"/>
        <v>March</v>
      </c>
      <c r="C763" s="79" t="s">
        <v>2162</v>
      </c>
      <c r="D763" s="79" t="s">
        <v>1539</v>
      </c>
      <c r="E763" s="79" t="s">
        <v>1017</v>
      </c>
      <c r="F763" s="79" t="s">
        <v>963</v>
      </c>
      <c r="G763" s="79" t="s">
        <v>60</v>
      </c>
      <c r="H763" s="79" t="s">
        <v>463</v>
      </c>
      <c r="I763" s="79">
        <v>78</v>
      </c>
      <c r="J763" s="79" t="s">
        <v>1539</v>
      </c>
      <c r="K763" s="80" t="s">
        <v>469</v>
      </c>
      <c r="L763" s="80">
        <v>464</v>
      </c>
      <c r="M763" s="80">
        <f>L763-3</f>
        <v>461</v>
      </c>
      <c r="N763" s="81">
        <f t="shared" si="159"/>
        <v>-3</v>
      </c>
      <c r="O763" s="80"/>
      <c r="P763" s="82">
        <f>R763-TIME(0,27,0)</f>
        <v>45373.513344907406</v>
      </c>
      <c r="Q763" s="82">
        <v>45373.148761574077</v>
      </c>
      <c r="R763" s="82">
        <v>45373.532094907408</v>
      </c>
      <c r="S763" s="81">
        <f t="shared" si="162"/>
        <v>549.44444444166345</v>
      </c>
      <c r="T763" s="81">
        <f t="shared" si="150"/>
        <v>26.87500000417155</v>
      </c>
      <c r="U763" s="79"/>
      <c r="V763" s="82">
        <v>45373.55709490741</v>
      </c>
      <c r="W763" s="82">
        <v>45373.652928240743</v>
      </c>
      <c r="X763" s="103">
        <f t="shared" si="151"/>
        <v>135.12499999931606</v>
      </c>
      <c r="Z763" s="82">
        <v>45373.673761574071</v>
      </c>
      <c r="AA763" s="82">
        <v>45373.71056712963</v>
      </c>
      <c r="AB763" s="81">
        <f t="shared" si="152"/>
        <v>51.895833338348893</v>
      </c>
      <c r="AC763" s="82"/>
      <c r="AD763" s="83">
        <f t="shared" si="153"/>
        <v>0.14166666666278616</v>
      </c>
      <c r="AE763" s="83">
        <v>3</v>
      </c>
      <c r="AF763" s="83">
        <f t="shared" si="154"/>
        <v>2.8583333333372138</v>
      </c>
      <c r="AG763" s="83">
        <f t="shared" si="155"/>
        <v>3.3999999999068677</v>
      </c>
      <c r="AH763" s="83">
        <f t="shared" si="156"/>
        <v>0</v>
      </c>
      <c r="AI763" s="83">
        <f t="shared" si="157"/>
        <v>3.3999999999068677</v>
      </c>
      <c r="AJ763" s="83">
        <f t="shared" si="158"/>
        <v>22.941176471216636</v>
      </c>
      <c r="AK763" s="83"/>
      <c r="AL763" s="83"/>
      <c r="AM763" s="83"/>
      <c r="AN763" s="83"/>
    </row>
    <row r="764" spans="1:40" ht="15" hidden="1" x14ac:dyDescent="0.25">
      <c r="A764" s="82">
        <v>45736</v>
      </c>
      <c r="B764" s="94" t="str">
        <f t="shared" si="148"/>
        <v>March</v>
      </c>
      <c r="C764" s="79" t="s">
        <v>2162</v>
      </c>
      <c r="D764" s="79" t="s">
        <v>1540</v>
      </c>
      <c r="E764" s="79" t="s">
        <v>1017</v>
      </c>
      <c r="F764" s="79" t="s">
        <v>960</v>
      </c>
      <c r="G764" s="79" t="s">
        <v>62</v>
      </c>
      <c r="H764" s="79" t="s">
        <v>458</v>
      </c>
      <c r="I764" s="79">
        <v>148.80000000000001</v>
      </c>
      <c r="J764" s="79" t="s">
        <v>1540</v>
      </c>
      <c r="K764" s="80" t="s">
        <v>469</v>
      </c>
      <c r="L764" s="80">
        <v>448</v>
      </c>
      <c r="M764" s="80">
        <f>L764-2</f>
        <v>446</v>
      </c>
      <c r="N764" s="81">
        <f t="shared" si="159"/>
        <v>-2</v>
      </c>
      <c r="O764" s="80"/>
      <c r="P764" s="82">
        <f>R764-TIME(0,28,0)</f>
        <v>45373.523865740746</v>
      </c>
      <c r="Q764" s="82">
        <v>45373.152337962965</v>
      </c>
      <c r="R764" s="82">
        <v>45373.543310185189</v>
      </c>
      <c r="S764" s="81">
        <f t="shared" si="162"/>
        <v>560.39351852014079</v>
      </c>
      <c r="T764" s="81">
        <f t="shared" si="150"/>
        <v>27.870370367357584</v>
      </c>
      <c r="U764" s="79"/>
      <c r="V764" s="82">
        <v>45373.793310185189</v>
      </c>
      <c r="W764" s="82">
        <v>45374.15797453704</v>
      </c>
      <c r="X764" s="103">
        <f t="shared" si="151"/>
        <v>514.17673611045757</v>
      </c>
      <c r="Z764" s="82">
        <v>45374.713530092595</v>
      </c>
      <c r="AA764" s="82">
        <f>Z764+TIME(0,41,0)</f>
        <v>45374.742002314815</v>
      </c>
      <c r="AB764" s="81">
        <f t="shared" si="152"/>
        <v>40.145833330825553</v>
      </c>
      <c r="AC764" s="82"/>
      <c r="AD764" s="83">
        <f t="shared" si="153"/>
        <v>1.1702199074061355</v>
      </c>
      <c r="AE764" s="83">
        <v>2</v>
      </c>
      <c r="AF764" s="83">
        <f t="shared" si="154"/>
        <v>0.82978009259386454</v>
      </c>
      <c r="AG764" s="83">
        <f t="shared" si="155"/>
        <v>28.085277777747251</v>
      </c>
      <c r="AH764" s="83">
        <f t="shared" si="156"/>
        <v>12</v>
      </c>
      <c r="AI764" s="83">
        <f t="shared" si="157"/>
        <v>16.085277777747251</v>
      </c>
      <c r="AJ764" s="83">
        <f t="shared" si="158"/>
        <v>9.2506950800596925</v>
      </c>
      <c r="AK764" s="83"/>
      <c r="AL764" s="83"/>
      <c r="AM764" s="83"/>
      <c r="AN764" s="83"/>
    </row>
    <row r="765" spans="1:40" ht="15" hidden="1" x14ac:dyDescent="0.25">
      <c r="A765" s="82">
        <v>45736</v>
      </c>
      <c r="B765" s="94" t="str">
        <f t="shared" si="148"/>
        <v>March</v>
      </c>
      <c r="C765" s="79" t="s">
        <v>2161</v>
      </c>
      <c r="D765" s="79" t="s">
        <v>1541</v>
      </c>
      <c r="E765" s="79" t="s">
        <v>1017</v>
      </c>
      <c r="F765" s="79"/>
      <c r="G765" s="79" t="s">
        <v>980</v>
      </c>
      <c r="H765" s="79" t="s">
        <v>1282</v>
      </c>
      <c r="I765" s="79">
        <v>153.6</v>
      </c>
      <c r="J765" s="79" t="s">
        <v>1541</v>
      </c>
      <c r="K765" s="80" t="s">
        <v>469</v>
      </c>
      <c r="L765" s="79">
        <v>810</v>
      </c>
      <c r="M765" s="80">
        <f>L765-3</f>
        <v>807</v>
      </c>
      <c r="N765" s="81">
        <f t="shared" si="159"/>
        <v>-3</v>
      </c>
      <c r="O765" s="80"/>
      <c r="P765" s="82">
        <f>R765-TIME(0,27,0)</f>
        <v>45373.34097222222</v>
      </c>
      <c r="Q765" s="82">
        <v>45373.3125</v>
      </c>
      <c r="R765" s="82">
        <v>45373.359722222223</v>
      </c>
      <c r="S765" s="81">
        <f t="shared" si="162"/>
        <v>67.685185186807459</v>
      </c>
      <c r="T765" s="81">
        <f t="shared" si="150"/>
        <v>26.87500000417155</v>
      </c>
      <c r="U765" s="79"/>
      <c r="V765" s="82">
        <v>45374.443055555559</v>
      </c>
      <c r="W765" s="82">
        <v>45374.661805555559</v>
      </c>
      <c r="X765" s="103">
        <f t="shared" si="151"/>
        <v>308.4375</v>
      </c>
      <c r="Z765" s="82">
        <v>45375.611805555556</v>
      </c>
      <c r="AA765" s="82">
        <v>45375.647916666669</v>
      </c>
      <c r="AB765" s="81">
        <f t="shared" si="152"/>
        <v>50.916666668490507</v>
      </c>
      <c r="AC765" s="82"/>
      <c r="AD765" s="83">
        <f t="shared" si="153"/>
        <v>2.2520833333328483</v>
      </c>
      <c r="AE765" s="83">
        <v>3</v>
      </c>
      <c r="AF765" s="83">
        <f t="shared" si="154"/>
        <v>0.74791666666715173</v>
      </c>
      <c r="AG765" s="83">
        <f t="shared" si="155"/>
        <v>54.049999999988358</v>
      </c>
      <c r="AH765" s="83">
        <f t="shared" si="156"/>
        <v>24</v>
      </c>
      <c r="AI765" s="83">
        <f t="shared" si="157"/>
        <v>30.049999999988358</v>
      </c>
      <c r="AJ765" s="83">
        <f t="shared" si="158"/>
        <v>5.1114808652266053</v>
      </c>
      <c r="AK765" s="83"/>
      <c r="AL765" s="83"/>
      <c r="AM765" s="83"/>
      <c r="AN765" s="83"/>
    </row>
    <row r="766" spans="1:40" ht="15" hidden="1" x14ac:dyDescent="0.25">
      <c r="A766" s="82">
        <v>45736</v>
      </c>
      <c r="B766" s="94" t="str">
        <f t="shared" si="148"/>
        <v>March</v>
      </c>
      <c r="C766" s="79" t="s">
        <v>2161</v>
      </c>
      <c r="D766" s="79" t="s">
        <v>1542</v>
      </c>
      <c r="E766" s="79" t="s">
        <v>1017</v>
      </c>
      <c r="F766" s="79"/>
      <c r="G766" s="79" t="s">
        <v>974</v>
      </c>
      <c r="H766" s="79" t="s">
        <v>991</v>
      </c>
      <c r="I766" s="79">
        <v>153.6</v>
      </c>
      <c r="J766" s="79" t="s">
        <v>1542</v>
      </c>
      <c r="K766" s="80" t="s">
        <v>469</v>
      </c>
      <c r="L766" s="79">
        <v>20</v>
      </c>
      <c r="M766" s="80">
        <f>L766-3</f>
        <v>17</v>
      </c>
      <c r="N766" s="81">
        <f t="shared" si="159"/>
        <v>-3</v>
      </c>
      <c r="O766" s="80"/>
      <c r="P766" s="82">
        <f>R766-TIME(0,26,0)</f>
        <v>45373.347916666666</v>
      </c>
      <c r="Q766" s="82">
        <v>45373.3125</v>
      </c>
      <c r="R766" s="82">
        <v>45373.365972222222</v>
      </c>
      <c r="S766" s="81">
        <f t="shared" si="162"/>
        <v>76.643518518055018</v>
      </c>
      <c r="T766" s="81">
        <f t="shared" si="150"/>
        <v>25.879629630556639</v>
      </c>
      <c r="U766" s="79"/>
      <c r="V766" s="82">
        <v>45373.740972222222</v>
      </c>
      <c r="W766" s="82">
        <v>45374.601967592593</v>
      </c>
      <c r="X766" s="103">
        <f t="shared" si="151"/>
        <v>1214.0034722228302</v>
      </c>
      <c r="Y766" s="82" t="s">
        <v>1047</v>
      </c>
      <c r="Z766" s="82">
        <v>45375.331967592596</v>
      </c>
      <c r="AA766" s="82">
        <f>Z766+TIME(0,41,0)</f>
        <v>45375.360439814816</v>
      </c>
      <c r="AB766" s="81">
        <f t="shared" si="152"/>
        <v>40.145833330825553</v>
      </c>
      <c r="AC766" s="82"/>
      <c r="AD766" s="83">
        <f t="shared" si="153"/>
        <v>1.965995370374003</v>
      </c>
      <c r="AE766" s="83">
        <v>1</v>
      </c>
      <c r="AF766" s="83">
        <f t="shared" si="154"/>
        <v>-0.96599537037400296</v>
      </c>
      <c r="AG766" s="83">
        <f t="shared" si="155"/>
        <v>47.183888888976071</v>
      </c>
      <c r="AH766" s="83">
        <f t="shared" si="156"/>
        <v>12</v>
      </c>
      <c r="AI766" s="83">
        <f t="shared" si="157"/>
        <v>35.183888888976071</v>
      </c>
      <c r="AJ766" s="83">
        <f t="shared" si="158"/>
        <v>4.3656345233663592</v>
      </c>
      <c r="AK766" s="83"/>
      <c r="AL766" s="83"/>
      <c r="AM766" s="83"/>
      <c r="AN766" s="83"/>
    </row>
    <row r="767" spans="1:40" ht="15" hidden="1" x14ac:dyDescent="0.25">
      <c r="A767" s="82">
        <v>45736</v>
      </c>
      <c r="B767" s="94" t="str">
        <f t="shared" si="148"/>
        <v>March</v>
      </c>
      <c r="C767" s="79" t="s">
        <v>2162</v>
      </c>
      <c r="D767" s="79" t="s">
        <v>1543</v>
      </c>
      <c r="E767" s="79" t="s">
        <v>1017</v>
      </c>
      <c r="F767" s="79" t="s">
        <v>1027</v>
      </c>
      <c r="G767" s="79" t="s">
        <v>34</v>
      </c>
      <c r="H767" s="79" t="s">
        <v>458</v>
      </c>
      <c r="I767" s="79">
        <v>156</v>
      </c>
      <c r="J767" s="79" t="s">
        <v>1543</v>
      </c>
      <c r="K767" s="80" t="s">
        <v>469</v>
      </c>
      <c r="L767" s="80">
        <v>448</v>
      </c>
      <c r="M767" s="80">
        <f>L767-3</f>
        <v>445</v>
      </c>
      <c r="N767" s="81">
        <f t="shared" si="159"/>
        <v>-3</v>
      </c>
      <c r="O767" s="80"/>
      <c r="P767" s="82">
        <f t="shared" ref="P767:P768" si="168">R767-TIME(0,27,0)</f>
        <v>45373.34097222222</v>
      </c>
      <c r="Q767" s="82">
        <v>45373.3125</v>
      </c>
      <c r="R767" s="82">
        <v>45373.359722222223</v>
      </c>
      <c r="S767" s="81">
        <f t="shared" si="162"/>
        <v>67.685185186807459</v>
      </c>
      <c r="T767" s="81">
        <f t="shared" si="150"/>
        <v>26.87500000417155</v>
      </c>
      <c r="U767" s="79"/>
      <c r="V767" s="82">
        <v>45374.443055555559</v>
      </c>
      <c r="W767" s="82">
        <v>45374.643055555556</v>
      </c>
      <c r="X767" s="103">
        <f t="shared" si="151"/>
        <v>281.99999999589636</v>
      </c>
      <c r="Y767" s="82" t="s">
        <v>1049</v>
      </c>
      <c r="Z767" s="82">
        <v>45375.12771990741</v>
      </c>
      <c r="AA767" s="82">
        <f>Z767+TIME(0,56,0)</f>
        <v>45375.166608796302</v>
      </c>
      <c r="AB767" s="81">
        <f t="shared" si="152"/>
        <v>54.833333337664953</v>
      </c>
      <c r="AC767" s="82"/>
      <c r="AD767" s="83">
        <f t="shared" si="153"/>
        <v>1.767997685186856</v>
      </c>
      <c r="AE767" s="83">
        <v>2</v>
      </c>
      <c r="AF767" s="83">
        <f t="shared" si="154"/>
        <v>0.23200231481314404</v>
      </c>
      <c r="AG767" s="83">
        <f t="shared" si="155"/>
        <v>42.431944444484543</v>
      </c>
      <c r="AH767" s="83">
        <f t="shared" si="156"/>
        <v>12</v>
      </c>
      <c r="AI767" s="83">
        <f t="shared" si="157"/>
        <v>30.431944444484543</v>
      </c>
      <c r="AJ767" s="83">
        <f t="shared" si="158"/>
        <v>5.1261923234837301</v>
      </c>
      <c r="AK767" s="83"/>
      <c r="AL767" s="83"/>
      <c r="AM767" s="83"/>
      <c r="AN767" s="83"/>
    </row>
    <row r="768" spans="1:40" ht="15" hidden="1" x14ac:dyDescent="0.25">
      <c r="A768" s="82">
        <v>45736</v>
      </c>
      <c r="B768" s="94" t="str">
        <f t="shared" si="148"/>
        <v>March</v>
      </c>
      <c r="C768" s="79" t="s">
        <v>2162</v>
      </c>
      <c r="D768" s="79" t="s">
        <v>1544</v>
      </c>
      <c r="E768" s="79" t="s">
        <v>1017</v>
      </c>
      <c r="F768" s="79"/>
      <c r="G768" s="79" t="s">
        <v>42</v>
      </c>
      <c r="H768" s="79" t="s">
        <v>460</v>
      </c>
      <c r="I768" s="79">
        <v>78</v>
      </c>
      <c r="J768" s="79" t="s">
        <v>1544</v>
      </c>
      <c r="K768" s="80" t="s">
        <v>469</v>
      </c>
      <c r="L768" s="87">
        <v>600</v>
      </c>
      <c r="M768" s="80">
        <f>L768-1</f>
        <v>599</v>
      </c>
      <c r="N768" s="81">
        <f t="shared" si="159"/>
        <v>-1</v>
      </c>
      <c r="O768" s="80"/>
      <c r="P768" s="82">
        <f t="shared" si="168"/>
        <v>45373.34097222222</v>
      </c>
      <c r="Q768" s="82">
        <v>45373.3125</v>
      </c>
      <c r="R768" s="82">
        <v>45373.359722222223</v>
      </c>
      <c r="S768" s="81">
        <f t="shared" si="162"/>
        <v>67.685185186807459</v>
      </c>
      <c r="T768" s="81">
        <f t="shared" si="150"/>
        <v>26.87500000417155</v>
      </c>
      <c r="U768" s="79"/>
      <c r="V768" s="82">
        <v>45374.411805555559</v>
      </c>
      <c r="W768" s="82">
        <v>45374.693749999999</v>
      </c>
      <c r="X768" s="103">
        <f t="shared" si="151"/>
        <v>397.54166665959929</v>
      </c>
      <c r="Y768" s="82" t="s">
        <v>1046</v>
      </c>
      <c r="Z768" s="82">
        <v>45375.912754629629</v>
      </c>
      <c r="AA768" s="82">
        <f>Z768+TIME(0,56,0)</f>
        <v>45375.951643518521</v>
      </c>
      <c r="AB768" s="81">
        <f t="shared" si="152"/>
        <v>54.833333337664953</v>
      </c>
      <c r="AC768" s="82"/>
      <c r="AD768" s="83">
        <f t="shared" si="153"/>
        <v>2.5530324074061355</v>
      </c>
      <c r="AE768" s="83">
        <v>2</v>
      </c>
      <c r="AF768" s="83">
        <f t="shared" si="154"/>
        <v>-0.55303240740613546</v>
      </c>
      <c r="AG768" s="83">
        <f t="shared" si="155"/>
        <v>61.272777777747251</v>
      </c>
      <c r="AH768" s="83">
        <f t="shared" si="156"/>
        <v>24</v>
      </c>
      <c r="AI768" s="83">
        <f t="shared" si="157"/>
        <v>37.272777777747251</v>
      </c>
      <c r="AJ768" s="83">
        <f t="shared" si="158"/>
        <v>2.0926800912211023</v>
      </c>
      <c r="AK768" s="83"/>
      <c r="AL768" s="83"/>
      <c r="AM768" s="83"/>
      <c r="AN768" s="83"/>
    </row>
    <row r="769" spans="1:41" ht="15" hidden="1" x14ac:dyDescent="0.25">
      <c r="A769" s="82">
        <v>45736</v>
      </c>
      <c r="B769" s="94" t="str">
        <f t="shared" si="148"/>
        <v>March</v>
      </c>
      <c r="C769" s="79" t="s">
        <v>2162</v>
      </c>
      <c r="D769" s="79" t="s">
        <v>1545</v>
      </c>
      <c r="E769" s="79" t="s">
        <v>1017</v>
      </c>
      <c r="F769" s="79" t="s">
        <v>1015</v>
      </c>
      <c r="G769" s="79" t="s">
        <v>43</v>
      </c>
      <c r="H769" s="79" t="s">
        <v>457</v>
      </c>
      <c r="I769" s="79">
        <v>156</v>
      </c>
      <c r="J769" s="79" t="s">
        <v>1545</v>
      </c>
      <c r="K769" s="80" t="s">
        <v>469</v>
      </c>
      <c r="L769" s="79">
        <v>320</v>
      </c>
      <c r="M769" s="80">
        <f>L769-156</f>
        <v>164</v>
      </c>
      <c r="N769" s="81">
        <f t="shared" si="159"/>
        <v>-156</v>
      </c>
      <c r="O769" s="80"/>
      <c r="P769" s="82">
        <f>R769-TIME(0,26,0)</f>
        <v>45374.570393518516</v>
      </c>
      <c r="Q769" s="82">
        <v>45374.038449074076</v>
      </c>
      <c r="R769" s="82">
        <v>45374.588449074072</v>
      </c>
      <c r="S769" s="81">
        <f t="shared" si="162"/>
        <v>788.33333332707605</v>
      </c>
      <c r="T769" s="81">
        <f t="shared" si="150"/>
        <v>25.879629630556639</v>
      </c>
      <c r="U769" s="79"/>
      <c r="V769" s="82">
        <v>45374.607199074075</v>
      </c>
      <c r="W769" s="82">
        <v>45374.752337962964</v>
      </c>
      <c r="X769" s="103">
        <f t="shared" si="151"/>
        <v>204.64583333356131</v>
      </c>
      <c r="Y769" s="82" t="s">
        <v>1038</v>
      </c>
      <c r="Z769" s="82">
        <v>45374.778726851851</v>
      </c>
      <c r="AA769" s="82">
        <v>45374.812060185184</v>
      </c>
      <c r="AB769" s="81">
        <f t="shared" si="152"/>
        <v>46.99999999931606</v>
      </c>
      <c r="AC769" s="82"/>
      <c r="AD769" s="83">
        <f t="shared" si="153"/>
        <v>0.19027777777955635</v>
      </c>
      <c r="AE769" s="83">
        <v>2</v>
      </c>
      <c r="AF769" s="83">
        <f t="shared" si="154"/>
        <v>1.8097222222204437</v>
      </c>
      <c r="AG769" s="83">
        <f t="shared" si="155"/>
        <v>4.5666666667093523</v>
      </c>
      <c r="AH769" s="83">
        <f t="shared" si="156"/>
        <v>0</v>
      </c>
      <c r="AI769" s="83">
        <f t="shared" si="157"/>
        <v>4.5666666667093523</v>
      </c>
      <c r="AJ769" s="83">
        <f t="shared" si="158"/>
        <v>34.160583941286532</v>
      </c>
      <c r="AK769" s="83"/>
      <c r="AL769" s="83"/>
      <c r="AM769" s="83"/>
      <c r="AN769" s="83"/>
    </row>
    <row r="770" spans="1:41" ht="15" hidden="1" x14ac:dyDescent="0.25">
      <c r="A770" s="82">
        <v>45736</v>
      </c>
      <c r="B770" s="94" t="str">
        <f t="shared" ref="B770:B833" si="169">TEXT(A770, "MMMM")</f>
        <v>March</v>
      </c>
      <c r="C770" s="79" t="s">
        <v>2162</v>
      </c>
      <c r="D770" s="79" t="s">
        <v>1546</v>
      </c>
      <c r="E770" s="79" t="s">
        <v>1017</v>
      </c>
      <c r="F770" s="79"/>
      <c r="G770" s="79" t="s">
        <v>80</v>
      </c>
      <c r="H770" s="79" t="s">
        <v>457</v>
      </c>
      <c r="I770" s="79">
        <v>156</v>
      </c>
      <c r="J770" s="79" t="s">
        <v>1546</v>
      </c>
      <c r="K770" s="80" t="s">
        <v>469</v>
      </c>
      <c r="L770" s="79">
        <v>320</v>
      </c>
      <c r="M770" s="80">
        <f>L770-3</f>
        <v>317</v>
      </c>
      <c r="N770" s="81">
        <f t="shared" si="159"/>
        <v>-3</v>
      </c>
      <c r="O770" s="80"/>
      <c r="P770" s="82">
        <f t="shared" ref="P770:P771" si="170">R770-TIME(0,27,0)</f>
        <v>45374.357638888883</v>
      </c>
      <c r="Q770" s="82">
        <v>45374.3125</v>
      </c>
      <c r="R770" s="82">
        <v>45374.376388888886</v>
      </c>
      <c r="S770" s="81">
        <f t="shared" ref="S770:S774" si="171">(R770-Q770)*86000/60</f>
        <v>91.574074070134273</v>
      </c>
      <c r="T770" s="81">
        <f t="shared" ref="T770:T833" si="172">(R770-P770)*86000/60</f>
        <v>26.87500000417155</v>
      </c>
      <c r="U770" s="79"/>
      <c r="V770" s="82">
        <v>45375.428472222222</v>
      </c>
      <c r="W770" s="82">
        <f>V770+TIME(0,178,0)</f>
        <v>45375.552083333336</v>
      </c>
      <c r="X770" s="103">
        <f t="shared" ref="X770:X833" si="173">(W770-V770)*84600/60</f>
        <v>174.29166667054233</v>
      </c>
      <c r="Y770" s="82"/>
      <c r="Z770" s="82">
        <v>45376.908472222225</v>
      </c>
      <c r="AA770" s="82">
        <f>Z770+TIME(0,41,0)</f>
        <v>45376.936944444446</v>
      </c>
      <c r="AB770" s="81">
        <f t="shared" ref="AB770:AB833" si="174">(AA770-Z770)*84600/60</f>
        <v>40.145833330825553</v>
      </c>
      <c r="AC770" s="82"/>
      <c r="AD770" s="83">
        <f t="shared" ref="AD770:AD833" si="175">Z770-R770</f>
        <v>2.5320833333389601</v>
      </c>
      <c r="AE770" s="83">
        <v>2</v>
      </c>
      <c r="AF770" s="83">
        <f t="shared" ref="AF770:AF833" si="176">AE770-AD770</f>
        <v>-0.53208333333896007</v>
      </c>
      <c r="AG770" s="83">
        <f t="shared" ref="AG770:AG833" si="177">AD770*24</f>
        <v>60.770000000135042</v>
      </c>
      <c r="AH770" s="83">
        <f t="shared" ref="AH770:AH833" si="178">AG770-AI770</f>
        <v>24</v>
      </c>
      <c r="AI770" s="83">
        <f t="shared" ref="AI770:AI833" si="179" xml:space="preserve"> ((Z770 - R770) * 24) - (INT(Z770 - R770) * 12)</f>
        <v>36.770000000135042</v>
      </c>
      <c r="AJ770" s="83">
        <f t="shared" ref="AJ770:AJ833" si="180">I770/AI770</f>
        <v>4.2425890671587458</v>
      </c>
      <c r="AK770" s="83"/>
      <c r="AL770" s="83"/>
      <c r="AM770" s="83"/>
      <c r="AN770" s="83"/>
    </row>
    <row r="771" spans="1:41" ht="15" hidden="1" x14ac:dyDescent="0.25">
      <c r="A771" s="82">
        <v>45736</v>
      </c>
      <c r="B771" s="94" t="str">
        <f t="shared" si="169"/>
        <v>March</v>
      </c>
      <c r="C771" s="79" t="s">
        <v>2162</v>
      </c>
      <c r="D771" s="79" t="s">
        <v>1547</v>
      </c>
      <c r="E771" s="79" t="s">
        <v>1017</v>
      </c>
      <c r="F771" s="79" t="s">
        <v>1667</v>
      </c>
      <c r="G771" s="79" t="s">
        <v>977</v>
      </c>
      <c r="H771" s="79" t="s">
        <v>458</v>
      </c>
      <c r="I771" s="79">
        <v>156</v>
      </c>
      <c r="J771" s="79" t="s">
        <v>1547</v>
      </c>
      <c r="K771" s="80" t="s">
        <v>469</v>
      </c>
      <c r="L771" s="80">
        <v>448</v>
      </c>
      <c r="M771" s="80">
        <f>L771-1</f>
        <v>447</v>
      </c>
      <c r="N771" s="81">
        <f t="shared" si="159"/>
        <v>-1</v>
      </c>
      <c r="O771" s="80"/>
      <c r="P771" s="82">
        <f t="shared" si="170"/>
        <v>45374.34097222222</v>
      </c>
      <c r="Q771" s="82">
        <v>45374.3125</v>
      </c>
      <c r="R771" s="82">
        <v>45374.359722222223</v>
      </c>
      <c r="S771" s="81">
        <f t="shared" si="171"/>
        <v>67.685185186807459</v>
      </c>
      <c r="T771" s="81">
        <f t="shared" si="172"/>
        <v>26.87500000417155</v>
      </c>
      <c r="U771" s="79"/>
      <c r="V771" s="82">
        <v>45374.609722222223</v>
      </c>
      <c r="W771" s="82">
        <v>45374.828472222223</v>
      </c>
      <c r="X771" s="103">
        <f t="shared" si="173"/>
        <v>308.4375</v>
      </c>
      <c r="Y771" s="82" t="s">
        <v>1047</v>
      </c>
      <c r="Z771" s="82">
        <v>45375.050694444442</v>
      </c>
      <c r="AA771" s="82">
        <v>45375.081944444442</v>
      </c>
      <c r="AB771" s="81">
        <f t="shared" si="174"/>
        <v>44.0625</v>
      </c>
      <c r="AC771" s="82"/>
      <c r="AD771" s="83">
        <f t="shared" si="175"/>
        <v>0.69097222221898846</v>
      </c>
      <c r="AE771" s="83">
        <v>2</v>
      </c>
      <c r="AF771" s="83">
        <f t="shared" si="176"/>
        <v>1.3090277777810115</v>
      </c>
      <c r="AG771" s="83">
        <f t="shared" si="177"/>
        <v>16.583333333255723</v>
      </c>
      <c r="AH771" s="83">
        <f t="shared" si="178"/>
        <v>0</v>
      </c>
      <c r="AI771" s="83">
        <f t="shared" si="179"/>
        <v>16.583333333255723</v>
      </c>
      <c r="AJ771" s="83">
        <f t="shared" si="180"/>
        <v>9.4070351759234221</v>
      </c>
      <c r="AK771" s="83"/>
      <c r="AL771" s="83"/>
      <c r="AM771" s="83"/>
      <c r="AN771" s="83"/>
    </row>
    <row r="772" spans="1:41" ht="15" hidden="1" x14ac:dyDescent="0.25">
      <c r="A772" s="82">
        <v>45737</v>
      </c>
      <c r="B772" s="94" t="str">
        <f t="shared" si="169"/>
        <v>March</v>
      </c>
      <c r="C772" s="79" t="s">
        <v>2162</v>
      </c>
      <c r="D772" s="79" t="s">
        <v>1548</v>
      </c>
      <c r="E772" s="79" t="s">
        <v>1017</v>
      </c>
      <c r="F772" s="79" t="s">
        <v>1036</v>
      </c>
      <c r="G772" s="79" t="s">
        <v>36</v>
      </c>
      <c r="H772" s="79" t="s">
        <v>450</v>
      </c>
      <c r="I772" s="79">
        <v>156</v>
      </c>
      <c r="J772" s="79" t="s">
        <v>1548</v>
      </c>
      <c r="K772" s="80" t="s">
        <v>469</v>
      </c>
      <c r="L772" s="80">
        <v>288</v>
      </c>
      <c r="M772" s="80">
        <f>L772-1</f>
        <v>287</v>
      </c>
      <c r="N772" s="81">
        <f t="shared" ref="N772:N835" si="181">M772-L772</f>
        <v>-1</v>
      </c>
      <c r="O772" s="80"/>
      <c r="P772" s="82">
        <f>R772-TIME(0,26,0)</f>
        <v>45375.118055555555</v>
      </c>
      <c r="Q772" s="82">
        <v>45375.176388888889</v>
      </c>
      <c r="R772" s="82">
        <v>45375.136111111111</v>
      </c>
      <c r="S772" s="81">
        <f t="shared" si="171"/>
        <v>-57.731481481944989</v>
      </c>
      <c r="T772" s="81">
        <f t="shared" si="172"/>
        <v>25.879629630556639</v>
      </c>
      <c r="U772" s="79"/>
      <c r="V772" s="82">
        <v>45375.636805555558</v>
      </c>
      <c r="W772" s="82">
        <v>45375.763194444444</v>
      </c>
      <c r="X772" s="103">
        <f t="shared" si="173"/>
        <v>178.20833332945767</v>
      </c>
      <c r="Y772" s="82"/>
      <c r="Z772" s="82">
        <v>45376.537499999999</v>
      </c>
      <c r="AA772" s="82">
        <v>45376.578472222223</v>
      </c>
      <c r="AB772" s="81">
        <f t="shared" si="174"/>
        <v>57.770833336981013</v>
      </c>
      <c r="AC772" s="82"/>
      <c r="AD772" s="83">
        <f t="shared" si="175"/>
        <v>1.4013888888875954</v>
      </c>
      <c r="AE772" s="83">
        <v>2</v>
      </c>
      <c r="AF772" s="83">
        <f t="shared" si="176"/>
        <v>0.59861111111240461</v>
      </c>
      <c r="AG772" s="83">
        <f t="shared" si="177"/>
        <v>33.633333333302289</v>
      </c>
      <c r="AH772" s="83">
        <f t="shared" si="178"/>
        <v>12</v>
      </c>
      <c r="AI772" s="83">
        <f t="shared" si="179"/>
        <v>21.633333333302289</v>
      </c>
      <c r="AJ772" s="83">
        <f t="shared" si="180"/>
        <v>7.211093990765356</v>
      </c>
      <c r="AK772" s="83"/>
      <c r="AL772" s="83"/>
      <c r="AM772" s="83"/>
      <c r="AN772" s="83"/>
    </row>
    <row r="773" spans="1:41" ht="15" hidden="1" x14ac:dyDescent="0.25">
      <c r="A773" s="82">
        <v>45737</v>
      </c>
      <c r="B773" s="94" t="str">
        <f t="shared" si="169"/>
        <v>March</v>
      </c>
      <c r="C773" s="79" t="s">
        <v>2162</v>
      </c>
      <c r="D773" s="79" t="s">
        <v>1549</v>
      </c>
      <c r="E773" s="79" t="s">
        <v>1017</v>
      </c>
      <c r="F773" s="79"/>
      <c r="G773" s="79" t="s">
        <v>77</v>
      </c>
      <c r="H773" s="79" t="s">
        <v>452</v>
      </c>
      <c r="I773" s="79">
        <v>78</v>
      </c>
      <c r="J773" s="79" t="s">
        <v>1549</v>
      </c>
      <c r="K773" s="80" t="s">
        <v>469</v>
      </c>
      <c r="L773" s="79">
        <v>690</v>
      </c>
      <c r="M773" s="80">
        <f>L773-3</f>
        <v>687</v>
      </c>
      <c r="N773" s="81">
        <f t="shared" si="181"/>
        <v>-3</v>
      </c>
      <c r="O773" s="80"/>
      <c r="P773" s="82">
        <f>R773-TIME(0,26,0)</f>
        <v>45374.645138888889</v>
      </c>
      <c r="Q773" s="82">
        <v>45374.729166666664</v>
      </c>
      <c r="R773" s="82">
        <v>45374.663194444445</v>
      </c>
      <c r="S773" s="81">
        <f t="shared" si="171"/>
        <v>-94.560185180550135</v>
      </c>
      <c r="T773" s="81">
        <f t="shared" si="172"/>
        <v>25.879629630556639</v>
      </c>
      <c r="U773" s="79"/>
      <c r="V773" s="82">
        <v>45375.525000000001</v>
      </c>
      <c r="W773" s="82">
        <v>45375.80972222222</v>
      </c>
      <c r="X773" s="103">
        <f t="shared" si="173"/>
        <v>401.45833332877373</v>
      </c>
      <c r="Y773" s="82" t="s">
        <v>1044</v>
      </c>
      <c r="Z773" s="82">
        <v>45375.405555555553</v>
      </c>
      <c r="AA773" s="82">
        <f>Z773+TIME(0,57,0)</f>
        <v>45375.445138888885</v>
      </c>
      <c r="AB773" s="81">
        <f t="shared" si="174"/>
        <v>55.81249999726424</v>
      </c>
      <c r="AC773" s="82"/>
      <c r="AD773" s="83">
        <f t="shared" si="175"/>
        <v>0.74236111110803904</v>
      </c>
      <c r="AE773" s="83">
        <v>3</v>
      </c>
      <c r="AF773" s="83">
        <f t="shared" si="176"/>
        <v>2.257638888891961</v>
      </c>
      <c r="AG773" s="83">
        <f t="shared" si="177"/>
        <v>17.816666666592937</v>
      </c>
      <c r="AH773" s="83">
        <f t="shared" si="178"/>
        <v>0</v>
      </c>
      <c r="AI773" s="83">
        <f t="shared" si="179"/>
        <v>17.816666666592937</v>
      </c>
      <c r="AJ773" s="83">
        <f t="shared" si="180"/>
        <v>4.3779232928151233</v>
      </c>
      <c r="AK773" s="83"/>
      <c r="AL773" s="83"/>
      <c r="AM773" s="83"/>
      <c r="AN773" s="83"/>
    </row>
    <row r="774" spans="1:41" ht="15" hidden="1" x14ac:dyDescent="0.25">
      <c r="A774" s="82">
        <v>45737</v>
      </c>
      <c r="B774" s="94" t="str">
        <f t="shared" si="169"/>
        <v>March</v>
      </c>
      <c r="C774" s="79" t="s">
        <v>2162</v>
      </c>
      <c r="D774" s="79" t="s">
        <v>1550</v>
      </c>
      <c r="E774" s="79" t="s">
        <v>1017</v>
      </c>
      <c r="F774" s="79" t="s">
        <v>1033</v>
      </c>
      <c r="G774" s="79" t="s">
        <v>41</v>
      </c>
      <c r="H774" s="79" t="s">
        <v>451</v>
      </c>
      <c r="I774" s="79">
        <v>5.5439999999999996</v>
      </c>
      <c r="J774" s="79" t="s">
        <v>1550</v>
      </c>
      <c r="K774" s="80" t="s">
        <v>469</v>
      </c>
      <c r="L774" s="80">
        <v>790</v>
      </c>
      <c r="M774" s="80">
        <f>L774-3</f>
        <v>787</v>
      </c>
      <c r="N774" s="81">
        <f t="shared" si="181"/>
        <v>-3</v>
      </c>
      <c r="O774" s="80"/>
      <c r="P774" s="82">
        <f>R774-TIME(0,28,0)</f>
        <v>45375.177592592598</v>
      </c>
      <c r="Q774" s="82">
        <v>45375.139398148145</v>
      </c>
      <c r="R774" s="82">
        <v>45375.19703703704</v>
      </c>
      <c r="S774" s="81">
        <f t="shared" si="171"/>
        <v>82.615740749315592</v>
      </c>
      <c r="T774" s="81">
        <f t="shared" si="172"/>
        <v>27.870370367357584</v>
      </c>
      <c r="U774" s="79"/>
      <c r="V774" s="82">
        <v>45375.57203703704</v>
      </c>
      <c r="W774" s="82">
        <v>45375.758842592593</v>
      </c>
      <c r="X774" s="103">
        <f t="shared" si="173"/>
        <v>263.39583333014161</v>
      </c>
      <c r="Y774" s="82" t="s">
        <v>1044</v>
      </c>
      <c r="Z774" s="82">
        <v>45376.608842592592</v>
      </c>
      <c r="AA774" s="82">
        <v>45376.642175925925</v>
      </c>
      <c r="AB774" s="81">
        <f t="shared" si="174"/>
        <v>46.99999999931606</v>
      </c>
      <c r="AC774" s="82"/>
      <c r="AD774" s="83">
        <f t="shared" si="175"/>
        <v>1.4118055555518367</v>
      </c>
      <c r="AE774" s="83">
        <v>3</v>
      </c>
      <c r="AF774" s="83">
        <f t="shared" si="176"/>
        <v>1.5881944444481633</v>
      </c>
      <c r="AG774" s="83">
        <f t="shared" si="177"/>
        <v>33.883333333244082</v>
      </c>
      <c r="AH774" s="83">
        <f t="shared" si="178"/>
        <v>12</v>
      </c>
      <c r="AI774" s="83">
        <f t="shared" si="179"/>
        <v>21.883333333244082</v>
      </c>
      <c r="AJ774" s="83">
        <f t="shared" si="180"/>
        <v>0.25334348819600661</v>
      </c>
      <c r="AK774" s="83"/>
      <c r="AL774" s="83"/>
      <c r="AM774" s="83"/>
      <c r="AN774" s="83"/>
    </row>
    <row r="775" spans="1:41" ht="15" hidden="1" x14ac:dyDescent="0.25">
      <c r="A775" s="82">
        <v>45737</v>
      </c>
      <c r="B775" s="95" t="str">
        <f t="shared" si="169"/>
        <v>March</v>
      </c>
      <c r="C775" s="79" t="s">
        <v>2161</v>
      </c>
      <c r="D775" s="79" t="s">
        <v>1551</v>
      </c>
      <c r="E775" s="79" t="s">
        <v>1017</v>
      </c>
      <c r="F775" s="79"/>
      <c r="G775" s="79" t="s">
        <v>974</v>
      </c>
      <c r="H775" s="79" t="s">
        <v>461</v>
      </c>
      <c r="I775" s="79">
        <v>76.8</v>
      </c>
      <c r="J775" s="79" t="s">
        <v>1551</v>
      </c>
      <c r="K775" s="80" t="s">
        <v>469</v>
      </c>
      <c r="L775" s="80">
        <v>298</v>
      </c>
      <c r="M775" s="80">
        <f>L775-1</f>
        <v>297</v>
      </c>
      <c r="N775" s="81">
        <f t="shared" si="181"/>
        <v>-1</v>
      </c>
      <c r="O775" s="80"/>
      <c r="P775" s="82">
        <f>R775-TIME(0,29,0)</f>
        <v>45376.534722222219</v>
      </c>
      <c r="Q775" s="82">
        <v>45375.320833333331</v>
      </c>
      <c r="R775" s="82">
        <v>45376.554861111108</v>
      </c>
      <c r="S775" s="81">
        <f t="shared" ref="S775:S833" si="182">(R775-Q775)*86000/60</f>
        <v>1768.773148146526</v>
      </c>
      <c r="T775" s="81">
        <f t="shared" si="172"/>
        <v>28.865740740972495</v>
      </c>
      <c r="U775" s="79"/>
      <c r="V775" s="82">
        <v>45376.584722222222</v>
      </c>
      <c r="W775" s="82">
        <v>45376.742361111108</v>
      </c>
      <c r="X775" s="103">
        <f t="shared" si="173"/>
        <v>222.27083332945767</v>
      </c>
      <c r="Y775" s="82" t="s">
        <v>1038</v>
      </c>
      <c r="Z775" s="82">
        <v>45376.781944444447</v>
      </c>
      <c r="AA775" s="82">
        <f>Z775+TIME(0,57,0)</f>
        <v>45376.821527777778</v>
      </c>
      <c r="AB775" s="81">
        <f t="shared" si="174"/>
        <v>55.81249999726424</v>
      </c>
      <c r="AC775" s="82"/>
      <c r="AD775" s="83">
        <f t="shared" si="175"/>
        <v>0.22708333333866904</v>
      </c>
      <c r="AE775" s="83">
        <v>2</v>
      </c>
      <c r="AF775" s="83">
        <f t="shared" si="176"/>
        <v>1.772916666661331</v>
      </c>
      <c r="AG775" s="83">
        <f t="shared" si="177"/>
        <v>5.4500000001280569</v>
      </c>
      <c r="AH775" s="83">
        <f t="shared" si="178"/>
        <v>0</v>
      </c>
      <c r="AI775" s="83">
        <f t="shared" si="179"/>
        <v>5.4500000001280569</v>
      </c>
      <c r="AJ775" s="83">
        <f t="shared" si="180"/>
        <v>14.091743118934945</v>
      </c>
      <c r="AK775" s="83"/>
      <c r="AL775" s="83"/>
      <c r="AM775" s="83"/>
      <c r="AN775" s="83"/>
    </row>
    <row r="776" spans="1:41" ht="15" hidden="1" x14ac:dyDescent="0.25">
      <c r="A776" s="82">
        <v>45737</v>
      </c>
      <c r="B776" s="94" t="str">
        <f t="shared" si="169"/>
        <v>March</v>
      </c>
      <c r="C776" s="79" t="s">
        <v>2162</v>
      </c>
      <c r="D776" s="79" t="s">
        <v>1552</v>
      </c>
      <c r="E776" s="79" t="s">
        <v>1017</v>
      </c>
      <c r="F776" s="79"/>
      <c r="G776" s="79" t="s">
        <v>59</v>
      </c>
      <c r="H776" s="79" t="s">
        <v>458</v>
      </c>
      <c r="I776" s="79">
        <v>148.80000000000001</v>
      </c>
      <c r="J776" s="79" t="s">
        <v>1552</v>
      </c>
      <c r="K776" s="80" t="s">
        <v>469</v>
      </c>
      <c r="L776" s="80">
        <v>448</v>
      </c>
      <c r="M776" s="80">
        <f>L776-3</f>
        <v>445</v>
      </c>
      <c r="N776" s="81">
        <f t="shared" si="181"/>
        <v>-3</v>
      </c>
      <c r="O776" s="80"/>
      <c r="P776" s="82">
        <f>R776-TIME(0,28,0)</f>
        <v>45375.715972222228</v>
      </c>
      <c r="Q776" s="82">
        <v>45375.161111111112</v>
      </c>
      <c r="R776" s="82">
        <v>45375.73541666667</v>
      </c>
      <c r="S776" s="81">
        <f t="shared" si="182"/>
        <v>823.17129629930912</v>
      </c>
      <c r="T776" s="81">
        <f t="shared" si="172"/>
        <v>27.870370367357584</v>
      </c>
      <c r="U776" s="79"/>
      <c r="V776" s="82">
        <v>45375.761805555558</v>
      </c>
      <c r="W776" s="82">
        <v>45376.128472222219</v>
      </c>
      <c r="X776" s="103">
        <f t="shared" si="173"/>
        <v>516.99999999247666</v>
      </c>
      <c r="Y776" s="82" t="s">
        <v>1049</v>
      </c>
      <c r="Z776" s="82">
        <v>45376.152777777781</v>
      </c>
      <c r="AA776" s="82">
        <f>Z776+TIME(0,52,0)</f>
        <v>45376.188888888893</v>
      </c>
      <c r="AB776" s="81">
        <f t="shared" si="174"/>
        <v>50.916666668490507</v>
      </c>
      <c r="AC776" s="82"/>
      <c r="AD776" s="83">
        <f t="shared" si="175"/>
        <v>0.41736111111094942</v>
      </c>
      <c r="AE776" s="83">
        <v>2</v>
      </c>
      <c r="AF776" s="83">
        <f t="shared" si="176"/>
        <v>1.5826388888890506</v>
      </c>
      <c r="AG776" s="83">
        <f t="shared" si="177"/>
        <v>10.016666666662786</v>
      </c>
      <c r="AH776" s="83">
        <f t="shared" si="178"/>
        <v>0</v>
      </c>
      <c r="AI776" s="83">
        <f t="shared" si="179"/>
        <v>10.016666666662786</v>
      </c>
      <c r="AJ776" s="83">
        <f t="shared" si="180"/>
        <v>14.855241264564825</v>
      </c>
      <c r="AK776" s="83"/>
      <c r="AL776" s="83"/>
      <c r="AM776" s="83"/>
      <c r="AN776" s="83"/>
    </row>
    <row r="777" spans="1:41" ht="15" hidden="1" x14ac:dyDescent="0.25">
      <c r="A777" s="82">
        <v>45737</v>
      </c>
      <c r="B777" s="94" t="str">
        <f t="shared" si="169"/>
        <v>March</v>
      </c>
      <c r="C777" s="79" t="s">
        <v>2162</v>
      </c>
      <c r="D777" s="79" t="s">
        <v>1553</v>
      </c>
      <c r="E777" s="79" t="s">
        <v>1017</v>
      </c>
      <c r="F777" s="79" t="s">
        <v>1014</v>
      </c>
      <c r="G777" s="79" t="s">
        <v>52</v>
      </c>
      <c r="H777" s="79" t="s">
        <v>458</v>
      </c>
      <c r="I777" s="79">
        <v>148.80000000000001</v>
      </c>
      <c r="J777" s="79" t="s">
        <v>1553</v>
      </c>
      <c r="K777" s="80" t="s">
        <v>469</v>
      </c>
      <c r="L777" s="80">
        <v>448</v>
      </c>
      <c r="M777" s="80">
        <f>L777-3</f>
        <v>445</v>
      </c>
      <c r="N777" s="81">
        <f t="shared" si="181"/>
        <v>-3</v>
      </c>
      <c r="O777" s="80"/>
      <c r="P777" s="82">
        <f>R777-TIME(0,26,0)</f>
        <v>45375.531944444447</v>
      </c>
      <c r="Q777" s="82">
        <v>45375.154861111114</v>
      </c>
      <c r="R777" s="82">
        <v>45375.55</v>
      </c>
      <c r="S777" s="81">
        <f t="shared" si="182"/>
        <v>566.36574074097246</v>
      </c>
      <c r="T777" s="81">
        <f t="shared" si="172"/>
        <v>25.879629630556639</v>
      </c>
      <c r="U777" s="79"/>
      <c r="V777" s="82">
        <v>45376.511805555558</v>
      </c>
      <c r="W777" s="82">
        <v>45376.72152777778</v>
      </c>
      <c r="X777" s="103">
        <f t="shared" si="173"/>
        <v>295.70833333287737</v>
      </c>
      <c r="Y777" s="82" t="s">
        <v>1050</v>
      </c>
      <c r="Z777" s="82">
        <v>45377.515277777777</v>
      </c>
      <c r="AA777" s="82">
        <v>45377.546527777777</v>
      </c>
      <c r="AB777" s="81">
        <f t="shared" si="174"/>
        <v>44.0625</v>
      </c>
      <c r="AC777" s="82"/>
      <c r="AD777" s="83">
        <f t="shared" si="175"/>
        <v>1.9652777777737356</v>
      </c>
      <c r="AE777" s="83">
        <v>2</v>
      </c>
      <c r="AF777" s="83">
        <f t="shared" si="176"/>
        <v>3.4722222226264421E-2</v>
      </c>
      <c r="AG777" s="83">
        <f t="shared" si="177"/>
        <v>47.166666666569654</v>
      </c>
      <c r="AH777" s="83">
        <f t="shared" si="178"/>
        <v>12</v>
      </c>
      <c r="AI777" s="83">
        <f t="shared" si="179"/>
        <v>35.166666666569654</v>
      </c>
      <c r="AJ777" s="83">
        <f t="shared" si="180"/>
        <v>4.2312796208647532</v>
      </c>
      <c r="AK777" s="83"/>
      <c r="AL777" s="83"/>
      <c r="AM777" s="83"/>
      <c r="AN777" s="83"/>
    </row>
    <row r="778" spans="1:41" ht="15" hidden="1" x14ac:dyDescent="0.25">
      <c r="A778" s="82">
        <v>45737</v>
      </c>
      <c r="B778" s="94" t="str">
        <f t="shared" si="169"/>
        <v>March</v>
      </c>
      <c r="C778" s="79" t="s">
        <v>2162</v>
      </c>
      <c r="D778" s="79" t="s">
        <v>1554</v>
      </c>
      <c r="E778" s="79" t="s">
        <v>1017</v>
      </c>
      <c r="F778" s="79"/>
      <c r="G778" s="79" t="s">
        <v>67</v>
      </c>
      <c r="H778" s="79" t="s">
        <v>458</v>
      </c>
      <c r="I778" s="79">
        <v>156</v>
      </c>
      <c r="J778" s="79" t="s">
        <v>1554</v>
      </c>
      <c r="K778" s="80" t="s">
        <v>469</v>
      </c>
      <c r="L778" s="80">
        <v>448</v>
      </c>
      <c r="M778" s="80">
        <f>L778-3</f>
        <v>445</v>
      </c>
      <c r="N778" s="81">
        <f t="shared" si="181"/>
        <v>-3</v>
      </c>
      <c r="O778" s="80"/>
      <c r="P778" s="82">
        <f>R778-TIME(0,28,0)</f>
        <v>45376.34652777778</v>
      </c>
      <c r="Q778" s="82">
        <v>45376.3125</v>
      </c>
      <c r="R778" s="82">
        <v>45376.365972222222</v>
      </c>
      <c r="S778" s="81">
        <f t="shared" si="182"/>
        <v>76.643518518055018</v>
      </c>
      <c r="T778" s="81">
        <f t="shared" si="172"/>
        <v>27.870370367357584</v>
      </c>
      <c r="U778" s="79"/>
      <c r="V778" s="82">
        <v>45377.418055555558</v>
      </c>
      <c r="W778" s="82">
        <v>45378.618055555555</v>
      </c>
      <c r="X778" s="103">
        <f t="shared" si="173"/>
        <v>1691.9999999958964</v>
      </c>
      <c r="Y778" s="82" t="s">
        <v>1044</v>
      </c>
      <c r="Z778" s="82">
        <v>45378.818055555559</v>
      </c>
      <c r="AA778" s="82">
        <f>Z778+TIME(0,51,0)</f>
        <v>45378.853472222225</v>
      </c>
      <c r="AB778" s="81">
        <f t="shared" si="174"/>
        <v>49.93749999863212</v>
      </c>
      <c r="AC778" s="82"/>
      <c r="AD778" s="83">
        <f t="shared" si="175"/>
        <v>2.4520833333372138</v>
      </c>
      <c r="AE778" s="83">
        <v>2</v>
      </c>
      <c r="AF778" s="83">
        <f t="shared" si="176"/>
        <v>-0.45208333333721384</v>
      </c>
      <c r="AG778" s="83">
        <f t="shared" si="177"/>
        <v>58.850000000093132</v>
      </c>
      <c r="AH778" s="83">
        <f t="shared" si="178"/>
        <v>24</v>
      </c>
      <c r="AI778" s="83">
        <f t="shared" si="179"/>
        <v>34.850000000093132</v>
      </c>
      <c r="AJ778" s="83">
        <f t="shared" si="180"/>
        <v>4.4763271162003759</v>
      </c>
      <c r="AK778" s="83"/>
      <c r="AL778" s="83"/>
      <c r="AM778" s="83"/>
      <c r="AN778" s="83"/>
    </row>
    <row r="779" spans="1:41" ht="15" hidden="1" x14ac:dyDescent="0.25">
      <c r="A779" s="82">
        <v>45738</v>
      </c>
      <c r="B779" s="94" t="str">
        <f t="shared" si="169"/>
        <v>March</v>
      </c>
      <c r="C779" s="79" t="s">
        <v>2162</v>
      </c>
      <c r="D779" s="79" t="s">
        <v>1555</v>
      </c>
      <c r="E779" s="79" t="s">
        <v>1017</v>
      </c>
      <c r="F779" s="79" t="s">
        <v>1668</v>
      </c>
      <c r="G779" s="79" t="s">
        <v>1263</v>
      </c>
      <c r="H779" s="79" t="s">
        <v>462</v>
      </c>
      <c r="I779" s="79">
        <v>187.2</v>
      </c>
      <c r="J779" s="79" t="s">
        <v>1555</v>
      </c>
      <c r="K779" s="80" t="s">
        <v>469</v>
      </c>
      <c r="L779" s="79">
        <v>680</v>
      </c>
      <c r="M779" s="80">
        <f>L779-1</f>
        <v>679</v>
      </c>
      <c r="N779" s="81">
        <f t="shared" si="181"/>
        <v>-1</v>
      </c>
      <c r="O779" s="80"/>
      <c r="P779" s="82">
        <f>R779-TIME(0,54,0)</f>
        <v>45376.325000000004</v>
      </c>
      <c r="Q779" s="82">
        <v>45376.3125</v>
      </c>
      <c r="R779" s="82">
        <v>45376.362500000003</v>
      </c>
      <c r="S779" s="81">
        <f t="shared" si="182"/>
        <v>71.666666670838211</v>
      </c>
      <c r="T779" s="81">
        <f t="shared" si="172"/>
        <v>53.749999997914223</v>
      </c>
      <c r="U779" s="79" t="s">
        <v>2166</v>
      </c>
      <c r="V779" s="82">
        <v>45377.414583333331</v>
      </c>
      <c r="W779" s="82">
        <v>45377.696527777778</v>
      </c>
      <c r="X779" s="103">
        <f t="shared" si="173"/>
        <v>397.54166666985839</v>
      </c>
      <c r="Y779" s="82" t="s">
        <v>1044</v>
      </c>
      <c r="Z779" s="82">
        <v>45378.710972222223</v>
      </c>
      <c r="AA779" s="82">
        <v>45378.749861111108</v>
      </c>
      <c r="AB779" s="81">
        <f t="shared" si="174"/>
        <v>54.833333327405853</v>
      </c>
      <c r="AC779" s="82"/>
      <c r="AD779" s="83">
        <f t="shared" si="175"/>
        <v>2.3484722222201526</v>
      </c>
      <c r="AE779" s="83">
        <v>3</v>
      </c>
      <c r="AF779" s="83">
        <f t="shared" si="176"/>
        <v>0.65152777777984738</v>
      </c>
      <c r="AG779" s="83">
        <f t="shared" si="177"/>
        <v>56.363333333283663</v>
      </c>
      <c r="AH779" s="83">
        <f t="shared" si="178"/>
        <v>24</v>
      </c>
      <c r="AI779" s="83">
        <f t="shared" si="179"/>
        <v>32.363333333283663</v>
      </c>
      <c r="AJ779" s="83">
        <f t="shared" si="180"/>
        <v>5.7843238232656491</v>
      </c>
      <c r="AK779" s="83"/>
      <c r="AL779" s="83"/>
      <c r="AM779" s="83"/>
      <c r="AN779" s="83"/>
    </row>
    <row r="780" spans="1:41" ht="15" hidden="1" x14ac:dyDescent="0.25">
      <c r="A780" s="82">
        <v>45738</v>
      </c>
      <c r="B780" s="94" t="str">
        <f t="shared" si="169"/>
        <v>March</v>
      </c>
      <c r="C780" s="79" t="s">
        <v>2162</v>
      </c>
      <c r="D780" s="79" t="s">
        <v>1556</v>
      </c>
      <c r="E780" s="79" t="s">
        <v>1017</v>
      </c>
      <c r="F780" s="79" t="s">
        <v>1030</v>
      </c>
      <c r="G780" s="79" t="s">
        <v>55</v>
      </c>
      <c r="H780" s="79" t="s">
        <v>451</v>
      </c>
      <c r="I780" s="79">
        <v>148.80000000000001</v>
      </c>
      <c r="J780" s="79" t="s">
        <v>1556</v>
      </c>
      <c r="K780" s="80" t="s">
        <v>469</v>
      </c>
      <c r="L780" s="80">
        <v>790</v>
      </c>
      <c r="M780" s="80">
        <f>L780-3</f>
        <v>787</v>
      </c>
      <c r="N780" s="81">
        <f t="shared" si="181"/>
        <v>-3</v>
      </c>
      <c r="O780" s="80"/>
      <c r="P780" s="82">
        <f>R780-TIME(0,27,0)</f>
        <v>45373.357638888883</v>
      </c>
      <c r="Q780" s="82">
        <v>45376.3125</v>
      </c>
      <c r="R780" s="82">
        <v>45373.376388888886</v>
      </c>
      <c r="S780" s="81">
        <f t="shared" si="182"/>
        <v>-4208.425925929866</v>
      </c>
      <c r="T780" s="81">
        <f t="shared" si="172"/>
        <v>26.87500000417155</v>
      </c>
      <c r="U780" s="79"/>
      <c r="V780" s="82">
        <v>45374.428472222222</v>
      </c>
      <c r="W780" s="82">
        <v>45374.779861111114</v>
      </c>
      <c r="X780" s="103">
        <f t="shared" si="173"/>
        <v>495.45833333766495</v>
      </c>
      <c r="Y780" s="82" t="s">
        <v>1046</v>
      </c>
      <c r="Z780" s="82">
        <v>45374.879861111112</v>
      </c>
      <c r="AA780" s="82">
        <f>Z780+TIME(0,51,0)</f>
        <v>45374.915277777778</v>
      </c>
      <c r="AB780" s="81">
        <f t="shared" si="174"/>
        <v>49.93749999863212</v>
      </c>
      <c r="AC780" s="82"/>
      <c r="AD780" s="83">
        <f t="shared" si="175"/>
        <v>1.5034722222262644</v>
      </c>
      <c r="AE780" s="83">
        <v>3</v>
      </c>
      <c r="AF780" s="83">
        <f t="shared" si="176"/>
        <v>1.4965277777737356</v>
      </c>
      <c r="AG780" s="83">
        <f t="shared" si="177"/>
        <v>36.083333333430346</v>
      </c>
      <c r="AH780" s="83">
        <f t="shared" si="178"/>
        <v>12</v>
      </c>
      <c r="AI780" s="83">
        <f t="shared" si="179"/>
        <v>24.083333333430346</v>
      </c>
      <c r="AJ780" s="83">
        <f t="shared" si="180"/>
        <v>6.1785467127778801</v>
      </c>
      <c r="AK780" s="83"/>
      <c r="AL780" s="83"/>
      <c r="AM780" s="83"/>
      <c r="AN780" s="83"/>
    </row>
    <row r="781" spans="1:41" ht="15" hidden="1" x14ac:dyDescent="0.25">
      <c r="A781" s="82">
        <v>45738</v>
      </c>
      <c r="B781" s="94" t="str">
        <f t="shared" si="169"/>
        <v>March</v>
      </c>
      <c r="C781" s="79" t="s">
        <v>2162</v>
      </c>
      <c r="D781" s="79" t="s">
        <v>1557</v>
      </c>
      <c r="E781" s="79" t="s">
        <v>1017</v>
      </c>
      <c r="F781" s="79" t="s">
        <v>1013</v>
      </c>
      <c r="G781" s="79" t="s">
        <v>56</v>
      </c>
      <c r="H781" s="79" t="s">
        <v>457</v>
      </c>
      <c r="I781" s="79">
        <v>156</v>
      </c>
      <c r="J781" s="79" t="s">
        <v>1557</v>
      </c>
      <c r="K781" s="80" t="s">
        <v>469</v>
      </c>
      <c r="L781" s="79">
        <v>320</v>
      </c>
      <c r="M781" s="80">
        <f>L781-3</f>
        <v>317</v>
      </c>
      <c r="N781" s="81">
        <f t="shared" si="181"/>
        <v>-3</v>
      </c>
      <c r="O781" s="80"/>
      <c r="P781" s="82">
        <f t="shared" ref="P781" si="183">R781-TIME(0,26,0)</f>
        <v>45376.341666666667</v>
      </c>
      <c r="Q781" s="82">
        <v>45376.3125</v>
      </c>
      <c r="R781" s="82">
        <v>45376.359722222223</v>
      </c>
      <c r="S781" s="81">
        <f t="shared" si="182"/>
        <v>67.685185186807459</v>
      </c>
      <c r="T781" s="81">
        <f t="shared" si="172"/>
        <v>25.879629630556639</v>
      </c>
      <c r="U781" s="79"/>
      <c r="V781" s="82">
        <v>45377.359722222223</v>
      </c>
      <c r="W781" s="82">
        <v>45377.570833333331</v>
      </c>
      <c r="X781" s="103">
        <f t="shared" si="173"/>
        <v>297.66666666233505</v>
      </c>
      <c r="Y781" s="82" t="s">
        <v>1051</v>
      </c>
      <c r="Z781" s="82">
        <v>45378.259722222225</v>
      </c>
      <c r="AA781" s="82">
        <v>45378.295138888891</v>
      </c>
      <c r="AB781" s="81">
        <f t="shared" si="174"/>
        <v>49.93749999863212</v>
      </c>
      <c r="AC781" s="82"/>
      <c r="AD781" s="83">
        <f t="shared" si="175"/>
        <v>1.9000000000014552</v>
      </c>
      <c r="AE781" s="83">
        <v>2</v>
      </c>
      <c r="AF781" s="83">
        <f t="shared" si="176"/>
        <v>9.9999999998544808E-2</v>
      </c>
      <c r="AG781" s="83">
        <f t="shared" si="177"/>
        <v>45.600000000034925</v>
      </c>
      <c r="AH781" s="83">
        <f t="shared" si="178"/>
        <v>12</v>
      </c>
      <c r="AI781" s="83">
        <f t="shared" si="179"/>
        <v>33.600000000034925</v>
      </c>
      <c r="AJ781" s="83">
        <f t="shared" si="180"/>
        <v>4.6428571428523169</v>
      </c>
      <c r="AK781" s="83"/>
      <c r="AL781" s="83"/>
      <c r="AM781" s="83"/>
      <c r="AN781" s="83"/>
    </row>
    <row r="782" spans="1:41" ht="15" hidden="1" x14ac:dyDescent="0.25">
      <c r="A782" s="82">
        <v>45738</v>
      </c>
      <c r="B782" s="94" t="str">
        <f t="shared" si="169"/>
        <v>March</v>
      </c>
      <c r="C782" s="79" t="s">
        <v>2162</v>
      </c>
      <c r="D782" s="79" t="s">
        <v>1558</v>
      </c>
      <c r="E782" s="79" t="s">
        <v>1017</v>
      </c>
      <c r="F782" s="79"/>
      <c r="G782" s="79" t="s">
        <v>70</v>
      </c>
      <c r="H782" s="79" t="s">
        <v>455</v>
      </c>
      <c r="I782" s="79">
        <v>148.80000000000001</v>
      </c>
      <c r="J782" s="79" t="s">
        <v>1558</v>
      </c>
      <c r="K782" s="80" t="s">
        <v>469</v>
      </c>
      <c r="L782" s="80">
        <v>580</v>
      </c>
      <c r="M782" s="80">
        <f>L782-3</f>
        <v>577</v>
      </c>
      <c r="N782" s="81">
        <f t="shared" si="181"/>
        <v>-3</v>
      </c>
      <c r="O782" s="80"/>
      <c r="P782" s="82">
        <f>R782-TIME(0,26,0)</f>
        <v>45376.344444444447</v>
      </c>
      <c r="Q782" s="82">
        <v>45376.3125</v>
      </c>
      <c r="R782" s="82">
        <v>45376.362500000003</v>
      </c>
      <c r="S782" s="81">
        <f t="shared" si="182"/>
        <v>71.666666670838211</v>
      </c>
      <c r="T782" s="81">
        <f t="shared" si="172"/>
        <v>25.879629630556639</v>
      </c>
      <c r="U782" s="79"/>
      <c r="V782" s="82">
        <v>45376.654166666667</v>
      </c>
      <c r="W782" s="82">
        <v>45376.814166666663</v>
      </c>
      <c r="X782" s="103">
        <f t="shared" si="173"/>
        <v>225.59999999466527</v>
      </c>
      <c r="Y782" s="82" t="s">
        <v>1048</v>
      </c>
      <c r="Z782" s="82">
        <v>45377.355833333335</v>
      </c>
      <c r="AA782" s="82">
        <v>45377.387083333335</v>
      </c>
      <c r="AB782" s="81">
        <f t="shared" si="174"/>
        <v>44.0625</v>
      </c>
      <c r="AC782" s="82"/>
      <c r="AD782" s="83">
        <f t="shared" si="175"/>
        <v>0.99333333333197515</v>
      </c>
      <c r="AE782" s="83">
        <v>2</v>
      </c>
      <c r="AF782" s="83">
        <f t="shared" si="176"/>
        <v>1.0066666666680248</v>
      </c>
      <c r="AG782" s="83">
        <f t="shared" si="177"/>
        <v>23.839999999967404</v>
      </c>
      <c r="AH782" s="83">
        <f t="shared" si="178"/>
        <v>0</v>
      </c>
      <c r="AI782" s="83">
        <f t="shared" si="179"/>
        <v>23.839999999967404</v>
      </c>
      <c r="AJ782" s="83">
        <f t="shared" si="180"/>
        <v>6.2416107382635682</v>
      </c>
      <c r="AK782" s="83"/>
      <c r="AL782" s="83"/>
      <c r="AM782" s="83"/>
      <c r="AN782" s="83"/>
    </row>
    <row r="783" spans="1:41" s="86" customFormat="1" ht="15" hidden="1" x14ac:dyDescent="0.25">
      <c r="A783" s="82">
        <v>45738</v>
      </c>
      <c r="B783" s="94" t="str">
        <f t="shared" si="169"/>
        <v>March</v>
      </c>
      <c r="C783" s="79" t="s">
        <v>2162</v>
      </c>
      <c r="D783" s="79" t="s">
        <v>1559</v>
      </c>
      <c r="E783" s="79" t="s">
        <v>1017</v>
      </c>
      <c r="F783" s="79" t="s">
        <v>1025</v>
      </c>
      <c r="G783" s="79" t="s">
        <v>54</v>
      </c>
      <c r="H783" s="79" t="s">
        <v>452</v>
      </c>
      <c r="I783" s="79">
        <v>148.80000000000001</v>
      </c>
      <c r="J783" s="79" t="s">
        <v>1559</v>
      </c>
      <c r="K783" s="80" t="s">
        <v>469</v>
      </c>
      <c r="L783" s="79">
        <v>690</v>
      </c>
      <c r="M783" s="80">
        <f>L783-3</f>
        <v>687</v>
      </c>
      <c r="N783" s="81">
        <f t="shared" si="181"/>
        <v>-3</v>
      </c>
      <c r="O783" s="80"/>
      <c r="P783" s="82">
        <f>R783-TIME(0,26,0)</f>
        <v>45377.618993055556</v>
      </c>
      <c r="Q783" s="82">
        <v>45377.079409722224</v>
      </c>
      <c r="R783" s="82">
        <v>45377.637048611112</v>
      </c>
      <c r="S783" s="81">
        <f t="shared" si="182"/>
        <v>799.28240740555339</v>
      </c>
      <c r="T783" s="81">
        <f t="shared" si="172"/>
        <v>25.879629630556639</v>
      </c>
      <c r="U783" s="79"/>
      <c r="V783" s="82">
        <v>45377.77107638889</v>
      </c>
      <c r="W783" s="82">
        <v>45378.551076388889</v>
      </c>
      <c r="X783" s="103">
        <f t="shared" si="173"/>
        <v>1099.7999999983585</v>
      </c>
      <c r="Y783" s="82" t="s">
        <v>1044</v>
      </c>
      <c r="Z783" s="82">
        <v>45378.662187499998</v>
      </c>
      <c r="AA783" s="82">
        <f>Z783+TIME(0,57,0)</f>
        <v>45378.70177083333</v>
      </c>
      <c r="AB783" s="81">
        <f t="shared" si="174"/>
        <v>55.81249999726424</v>
      </c>
      <c r="AC783" s="82"/>
      <c r="AD783" s="83">
        <f t="shared" si="175"/>
        <v>1.0251388888864312</v>
      </c>
      <c r="AE783" s="83">
        <v>3</v>
      </c>
      <c r="AF783" s="83">
        <f t="shared" si="176"/>
        <v>1.9748611111135688</v>
      </c>
      <c r="AG783" s="83">
        <f t="shared" si="177"/>
        <v>24.60333333327435</v>
      </c>
      <c r="AH783" s="83">
        <f t="shared" si="178"/>
        <v>12</v>
      </c>
      <c r="AI783" s="83">
        <f t="shared" si="179"/>
        <v>12.60333333327435</v>
      </c>
      <c r="AJ783" s="83">
        <f t="shared" si="180"/>
        <v>11.806400423223728</v>
      </c>
      <c r="AK783" s="83"/>
      <c r="AL783" s="83"/>
      <c r="AM783" s="83"/>
      <c r="AN783" s="83"/>
      <c r="AO783" s="78"/>
    </row>
    <row r="784" spans="1:41" ht="15" hidden="1" x14ac:dyDescent="0.25">
      <c r="A784" s="82">
        <v>45738</v>
      </c>
      <c r="B784" s="94" t="str">
        <f t="shared" si="169"/>
        <v>March</v>
      </c>
      <c r="C784" s="79" t="s">
        <v>2162</v>
      </c>
      <c r="D784" s="79" t="s">
        <v>1560</v>
      </c>
      <c r="E784" s="79" t="s">
        <v>1017</v>
      </c>
      <c r="F784" s="79" t="s">
        <v>1018</v>
      </c>
      <c r="G784" s="79" t="s">
        <v>39</v>
      </c>
      <c r="H784" s="79" t="s">
        <v>458</v>
      </c>
      <c r="I784" s="79">
        <v>156</v>
      </c>
      <c r="J784" s="79" t="s">
        <v>1560</v>
      </c>
      <c r="K784" s="80" t="s">
        <v>469</v>
      </c>
      <c r="L784" s="80">
        <v>448</v>
      </c>
      <c r="M784" s="80">
        <f>L784-1</f>
        <v>447</v>
      </c>
      <c r="N784" s="81">
        <f t="shared" si="181"/>
        <v>-1</v>
      </c>
      <c r="O784" s="80"/>
      <c r="P784" s="82">
        <f>R784-TIME(0,26,0)</f>
        <v>45376.6</v>
      </c>
      <c r="Q784" s="82">
        <v>45377.082638888889</v>
      </c>
      <c r="R784" s="82">
        <v>45376.618055555555</v>
      </c>
      <c r="S784" s="81">
        <f t="shared" si="182"/>
        <v>-665.90277777916833</v>
      </c>
      <c r="T784" s="81">
        <f t="shared" si="172"/>
        <v>25.879629630556639</v>
      </c>
      <c r="U784" s="79"/>
      <c r="V784" s="82">
        <v>45377.43472222222</v>
      </c>
      <c r="W784" s="82">
        <v>45377.8</v>
      </c>
      <c r="X784" s="103">
        <f t="shared" si="173"/>
        <v>515.04166667327809</v>
      </c>
      <c r="Y784" s="82" t="s">
        <v>1050</v>
      </c>
      <c r="Z784" s="82">
        <v>45378.642361111109</v>
      </c>
      <c r="AA784" s="82">
        <v>45378.682638888888</v>
      </c>
      <c r="AB784" s="81">
        <f t="shared" si="174"/>
        <v>56.791666667122627</v>
      </c>
      <c r="AC784" s="82"/>
      <c r="AD784" s="83">
        <f t="shared" si="175"/>
        <v>2.0243055555547471</v>
      </c>
      <c r="AE784" s="83">
        <v>2</v>
      </c>
      <c r="AF784" s="83">
        <f t="shared" si="176"/>
        <v>-2.4305555554747116E-2</v>
      </c>
      <c r="AG784" s="83">
        <f t="shared" si="177"/>
        <v>48.583333333313931</v>
      </c>
      <c r="AH784" s="83">
        <f t="shared" si="178"/>
        <v>24</v>
      </c>
      <c r="AI784" s="83">
        <f t="shared" si="179"/>
        <v>24.583333333313931</v>
      </c>
      <c r="AJ784" s="83">
        <f t="shared" si="180"/>
        <v>6.3457627118694155</v>
      </c>
      <c r="AK784" s="83"/>
      <c r="AL784" s="83"/>
      <c r="AM784" s="83"/>
      <c r="AN784" s="83"/>
    </row>
    <row r="785" spans="1:40" ht="15" hidden="1" x14ac:dyDescent="0.25">
      <c r="A785" s="82">
        <v>45738</v>
      </c>
      <c r="B785" s="94" t="str">
        <f t="shared" si="169"/>
        <v>March</v>
      </c>
      <c r="C785" s="79" t="s">
        <v>2162</v>
      </c>
      <c r="D785" s="79" t="s">
        <v>1561</v>
      </c>
      <c r="E785" s="79" t="s">
        <v>1017</v>
      </c>
      <c r="F785" s="79" t="s">
        <v>1034</v>
      </c>
      <c r="G785" s="79" t="s">
        <v>53</v>
      </c>
      <c r="H785" s="79" t="s">
        <v>448</v>
      </c>
      <c r="I785" s="79">
        <v>6.3</v>
      </c>
      <c r="J785" s="79" t="s">
        <v>1561</v>
      </c>
      <c r="K785" s="80" t="s">
        <v>469</v>
      </c>
      <c r="L785" s="79">
        <v>560</v>
      </c>
      <c r="M785" s="80">
        <f>L785-2</f>
        <v>558</v>
      </c>
      <c r="N785" s="81">
        <f t="shared" si="181"/>
        <v>-2</v>
      </c>
      <c r="O785" s="80"/>
      <c r="P785" s="82">
        <f t="shared" ref="P785" si="184">R785-TIME(0,26,0)</f>
        <v>45380.134027777778</v>
      </c>
      <c r="Q785" s="82">
        <v>45377.320833333331</v>
      </c>
      <c r="R785" s="82">
        <v>45380.152083333334</v>
      </c>
      <c r="S785" s="81">
        <f t="shared" si="182"/>
        <v>4058.1250000041714</v>
      </c>
      <c r="T785" s="81">
        <f t="shared" si="172"/>
        <v>25.879629630556639</v>
      </c>
      <c r="U785" s="79"/>
      <c r="V785" s="82">
        <v>45380.154861111114</v>
      </c>
      <c r="W785" s="82">
        <f>V785+TIME(0,165,0)</f>
        <v>45380.26944444445</v>
      </c>
      <c r="X785" s="103">
        <f t="shared" si="173"/>
        <v>161.5625000034197</v>
      </c>
      <c r="Y785" s="82"/>
      <c r="Z785" s="82">
        <v>45381.127083333333</v>
      </c>
      <c r="AA785" s="82">
        <f>Z785+TIME(0,41,0)</f>
        <v>45381.155555555553</v>
      </c>
      <c r="AB785" s="81">
        <f t="shared" si="174"/>
        <v>40.145833330825553</v>
      </c>
      <c r="AC785" s="82"/>
      <c r="AD785" s="83">
        <f t="shared" si="175"/>
        <v>0.97499999999854481</v>
      </c>
      <c r="AE785" s="83">
        <v>2</v>
      </c>
      <c r="AF785" s="83">
        <f t="shared" si="176"/>
        <v>1.0250000000014552</v>
      </c>
      <c r="AG785" s="83">
        <f t="shared" si="177"/>
        <v>23.399999999965075</v>
      </c>
      <c r="AH785" s="83">
        <f t="shared" si="178"/>
        <v>0</v>
      </c>
      <c r="AI785" s="83">
        <f t="shared" si="179"/>
        <v>23.399999999965075</v>
      </c>
      <c r="AJ785" s="83">
        <f t="shared" si="180"/>
        <v>0.26923076923117106</v>
      </c>
      <c r="AK785" s="83"/>
      <c r="AL785" s="83"/>
      <c r="AM785" s="83"/>
      <c r="AN785" s="83"/>
    </row>
    <row r="786" spans="1:40" ht="15" hidden="1" x14ac:dyDescent="0.25">
      <c r="A786" s="82">
        <v>45738</v>
      </c>
      <c r="B786" s="94" t="str">
        <f t="shared" si="169"/>
        <v>March</v>
      </c>
      <c r="C786" s="79" t="s">
        <v>2162</v>
      </c>
      <c r="D786" s="79" t="s">
        <v>1562</v>
      </c>
      <c r="E786" s="79" t="s">
        <v>1017</v>
      </c>
      <c r="F786" s="79" t="s">
        <v>1026</v>
      </c>
      <c r="G786" s="79" t="s">
        <v>51</v>
      </c>
      <c r="H786" s="79" t="s">
        <v>460</v>
      </c>
      <c r="I786" s="79">
        <v>156</v>
      </c>
      <c r="J786" s="79" t="s">
        <v>1562</v>
      </c>
      <c r="K786" s="80" t="s">
        <v>469</v>
      </c>
      <c r="L786" s="87">
        <v>600</v>
      </c>
      <c r="M786" s="80">
        <f>L786-1</f>
        <v>599</v>
      </c>
      <c r="N786" s="81">
        <f t="shared" si="181"/>
        <v>-1</v>
      </c>
      <c r="O786" s="80"/>
      <c r="P786" s="82">
        <f>R786-TIME(0,24,0)</f>
        <v>45377.818055555552</v>
      </c>
      <c r="Q786" s="82">
        <v>45377.176388888889</v>
      </c>
      <c r="R786" s="82">
        <v>45377.834722222222</v>
      </c>
      <c r="S786" s="81">
        <f t="shared" si="182"/>
        <v>943.61111111041589</v>
      </c>
      <c r="T786" s="81">
        <f t="shared" si="172"/>
        <v>23.888888893755695</v>
      </c>
      <c r="U786" s="79"/>
      <c r="V786" s="82">
        <v>45378.586111111108</v>
      </c>
      <c r="W786" s="82">
        <v>45380.336805555555</v>
      </c>
      <c r="X786" s="103">
        <f t="shared" si="173"/>
        <v>2468.4791666698584</v>
      </c>
      <c r="Y786" s="82" t="s">
        <v>1044</v>
      </c>
      <c r="Z786" s="82">
        <v>45380.837500000001</v>
      </c>
      <c r="AA786" s="82">
        <v>45380.879166666666</v>
      </c>
      <c r="AB786" s="81">
        <f t="shared" si="174"/>
        <v>58.7499999965803</v>
      </c>
      <c r="AC786" s="82"/>
      <c r="AD786" s="83">
        <f t="shared" si="175"/>
        <v>3.0027777777795563</v>
      </c>
      <c r="AE786" s="83">
        <v>2</v>
      </c>
      <c r="AF786" s="83">
        <f t="shared" si="176"/>
        <v>-1.0027777777795563</v>
      </c>
      <c r="AG786" s="83">
        <f t="shared" si="177"/>
        <v>72.066666666709352</v>
      </c>
      <c r="AH786" s="83">
        <f t="shared" si="178"/>
        <v>36</v>
      </c>
      <c r="AI786" s="83">
        <f t="shared" si="179"/>
        <v>36.066666666709352</v>
      </c>
      <c r="AJ786" s="83">
        <f t="shared" si="180"/>
        <v>4.3253234750410918</v>
      </c>
      <c r="AK786" s="83"/>
      <c r="AL786" s="83"/>
      <c r="AM786" s="83"/>
      <c r="AN786" s="83"/>
    </row>
    <row r="787" spans="1:40" ht="15" hidden="1" x14ac:dyDescent="0.25">
      <c r="A787" s="82">
        <v>45739</v>
      </c>
      <c r="B787" s="94" t="str">
        <f t="shared" si="169"/>
        <v>March</v>
      </c>
      <c r="C787" s="79" t="s">
        <v>2161</v>
      </c>
      <c r="D787" s="79" t="s">
        <v>1563</v>
      </c>
      <c r="E787" s="79" t="s">
        <v>1017</v>
      </c>
      <c r="F787" s="79"/>
      <c r="G787" s="79" t="s">
        <v>979</v>
      </c>
      <c r="H787" s="79" t="s">
        <v>991</v>
      </c>
      <c r="I787" s="79">
        <v>153.6</v>
      </c>
      <c r="J787" s="79" t="s">
        <v>1563</v>
      </c>
      <c r="K787" s="80" t="s">
        <v>469</v>
      </c>
      <c r="L787" s="79">
        <v>20</v>
      </c>
      <c r="M787" s="80">
        <f>L787-3</f>
        <v>17</v>
      </c>
      <c r="N787" s="81">
        <f t="shared" si="181"/>
        <v>-3</v>
      </c>
      <c r="O787" s="80"/>
      <c r="P787" s="82">
        <f>R787-TIME(0,27,0)</f>
        <v>45377.124062499999</v>
      </c>
      <c r="Q787" s="82">
        <v>45377.428923611114</v>
      </c>
      <c r="R787" s="82">
        <v>45377.142812500002</v>
      </c>
      <c r="S787" s="81">
        <f t="shared" si="182"/>
        <v>-410.09259259444661</v>
      </c>
      <c r="T787" s="81">
        <f t="shared" si="172"/>
        <v>26.87500000417155</v>
      </c>
      <c r="U787" s="79"/>
      <c r="V787" s="82">
        <v>45377.726145833331</v>
      </c>
      <c r="W787" s="82">
        <v>45378.61614583333</v>
      </c>
      <c r="X787" s="103">
        <f t="shared" si="173"/>
        <v>1254.8999999991793</v>
      </c>
      <c r="Y787" s="82" t="s">
        <v>1047</v>
      </c>
      <c r="Z787" s="82">
        <v>45378.838368055556</v>
      </c>
      <c r="AA787" s="82">
        <f>Z787+TIME(0,56,0)</f>
        <v>45378.877256944448</v>
      </c>
      <c r="AB787" s="81">
        <f t="shared" si="174"/>
        <v>54.833333337664953</v>
      </c>
      <c r="AC787" s="82"/>
      <c r="AD787" s="83">
        <f t="shared" si="175"/>
        <v>1.695555555554165</v>
      </c>
      <c r="AE787" s="83">
        <v>1</v>
      </c>
      <c r="AF787" s="83">
        <f t="shared" si="176"/>
        <v>-0.69555555555416504</v>
      </c>
      <c r="AG787" s="83">
        <f t="shared" si="177"/>
        <v>40.693333333299961</v>
      </c>
      <c r="AH787" s="83">
        <f t="shared" si="178"/>
        <v>12</v>
      </c>
      <c r="AI787" s="83">
        <f t="shared" si="179"/>
        <v>28.693333333299961</v>
      </c>
      <c r="AJ787" s="83">
        <f t="shared" si="180"/>
        <v>5.3531598513073408</v>
      </c>
      <c r="AK787" s="83"/>
      <c r="AL787" s="83"/>
      <c r="AM787" s="83"/>
      <c r="AN787" s="83"/>
    </row>
    <row r="788" spans="1:40" ht="15" hidden="1" x14ac:dyDescent="0.25">
      <c r="A788" s="82">
        <v>45739</v>
      </c>
      <c r="B788" s="94" t="str">
        <f t="shared" si="169"/>
        <v>March</v>
      </c>
      <c r="C788" s="79" t="s">
        <v>2162</v>
      </c>
      <c r="D788" s="79" t="s">
        <v>1564</v>
      </c>
      <c r="E788" s="79" t="s">
        <v>1017</v>
      </c>
      <c r="F788" s="79" t="s">
        <v>1029</v>
      </c>
      <c r="G788" s="79" t="s">
        <v>38</v>
      </c>
      <c r="H788" s="79" t="s">
        <v>453</v>
      </c>
      <c r="I788" s="79">
        <v>141.6</v>
      </c>
      <c r="J788" s="79" t="s">
        <v>1564</v>
      </c>
      <c r="K788" s="80" t="s">
        <v>469</v>
      </c>
      <c r="L788" s="80">
        <v>464</v>
      </c>
      <c r="M788" s="80">
        <f>L788-3</f>
        <v>461</v>
      </c>
      <c r="N788" s="81">
        <f t="shared" si="181"/>
        <v>-3</v>
      </c>
      <c r="O788" s="80"/>
      <c r="P788" s="82">
        <f t="shared" ref="P788:P789" si="185">R788-TIME(0,26,0)</f>
        <v>45377.509513888886</v>
      </c>
      <c r="Q788" s="82">
        <v>45377.140763888892</v>
      </c>
      <c r="R788" s="82">
        <v>45377.527569444443</v>
      </c>
      <c r="S788" s="81">
        <f t="shared" si="182"/>
        <v>554.42129628888017</v>
      </c>
      <c r="T788" s="81">
        <f t="shared" si="172"/>
        <v>25.879629630556639</v>
      </c>
      <c r="U788" s="79"/>
      <c r="V788" s="82">
        <v>45377.902569444443</v>
      </c>
      <c r="W788" s="82">
        <f>V788+TIME(0,168,0)</f>
        <v>45378.019236111111</v>
      </c>
      <c r="X788" s="103">
        <f t="shared" si="173"/>
        <v>164.50000000273576</v>
      </c>
      <c r="Y788" s="82"/>
      <c r="Z788" s="82">
        <v>45379.685567129629</v>
      </c>
      <c r="AA788" s="82">
        <f>Z788+TIME(0,41,0)</f>
        <v>45379.714039351849</v>
      </c>
      <c r="AB788" s="81">
        <f t="shared" si="174"/>
        <v>40.145833330825553</v>
      </c>
      <c r="AC788" s="82"/>
      <c r="AD788" s="83">
        <f t="shared" si="175"/>
        <v>2.1579976851862739</v>
      </c>
      <c r="AE788" s="83">
        <v>2</v>
      </c>
      <c r="AF788" s="83">
        <f t="shared" si="176"/>
        <v>-0.15799768518627388</v>
      </c>
      <c r="AG788" s="83">
        <f t="shared" si="177"/>
        <v>51.791944444470573</v>
      </c>
      <c r="AH788" s="83">
        <f t="shared" si="178"/>
        <v>24</v>
      </c>
      <c r="AI788" s="83">
        <f t="shared" si="179"/>
        <v>27.791944444470573</v>
      </c>
      <c r="AJ788" s="83">
        <f t="shared" si="180"/>
        <v>5.0950015492051124</v>
      </c>
      <c r="AK788" s="83"/>
      <c r="AL788" s="83"/>
      <c r="AM788" s="83"/>
      <c r="AN788" s="83"/>
    </row>
    <row r="789" spans="1:40" ht="15" hidden="1" x14ac:dyDescent="0.25">
      <c r="A789" s="82">
        <v>45739</v>
      </c>
      <c r="B789" s="94" t="str">
        <f t="shared" si="169"/>
        <v>March</v>
      </c>
      <c r="C789" s="79" t="s">
        <v>2162</v>
      </c>
      <c r="D789" s="79" t="s">
        <v>1565</v>
      </c>
      <c r="E789" s="79" t="s">
        <v>1017</v>
      </c>
      <c r="F789" s="79" t="s">
        <v>1031</v>
      </c>
      <c r="G789" s="79" t="s">
        <v>50</v>
      </c>
      <c r="H789" s="79" t="s">
        <v>458</v>
      </c>
      <c r="I789" s="79">
        <v>156</v>
      </c>
      <c r="J789" s="79" t="s">
        <v>1565</v>
      </c>
      <c r="K789" s="80" t="s">
        <v>469</v>
      </c>
      <c r="L789" s="80">
        <v>448</v>
      </c>
      <c r="M789" s="80">
        <f>L789-2</f>
        <v>446</v>
      </c>
      <c r="N789" s="81">
        <f t="shared" si="181"/>
        <v>-2</v>
      </c>
      <c r="O789" s="80"/>
      <c r="P789" s="82">
        <f t="shared" si="185"/>
        <v>45377.505636574075</v>
      </c>
      <c r="Q789" s="82">
        <v>45377.143136574072</v>
      </c>
      <c r="R789" s="82">
        <v>45377.523692129631</v>
      </c>
      <c r="S789" s="81">
        <f t="shared" si="182"/>
        <v>545.46296296806156</v>
      </c>
      <c r="T789" s="81">
        <f t="shared" si="172"/>
        <v>25.879629630556639</v>
      </c>
      <c r="U789" s="79"/>
      <c r="V789" s="82">
        <v>45377.610497685186</v>
      </c>
      <c r="W789" s="82">
        <v>45377.809108796297</v>
      </c>
      <c r="X789" s="103">
        <f t="shared" si="173"/>
        <v>280.04166666643869</v>
      </c>
      <c r="Y789" s="82" t="s">
        <v>1038</v>
      </c>
      <c r="Z789" s="82">
        <v>45378.319108796299</v>
      </c>
      <c r="AA789" s="82">
        <v>45378.360775462963</v>
      </c>
      <c r="AB789" s="81">
        <f t="shared" si="174"/>
        <v>58.7499999965803</v>
      </c>
      <c r="AC789" s="82"/>
      <c r="AD789" s="83">
        <f t="shared" si="175"/>
        <v>0.79541666666773381</v>
      </c>
      <c r="AE789" s="83">
        <v>2</v>
      </c>
      <c r="AF789" s="83">
        <f t="shared" si="176"/>
        <v>1.2045833333322662</v>
      </c>
      <c r="AG789" s="83">
        <f t="shared" si="177"/>
        <v>19.090000000025611</v>
      </c>
      <c r="AH789" s="83">
        <f t="shared" si="178"/>
        <v>0</v>
      </c>
      <c r="AI789" s="83">
        <f t="shared" si="179"/>
        <v>19.090000000025611</v>
      </c>
      <c r="AJ789" s="83">
        <f t="shared" si="180"/>
        <v>8.1718177055940657</v>
      </c>
      <c r="AK789" s="83"/>
      <c r="AL789" s="83"/>
      <c r="AM789" s="83"/>
      <c r="AN789" s="83"/>
    </row>
    <row r="790" spans="1:40" ht="15" hidden="1" x14ac:dyDescent="0.25">
      <c r="A790" s="82">
        <v>45740</v>
      </c>
      <c r="B790" s="94" t="str">
        <f t="shared" si="169"/>
        <v>March</v>
      </c>
      <c r="C790" s="79" t="s">
        <v>2162</v>
      </c>
      <c r="D790" s="79" t="s">
        <v>1566</v>
      </c>
      <c r="E790" s="79" t="s">
        <v>1017</v>
      </c>
      <c r="F790" s="79"/>
      <c r="G790" s="79" t="s">
        <v>74</v>
      </c>
      <c r="H790" s="79" t="s">
        <v>464</v>
      </c>
      <c r="I790" s="79">
        <v>156</v>
      </c>
      <c r="J790" s="79" t="s">
        <v>1566</v>
      </c>
      <c r="K790" s="80" t="s">
        <v>469</v>
      </c>
      <c r="L790" s="79">
        <v>256</v>
      </c>
      <c r="M790" s="80">
        <f>L790-3</f>
        <v>253</v>
      </c>
      <c r="N790" s="81">
        <f t="shared" si="181"/>
        <v>-3</v>
      </c>
      <c r="O790" s="80"/>
      <c r="P790" s="82">
        <f>R790-TIME(0,28,0)</f>
        <v>45378.919444444444</v>
      </c>
      <c r="Q790" s="82">
        <v>45377.916666666664</v>
      </c>
      <c r="R790" s="82">
        <v>45378.938888888886</v>
      </c>
      <c r="S790" s="81">
        <f t="shared" si="182"/>
        <v>1465.1851851847216</v>
      </c>
      <c r="T790" s="81">
        <f t="shared" si="172"/>
        <v>27.870370367357584</v>
      </c>
      <c r="U790" s="79"/>
      <c r="V790" s="82">
        <v>45379.523611111108</v>
      </c>
      <c r="W790" s="82">
        <v>45379.775000000001</v>
      </c>
      <c r="X790" s="103">
        <f t="shared" si="173"/>
        <v>354.45833333971677</v>
      </c>
      <c r="Y790" s="82" t="s">
        <v>1044</v>
      </c>
      <c r="Z790" s="82">
        <v>45380.914583333331</v>
      </c>
      <c r="AA790" s="82">
        <v>45380.946527777778</v>
      </c>
      <c r="AB790" s="81">
        <f t="shared" si="174"/>
        <v>45.041666669858387</v>
      </c>
      <c r="AC790" s="82"/>
      <c r="AD790" s="83">
        <f t="shared" si="175"/>
        <v>1.9756944444452529</v>
      </c>
      <c r="AE790" s="83">
        <v>2</v>
      </c>
      <c r="AF790" s="83">
        <f t="shared" si="176"/>
        <v>2.4305555554747116E-2</v>
      </c>
      <c r="AG790" s="83">
        <f t="shared" si="177"/>
        <v>47.416666666686069</v>
      </c>
      <c r="AH790" s="83">
        <f t="shared" si="178"/>
        <v>12</v>
      </c>
      <c r="AI790" s="83">
        <f t="shared" si="179"/>
        <v>35.416666666686069</v>
      </c>
      <c r="AJ790" s="83">
        <f t="shared" si="180"/>
        <v>4.4047058823505285</v>
      </c>
      <c r="AK790" s="83"/>
      <c r="AL790" s="83"/>
      <c r="AM790" s="83"/>
      <c r="AN790" s="83"/>
    </row>
    <row r="791" spans="1:40" ht="15" hidden="1" x14ac:dyDescent="0.25">
      <c r="A791" s="82">
        <v>45740</v>
      </c>
      <c r="B791" s="94" t="str">
        <f t="shared" si="169"/>
        <v>March</v>
      </c>
      <c r="C791" s="79" t="s">
        <v>2162</v>
      </c>
      <c r="D791" s="79" t="s">
        <v>1567</v>
      </c>
      <c r="E791" s="79" t="s">
        <v>1017</v>
      </c>
      <c r="F791" s="79"/>
      <c r="G791" s="79" t="s">
        <v>1663</v>
      </c>
      <c r="H791" s="79" t="s">
        <v>448</v>
      </c>
      <c r="I791" s="79">
        <v>78</v>
      </c>
      <c r="J791" s="79" t="s">
        <v>1567</v>
      </c>
      <c r="K791" s="80" t="s">
        <v>469</v>
      </c>
      <c r="L791" s="79">
        <v>560</v>
      </c>
      <c r="M791" s="80">
        <f>L791-2</f>
        <v>558</v>
      </c>
      <c r="N791" s="81">
        <f t="shared" si="181"/>
        <v>-2</v>
      </c>
      <c r="O791" s="80"/>
      <c r="P791" s="82">
        <f>R791-TIME(0,26,0)</f>
        <v>45380.486805555556</v>
      </c>
      <c r="Q791" s="82">
        <v>45377.916666666664</v>
      </c>
      <c r="R791" s="82">
        <v>45380.504861111112</v>
      </c>
      <c r="S791" s="81">
        <f t="shared" si="182"/>
        <v>3709.7453703757005</v>
      </c>
      <c r="T791" s="81">
        <f t="shared" si="172"/>
        <v>25.879629630556639</v>
      </c>
      <c r="U791" s="79"/>
      <c r="V791" s="82">
        <v>45380.506944444445</v>
      </c>
      <c r="W791" s="82">
        <f>V791+TIME(0,170,0)</f>
        <v>45380.625</v>
      </c>
      <c r="X791" s="103">
        <f t="shared" si="173"/>
        <v>166.45833333219343</v>
      </c>
      <c r="Y791" s="82"/>
      <c r="Z791" s="82">
        <v>45381.361805555556</v>
      </c>
      <c r="AA791" s="82">
        <f>Z791+TIME(0,41,0)</f>
        <v>45381.390277777777</v>
      </c>
      <c r="AB791" s="81">
        <f t="shared" si="174"/>
        <v>40.145833330825553</v>
      </c>
      <c r="AC791" s="82"/>
      <c r="AD791" s="83">
        <f t="shared" si="175"/>
        <v>0.85694444444379769</v>
      </c>
      <c r="AE791" s="83">
        <v>2</v>
      </c>
      <c r="AF791" s="83">
        <f t="shared" si="176"/>
        <v>1.1430555555562023</v>
      </c>
      <c r="AG791" s="83">
        <f t="shared" si="177"/>
        <v>20.566666666651145</v>
      </c>
      <c r="AH791" s="83">
        <f t="shared" si="178"/>
        <v>0</v>
      </c>
      <c r="AI791" s="83">
        <f t="shared" si="179"/>
        <v>20.566666666651145</v>
      </c>
      <c r="AJ791" s="83">
        <f t="shared" si="180"/>
        <v>3.7925445705052936</v>
      </c>
      <c r="AK791" s="83"/>
      <c r="AL791" s="83"/>
      <c r="AM791" s="83"/>
      <c r="AN791" s="83"/>
    </row>
    <row r="792" spans="1:40" ht="15" hidden="1" x14ac:dyDescent="0.25">
      <c r="A792" s="82">
        <v>45740</v>
      </c>
      <c r="B792" s="94" t="str">
        <f t="shared" si="169"/>
        <v>March</v>
      </c>
      <c r="C792" s="79" t="s">
        <v>2162</v>
      </c>
      <c r="D792" s="79" t="s">
        <v>1568</v>
      </c>
      <c r="E792" s="79" t="s">
        <v>1017</v>
      </c>
      <c r="F792" s="79"/>
      <c r="G792" s="79" t="s">
        <v>65</v>
      </c>
      <c r="H792" s="79" t="s">
        <v>454</v>
      </c>
      <c r="I792" s="79">
        <v>156</v>
      </c>
      <c r="J792" s="79" t="s">
        <v>1568</v>
      </c>
      <c r="K792" s="80" t="s">
        <v>469</v>
      </c>
      <c r="L792" s="80">
        <v>304</v>
      </c>
      <c r="M792" s="80">
        <f>L792-3</f>
        <v>301</v>
      </c>
      <c r="N792" s="81">
        <f t="shared" si="181"/>
        <v>-3</v>
      </c>
      <c r="O792" s="80"/>
      <c r="P792" s="82">
        <f>R792-TIME(0,26,0)</f>
        <v>45379.372916666667</v>
      </c>
      <c r="Q792" s="82">
        <v>45379.34375</v>
      </c>
      <c r="R792" s="82">
        <v>45379.390972222223</v>
      </c>
      <c r="S792" s="81">
        <f t="shared" si="182"/>
        <v>67.685185186807459</v>
      </c>
      <c r="T792" s="81">
        <f t="shared" si="172"/>
        <v>25.879629630556639</v>
      </c>
      <c r="U792" s="79"/>
      <c r="V792" s="82">
        <v>45379.779861111114</v>
      </c>
      <c r="W792" s="82">
        <v>45380.762858796297</v>
      </c>
      <c r="X792" s="103">
        <f t="shared" si="173"/>
        <v>1386.0267361085425</v>
      </c>
      <c r="Y792" s="82" t="s">
        <v>1047</v>
      </c>
      <c r="Z792" s="82">
        <v>45381.662858796299</v>
      </c>
      <c r="AA792" s="82">
        <f>Z792+TIME(0,56,0)</f>
        <v>45381.701747685191</v>
      </c>
      <c r="AB792" s="81">
        <f t="shared" si="174"/>
        <v>54.833333337664953</v>
      </c>
      <c r="AC792" s="82"/>
      <c r="AD792" s="83">
        <f t="shared" si="175"/>
        <v>2.2718865740753245</v>
      </c>
      <c r="AE792" s="83">
        <v>2</v>
      </c>
      <c r="AF792" s="83">
        <f t="shared" si="176"/>
        <v>-0.27188657407532446</v>
      </c>
      <c r="AG792" s="83">
        <f t="shared" si="177"/>
        <v>54.525277777807787</v>
      </c>
      <c r="AH792" s="83">
        <f t="shared" si="178"/>
        <v>24</v>
      </c>
      <c r="AI792" s="83">
        <f t="shared" si="179"/>
        <v>30.525277777807787</v>
      </c>
      <c r="AJ792" s="83">
        <f t="shared" si="180"/>
        <v>5.1105186047942768</v>
      </c>
      <c r="AK792" s="83"/>
      <c r="AL792" s="83"/>
      <c r="AM792" s="83"/>
      <c r="AN792" s="83"/>
    </row>
    <row r="793" spans="1:40" ht="15" hidden="1" x14ac:dyDescent="0.25">
      <c r="A793" s="82">
        <v>45740</v>
      </c>
      <c r="B793" s="94" t="str">
        <f t="shared" si="169"/>
        <v>March</v>
      </c>
      <c r="C793" s="79" t="s">
        <v>2162</v>
      </c>
      <c r="D793" s="79" t="s">
        <v>1569</v>
      </c>
      <c r="E793" s="79" t="s">
        <v>1017</v>
      </c>
      <c r="F793" s="79" t="s">
        <v>1667</v>
      </c>
      <c r="G793" s="79" t="s">
        <v>977</v>
      </c>
      <c r="H793" s="79" t="s">
        <v>454</v>
      </c>
      <c r="I793" s="79">
        <v>148.80000000000001</v>
      </c>
      <c r="J793" s="79" t="s">
        <v>1569</v>
      </c>
      <c r="K793" s="80" t="s">
        <v>469</v>
      </c>
      <c r="L793" s="80">
        <v>304</v>
      </c>
      <c r="M793" s="80">
        <f>L793-3</f>
        <v>301</v>
      </c>
      <c r="N793" s="81">
        <f t="shared" si="181"/>
        <v>-3</v>
      </c>
      <c r="O793" s="80"/>
      <c r="P793" s="82">
        <f t="shared" ref="P793" si="186">R793-TIME(0,25,0)</f>
        <v>45379.40184027778</v>
      </c>
      <c r="Q793" s="82">
        <v>45379.360868055555</v>
      </c>
      <c r="R793" s="82">
        <v>45379.41920138889</v>
      </c>
      <c r="S793" s="81">
        <f t="shared" si="182"/>
        <v>83.611111112501632</v>
      </c>
      <c r="T793" s="81">
        <f t="shared" si="172"/>
        <v>24.884259256941732</v>
      </c>
      <c r="U793" s="79"/>
      <c r="V793" s="82">
        <v>45379.66920138889</v>
      </c>
      <c r="W793" s="82">
        <v>45380.439756944441</v>
      </c>
      <c r="X793" s="103">
        <f t="shared" si="173"/>
        <v>1086.4833333272691</v>
      </c>
      <c r="Y793" s="82" t="s">
        <v>1044</v>
      </c>
      <c r="Z793" s="82">
        <v>45380.661979166667</v>
      </c>
      <c r="AA793" s="82">
        <v>45380.701562499999</v>
      </c>
      <c r="AB793" s="81">
        <f t="shared" si="174"/>
        <v>55.81249999726424</v>
      </c>
      <c r="AC793" s="82"/>
      <c r="AD793" s="83">
        <f t="shared" si="175"/>
        <v>1.2427777777775191</v>
      </c>
      <c r="AE793" s="83">
        <v>2</v>
      </c>
      <c r="AF793" s="83">
        <f t="shared" si="176"/>
        <v>0.75722222222248092</v>
      </c>
      <c r="AG793" s="83">
        <f t="shared" si="177"/>
        <v>29.826666666660458</v>
      </c>
      <c r="AH793" s="83">
        <f t="shared" si="178"/>
        <v>12</v>
      </c>
      <c r="AI793" s="83">
        <f t="shared" si="179"/>
        <v>17.826666666660458</v>
      </c>
      <c r="AJ793" s="83">
        <f t="shared" si="180"/>
        <v>8.3470456245354434</v>
      </c>
      <c r="AK793" s="83"/>
      <c r="AL793" s="83"/>
      <c r="AM793" s="83"/>
      <c r="AN793" s="83"/>
    </row>
    <row r="794" spans="1:40" ht="15" hidden="1" x14ac:dyDescent="0.25">
      <c r="A794" s="82">
        <v>45740</v>
      </c>
      <c r="B794" s="94" t="str">
        <f t="shared" si="169"/>
        <v>March</v>
      </c>
      <c r="C794" s="79" t="s">
        <v>2161</v>
      </c>
      <c r="D794" s="79" t="s">
        <v>1570</v>
      </c>
      <c r="E794" s="79" t="s">
        <v>1017</v>
      </c>
      <c r="F794" s="79"/>
      <c r="G794" s="79" t="s">
        <v>980</v>
      </c>
      <c r="H794" s="79" t="s">
        <v>457</v>
      </c>
      <c r="I794" s="79">
        <v>153.6</v>
      </c>
      <c r="J794" s="79" t="s">
        <v>1570</v>
      </c>
      <c r="K794" s="80" t="s">
        <v>469</v>
      </c>
      <c r="L794" s="79">
        <v>320</v>
      </c>
      <c r="M794" s="80">
        <f>L794-1</f>
        <v>319</v>
      </c>
      <c r="N794" s="81">
        <f t="shared" si="181"/>
        <v>-1</v>
      </c>
      <c r="O794" s="80"/>
      <c r="P794" s="82">
        <f>R794-TIME(0,27,0)</f>
        <v>45380.329710648148</v>
      </c>
      <c r="Q794" s="82">
        <v>45380.296377314815</v>
      </c>
      <c r="R794" s="82">
        <v>45380.348460648151</v>
      </c>
      <c r="S794" s="81">
        <f t="shared" si="182"/>
        <v>74.652777781254073</v>
      </c>
      <c r="T794" s="81">
        <f t="shared" si="172"/>
        <v>26.87500000417155</v>
      </c>
      <c r="U794" s="79"/>
      <c r="V794" s="82">
        <v>45380.373460648145</v>
      </c>
      <c r="W794" s="82">
        <v>45380.524155092593</v>
      </c>
      <c r="X794" s="103">
        <f t="shared" si="173"/>
        <v>212.47916667191021</v>
      </c>
      <c r="Y794" s="82" t="s">
        <v>1044</v>
      </c>
      <c r="Z794" s="82">
        <v>45380.547071759262</v>
      </c>
      <c r="AA794" s="82">
        <v>45380.583182870374</v>
      </c>
      <c r="AB794" s="81">
        <f t="shared" si="174"/>
        <v>50.916666668490507</v>
      </c>
      <c r="AC794" s="82"/>
      <c r="AD794" s="83">
        <f t="shared" si="175"/>
        <v>0.19861111111094942</v>
      </c>
      <c r="AE794" s="83">
        <v>2</v>
      </c>
      <c r="AF794" s="83">
        <f t="shared" si="176"/>
        <v>1.8013888888890506</v>
      </c>
      <c r="AG794" s="83">
        <f t="shared" si="177"/>
        <v>4.7666666666627862</v>
      </c>
      <c r="AH794" s="83">
        <f t="shared" si="178"/>
        <v>0</v>
      </c>
      <c r="AI794" s="83">
        <f t="shared" si="179"/>
        <v>4.7666666666627862</v>
      </c>
      <c r="AJ794" s="83">
        <f t="shared" si="180"/>
        <v>32.223776223802453</v>
      </c>
      <c r="AK794" s="83"/>
      <c r="AL794" s="83"/>
      <c r="AM794" s="83"/>
      <c r="AN794" s="83"/>
    </row>
    <row r="795" spans="1:40" ht="15" hidden="1" x14ac:dyDescent="0.25">
      <c r="A795" s="82">
        <v>45740</v>
      </c>
      <c r="B795" s="94" t="str">
        <f t="shared" si="169"/>
        <v>March</v>
      </c>
      <c r="C795" s="79" t="s">
        <v>2161</v>
      </c>
      <c r="D795" s="79" t="s">
        <v>1571</v>
      </c>
      <c r="E795" s="79" t="s">
        <v>1017</v>
      </c>
      <c r="F795" s="79"/>
      <c r="G795" s="79" t="s">
        <v>979</v>
      </c>
      <c r="H795" s="79" t="s">
        <v>457</v>
      </c>
      <c r="I795" s="79">
        <v>153.6</v>
      </c>
      <c r="J795" s="79" t="s">
        <v>1571</v>
      </c>
      <c r="K795" s="80" t="s">
        <v>469</v>
      </c>
      <c r="L795" s="79">
        <v>320</v>
      </c>
      <c r="M795" s="80">
        <f>L795-3</f>
        <v>317</v>
      </c>
      <c r="N795" s="81">
        <f t="shared" si="181"/>
        <v>-3</v>
      </c>
      <c r="O795" s="80"/>
      <c r="P795" s="82">
        <f>R795-TIME(0,27,0)</f>
        <v>45379.821527777778</v>
      </c>
      <c r="Q795" s="82">
        <v>45380.104166666664</v>
      </c>
      <c r="R795" s="82">
        <v>45379.840277777781</v>
      </c>
      <c r="S795" s="81">
        <f t="shared" si="182"/>
        <v>-378.24074073262938</v>
      </c>
      <c r="T795" s="81">
        <f t="shared" si="172"/>
        <v>26.87500000417155</v>
      </c>
      <c r="U795" s="79"/>
      <c r="V795" s="82">
        <v>45381.397916666669</v>
      </c>
      <c r="W795" s="82">
        <v>45381.553472222222</v>
      </c>
      <c r="X795" s="103">
        <f t="shared" si="173"/>
        <v>219.33333333014161</v>
      </c>
      <c r="Y795" s="82" t="s">
        <v>1044</v>
      </c>
      <c r="Z795" s="82">
        <v>45382.367361111108</v>
      </c>
      <c r="AA795" s="82">
        <f>Z795+TIME(0,41,0)</f>
        <v>45382.395833333328</v>
      </c>
      <c r="AB795" s="81">
        <f t="shared" si="174"/>
        <v>40.145833330825553</v>
      </c>
      <c r="AC795" s="82"/>
      <c r="AD795" s="83">
        <f t="shared" si="175"/>
        <v>2.5270833333270275</v>
      </c>
      <c r="AE795" s="83">
        <v>2</v>
      </c>
      <c r="AF795" s="83">
        <f t="shared" si="176"/>
        <v>-0.5270833333270275</v>
      </c>
      <c r="AG795" s="83">
        <f t="shared" si="177"/>
        <v>60.64999999984866</v>
      </c>
      <c r="AH795" s="83">
        <f t="shared" si="178"/>
        <v>24</v>
      </c>
      <c r="AI795" s="83">
        <f t="shared" si="179"/>
        <v>36.64999999984866</v>
      </c>
      <c r="AJ795" s="83">
        <f t="shared" si="180"/>
        <v>4.1909959072478653</v>
      </c>
      <c r="AK795" s="83"/>
      <c r="AL795" s="83"/>
      <c r="AM795" s="83"/>
      <c r="AN795" s="83"/>
    </row>
    <row r="796" spans="1:40" ht="15" hidden="1" x14ac:dyDescent="0.25">
      <c r="A796" s="82">
        <v>45740</v>
      </c>
      <c r="B796" s="94" t="str">
        <f t="shared" si="169"/>
        <v>March</v>
      </c>
      <c r="C796" s="79" t="s">
        <v>2161</v>
      </c>
      <c r="D796" s="79" t="s">
        <v>1572</v>
      </c>
      <c r="E796" s="79" t="s">
        <v>1017</v>
      </c>
      <c r="F796" s="79"/>
      <c r="G796" s="79" t="s">
        <v>974</v>
      </c>
      <c r="H796" s="79" t="s">
        <v>997</v>
      </c>
      <c r="I796" s="79">
        <v>153.6</v>
      </c>
      <c r="J796" s="79" t="s">
        <v>1572</v>
      </c>
      <c r="K796" s="80" t="s">
        <v>469</v>
      </c>
      <c r="L796" s="80">
        <v>414</v>
      </c>
      <c r="M796" s="80">
        <f>L796-3</f>
        <v>411</v>
      </c>
      <c r="N796" s="81">
        <f t="shared" si="181"/>
        <v>-3</v>
      </c>
      <c r="O796" s="80"/>
      <c r="P796" s="82">
        <f t="shared" ref="P796" si="187">R796-TIME(0,26,0)</f>
        <v>45380.347222222219</v>
      </c>
      <c r="Q796" s="82">
        <v>45380.3125</v>
      </c>
      <c r="R796" s="82">
        <v>45380.365277777775</v>
      </c>
      <c r="S796" s="81">
        <f t="shared" si="182"/>
        <v>75.6481481444401</v>
      </c>
      <c r="T796" s="81">
        <f t="shared" si="172"/>
        <v>25.879629630556639</v>
      </c>
      <c r="U796" s="79"/>
      <c r="V796" s="82">
        <v>45381.127083333333</v>
      </c>
      <c r="W796" s="82">
        <v>45381.658333333333</v>
      </c>
      <c r="X796" s="103">
        <f t="shared" si="173"/>
        <v>749.0625</v>
      </c>
      <c r="Y796" s="82" t="s">
        <v>1038</v>
      </c>
      <c r="Z796" s="82">
        <v>45382.778333333335</v>
      </c>
      <c r="AA796" s="82">
        <f>Z796+TIME(0,56,0)</f>
        <v>45382.817222222227</v>
      </c>
      <c r="AB796" s="81">
        <f t="shared" si="174"/>
        <v>54.833333337664953</v>
      </c>
      <c r="AC796" s="82"/>
      <c r="AD796" s="83">
        <f t="shared" si="175"/>
        <v>2.4130555555602768</v>
      </c>
      <c r="AE796" s="83">
        <v>2</v>
      </c>
      <c r="AF796" s="83">
        <f t="shared" si="176"/>
        <v>-0.41305555556027684</v>
      </c>
      <c r="AG796" s="83">
        <f t="shared" si="177"/>
        <v>57.913333333446644</v>
      </c>
      <c r="AH796" s="83">
        <f t="shared" si="178"/>
        <v>24</v>
      </c>
      <c r="AI796" s="83">
        <f t="shared" si="179"/>
        <v>33.913333333446644</v>
      </c>
      <c r="AJ796" s="83">
        <f t="shared" si="180"/>
        <v>4.5291920581724039</v>
      </c>
      <c r="AK796" s="83"/>
      <c r="AL796" s="83"/>
      <c r="AM796" s="83"/>
      <c r="AN796" s="83"/>
    </row>
    <row r="797" spans="1:40" ht="15" hidden="1" x14ac:dyDescent="0.25">
      <c r="A797" s="82">
        <v>45740</v>
      </c>
      <c r="B797" s="94" t="str">
        <f t="shared" si="169"/>
        <v>March</v>
      </c>
      <c r="C797" s="79" t="s">
        <v>2162</v>
      </c>
      <c r="D797" s="79" t="s">
        <v>1573</v>
      </c>
      <c r="E797" s="79" t="s">
        <v>1017</v>
      </c>
      <c r="F797" s="79"/>
      <c r="G797" s="79" t="s">
        <v>80</v>
      </c>
      <c r="H797" s="79" t="s">
        <v>1284</v>
      </c>
      <c r="I797" s="79">
        <v>78</v>
      </c>
      <c r="J797" s="79" t="s">
        <v>1573</v>
      </c>
      <c r="K797" s="80" t="s">
        <v>469</v>
      </c>
      <c r="L797" s="79">
        <v>620</v>
      </c>
      <c r="M797" s="80">
        <f>L797-3</f>
        <v>617</v>
      </c>
      <c r="N797" s="81">
        <f t="shared" si="181"/>
        <v>-3</v>
      </c>
      <c r="O797" s="80"/>
      <c r="P797" s="82">
        <f>R797-TIME(0,27,0)</f>
        <v>45380.34375</v>
      </c>
      <c r="Q797" s="82">
        <v>45380.3125</v>
      </c>
      <c r="R797" s="82">
        <v>45380.362500000003</v>
      </c>
      <c r="S797" s="81">
        <f t="shared" si="182"/>
        <v>71.666666670838211</v>
      </c>
      <c r="T797" s="81">
        <f t="shared" si="172"/>
        <v>26.87500000417155</v>
      </c>
      <c r="U797" s="79"/>
      <c r="V797" s="82">
        <v>45381.362500000003</v>
      </c>
      <c r="W797" s="82">
        <v>45381.587500000001</v>
      </c>
      <c r="X797" s="103">
        <f t="shared" si="173"/>
        <v>317.24999999794818</v>
      </c>
      <c r="Y797" s="82" t="s">
        <v>1049</v>
      </c>
      <c r="Z797" s="82">
        <v>45381.537499999999</v>
      </c>
      <c r="AA797" s="82">
        <f t="shared" ref="AA797:AA798" si="188">Z797+TIME(0,41,0)</f>
        <v>45381.565972222219</v>
      </c>
      <c r="AB797" s="81">
        <f t="shared" si="174"/>
        <v>40.145833330825553</v>
      </c>
      <c r="AC797" s="82"/>
      <c r="AD797" s="83">
        <f t="shared" si="175"/>
        <v>1.1749999999956344</v>
      </c>
      <c r="AE797" s="83">
        <v>3</v>
      </c>
      <c r="AF797" s="83">
        <f t="shared" si="176"/>
        <v>1.8250000000043656</v>
      </c>
      <c r="AG797" s="83">
        <f t="shared" si="177"/>
        <v>28.199999999895226</v>
      </c>
      <c r="AH797" s="83">
        <f t="shared" si="178"/>
        <v>12</v>
      </c>
      <c r="AI797" s="83">
        <f t="shared" si="179"/>
        <v>16.199999999895226</v>
      </c>
      <c r="AJ797" s="83">
        <f t="shared" si="180"/>
        <v>4.8148148148459544</v>
      </c>
      <c r="AK797" s="83"/>
      <c r="AL797" s="83"/>
      <c r="AM797" s="83"/>
      <c r="AN797" s="83"/>
    </row>
    <row r="798" spans="1:40" ht="15" hidden="1" x14ac:dyDescent="0.25">
      <c r="A798" s="82">
        <v>45740</v>
      </c>
      <c r="B798" s="94" t="str">
        <f t="shared" si="169"/>
        <v>March</v>
      </c>
      <c r="C798" s="79" t="s">
        <v>2162</v>
      </c>
      <c r="D798" s="79" t="s">
        <v>1574</v>
      </c>
      <c r="E798" s="79" t="s">
        <v>1017</v>
      </c>
      <c r="F798" s="79" t="s">
        <v>1020</v>
      </c>
      <c r="G798" s="79" t="s">
        <v>42</v>
      </c>
      <c r="H798" s="79" t="s">
        <v>455</v>
      </c>
      <c r="I798" s="79">
        <v>156</v>
      </c>
      <c r="J798" s="79" t="s">
        <v>1574</v>
      </c>
      <c r="K798" s="80" t="s">
        <v>469</v>
      </c>
      <c r="L798" s="80">
        <v>580</v>
      </c>
      <c r="M798" s="80">
        <f>L798-1</f>
        <v>579</v>
      </c>
      <c r="N798" s="81">
        <f t="shared" si="181"/>
        <v>-1</v>
      </c>
      <c r="O798" s="80"/>
      <c r="P798" s="82">
        <f>R798-TIME(0,24,0)</f>
        <v>45380.343055555553</v>
      </c>
      <c r="Q798" s="82">
        <v>45380.3125</v>
      </c>
      <c r="R798" s="82">
        <v>45380.359722222223</v>
      </c>
      <c r="S798" s="81">
        <f t="shared" si="182"/>
        <v>67.685185186807459</v>
      </c>
      <c r="T798" s="81">
        <f t="shared" si="172"/>
        <v>23.888888893755695</v>
      </c>
      <c r="U798" s="79"/>
      <c r="V798" s="82">
        <v>45380.880555555559</v>
      </c>
      <c r="W798" s="82">
        <v>45381.704652777778</v>
      </c>
      <c r="X798" s="103">
        <f t="shared" si="173"/>
        <v>1161.9770833291841</v>
      </c>
      <c r="Y798" s="82" t="s">
        <v>1050</v>
      </c>
      <c r="Z798" s="82">
        <v>45382.654652777775</v>
      </c>
      <c r="AA798" s="82">
        <f t="shared" si="188"/>
        <v>45382.683124999996</v>
      </c>
      <c r="AB798" s="81">
        <f t="shared" si="174"/>
        <v>40.145833330825553</v>
      </c>
      <c r="AC798" s="82"/>
      <c r="AD798" s="83">
        <f t="shared" si="175"/>
        <v>2.2949305555521278</v>
      </c>
      <c r="AE798" s="83">
        <v>2</v>
      </c>
      <c r="AF798" s="83">
        <f t="shared" si="176"/>
        <v>-0.29493055555212777</v>
      </c>
      <c r="AG798" s="83">
        <f t="shared" si="177"/>
        <v>55.078333333251067</v>
      </c>
      <c r="AH798" s="83">
        <f t="shared" si="178"/>
        <v>24</v>
      </c>
      <c r="AI798" s="83">
        <f t="shared" si="179"/>
        <v>31.078333333251067</v>
      </c>
      <c r="AJ798" s="83">
        <f t="shared" si="180"/>
        <v>5.0195741942536474</v>
      </c>
      <c r="AK798" s="83"/>
      <c r="AL798" s="83"/>
      <c r="AM798" s="83"/>
      <c r="AN798" s="83"/>
    </row>
    <row r="799" spans="1:40" ht="15" hidden="1" x14ac:dyDescent="0.25">
      <c r="A799" s="82">
        <v>45740</v>
      </c>
      <c r="B799" s="94" t="str">
        <f t="shared" si="169"/>
        <v>March</v>
      </c>
      <c r="C799" s="79" t="s">
        <v>2162</v>
      </c>
      <c r="D799" s="79" t="s">
        <v>1575</v>
      </c>
      <c r="E799" s="79" t="s">
        <v>1017</v>
      </c>
      <c r="F799" s="79"/>
      <c r="G799" s="79" t="s">
        <v>1662</v>
      </c>
      <c r="H799" s="79" t="s">
        <v>454</v>
      </c>
      <c r="I799" s="79">
        <v>148.80000000000001</v>
      </c>
      <c r="J799" s="79" t="s">
        <v>1575</v>
      </c>
      <c r="K799" s="80" t="s">
        <v>469</v>
      </c>
      <c r="L799" s="80">
        <v>304</v>
      </c>
      <c r="M799" s="80">
        <f>L799-3</f>
        <v>301</v>
      </c>
      <c r="N799" s="81">
        <f t="shared" si="181"/>
        <v>-3</v>
      </c>
      <c r="O799" s="80"/>
      <c r="P799" s="82">
        <f t="shared" ref="P799" si="189">R799-TIME(0,26,0)</f>
        <v>45745.352083333331</v>
      </c>
      <c r="Q799" s="82">
        <v>45745.3125</v>
      </c>
      <c r="R799" s="82">
        <v>45745.370138888888</v>
      </c>
      <c r="S799" s="81">
        <f t="shared" si="182"/>
        <v>82.615740738886714</v>
      </c>
      <c r="T799" s="81">
        <f t="shared" si="172"/>
        <v>25.879629630556639</v>
      </c>
      <c r="U799" s="79"/>
      <c r="V799" s="82">
        <v>45746.422222222223</v>
      </c>
      <c r="W799" s="82">
        <f>V799+TIME(0,170,0)</f>
        <v>45746.540277777778</v>
      </c>
      <c r="X799" s="103">
        <f t="shared" si="173"/>
        <v>166.45833333219343</v>
      </c>
      <c r="Y799" s="82"/>
      <c r="Z799" s="82">
        <v>45747.622118055559</v>
      </c>
      <c r="AA799" s="82">
        <v>45747.647118055553</v>
      </c>
      <c r="AB799" s="81">
        <f t="shared" si="174"/>
        <v>35.24999999179272</v>
      </c>
      <c r="AC799" s="82"/>
      <c r="AD799" s="83">
        <f t="shared" si="175"/>
        <v>2.2519791666709352</v>
      </c>
      <c r="AE799" s="83">
        <v>2</v>
      </c>
      <c r="AF799" s="83">
        <f t="shared" si="176"/>
        <v>-0.25197916667093523</v>
      </c>
      <c r="AG799" s="83">
        <f t="shared" si="177"/>
        <v>54.047500000102445</v>
      </c>
      <c r="AH799" s="83">
        <f t="shared" si="178"/>
        <v>24</v>
      </c>
      <c r="AI799" s="83">
        <f t="shared" si="179"/>
        <v>30.047500000102445</v>
      </c>
      <c r="AJ799" s="83">
        <f t="shared" si="180"/>
        <v>4.9521590814374798</v>
      </c>
      <c r="AK799" s="83"/>
      <c r="AL799" s="83"/>
      <c r="AM799" s="83"/>
      <c r="AN799" s="83"/>
    </row>
    <row r="800" spans="1:40" ht="15" hidden="1" x14ac:dyDescent="0.25">
      <c r="A800" s="82">
        <v>45740</v>
      </c>
      <c r="B800" s="94" t="str">
        <f t="shared" si="169"/>
        <v>March</v>
      </c>
      <c r="C800" s="79" t="s">
        <v>2162</v>
      </c>
      <c r="D800" s="79" t="s">
        <v>1576</v>
      </c>
      <c r="E800" s="79" t="s">
        <v>1017</v>
      </c>
      <c r="F800" s="79" t="s">
        <v>1027</v>
      </c>
      <c r="G800" s="79" t="s">
        <v>34</v>
      </c>
      <c r="H800" s="79" t="s">
        <v>465</v>
      </c>
      <c r="I800" s="79">
        <v>69.599999999999994</v>
      </c>
      <c r="J800" s="79" t="s">
        <v>1576</v>
      </c>
      <c r="K800" s="80" t="s">
        <v>469</v>
      </c>
      <c r="L800" s="80">
        <v>382</v>
      </c>
      <c r="M800" s="80">
        <f>L800-1</f>
        <v>381</v>
      </c>
      <c r="N800" s="81">
        <f t="shared" si="181"/>
        <v>-1</v>
      </c>
      <c r="O800" s="80"/>
      <c r="P800" s="82">
        <f>R800-TIME(0,28,0)</f>
        <v>45380.356944444444</v>
      </c>
      <c r="Q800" s="82">
        <v>45380.3125</v>
      </c>
      <c r="R800" s="82">
        <v>45380.376388888886</v>
      </c>
      <c r="S800" s="81">
        <f t="shared" si="182"/>
        <v>91.574074070134273</v>
      </c>
      <c r="T800" s="81">
        <f t="shared" si="172"/>
        <v>27.870370367357584</v>
      </c>
      <c r="U800" s="79"/>
      <c r="V800" s="82">
        <v>45381.438888888886</v>
      </c>
      <c r="W800" s="82">
        <v>45381.671527777777</v>
      </c>
      <c r="X800" s="103">
        <f t="shared" si="173"/>
        <v>328.02083333561313</v>
      </c>
      <c r="Y800" s="82" t="s">
        <v>1044</v>
      </c>
      <c r="Z800" s="82">
        <v>45382.621527777781</v>
      </c>
      <c r="AA800" s="82">
        <f t="shared" ref="AA800:AA805" si="190">Z800+TIME(0,56,0)</f>
        <v>45382.660416666673</v>
      </c>
      <c r="AB800" s="81">
        <f t="shared" si="174"/>
        <v>54.833333337664953</v>
      </c>
      <c r="AC800" s="82"/>
      <c r="AD800" s="83">
        <f t="shared" si="175"/>
        <v>2.2451388888948713</v>
      </c>
      <c r="AE800" s="83">
        <v>2</v>
      </c>
      <c r="AF800" s="83">
        <f t="shared" si="176"/>
        <v>-0.24513888889487134</v>
      </c>
      <c r="AG800" s="83">
        <f t="shared" si="177"/>
        <v>53.883333333476912</v>
      </c>
      <c r="AH800" s="83">
        <f t="shared" si="178"/>
        <v>24</v>
      </c>
      <c r="AI800" s="83">
        <f t="shared" si="179"/>
        <v>29.883333333476912</v>
      </c>
      <c r="AJ800" s="83">
        <f t="shared" si="180"/>
        <v>2.3290574456106725</v>
      </c>
      <c r="AK800" s="83"/>
      <c r="AL800" s="83"/>
      <c r="AM800" s="83"/>
      <c r="AN800" s="83"/>
    </row>
    <row r="801" spans="1:41" ht="15" hidden="1" x14ac:dyDescent="0.25">
      <c r="A801" s="82">
        <v>45740</v>
      </c>
      <c r="B801" s="94" t="str">
        <f t="shared" si="169"/>
        <v>March</v>
      </c>
      <c r="C801" s="79" t="s">
        <v>2162</v>
      </c>
      <c r="D801" s="79" t="s">
        <v>1577</v>
      </c>
      <c r="E801" s="79" t="s">
        <v>1017</v>
      </c>
      <c r="F801" s="79" t="s">
        <v>1023</v>
      </c>
      <c r="G801" s="79" t="s">
        <v>61</v>
      </c>
      <c r="H801" s="79" t="s">
        <v>455</v>
      </c>
      <c r="I801" s="79">
        <v>156</v>
      </c>
      <c r="J801" s="79" t="s">
        <v>1577</v>
      </c>
      <c r="K801" s="80" t="s">
        <v>469</v>
      </c>
      <c r="L801" s="80">
        <v>580</v>
      </c>
      <c r="M801" s="80">
        <f>L801-3</f>
        <v>577</v>
      </c>
      <c r="N801" s="81">
        <f t="shared" si="181"/>
        <v>-3</v>
      </c>
      <c r="O801" s="80"/>
      <c r="P801" s="82">
        <f>R801-TIME(0,27,0)</f>
        <v>45381.352858796294</v>
      </c>
      <c r="Q801" s="82">
        <v>45381.324386574073</v>
      </c>
      <c r="R801" s="82">
        <v>45381.371608796297</v>
      </c>
      <c r="S801" s="81">
        <f t="shared" si="182"/>
        <v>67.685185186807459</v>
      </c>
      <c r="T801" s="81">
        <f t="shared" si="172"/>
        <v>26.87500000417155</v>
      </c>
      <c r="U801" s="79"/>
      <c r="V801" s="82">
        <v>45381.621608796297</v>
      </c>
      <c r="W801" s="82">
        <v>45381.747997685183</v>
      </c>
      <c r="X801" s="103">
        <f t="shared" si="173"/>
        <v>178.20833332945767</v>
      </c>
      <c r="Y801" s="82"/>
      <c r="Z801" s="82">
        <v>45382.367997685185</v>
      </c>
      <c r="AA801" s="82">
        <f t="shared" si="190"/>
        <v>45382.406886574077</v>
      </c>
      <c r="AB801" s="81">
        <f t="shared" si="174"/>
        <v>54.833333337664953</v>
      </c>
      <c r="AC801" s="82"/>
      <c r="AD801" s="83">
        <f t="shared" si="175"/>
        <v>0.99638888888875954</v>
      </c>
      <c r="AE801" s="83">
        <v>2</v>
      </c>
      <c r="AF801" s="83">
        <f t="shared" si="176"/>
        <v>1.0036111111112405</v>
      </c>
      <c r="AG801" s="83">
        <f t="shared" si="177"/>
        <v>23.913333333330229</v>
      </c>
      <c r="AH801" s="83">
        <f t="shared" si="178"/>
        <v>0</v>
      </c>
      <c r="AI801" s="83">
        <f t="shared" si="179"/>
        <v>23.913333333330229</v>
      </c>
      <c r="AJ801" s="83">
        <f t="shared" si="180"/>
        <v>6.5235572902155106</v>
      </c>
      <c r="AK801" s="83"/>
      <c r="AL801" s="83"/>
      <c r="AM801" s="83"/>
      <c r="AN801" s="83"/>
    </row>
    <row r="802" spans="1:41" ht="15" hidden="1" x14ac:dyDescent="0.25">
      <c r="A802" s="82">
        <v>45741</v>
      </c>
      <c r="B802" s="94" t="str">
        <f t="shared" si="169"/>
        <v>March</v>
      </c>
      <c r="C802" s="79" t="s">
        <v>2162</v>
      </c>
      <c r="D802" s="79" t="s">
        <v>1578</v>
      </c>
      <c r="E802" s="79" t="s">
        <v>1017</v>
      </c>
      <c r="F802" s="79" t="s">
        <v>963</v>
      </c>
      <c r="G802" s="79" t="s">
        <v>60</v>
      </c>
      <c r="H802" s="79" t="s">
        <v>460</v>
      </c>
      <c r="I802" s="79">
        <v>156</v>
      </c>
      <c r="J802" s="79" t="s">
        <v>1578</v>
      </c>
      <c r="K802" s="80" t="s">
        <v>469</v>
      </c>
      <c r="L802" s="87">
        <v>600</v>
      </c>
      <c r="M802" s="80">
        <f>L802-3</f>
        <v>597</v>
      </c>
      <c r="N802" s="81">
        <f t="shared" si="181"/>
        <v>-3</v>
      </c>
      <c r="O802" s="80"/>
      <c r="P802" s="82">
        <f t="shared" ref="P802" si="191">R802-TIME(0,26,0)</f>
        <v>45746.9</v>
      </c>
      <c r="Q802" s="82">
        <v>45746.913194444445</v>
      </c>
      <c r="R802" s="82">
        <v>45746.918055555558</v>
      </c>
      <c r="S802" s="81">
        <f t="shared" si="182"/>
        <v>6.9675925944466144</v>
      </c>
      <c r="T802" s="81">
        <f t="shared" si="172"/>
        <v>25.879629630556639</v>
      </c>
      <c r="U802" s="79"/>
      <c r="V802" s="82">
        <v>45746.793055555558</v>
      </c>
      <c r="W802" s="82">
        <v>45747.821527777778</v>
      </c>
      <c r="X802" s="103">
        <f t="shared" si="173"/>
        <v>1450.1458333308256</v>
      </c>
      <c r="Y802" s="82" t="s">
        <v>1047</v>
      </c>
      <c r="Z802" s="82">
        <v>45748.870833333334</v>
      </c>
      <c r="AA802" s="82">
        <f t="shared" si="190"/>
        <v>45748.909722222226</v>
      </c>
      <c r="AB802" s="81">
        <f t="shared" si="174"/>
        <v>54.833333337664953</v>
      </c>
      <c r="AC802" s="82"/>
      <c r="AD802" s="83">
        <f t="shared" si="175"/>
        <v>1.952777777776646</v>
      </c>
      <c r="AE802" s="83">
        <v>2</v>
      </c>
      <c r="AF802" s="83">
        <f t="shared" si="176"/>
        <v>4.7222222223354038E-2</v>
      </c>
      <c r="AG802" s="83">
        <f t="shared" si="177"/>
        <v>46.866666666639503</v>
      </c>
      <c r="AH802" s="83">
        <f t="shared" si="178"/>
        <v>12</v>
      </c>
      <c r="AI802" s="83">
        <f t="shared" si="179"/>
        <v>34.866666666639503</v>
      </c>
      <c r="AJ802" s="83">
        <f t="shared" si="180"/>
        <v>4.4741873805006174</v>
      </c>
      <c r="AK802" s="83"/>
      <c r="AL802" s="83"/>
      <c r="AM802" s="83"/>
      <c r="AN802" s="83"/>
    </row>
    <row r="803" spans="1:41" ht="15" hidden="1" x14ac:dyDescent="0.25">
      <c r="A803" s="82">
        <v>45741</v>
      </c>
      <c r="B803" s="94" t="str">
        <f t="shared" si="169"/>
        <v>March</v>
      </c>
      <c r="C803" s="79" t="s">
        <v>2162</v>
      </c>
      <c r="D803" s="79" t="s">
        <v>1579</v>
      </c>
      <c r="E803" s="79" t="s">
        <v>1017</v>
      </c>
      <c r="F803" s="79" t="s">
        <v>960</v>
      </c>
      <c r="G803" s="79" t="s">
        <v>62</v>
      </c>
      <c r="H803" s="79" t="s">
        <v>460</v>
      </c>
      <c r="I803" s="79">
        <v>156</v>
      </c>
      <c r="J803" s="79" t="s">
        <v>1579</v>
      </c>
      <c r="K803" s="80" t="s">
        <v>469</v>
      </c>
      <c r="L803" s="87">
        <v>600</v>
      </c>
      <c r="M803" s="80">
        <f>L803-1</f>
        <v>599</v>
      </c>
      <c r="N803" s="81">
        <f t="shared" si="181"/>
        <v>-1</v>
      </c>
      <c r="O803" s="80"/>
      <c r="P803" s="82">
        <f>R803-TIME(0,29,0)</f>
        <v>45381.913888888892</v>
      </c>
      <c r="Q803" s="82">
        <v>45381.913194444445</v>
      </c>
      <c r="R803" s="82">
        <v>45381.934027777781</v>
      </c>
      <c r="S803" s="81">
        <f t="shared" si="182"/>
        <v>29.861111114587402</v>
      </c>
      <c r="T803" s="81">
        <f t="shared" si="172"/>
        <v>28.865740740972495</v>
      </c>
      <c r="U803" s="79"/>
      <c r="V803" s="82">
        <v>45352.761805555558</v>
      </c>
      <c r="W803" s="82">
        <f>V803+TIME(0,168,0)</f>
        <v>45352.878472222226</v>
      </c>
      <c r="X803" s="103">
        <f t="shared" si="173"/>
        <v>164.50000000273576</v>
      </c>
      <c r="Y803" s="82"/>
      <c r="Z803" s="82">
        <v>45382.786111111112</v>
      </c>
      <c r="AA803" s="82">
        <f t="shared" si="190"/>
        <v>45382.825000000004</v>
      </c>
      <c r="AB803" s="81">
        <f t="shared" si="174"/>
        <v>54.833333337664953</v>
      </c>
      <c r="AC803" s="82"/>
      <c r="AD803" s="83">
        <f t="shared" si="175"/>
        <v>0.85208333333139308</v>
      </c>
      <c r="AE803" s="83">
        <v>2</v>
      </c>
      <c r="AF803" s="83">
        <f t="shared" si="176"/>
        <v>1.1479166666686069</v>
      </c>
      <c r="AG803" s="83">
        <f t="shared" si="177"/>
        <v>20.449999999953434</v>
      </c>
      <c r="AH803" s="83">
        <f t="shared" si="178"/>
        <v>0</v>
      </c>
      <c r="AI803" s="83">
        <f t="shared" si="179"/>
        <v>20.449999999953434</v>
      </c>
      <c r="AJ803" s="83">
        <f t="shared" si="180"/>
        <v>7.6283618582080797</v>
      </c>
      <c r="AK803" s="83"/>
      <c r="AL803" s="83"/>
      <c r="AM803" s="83"/>
      <c r="AN803" s="83"/>
    </row>
    <row r="804" spans="1:41" ht="15" hidden="1" x14ac:dyDescent="0.25">
      <c r="A804" s="82">
        <v>45741</v>
      </c>
      <c r="B804" s="94" t="str">
        <f t="shared" si="169"/>
        <v>March</v>
      </c>
      <c r="C804" s="79" t="s">
        <v>2162</v>
      </c>
      <c r="D804" s="79" t="s">
        <v>1580</v>
      </c>
      <c r="E804" s="79" t="s">
        <v>1017</v>
      </c>
      <c r="F804" s="79"/>
      <c r="G804" s="79" t="s">
        <v>1664</v>
      </c>
      <c r="H804" s="79" t="s">
        <v>454</v>
      </c>
      <c r="I804" s="79">
        <v>156</v>
      </c>
      <c r="J804" s="79" t="s">
        <v>1580</v>
      </c>
      <c r="K804" s="80" t="s">
        <v>469</v>
      </c>
      <c r="L804" s="80">
        <v>304</v>
      </c>
      <c r="M804" s="80">
        <f>L804-3</f>
        <v>301</v>
      </c>
      <c r="N804" s="81">
        <f t="shared" si="181"/>
        <v>-3</v>
      </c>
      <c r="O804" s="80"/>
      <c r="P804" s="82">
        <f>R804-TIME(0,27,0)</f>
        <v>45365.831249999996</v>
      </c>
      <c r="Q804" s="82">
        <v>45365.658333333333</v>
      </c>
      <c r="R804" s="82">
        <v>45365.85</v>
      </c>
      <c r="S804" s="81">
        <f t="shared" si="182"/>
        <v>274.72222222083172</v>
      </c>
      <c r="T804" s="81">
        <f t="shared" si="172"/>
        <v>26.87500000417155</v>
      </c>
      <c r="U804" s="79"/>
      <c r="V804" s="82">
        <v>45366.369444444441</v>
      </c>
      <c r="W804" s="82">
        <v>45366.73541666667</v>
      </c>
      <c r="X804" s="103">
        <f t="shared" si="173"/>
        <v>516.02083334313647</v>
      </c>
      <c r="Y804" s="82" t="s">
        <v>1044</v>
      </c>
      <c r="Z804" s="82">
        <v>45367.544444444444</v>
      </c>
      <c r="AA804" s="82">
        <f>Z804+TIME(0,41,0)</f>
        <v>45367.572916666664</v>
      </c>
      <c r="AB804" s="81">
        <f t="shared" si="174"/>
        <v>40.145833330825553</v>
      </c>
      <c r="AC804" s="82"/>
      <c r="AD804" s="83">
        <f t="shared" si="175"/>
        <v>1.6944444444452529</v>
      </c>
      <c r="AE804" s="83">
        <v>2</v>
      </c>
      <c r="AF804" s="83">
        <f t="shared" si="176"/>
        <v>0.30555555555474712</v>
      </c>
      <c r="AG804" s="83">
        <f t="shared" si="177"/>
        <v>40.666666666686069</v>
      </c>
      <c r="AH804" s="83">
        <f t="shared" si="178"/>
        <v>12</v>
      </c>
      <c r="AI804" s="83">
        <f t="shared" si="179"/>
        <v>28.666666666686069</v>
      </c>
      <c r="AJ804" s="83">
        <f t="shared" si="180"/>
        <v>5.4418604651125957</v>
      </c>
      <c r="AK804" s="83"/>
      <c r="AL804" s="83"/>
      <c r="AM804" s="83"/>
      <c r="AN804" s="83"/>
    </row>
    <row r="805" spans="1:41" ht="15" hidden="1" x14ac:dyDescent="0.25">
      <c r="A805" s="82">
        <v>45741</v>
      </c>
      <c r="B805" s="94" t="str">
        <f t="shared" si="169"/>
        <v>March</v>
      </c>
      <c r="C805" s="79" t="s">
        <v>2162</v>
      </c>
      <c r="D805" s="79" t="s">
        <v>1581</v>
      </c>
      <c r="E805" s="79" t="s">
        <v>1017</v>
      </c>
      <c r="F805" s="79" t="s">
        <v>1013</v>
      </c>
      <c r="G805" s="79" t="s">
        <v>56</v>
      </c>
      <c r="H805" s="79" t="s">
        <v>467</v>
      </c>
      <c r="I805" s="79">
        <v>156</v>
      </c>
      <c r="J805" s="79" t="s">
        <v>1581</v>
      </c>
      <c r="K805" s="80" t="s">
        <v>469</v>
      </c>
      <c r="L805" s="79">
        <v>560</v>
      </c>
      <c r="M805" s="80">
        <f>L805-2</f>
        <v>558</v>
      </c>
      <c r="N805" s="81">
        <f t="shared" si="181"/>
        <v>-2</v>
      </c>
      <c r="O805" s="80"/>
      <c r="P805" s="82">
        <f t="shared" ref="P805" si="192">R805-TIME(0,26,0)</f>
        <v>45365.547222222223</v>
      </c>
      <c r="Q805" s="82">
        <v>45366.082638888889</v>
      </c>
      <c r="R805" s="82">
        <v>45365.56527777778</v>
      </c>
      <c r="S805" s="81">
        <f t="shared" si="182"/>
        <v>-741.55092592360836</v>
      </c>
      <c r="T805" s="81">
        <f t="shared" si="172"/>
        <v>25.879629630556639</v>
      </c>
      <c r="U805" s="79"/>
      <c r="V805" s="82">
        <v>45366.527777777781</v>
      </c>
      <c r="W805" s="82">
        <v>45366.739583333336</v>
      </c>
      <c r="X805" s="103">
        <f t="shared" si="173"/>
        <v>298.64583333219343</v>
      </c>
      <c r="Y805" s="82" t="s">
        <v>1044</v>
      </c>
      <c r="Z805" s="82">
        <v>45367.699305555558</v>
      </c>
      <c r="AA805" s="82">
        <f t="shared" si="190"/>
        <v>45367.73819444445</v>
      </c>
      <c r="AB805" s="81">
        <f t="shared" si="174"/>
        <v>54.833333337664953</v>
      </c>
      <c r="AC805" s="82"/>
      <c r="AD805" s="83">
        <f t="shared" si="175"/>
        <v>2.1340277777781012</v>
      </c>
      <c r="AE805" s="83">
        <v>2</v>
      </c>
      <c r="AF805" s="83">
        <f t="shared" si="176"/>
        <v>-0.13402777777810115</v>
      </c>
      <c r="AG805" s="83">
        <f t="shared" si="177"/>
        <v>51.216666666674428</v>
      </c>
      <c r="AH805" s="83">
        <f t="shared" si="178"/>
        <v>24</v>
      </c>
      <c r="AI805" s="83">
        <f t="shared" si="179"/>
        <v>27.216666666674428</v>
      </c>
      <c r="AJ805" s="83">
        <f t="shared" si="180"/>
        <v>5.7317819963241465</v>
      </c>
      <c r="AK805" s="83"/>
      <c r="AL805" s="83"/>
      <c r="AM805" s="83"/>
      <c r="AN805" s="83"/>
    </row>
    <row r="806" spans="1:41" s="86" customFormat="1" ht="15" hidden="1" x14ac:dyDescent="0.25">
      <c r="A806" s="82">
        <v>45741</v>
      </c>
      <c r="B806" s="94" t="str">
        <f t="shared" si="169"/>
        <v>March</v>
      </c>
      <c r="C806" s="79" t="s">
        <v>2162</v>
      </c>
      <c r="D806" s="79" t="s">
        <v>1582</v>
      </c>
      <c r="E806" s="79" t="s">
        <v>1017</v>
      </c>
      <c r="F806" s="79" t="s">
        <v>1024</v>
      </c>
      <c r="G806" s="79" t="s">
        <v>63</v>
      </c>
      <c r="H806" s="79" t="s">
        <v>1666</v>
      </c>
      <c r="I806" s="79">
        <v>156</v>
      </c>
      <c r="J806" s="79" t="s">
        <v>1582</v>
      </c>
      <c r="K806" s="80" t="s">
        <v>469</v>
      </c>
      <c r="L806" s="79">
        <v>560</v>
      </c>
      <c r="M806" s="80">
        <f>L806-2</f>
        <v>558</v>
      </c>
      <c r="N806" s="81">
        <f t="shared" si="181"/>
        <v>-2</v>
      </c>
      <c r="O806" s="80"/>
      <c r="P806" s="82">
        <f>R806-TIME(0,26,0)</f>
        <v>45365.761805555558</v>
      </c>
      <c r="Q806" s="82">
        <v>45365.8125</v>
      </c>
      <c r="R806" s="82">
        <v>45365.779861111114</v>
      </c>
      <c r="S806" s="81">
        <f t="shared" si="182"/>
        <v>-46.782407403467609</v>
      </c>
      <c r="T806" s="81">
        <f t="shared" si="172"/>
        <v>25.879629630556639</v>
      </c>
      <c r="U806" s="79"/>
      <c r="V806" s="82">
        <v>45366.500694444447</v>
      </c>
      <c r="W806" s="82">
        <v>45367.509722222225</v>
      </c>
      <c r="X806" s="103">
        <f t="shared" si="173"/>
        <v>1422.7291666671226</v>
      </c>
      <c r="Y806" s="82" t="s">
        <v>1038</v>
      </c>
      <c r="Z806" s="82">
        <v>45368.307638888888</v>
      </c>
      <c r="AA806" s="82">
        <f>Z806+TIME(0,58,0)</f>
        <v>45368.347916666666</v>
      </c>
      <c r="AB806" s="81">
        <f t="shared" si="174"/>
        <v>56.791666667122627</v>
      </c>
      <c r="AC806" s="82"/>
      <c r="AD806" s="83">
        <f t="shared" si="175"/>
        <v>2.5277777777737356</v>
      </c>
      <c r="AE806" s="83">
        <v>2</v>
      </c>
      <c r="AF806" s="83">
        <f t="shared" si="176"/>
        <v>-0.52777777777373558</v>
      </c>
      <c r="AG806" s="83">
        <f t="shared" si="177"/>
        <v>60.666666666569654</v>
      </c>
      <c r="AH806" s="83">
        <f t="shared" si="178"/>
        <v>24</v>
      </c>
      <c r="AI806" s="83">
        <f t="shared" si="179"/>
        <v>36.666666666569654</v>
      </c>
      <c r="AJ806" s="83">
        <f t="shared" si="180"/>
        <v>4.2545454545567116</v>
      </c>
      <c r="AK806" s="83"/>
      <c r="AL806" s="83"/>
      <c r="AM806" s="83"/>
      <c r="AN806" s="83"/>
      <c r="AO806" s="78"/>
    </row>
    <row r="807" spans="1:41" ht="15" hidden="1" x14ac:dyDescent="0.25">
      <c r="A807" s="82">
        <v>45741</v>
      </c>
      <c r="B807" s="94" t="str">
        <f t="shared" si="169"/>
        <v>March</v>
      </c>
      <c r="C807" s="79" t="s">
        <v>2162</v>
      </c>
      <c r="D807" s="79" t="s">
        <v>1583</v>
      </c>
      <c r="E807" s="79" t="s">
        <v>1017</v>
      </c>
      <c r="F807" s="79" t="s">
        <v>1036</v>
      </c>
      <c r="G807" s="79" t="s">
        <v>36</v>
      </c>
      <c r="H807" s="79" t="s">
        <v>458</v>
      </c>
      <c r="I807" s="79">
        <v>148.80000000000001</v>
      </c>
      <c r="J807" s="79" t="s">
        <v>1583</v>
      </c>
      <c r="K807" s="80" t="s">
        <v>469</v>
      </c>
      <c r="L807" s="80">
        <v>448</v>
      </c>
      <c r="M807" s="80">
        <f>L807-2</f>
        <v>446</v>
      </c>
      <c r="N807" s="81">
        <f t="shared" si="181"/>
        <v>-2</v>
      </c>
      <c r="O807" s="80"/>
      <c r="P807" s="82">
        <f>R807-TIME(0,28,0)</f>
        <v>45367.354166666672</v>
      </c>
      <c r="Q807" s="82">
        <v>45366.082638888889</v>
      </c>
      <c r="R807" s="82">
        <v>45367.373611111114</v>
      </c>
      <c r="S807" s="81">
        <f t="shared" si="182"/>
        <v>1850.3935185222265</v>
      </c>
      <c r="T807" s="81">
        <f t="shared" si="172"/>
        <v>27.870370367357584</v>
      </c>
      <c r="U807" s="79"/>
      <c r="V807" s="82">
        <v>45367.583333333336</v>
      </c>
      <c r="W807" s="82">
        <v>45367.831944444442</v>
      </c>
      <c r="X807" s="103">
        <f t="shared" si="173"/>
        <v>350.54166666028323</v>
      </c>
      <c r="Y807" s="82" t="s">
        <v>1049</v>
      </c>
      <c r="Z807" s="82">
        <v>45368.536111111112</v>
      </c>
      <c r="AA807" s="82">
        <f>Z807+TIME(0,72,0)</f>
        <v>45368.586111111115</v>
      </c>
      <c r="AB807" s="81">
        <f t="shared" si="174"/>
        <v>70.50000000410364</v>
      </c>
      <c r="AC807" s="82" t="s">
        <v>1676</v>
      </c>
      <c r="AD807" s="83">
        <f t="shared" si="175"/>
        <v>1.1624999999985448</v>
      </c>
      <c r="AE807" s="83">
        <v>2</v>
      </c>
      <c r="AF807" s="83">
        <f t="shared" si="176"/>
        <v>0.83750000000145519</v>
      </c>
      <c r="AG807" s="83">
        <f t="shared" si="177"/>
        <v>27.899999999965075</v>
      </c>
      <c r="AH807" s="83">
        <f t="shared" si="178"/>
        <v>12</v>
      </c>
      <c r="AI807" s="83">
        <f t="shared" si="179"/>
        <v>15.899999999965075</v>
      </c>
      <c r="AJ807" s="83">
        <f t="shared" si="180"/>
        <v>9.3584905660582933</v>
      </c>
      <c r="AK807" s="83"/>
      <c r="AL807" s="83"/>
      <c r="AM807" s="83"/>
      <c r="AN807" s="83"/>
    </row>
    <row r="808" spans="1:41" ht="15" hidden="1" x14ac:dyDescent="0.25">
      <c r="A808" s="82">
        <v>45741</v>
      </c>
      <c r="B808" s="94" t="str">
        <f t="shared" si="169"/>
        <v>March</v>
      </c>
      <c r="C808" s="79" t="s">
        <v>2162</v>
      </c>
      <c r="D808" s="79" t="s">
        <v>1584</v>
      </c>
      <c r="E808" s="79" t="s">
        <v>1017</v>
      </c>
      <c r="F808" s="79"/>
      <c r="G808" s="79" t="s">
        <v>67</v>
      </c>
      <c r="H808" s="79" t="s">
        <v>463</v>
      </c>
      <c r="I808" s="79">
        <v>156</v>
      </c>
      <c r="J808" s="79" t="s">
        <v>1584</v>
      </c>
      <c r="K808" s="80" t="s">
        <v>469</v>
      </c>
      <c r="L808" s="80">
        <v>464</v>
      </c>
      <c r="M808" s="80">
        <f>L808-3</f>
        <v>461</v>
      </c>
      <c r="N808" s="81">
        <f t="shared" si="181"/>
        <v>-3</v>
      </c>
      <c r="O808" s="80"/>
      <c r="P808" s="82">
        <f>R808-TIME(0,27,0)</f>
        <v>45366.356273148143</v>
      </c>
      <c r="Q808" s="82">
        <v>45366.327800925923</v>
      </c>
      <c r="R808" s="82">
        <v>45366.375023148146</v>
      </c>
      <c r="S808" s="81">
        <f t="shared" si="182"/>
        <v>67.685185186807459</v>
      </c>
      <c r="T808" s="81">
        <f t="shared" si="172"/>
        <v>26.87500000417155</v>
      </c>
      <c r="U808" s="79"/>
      <c r="V808" s="82">
        <v>45366.145856481482</v>
      </c>
      <c r="W808" s="82">
        <v>45366.608356481483</v>
      </c>
      <c r="X808" s="103">
        <f t="shared" si="173"/>
        <v>652.12500000205182</v>
      </c>
      <c r="Y808" s="82" t="s">
        <v>1050</v>
      </c>
      <c r="Z808" s="82">
        <v>45367.754189814812</v>
      </c>
      <c r="AA808" s="82">
        <f>Z808+TIME(0,56,0)</f>
        <v>45367.793078703704</v>
      </c>
      <c r="AB808" s="81">
        <f t="shared" si="174"/>
        <v>54.833333337664953</v>
      </c>
      <c r="AC808" s="82"/>
      <c r="AD808" s="83">
        <f t="shared" si="175"/>
        <v>1.3791666666656965</v>
      </c>
      <c r="AE808" s="83">
        <v>3</v>
      </c>
      <c r="AF808" s="83">
        <f t="shared" si="176"/>
        <v>1.6208333333343035</v>
      </c>
      <c r="AG808" s="83">
        <f t="shared" si="177"/>
        <v>33.099999999976717</v>
      </c>
      <c r="AH808" s="83">
        <f t="shared" si="178"/>
        <v>12</v>
      </c>
      <c r="AI808" s="83">
        <f t="shared" si="179"/>
        <v>21.099999999976717</v>
      </c>
      <c r="AJ808" s="83">
        <f t="shared" si="180"/>
        <v>7.3933649289181105</v>
      </c>
      <c r="AK808" s="83"/>
      <c r="AL808" s="83"/>
      <c r="AM808" s="83"/>
      <c r="AN808" s="83"/>
    </row>
    <row r="809" spans="1:41" ht="15" hidden="1" x14ac:dyDescent="0.25">
      <c r="A809" s="82">
        <v>45741</v>
      </c>
      <c r="B809" s="94" t="str">
        <f t="shared" si="169"/>
        <v>March</v>
      </c>
      <c r="C809" s="79" t="s">
        <v>2162</v>
      </c>
      <c r="D809" s="79" t="s">
        <v>1585</v>
      </c>
      <c r="E809" s="79" t="s">
        <v>1017</v>
      </c>
      <c r="F809" s="79" t="s">
        <v>1018</v>
      </c>
      <c r="G809" s="79" t="s">
        <v>39</v>
      </c>
      <c r="H809" s="79" t="s">
        <v>462</v>
      </c>
      <c r="I809" s="79">
        <v>148.80000000000001</v>
      </c>
      <c r="J809" s="79" t="s">
        <v>1585</v>
      </c>
      <c r="K809" s="80" t="s">
        <v>469</v>
      </c>
      <c r="L809" s="79">
        <v>680</v>
      </c>
      <c r="M809" s="80">
        <f>L809-1</f>
        <v>679</v>
      </c>
      <c r="N809" s="81">
        <f t="shared" si="181"/>
        <v>-1</v>
      </c>
      <c r="O809" s="80"/>
      <c r="P809" s="82">
        <f>R809-TIME(0,26,0)</f>
        <v>45366.344444444447</v>
      </c>
      <c r="Q809" s="82">
        <v>45366.3125</v>
      </c>
      <c r="R809" s="82">
        <v>45366.362500000003</v>
      </c>
      <c r="S809" s="81">
        <f t="shared" si="182"/>
        <v>71.666666670838211</v>
      </c>
      <c r="T809" s="81">
        <f t="shared" si="172"/>
        <v>25.879629630556639</v>
      </c>
      <c r="U809" s="79"/>
      <c r="V809" s="82">
        <v>45366.612500000003</v>
      </c>
      <c r="W809" s="82">
        <v>45366.8</v>
      </c>
      <c r="X809" s="103">
        <f t="shared" si="173"/>
        <v>264.375</v>
      </c>
      <c r="Y809" s="82" t="s">
        <v>1044</v>
      </c>
      <c r="Z809" s="82">
        <v>45367.38</v>
      </c>
      <c r="AA809" s="82">
        <f>Z809+TIME(0,41,0)</f>
        <v>45367.408472222218</v>
      </c>
      <c r="AB809" s="81">
        <f t="shared" si="174"/>
        <v>40.145833330825553</v>
      </c>
      <c r="AC809" s="82"/>
      <c r="AD809" s="83">
        <f t="shared" si="175"/>
        <v>1.0174999999944703</v>
      </c>
      <c r="AE809" s="83">
        <v>3</v>
      </c>
      <c r="AF809" s="83">
        <f t="shared" si="176"/>
        <v>1.9825000000055297</v>
      </c>
      <c r="AG809" s="83">
        <f t="shared" si="177"/>
        <v>24.419999999867287</v>
      </c>
      <c r="AH809" s="83">
        <f t="shared" si="178"/>
        <v>12</v>
      </c>
      <c r="AI809" s="83">
        <f t="shared" si="179"/>
        <v>12.419999999867287</v>
      </c>
      <c r="AJ809" s="83">
        <f t="shared" si="180"/>
        <v>11.980676328630436</v>
      </c>
      <c r="AK809" s="83"/>
      <c r="AL809" s="83"/>
      <c r="AM809" s="83"/>
      <c r="AN809" s="83"/>
    </row>
    <row r="810" spans="1:41" s="86" customFormat="1" ht="15" hidden="1" x14ac:dyDescent="0.25">
      <c r="A810" s="82">
        <v>45741</v>
      </c>
      <c r="B810" s="94" t="str">
        <f t="shared" si="169"/>
        <v>March</v>
      </c>
      <c r="C810" s="79" t="s">
        <v>2162</v>
      </c>
      <c r="D810" s="79" t="s">
        <v>1586</v>
      </c>
      <c r="E810" s="79" t="s">
        <v>1017</v>
      </c>
      <c r="F810" s="79" t="s">
        <v>1014</v>
      </c>
      <c r="G810" s="79" t="s">
        <v>52</v>
      </c>
      <c r="H810" s="79" t="s">
        <v>449</v>
      </c>
      <c r="I810" s="79">
        <v>156</v>
      </c>
      <c r="J810" s="79" t="s">
        <v>1586</v>
      </c>
      <c r="K810" s="80" t="s">
        <v>469</v>
      </c>
      <c r="L810" s="80">
        <v>790</v>
      </c>
      <c r="M810" s="80">
        <f>L810-3</f>
        <v>787</v>
      </c>
      <c r="N810" s="81">
        <f t="shared" si="181"/>
        <v>-3</v>
      </c>
      <c r="O810" s="80"/>
      <c r="P810" s="82">
        <f>R810-TIME(0,27,0)</f>
        <v>45366.606944444444</v>
      </c>
      <c r="Q810" s="82">
        <v>45367.098611111112</v>
      </c>
      <c r="R810" s="82">
        <v>45366.625694444447</v>
      </c>
      <c r="S810" s="81">
        <f t="shared" si="182"/>
        <v>-677.84722222083167</v>
      </c>
      <c r="T810" s="81">
        <f t="shared" si="172"/>
        <v>26.87500000417155</v>
      </c>
      <c r="U810" s="79"/>
      <c r="V810" s="82">
        <v>45367.134027777778</v>
      </c>
      <c r="W810" s="82">
        <v>45367.611805555556</v>
      </c>
      <c r="X810" s="103">
        <f t="shared" si="173"/>
        <v>673.66666666712263</v>
      </c>
      <c r="Y810" s="82" t="s">
        <v>1044</v>
      </c>
      <c r="Z810" s="82">
        <v>45367.822222222225</v>
      </c>
      <c r="AA810" s="82">
        <f>Z810+TIME(0,56,0)</f>
        <v>45367.861111111117</v>
      </c>
      <c r="AB810" s="81">
        <f t="shared" si="174"/>
        <v>54.833333337664953</v>
      </c>
      <c r="AC810" s="82"/>
      <c r="AD810" s="83">
        <f t="shared" si="175"/>
        <v>1.1965277777781012</v>
      </c>
      <c r="AE810" s="83">
        <v>3</v>
      </c>
      <c r="AF810" s="83">
        <f t="shared" si="176"/>
        <v>1.8034722222218988</v>
      </c>
      <c r="AG810" s="83">
        <f t="shared" si="177"/>
        <v>28.716666666674428</v>
      </c>
      <c r="AH810" s="83">
        <f t="shared" si="178"/>
        <v>12</v>
      </c>
      <c r="AI810" s="83">
        <f t="shared" si="179"/>
        <v>16.716666666674428</v>
      </c>
      <c r="AJ810" s="83">
        <f t="shared" si="180"/>
        <v>9.3320039880315591</v>
      </c>
      <c r="AK810" s="83"/>
      <c r="AL810" s="83"/>
      <c r="AM810" s="83"/>
      <c r="AN810" s="83"/>
      <c r="AO810" s="78"/>
    </row>
    <row r="811" spans="1:41" ht="15" hidden="1" x14ac:dyDescent="0.25">
      <c r="A811" s="82">
        <v>45741</v>
      </c>
      <c r="B811" s="94" t="str">
        <f t="shared" si="169"/>
        <v>March</v>
      </c>
      <c r="C811" s="79" t="s">
        <v>2162</v>
      </c>
      <c r="D811" s="79" t="s">
        <v>1587</v>
      </c>
      <c r="E811" s="79" t="s">
        <v>1017</v>
      </c>
      <c r="F811" s="79"/>
      <c r="G811" s="79" t="s">
        <v>81</v>
      </c>
      <c r="H811" s="79" t="s">
        <v>452</v>
      </c>
      <c r="I811" s="79">
        <v>156</v>
      </c>
      <c r="J811" s="79" t="s">
        <v>1587</v>
      </c>
      <c r="K811" s="80" t="s">
        <v>469</v>
      </c>
      <c r="L811" s="79">
        <v>690</v>
      </c>
      <c r="M811" s="80">
        <f>L811-1</f>
        <v>689</v>
      </c>
      <c r="N811" s="81">
        <f t="shared" si="181"/>
        <v>-1</v>
      </c>
      <c r="O811" s="80"/>
      <c r="P811" s="82">
        <f>R811-TIME(0,29,0)</f>
        <v>45366.919444444444</v>
      </c>
      <c r="Q811" s="82">
        <v>45367.098611111112</v>
      </c>
      <c r="R811" s="82">
        <v>45366.939583333333</v>
      </c>
      <c r="S811" s="81">
        <f t="shared" si="182"/>
        <v>-227.93981481736409</v>
      </c>
      <c r="T811" s="81">
        <f t="shared" si="172"/>
        <v>28.865740740972495</v>
      </c>
      <c r="U811" s="79"/>
      <c r="V811" s="82">
        <v>45367.536111111112</v>
      </c>
      <c r="W811" s="82">
        <v>45367.776388888888</v>
      </c>
      <c r="X811" s="103">
        <f t="shared" si="173"/>
        <v>338.79166666301899</v>
      </c>
      <c r="Y811" s="82" t="s">
        <v>1044</v>
      </c>
      <c r="Z811" s="82">
        <v>45368.431944444441</v>
      </c>
      <c r="AA811" s="82">
        <f>Z811+TIME(0,57,0)</f>
        <v>45368.471527777772</v>
      </c>
      <c r="AB811" s="81">
        <f t="shared" si="174"/>
        <v>55.81249999726424</v>
      </c>
      <c r="AC811" s="82"/>
      <c r="AD811" s="83">
        <f t="shared" si="175"/>
        <v>1.492361111108039</v>
      </c>
      <c r="AE811" s="83">
        <v>3</v>
      </c>
      <c r="AF811" s="83">
        <f t="shared" si="176"/>
        <v>1.507638888891961</v>
      </c>
      <c r="AG811" s="83">
        <f t="shared" si="177"/>
        <v>35.816666666592937</v>
      </c>
      <c r="AH811" s="83">
        <f t="shared" si="178"/>
        <v>12</v>
      </c>
      <c r="AI811" s="83">
        <f t="shared" si="179"/>
        <v>23.816666666592937</v>
      </c>
      <c r="AJ811" s="83">
        <f t="shared" si="180"/>
        <v>6.550034989523426</v>
      </c>
      <c r="AK811" s="83"/>
      <c r="AL811" s="83"/>
      <c r="AM811" s="83"/>
      <c r="AN811" s="83"/>
    </row>
    <row r="812" spans="1:41" ht="15" hidden="1" x14ac:dyDescent="0.25">
      <c r="A812" s="82">
        <v>45741</v>
      </c>
      <c r="B812" s="94" t="str">
        <f t="shared" si="169"/>
        <v>March</v>
      </c>
      <c r="C812" s="79" t="s">
        <v>2162</v>
      </c>
      <c r="D812" s="79" t="s">
        <v>1588</v>
      </c>
      <c r="E812" s="79" t="s">
        <v>1017</v>
      </c>
      <c r="F812" s="79" t="s">
        <v>1031</v>
      </c>
      <c r="G812" s="79" t="s">
        <v>50</v>
      </c>
      <c r="H812" s="79" t="s">
        <v>462</v>
      </c>
      <c r="I812" s="79">
        <v>156</v>
      </c>
      <c r="J812" s="79" t="s">
        <v>1588</v>
      </c>
      <c r="K812" s="80" t="s">
        <v>469</v>
      </c>
      <c r="L812" s="79">
        <v>680</v>
      </c>
      <c r="M812" s="80">
        <f>L812-3</f>
        <v>677</v>
      </c>
      <c r="N812" s="81">
        <f t="shared" si="181"/>
        <v>-3</v>
      </c>
      <c r="O812" s="80"/>
      <c r="P812" s="82">
        <f t="shared" ref="P812" si="193">R812-TIME(0,26,0)</f>
        <v>45366.922916666663</v>
      </c>
      <c r="Q812" s="82">
        <v>45367.320833333331</v>
      </c>
      <c r="R812" s="82">
        <v>45366.940972222219</v>
      </c>
      <c r="S812" s="81">
        <f t="shared" si="182"/>
        <v>-544.46759259444661</v>
      </c>
      <c r="T812" s="81">
        <f t="shared" si="172"/>
        <v>25.879629630556639</v>
      </c>
      <c r="U812" s="79"/>
      <c r="V812" s="82">
        <v>45367.411111111112</v>
      </c>
      <c r="W812" s="82">
        <v>45367.588194444441</v>
      </c>
      <c r="X812" s="103">
        <f t="shared" si="173"/>
        <v>249.6874999931606</v>
      </c>
      <c r="Y812" s="82" t="s">
        <v>1050</v>
      </c>
      <c r="Z812" s="82">
        <v>45368.710416666669</v>
      </c>
      <c r="AA812" s="82">
        <f>Z812+TIME(0,75,0)</f>
        <v>45368.762500000004</v>
      </c>
      <c r="AB812" s="81">
        <f t="shared" si="174"/>
        <v>73.4375000034197</v>
      </c>
      <c r="AC812" s="82" t="s">
        <v>1673</v>
      </c>
      <c r="AD812" s="83">
        <f t="shared" si="175"/>
        <v>1.7694444444496185</v>
      </c>
      <c r="AE812" s="83">
        <v>3</v>
      </c>
      <c r="AF812" s="83">
        <f t="shared" si="176"/>
        <v>1.2305555555503815</v>
      </c>
      <c r="AG812" s="83">
        <f t="shared" si="177"/>
        <v>42.466666666790843</v>
      </c>
      <c r="AH812" s="83">
        <f t="shared" si="178"/>
        <v>12</v>
      </c>
      <c r="AI812" s="83">
        <f t="shared" si="179"/>
        <v>30.466666666790843</v>
      </c>
      <c r="AJ812" s="83">
        <f t="shared" si="180"/>
        <v>5.1203501093883208</v>
      </c>
      <c r="AK812" s="83"/>
      <c r="AL812" s="83"/>
      <c r="AM812" s="83"/>
      <c r="AN812" s="83"/>
    </row>
    <row r="813" spans="1:41" ht="15" hidden="1" x14ac:dyDescent="0.25">
      <c r="A813" s="82">
        <v>45741</v>
      </c>
      <c r="B813" s="94" t="str">
        <f t="shared" si="169"/>
        <v>March</v>
      </c>
      <c r="C813" s="79" t="s">
        <v>2162</v>
      </c>
      <c r="D813" s="79" t="s">
        <v>1589</v>
      </c>
      <c r="E813" s="79" t="s">
        <v>1017</v>
      </c>
      <c r="F813" s="79" t="s">
        <v>1033</v>
      </c>
      <c r="G813" s="79" t="s">
        <v>41</v>
      </c>
      <c r="H813" s="79" t="s">
        <v>452</v>
      </c>
      <c r="I813" s="79">
        <v>156</v>
      </c>
      <c r="J813" s="79" t="s">
        <v>1589</v>
      </c>
      <c r="K813" s="80" t="s">
        <v>469</v>
      </c>
      <c r="L813" s="79">
        <v>690</v>
      </c>
      <c r="M813" s="80">
        <f>L813-2</f>
        <v>688</v>
      </c>
      <c r="N813" s="81">
        <f t="shared" si="181"/>
        <v>-2</v>
      </c>
      <c r="O813" s="80"/>
      <c r="P813" s="82">
        <f>R813-TIME(0,28,0)</f>
        <v>45368.397916666669</v>
      </c>
      <c r="Q813" s="82">
        <v>45368.098611111112</v>
      </c>
      <c r="R813" s="82">
        <v>45368.417361111111</v>
      </c>
      <c r="S813" s="81">
        <f t="shared" si="182"/>
        <v>456.87499999791424</v>
      </c>
      <c r="T813" s="81">
        <f t="shared" si="172"/>
        <v>27.870370367357584</v>
      </c>
      <c r="U813" s="79"/>
      <c r="V813" s="82">
        <v>45368.165277777778</v>
      </c>
      <c r="W813" s="82">
        <v>45368.870833333334</v>
      </c>
      <c r="X813" s="103">
        <f t="shared" si="173"/>
        <v>994.83333333424525</v>
      </c>
      <c r="Y813" s="82" t="s">
        <v>1046</v>
      </c>
      <c r="Z813" s="82">
        <v>45369.779861111114</v>
      </c>
      <c r="AA813" s="82">
        <f>Z813+TIME(0,56,0)</f>
        <v>45369.818750000006</v>
      </c>
      <c r="AB813" s="81">
        <f t="shared" si="174"/>
        <v>54.833333337664953</v>
      </c>
      <c r="AC813" s="82"/>
      <c r="AD813" s="83">
        <f t="shared" si="175"/>
        <v>1.3625000000029104</v>
      </c>
      <c r="AE813" s="83">
        <v>3</v>
      </c>
      <c r="AF813" s="83">
        <f t="shared" si="176"/>
        <v>1.6374999999970896</v>
      </c>
      <c r="AG813" s="83">
        <f t="shared" si="177"/>
        <v>32.700000000069849</v>
      </c>
      <c r="AH813" s="83">
        <f t="shared" si="178"/>
        <v>12</v>
      </c>
      <c r="AI813" s="83">
        <f t="shared" si="179"/>
        <v>20.700000000069849</v>
      </c>
      <c r="AJ813" s="83">
        <f t="shared" si="180"/>
        <v>7.5362318840325413</v>
      </c>
      <c r="AK813" s="83"/>
      <c r="AL813" s="83"/>
      <c r="AM813" s="83"/>
      <c r="AN813" s="83"/>
    </row>
    <row r="814" spans="1:41" ht="15" hidden="1" x14ac:dyDescent="0.25">
      <c r="A814" s="82">
        <v>45741</v>
      </c>
      <c r="B814" s="94" t="str">
        <f t="shared" si="169"/>
        <v>March</v>
      </c>
      <c r="C814" s="79" t="s">
        <v>2162</v>
      </c>
      <c r="D814" s="79" t="s">
        <v>1590</v>
      </c>
      <c r="E814" s="79" t="s">
        <v>1017</v>
      </c>
      <c r="F814" s="79"/>
      <c r="G814" s="79" t="s">
        <v>59</v>
      </c>
      <c r="H814" s="79" t="s">
        <v>457</v>
      </c>
      <c r="I814" s="79">
        <v>156</v>
      </c>
      <c r="J814" s="79" t="s">
        <v>1590</v>
      </c>
      <c r="K814" s="80" t="s">
        <v>469</v>
      </c>
      <c r="L814" s="79">
        <v>320</v>
      </c>
      <c r="M814" s="80">
        <f>L814-1</f>
        <v>319</v>
      </c>
      <c r="N814" s="81">
        <f t="shared" si="181"/>
        <v>-1</v>
      </c>
      <c r="O814" s="80"/>
      <c r="P814" s="82">
        <f>R814-TIME(0,28,0)</f>
        <v>45369.354375000003</v>
      </c>
      <c r="Q814" s="82">
        <v>45369.312708333331</v>
      </c>
      <c r="R814" s="82">
        <v>45369.373819444445</v>
      </c>
      <c r="S814" s="81">
        <f t="shared" si="182"/>
        <v>87.592592596532384</v>
      </c>
      <c r="T814" s="81">
        <f t="shared" si="172"/>
        <v>27.870370367357584</v>
      </c>
      <c r="U814" s="79"/>
      <c r="V814" s="82">
        <v>45369.402986111112</v>
      </c>
      <c r="W814" s="82">
        <v>45369.553680555553</v>
      </c>
      <c r="X814" s="103">
        <f t="shared" si="173"/>
        <v>212.47916666165111</v>
      </c>
      <c r="Y814" s="82" t="s">
        <v>1048</v>
      </c>
      <c r="Z814" s="82">
        <v>45370.573125000003</v>
      </c>
      <c r="AA814" s="82">
        <f>Z814+TIME(0,41,0)</f>
        <v>45370.601597222223</v>
      </c>
      <c r="AB814" s="81">
        <f t="shared" si="174"/>
        <v>40.145833330825553</v>
      </c>
      <c r="AC814" s="82"/>
      <c r="AD814" s="83">
        <f t="shared" si="175"/>
        <v>1.1993055555576575</v>
      </c>
      <c r="AE814" s="83">
        <v>2</v>
      </c>
      <c r="AF814" s="83">
        <f t="shared" si="176"/>
        <v>0.8006944444423425</v>
      </c>
      <c r="AG814" s="83">
        <f t="shared" si="177"/>
        <v>28.78333333338378</v>
      </c>
      <c r="AH814" s="83">
        <f t="shared" si="178"/>
        <v>12</v>
      </c>
      <c r="AI814" s="83">
        <f t="shared" si="179"/>
        <v>16.78333333338378</v>
      </c>
      <c r="AJ814" s="83">
        <f t="shared" si="180"/>
        <v>9.2949354518092022</v>
      </c>
      <c r="AK814" s="83"/>
      <c r="AL814" s="83"/>
      <c r="AM814" s="83"/>
      <c r="AN814" s="83"/>
    </row>
    <row r="815" spans="1:41" ht="15" hidden="1" x14ac:dyDescent="0.25">
      <c r="A815" s="82">
        <v>45741</v>
      </c>
      <c r="B815" s="94" t="str">
        <f t="shared" si="169"/>
        <v>March</v>
      </c>
      <c r="C815" s="79" t="s">
        <v>2162</v>
      </c>
      <c r="D815" s="79" t="s">
        <v>1591</v>
      </c>
      <c r="E815" s="79" t="s">
        <v>1017</v>
      </c>
      <c r="F815" s="79" t="s">
        <v>1027</v>
      </c>
      <c r="G815" s="79" t="s">
        <v>34</v>
      </c>
      <c r="H815" s="79" t="s">
        <v>454</v>
      </c>
      <c r="I815" s="79">
        <v>156</v>
      </c>
      <c r="J815" s="79" t="s">
        <v>1591</v>
      </c>
      <c r="K815" s="80" t="s">
        <v>469</v>
      </c>
      <c r="L815" s="80">
        <v>304</v>
      </c>
      <c r="M815" s="80">
        <f>L815-1</f>
        <v>303</v>
      </c>
      <c r="N815" s="81">
        <f t="shared" si="181"/>
        <v>-1</v>
      </c>
      <c r="O815" s="80"/>
      <c r="P815" s="82">
        <f t="shared" ref="P815" si="194">R815-TIME(0,26,0)</f>
        <v>45370.375694444447</v>
      </c>
      <c r="Q815" s="82">
        <v>45369.333333333336</v>
      </c>
      <c r="R815" s="82">
        <v>45370.393750000003</v>
      </c>
      <c r="S815" s="81">
        <f t="shared" si="182"/>
        <v>1519.9305555562507</v>
      </c>
      <c r="T815" s="81">
        <f t="shared" si="172"/>
        <v>25.879629630556639</v>
      </c>
      <c r="U815" s="79"/>
      <c r="V815" s="82">
        <v>45370.854166666664</v>
      </c>
      <c r="W815" s="82">
        <v>45371.152777777781</v>
      </c>
      <c r="X815" s="103">
        <f t="shared" si="173"/>
        <v>421.04166667464597</v>
      </c>
      <c r="Y815" s="82" t="s">
        <v>1044</v>
      </c>
      <c r="Z815" s="82">
        <v>45372.452777777777</v>
      </c>
      <c r="AA815" s="82">
        <f>Z815+TIME(0,54,0)</f>
        <v>45372.490277777775</v>
      </c>
      <c r="AB815" s="81">
        <f t="shared" si="174"/>
        <v>52.87499999794818</v>
      </c>
      <c r="AC815" s="82"/>
      <c r="AD815" s="83">
        <f t="shared" si="175"/>
        <v>2.0590277777737356</v>
      </c>
      <c r="AE815" s="83">
        <v>2</v>
      </c>
      <c r="AF815" s="83">
        <f t="shared" si="176"/>
        <v>-5.9027777773735579E-2</v>
      </c>
      <c r="AG815" s="83">
        <f t="shared" si="177"/>
        <v>49.416666666569654</v>
      </c>
      <c r="AH815" s="83">
        <f t="shared" si="178"/>
        <v>24</v>
      </c>
      <c r="AI815" s="83">
        <f t="shared" si="179"/>
        <v>25.416666666569654</v>
      </c>
      <c r="AJ815" s="83">
        <f t="shared" si="180"/>
        <v>6.1377049180562135</v>
      </c>
      <c r="AK815" s="83"/>
      <c r="AL815" s="83"/>
      <c r="AM815" s="83"/>
      <c r="AN815" s="83"/>
    </row>
    <row r="816" spans="1:41" ht="15" hidden="1" x14ac:dyDescent="0.25">
      <c r="A816" s="82">
        <v>45741</v>
      </c>
      <c r="B816" s="94" t="str">
        <f t="shared" si="169"/>
        <v>March</v>
      </c>
      <c r="C816" s="79" t="s">
        <v>2161</v>
      </c>
      <c r="D816" s="79" t="s">
        <v>1592</v>
      </c>
      <c r="E816" s="79" t="s">
        <v>1017</v>
      </c>
      <c r="F816" s="79"/>
      <c r="G816" s="79" t="s">
        <v>980</v>
      </c>
      <c r="H816" s="79" t="s">
        <v>461</v>
      </c>
      <c r="I816" s="79">
        <v>153.6</v>
      </c>
      <c r="J816" s="79" t="s">
        <v>1592</v>
      </c>
      <c r="K816" s="80" t="s">
        <v>469</v>
      </c>
      <c r="L816" s="80">
        <v>298</v>
      </c>
      <c r="M816" s="80">
        <f>L816-3</f>
        <v>295</v>
      </c>
      <c r="N816" s="81">
        <f t="shared" si="181"/>
        <v>-3</v>
      </c>
      <c r="O816" s="80"/>
      <c r="P816" s="82">
        <f>R816-TIME(0,27,0)</f>
        <v>45370.274999999994</v>
      </c>
      <c r="Q816" s="82">
        <v>45369.333333333336</v>
      </c>
      <c r="R816" s="82">
        <v>45370.293749999997</v>
      </c>
      <c r="S816" s="81">
        <f t="shared" si="182"/>
        <v>1376.5972222145745</v>
      </c>
      <c r="T816" s="81">
        <f t="shared" si="172"/>
        <v>26.87500000417155</v>
      </c>
      <c r="U816" s="79"/>
      <c r="V816" s="82">
        <v>45370.629861111112</v>
      </c>
      <c r="W816" s="82">
        <v>45370.885416666664</v>
      </c>
      <c r="X816" s="103">
        <f t="shared" si="173"/>
        <v>360.33333332808979</v>
      </c>
      <c r="Y816" s="82" t="s">
        <v>1049</v>
      </c>
      <c r="Z816" s="82">
        <v>45371.817361111112</v>
      </c>
      <c r="AA816" s="82">
        <f>Z816+TIME(0,43,0)</f>
        <v>45371.847222222226</v>
      </c>
      <c r="AB816" s="81">
        <f t="shared" si="174"/>
        <v>42.104166670542327</v>
      </c>
      <c r="AC816" s="82" t="s">
        <v>1673</v>
      </c>
      <c r="AD816" s="83">
        <f t="shared" si="175"/>
        <v>1.523611111115315</v>
      </c>
      <c r="AE816" s="83">
        <v>2</v>
      </c>
      <c r="AF816" s="83">
        <f t="shared" si="176"/>
        <v>0.476388888884685</v>
      </c>
      <c r="AG816" s="83">
        <f t="shared" si="177"/>
        <v>36.56666666676756</v>
      </c>
      <c r="AH816" s="83">
        <f t="shared" si="178"/>
        <v>12</v>
      </c>
      <c r="AI816" s="83">
        <f t="shared" si="179"/>
        <v>24.56666666676756</v>
      </c>
      <c r="AJ816" s="83">
        <f t="shared" si="180"/>
        <v>6.2523744911547832</v>
      </c>
      <c r="AK816" s="83"/>
      <c r="AL816" s="83"/>
      <c r="AM816" s="83"/>
      <c r="AN816" s="83"/>
    </row>
    <row r="817" spans="1:40" ht="15" hidden="1" x14ac:dyDescent="0.25">
      <c r="A817" s="82">
        <v>45741</v>
      </c>
      <c r="B817" s="94" t="str">
        <f t="shared" si="169"/>
        <v>March</v>
      </c>
      <c r="C817" s="79" t="s">
        <v>2162</v>
      </c>
      <c r="D817" s="79" t="s">
        <v>1593</v>
      </c>
      <c r="E817" s="79" t="s">
        <v>1017</v>
      </c>
      <c r="F817" s="79" t="s">
        <v>1035</v>
      </c>
      <c r="G817" s="79" t="s">
        <v>44</v>
      </c>
      <c r="H817" s="79" t="s">
        <v>451</v>
      </c>
      <c r="I817" s="79">
        <v>156</v>
      </c>
      <c r="J817" s="79" t="s">
        <v>1593</v>
      </c>
      <c r="K817" s="80" t="s">
        <v>469</v>
      </c>
      <c r="L817" s="80">
        <v>790</v>
      </c>
      <c r="M817" s="80">
        <f>L817-1</f>
        <v>789</v>
      </c>
      <c r="N817" s="81">
        <f t="shared" si="181"/>
        <v>-1</v>
      </c>
      <c r="O817" s="80"/>
      <c r="P817" s="82">
        <f>R817-TIME(0,28,0)</f>
        <v>45370.359027777777</v>
      </c>
      <c r="Q817" s="82">
        <v>45369.913194444445</v>
      </c>
      <c r="R817" s="82">
        <v>45370.378472222219</v>
      </c>
      <c r="S817" s="81">
        <f t="shared" si="182"/>
        <v>666.89814814235433</v>
      </c>
      <c r="T817" s="81">
        <f t="shared" si="172"/>
        <v>27.870370367357584</v>
      </c>
      <c r="U817" s="79"/>
      <c r="V817" s="82">
        <v>45370.904861111114</v>
      </c>
      <c r="W817" s="82">
        <v>45371.805555555555</v>
      </c>
      <c r="X817" s="103">
        <f t="shared" si="173"/>
        <v>1269.9791666616511</v>
      </c>
      <c r="Y817" s="82" t="s">
        <v>1044</v>
      </c>
      <c r="Z817" s="82">
        <v>45371.768750000003</v>
      </c>
      <c r="AA817" s="82">
        <f>Z817+TIME(0,56,0)</f>
        <v>45371.807638888895</v>
      </c>
      <c r="AB817" s="81">
        <f t="shared" si="174"/>
        <v>54.833333337664953</v>
      </c>
      <c r="AC817" s="82"/>
      <c r="AD817" s="83">
        <f t="shared" si="175"/>
        <v>1.3902777777839219</v>
      </c>
      <c r="AE817" s="83">
        <v>3</v>
      </c>
      <c r="AF817" s="83">
        <f t="shared" si="176"/>
        <v>1.6097222222160781</v>
      </c>
      <c r="AG817" s="83">
        <f t="shared" si="177"/>
        <v>33.366666666814126</v>
      </c>
      <c r="AH817" s="83">
        <f t="shared" si="178"/>
        <v>12</v>
      </c>
      <c r="AI817" s="83">
        <f t="shared" si="179"/>
        <v>21.366666666814126</v>
      </c>
      <c r="AJ817" s="83">
        <f t="shared" si="180"/>
        <v>7.3010920436313596</v>
      </c>
      <c r="AK817" s="83"/>
      <c r="AL817" s="83"/>
      <c r="AM817" s="83"/>
      <c r="AN817" s="83"/>
    </row>
    <row r="818" spans="1:40" ht="15" hidden="1" x14ac:dyDescent="0.25">
      <c r="A818" s="82">
        <v>45741</v>
      </c>
      <c r="B818" s="94" t="str">
        <f t="shared" si="169"/>
        <v>March</v>
      </c>
      <c r="C818" s="79" t="s">
        <v>2162</v>
      </c>
      <c r="D818" s="79" t="s">
        <v>1594</v>
      </c>
      <c r="E818" s="79" t="s">
        <v>1017</v>
      </c>
      <c r="F818" s="79"/>
      <c r="G818" s="79" t="s">
        <v>70</v>
      </c>
      <c r="H818" s="79" t="s">
        <v>452</v>
      </c>
      <c r="I818" s="79">
        <v>156</v>
      </c>
      <c r="J818" s="79" t="s">
        <v>1594</v>
      </c>
      <c r="K818" s="80" t="s">
        <v>469</v>
      </c>
      <c r="L818" s="79">
        <v>690</v>
      </c>
      <c r="M818" s="80">
        <f>L818-1</f>
        <v>689</v>
      </c>
      <c r="N818" s="81">
        <f t="shared" si="181"/>
        <v>-1</v>
      </c>
      <c r="O818" s="80"/>
      <c r="P818" s="82">
        <f>R818-TIME(0,28,0)</f>
        <v>45369.645138888889</v>
      </c>
      <c r="Q818" s="82">
        <v>45369.90625</v>
      </c>
      <c r="R818" s="82">
        <v>45369.664583333331</v>
      </c>
      <c r="S818" s="81">
        <f t="shared" si="182"/>
        <v>-346.38888889166992</v>
      </c>
      <c r="T818" s="81">
        <f t="shared" si="172"/>
        <v>27.870370367357584</v>
      </c>
      <c r="U818" s="79"/>
      <c r="V818" s="82">
        <v>45371.386805555558</v>
      </c>
      <c r="W818" s="82">
        <v>45371.565972222219</v>
      </c>
      <c r="X818" s="103">
        <f t="shared" si="173"/>
        <v>252.62499999247666</v>
      </c>
      <c r="Y818" s="82" t="s">
        <v>1047</v>
      </c>
      <c r="Z818" s="82">
        <v>45370.762499999997</v>
      </c>
      <c r="AA818" s="82">
        <f>Z818+TIME(0,82,0)</f>
        <v>45370.819444444438</v>
      </c>
      <c r="AB818" s="81">
        <f t="shared" si="174"/>
        <v>80.291666661651107</v>
      </c>
      <c r="AC818" s="82" t="s">
        <v>1675</v>
      </c>
      <c r="AD818" s="83">
        <f t="shared" si="175"/>
        <v>1.0979166666656965</v>
      </c>
      <c r="AE818" s="83">
        <v>3</v>
      </c>
      <c r="AF818" s="83">
        <f t="shared" si="176"/>
        <v>1.9020833333343035</v>
      </c>
      <c r="AG818" s="83">
        <f t="shared" si="177"/>
        <v>26.349999999976717</v>
      </c>
      <c r="AH818" s="83">
        <f t="shared" si="178"/>
        <v>12</v>
      </c>
      <c r="AI818" s="83">
        <f t="shared" si="179"/>
        <v>14.349999999976717</v>
      </c>
      <c r="AJ818" s="83">
        <f t="shared" si="180"/>
        <v>10.871080139390461</v>
      </c>
      <c r="AK818" s="83"/>
      <c r="AL818" s="83"/>
      <c r="AM818" s="83"/>
      <c r="AN818" s="83"/>
    </row>
    <row r="819" spans="1:40" ht="15" hidden="1" x14ac:dyDescent="0.25">
      <c r="A819" s="82">
        <v>45741</v>
      </c>
      <c r="B819" s="94" t="str">
        <f t="shared" si="169"/>
        <v>March</v>
      </c>
      <c r="C819" s="79" t="s">
        <v>2162</v>
      </c>
      <c r="D819" s="79" t="s">
        <v>1595</v>
      </c>
      <c r="E819" s="79" t="s">
        <v>1017</v>
      </c>
      <c r="F819" s="79"/>
      <c r="G819" s="79" t="s">
        <v>74</v>
      </c>
      <c r="H819" s="79" t="s">
        <v>458</v>
      </c>
      <c r="I819" s="79">
        <v>156</v>
      </c>
      <c r="J819" s="79" t="s">
        <v>1595</v>
      </c>
      <c r="K819" s="80" t="s">
        <v>469</v>
      </c>
      <c r="L819" s="80">
        <v>448</v>
      </c>
      <c r="M819" s="80">
        <f>L819-3</f>
        <v>445</v>
      </c>
      <c r="N819" s="81">
        <f t="shared" si="181"/>
        <v>-3</v>
      </c>
      <c r="O819" s="80"/>
      <c r="P819" s="82">
        <f t="shared" ref="P819" si="195">R819-TIME(0,26,0)</f>
        <v>45370.300694444442</v>
      </c>
      <c r="Q819" s="82">
        <v>45370.658333333333</v>
      </c>
      <c r="R819" s="82">
        <v>45370.318749999999</v>
      </c>
      <c r="S819" s="81">
        <f t="shared" si="182"/>
        <v>-486.73611111250165</v>
      </c>
      <c r="T819" s="81">
        <f t="shared" si="172"/>
        <v>25.879629630556639</v>
      </c>
      <c r="U819" s="79"/>
      <c r="V819" s="82">
        <v>45370.906944444447</v>
      </c>
      <c r="W819" s="82">
        <v>45371.59375</v>
      </c>
      <c r="X819" s="103">
        <f t="shared" si="173"/>
        <v>968.39583333014161</v>
      </c>
      <c r="Y819" s="82" t="s">
        <v>1049</v>
      </c>
      <c r="Z819" s="82">
        <v>45372.268055555556</v>
      </c>
      <c r="AA819" s="82">
        <f>Z819+TIME(0,43,0)</f>
        <v>45372.29791666667</v>
      </c>
      <c r="AB819" s="81">
        <f t="shared" si="174"/>
        <v>42.104166670542327</v>
      </c>
      <c r="AC819" s="82" t="s">
        <v>1673</v>
      </c>
      <c r="AD819" s="83">
        <f t="shared" si="175"/>
        <v>1.9493055555576575</v>
      </c>
      <c r="AE819" s="83">
        <v>2</v>
      </c>
      <c r="AF819" s="83">
        <f t="shared" si="176"/>
        <v>5.0694444442342501E-2</v>
      </c>
      <c r="AG819" s="83">
        <f t="shared" si="177"/>
        <v>46.78333333338378</v>
      </c>
      <c r="AH819" s="83">
        <f t="shared" si="178"/>
        <v>12</v>
      </c>
      <c r="AI819" s="83">
        <f t="shared" si="179"/>
        <v>34.78333333338378</v>
      </c>
      <c r="AJ819" s="83">
        <f t="shared" si="180"/>
        <v>4.4849065644400694</v>
      </c>
      <c r="AK819" s="83"/>
      <c r="AL819" s="83"/>
      <c r="AM819" s="83"/>
      <c r="AN819" s="83"/>
    </row>
    <row r="820" spans="1:40" ht="15" hidden="1" x14ac:dyDescent="0.25">
      <c r="A820" s="82">
        <v>45742</v>
      </c>
      <c r="B820" s="94" t="str">
        <f t="shared" si="169"/>
        <v>March</v>
      </c>
      <c r="C820" s="79" t="s">
        <v>2162</v>
      </c>
      <c r="D820" s="79" t="s">
        <v>1596</v>
      </c>
      <c r="E820" s="79" t="s">
        <v>1017</v>
      </c>
      <c r="F820" s="79" t="s">
        <v>1667</v>
      </c>
      <c r="G820" s="79" t="s">
        <v>977</v>
      </c>
      <c r="H820" s="79" t="s">
        <v>456</v>
      </c>
      <c r="I820" s="79">
        <v>78</v>
      </c>
      <c r="J820" s="79" t="s">
        <v>1596</v>
      </c>
      <c r="K820" s="80" t="s">
        <v>469</v>
      </c>
      <c r="L820" s="80">
        <v>670</v>
      </c>
      <c r="M820" s="80">
        <f>L820-3</f>
        <v>667</v>
      </c>
      <c r="N820" s="81">
        <f t="shared" si="181"/>
        <v>-3</v>
      </c>
      <c r="O820" s="80"/>
      <c r="P820" s="82">
        <f>R820-TIME(0,24,0)</f>
        <v>45370.378472222219</v>
      </c>
      <c r="Q820" s="82">
        <v>45369.842361111114</v>
      </c>
      <c r="R820" s="82">
        <v>45370.395138888889</v>
      </c>
      <c r="S820" s="81">
        <f t="shared" si="182"/>
        <v>792.31481481110677</v>
      </c>
      <c r="T820" s="81">
        <f t="shared" si="172"/>
        <v>23.888888893755695</v>
      </c>
      <c r="U820" s="79"/>
      <c r="V820" s="82">
        <v>45370.788888888892</v>
      </c>
      <c r="W820" s="82">
        <v>45371.640972222223</v>
      </c>
      <c r="X820" s="103">
        <f t="shared" si="173"/>
        <v>1201.4374999972642</v>
      </c>
      <c r="Y820" s="82" t="s">
        <v>1038</v>
      </c>
      <c r="Z820" s="82">
        <v>45372.595138888886</v>
      </c>
      <c r="AA820" s="82">
        <f>Z820+TIME(0,56,0)</f>
        <v>45372.634027777778</v>
      </c>
      <c r="AB820" s="81">
        <f t="shared" si="174"/>
        <v>54.833333337664953</v>
      </c>
      <c r="AC820" s="82"/>
      <c r="AD820" s="83">
        <f t="shared" si="175"/>
        <v>2.1999999999970896</v>
      </c>
      <c r="AE820" s="83">
        <v>2</v>
      </c>
      <c r="AF820" s="83">
        <f t="shared" si="176"/>
        <v>-0.19999999999708962</v>
      </c>
      <c r="AG820" s="83">
        <f t="shared" si="177"/>
        <v>52.799999999930151</v>
      </c>
      <c r="AH820" s="83">
        <f t="shared" si="178"/>
        <v>24</v>
      </c>
      <c r="AI820" s="83">
        <f t="shared" si="179"/>
        <v>28.799999999930151</v>
      </c>
      <c r="AJ820" s="83">
        <f t="shared" si="180"/>
        <v>2.708333333339902</v>
      </c>
      <c r="AK820" s="83"/>
      <c r="AL820" s="83"/>
      <c r="AM820" s="83"/>
      <c r="AN820" s="83"/>
    </row>
    <row r="821" spans="1:40" ht="15" hidden="1" x14ac:dyDescent="0.25">
      <c r="A821" s="82">
        <v>45742</v>
      </c>
      <c r="B821" s="94" t="str">
        <f t="shared" si="169"/>
        <v>March</v>
      </c>
      <c r="C821" s="79" t="s">
        <v>2161</v>
      </c>
      <c r="D821" s="79" t="s">
        <v>1597</v>
      </c>
      <c r="E821" s="79" t="s">
        <v>1017</v>
      </c>
      <c r="F821" s="79"/>
      <c r="G821" s="79" t="s">
        <v>974</v>
      </c>
      <c r="H821" s="79" t="s">
        <v>457</v>
      </c>
      <c r="I821" s="79">
        <v>153.6</v>
      </c>
      <c r="J821" s="79" t="s">
        <v>1597</v>
      </c>
      <c r="K821" s="80" t="s">
        <v>469</v>
      </c>
      <c r="L821" s="79">
        <v>320</v>
      </c>
      <c r="M821" s="80">
        <f>L821-160</f>
        <v>160</v>
      </c>
      <c r="N821" s="81">
        <f t="shared" si="181"/>
        <v>-160</v>
      </c>
      <c r="O821" s="80"/>
      <c r="P821" s="82">
        <f>R821-TIME(0,27,0)</f>
        <v>45370.274999999994</v>
      </c>
      <c r="Q821" s="82">
        <v>45369.842361111114</v>
      </c>
      <c r="R821" s="82">
        <v>45370.293749999997</v>
      </c>
      <c r="S821" s="81">
        <f t="shared" si="182"/>
        <v>646.99074073262943</v>
      </c>
      <c r="T821" s="81">
        <f t="shared" si="172"/>
        <v>26.87500000417155</v>
      </c>
      <c r="U821" s="79"/>
      <c r="V821" s="82">
        <v>45371.570138888892</v>
      </c>
      <c r="W821" s="82">
        <v>45371.6875</v>
      </c>
      <c r="X821" s="103">
        <f t="shared" si="173"/>
        <v>165.47916666233505</v>
      </c>
      <c r="Y821" s="82"/>
      <c r="Z821" s="82">
        <v>45372.161111111112</v>
      </c>
      <c r="AA821" s="82">
        <f>Z821+TIME(0,50,0)</f>
        <v>45372.195833333331</v>
      </c>
      <c r="AB821" s="81">
        <f t="shared" si="174"/>
        <v>48.958333328773733</v>
      </c>
      <c r="AC821" s="82"/>
      <c r="AD821" s="83">
        <f t="shared" si="175"/>
        <v>1.867361111115315</v>
      </c>
      <c r="AE821" s="83">
        <v>2</v>
      </c>
      <c r="AF821" s="83">
        <f t="shared" si="176"/>
        <v>0.132638888884685</v>
      </c>
      <c r="AG821" s="83">
        <f t="shared" si="177"/>
        <v>44.81666666676756</v>
      </c>
      <c r="AH821" s="83">
        <f t="shared" si="178"/>
        <v>12</v>
      </c>
      <c r="AI821" s="83">
        <f t="shared" si="179"/>
        <v>32.81666666676756</v>
      </c>
      <c r="AJ821" s="83">
        <f t="shared" si="180"/>
        <v>4.6805485017631616</v>
      </c>
      <c r="AK821" s="83"/>
      <c r="AL821" s="83"/>
      <c r="AM821" s="83"/>
      <c r="AN821" s="83"/>
    </row>
    <row r="822" spans="1:40" ht="15" hidden="1" x14ac:dyDescent="0.25">
      <c r="A822" s="82">
        <v>45742</v>
      </c>
      <c r="B822" s="94" t="str">
        <f t="shared" si="169"/>
        <v>March</v>
      </c>
      <c r="C822" s="79" t="s">
        <v>2161</v>
      </c>
      <c r="D822" s="79" t="s">
        <v>1598</v>
      </c>
      <c r="E822" s="79" t="s">
        <v>1017</v>
      </c>
      <c r="F822" s="79"/>
      <c r="G822" s="79" t="s">
        <v>979</v>
      </c>
      <c r="H822" s="79" t="s">
        <v>1284</v>
      </c>
      <c r="I822" s="79">
        <v>153.6</v>
      </c>
      <c r="J822" s="79" t="s">
        <v>1598</v>
      </c>
      <c r="K822" s="80" t="s">
        <v>469</v>
      </c>
      <c r="L822" s="79">
        <v>620</v>
      </c>
      <c r="M822" s="80">
        <f>L822-3</f>
        <v>617</v>
      </c>
      <c r="N822" s="81">
        <f t="shared" si="181"/>
        <v>-3</v>
      </c>
      <c r="O822" s="80"/>
      <c r="P822" s="82">
        <f>R822-TIME(0,29,0)</f>
        <v>45370.402083333334</v>
      </c>
      <c r="Q822" s="82">
        <v>45369.333333333336</v>
      </c>
      <c r="R822" s="82">
        <v>45370.422222222223</v>
      </c>
      <c r="S822" s="81">
        <f t="shared" si="182"/>
        <v>1560.7407407388866</v>
      </c>
      <c r="T822" s="81">
        <f t="shared" si="172"/>
        <v>28.865740740972495</v>
      </c>
      <c r="U822" s="79"/>
      <c r="V822" s="82">
        <v>45370.45</v>
      </c>
      <c r="W822" s="82">
        <v>45370.663194444445</v>
      </c>
      <c r="X822" s="103">
        <f t="shared" si="173"/>
        <v>300.60416667191021</v>
      </c>
      <c r="Y822" s="82" t="s">
        <v>1044</v>
      </c>
      <c r="Z822" s="82">
        <v>45371.640277777777</v>
      </c>
      <c r="AA822" s="82">
        <f>Z822+TIME(0,43,0)</f>
        <v>45371.670138888891</v>
      </c>
      <c r="AB822" s="81">
        <f t="shared" si="174"/>
        <v>42.104166670542327</v>
      </c>
      <c r="AC822" s="82"/>
      <c r="AD822" s="83">
        <f t="shared" si="175"/>
        <v>1.2180555555532919</v>
      </c>
      <c r="AE822" s="83">
        <v>3</v>
      </c>
      <c r="AF822" s="83">
        <f t="shared" si="176"/>
        <v>1.7819444444467081</v>
      </c>
      <c r="AG822" s="83">
        <f t="shared" si="177"/>
        <v>29.233333333279006</v>
      </c>
      <c r="AH822" s="83">
        <f t="shared" si="178"/>
        <v>12</v>
      </c>
      <c r="AI822" s="83">
        <f t="shared" si="179"/>
        <v>17.233333333279006</v>
      </c>
      <c r="AJ822" s="83">
        <f t="shared" si="180"/>
        <v>8.912959381072584</v>
      </c>
      <c r="AK822" s="83"/>
      <c r="AL822" s="83"/>
      <c r="AM822" s="83"/>
      <c r="AN822" s="83"/>
    </row>
    <row r="823" spans="1:40" ht="15" hidden="1" x14ac:dyDescent="0.25">
      <c r="A823" s="82">
        <v>45742</v>
      </c>
      <c r="B823" s="94" t="str">
        <f t="shared" si="169"/>
        <v>March</v>
      </c>
      <c r="C823" s="79" t="s">
        <v>2162</v>
      </c>
      <c r="D823" s="79" t="s">
        <v>1599</v>
      </c>
      <c r="E823" s="79" t="s">
        <v>1017</v>
      </c>
      <c r="F823" s="79" t="s">
        <v>1023</v>
      </c>
      <c r="G823" s="79" t="s">
        <v>61</v>
      </c>
      <c r="H823" s="79" t="s">
        <v>458</v>
      </c>
      <c r="I823" s="79">
        <v>156</v>
      </c>
      <c r="J823" s="79" t="s">
        <v>1599</v>
      </c>
      <c r="K823" s="80" t="s">
        <v>469</v>
      </c>
      <c r="L823" s="80">
        <v>448</v>
      </c>
      <c r="M823" s="80">
        <f>L823-3</f>
        <v>445</v>
      </c>
      <c r="N823" s="81">
        <f t="shared" si="181"/>
        <v>-3</v>
      </c>
      <c r="O823" s="80"/>
      <c r="P823" s="82">
        <f t="shared" ref="P823" si="196">R823-TIME(0,26,0)</f>
        <v>45370.347986111112</v>
      </c>
      <c r="Q823" s="82">
        <v>45370.312569444446</v>
      </c>
      <c r="R823" s="82">
        <v>45370.366041666668</v>
      </c>
      <c r="S823" s="81">
        <f t="shared" si="182"/>
        <v>76.643518518055018</v>
      </c>
      <c r="T823" s="81">
        <f t="shared" si="172"/>
        <v>25.879629630556639</v>
      </c>
      <c r="U823" s="79"/>
      <c r="V823" s="82">
        <v>45370.500069444446</v>
      </c>
      <c r="W823" s="82">
        <v>45370.71465277778</v>
      </c>
      <c r="X823" s="103">
        <f t="shared" si="173"/>
        <v>302.56250000136788</v>
      </c>
      <c r="Y823" s="82" t="s">
        <v>1040</v>
      </c>
      <c r="Z823" s="82">
        <v>45371.82576388889</v>
      </c>
      <c r="AA823" s="82">
        <f>Z823+TIME(0,56,0)</f>
        <v>45371.864652777782</v>
      </c>
      <c r="AB823" s="81">
        <f t="shared" si="174"/>
        <v>54.833333337664953</v>
      </c>
      <c r="AC823" s="82" t="s">
        <v>2168</v>
      </c>
      <c r="AD823" s="83">
        <f t="shared" si="175"/>
        <v>1.4597222222218988</v>
      </c>
      <c r="AE823" s="83">
        <v>2</v>
      </c>
      <c r="AF823" s="83">
        <f t="shared" si="176"/>
        <v>0.54027777777810115</v>
      </c>
      <c r="AG823" s="83">
        <f t="shared" si="177"/>
        <v>35.033333333325572</v>
      </c>
      <c r="AH823" s="83">
        <f t="shared" si="178"/>
        <v>12</v>
      </c>
      <c r="AI823" s="83">
        <f t="shared" si="179"/>
        <v>23.033333333325572</v>
      </c>
      <c r="AJ823" s="83">
        <f t="shared" si="180"/>
        <v>6.7727930535478684</v>
      </c>
      <c r="AK823" s="83"/>
      <c r="AL823" s="83"/>
      <c r="AM823" s="83"/>
      <c r="AN823" s="83"/>
    </row>
    <row r="824" spans="1:40" ht="15" hidden="1" x14ac:dyDescent="0.25">
      <c r="A824" s="82">
        <v>45742</v>
      </c>
      <c r="B824" s="94" t="str">
        <f t="shared" si="169"/>
        <v>March</v>
      </c>
      <c r="C824" s="79" t="s">
        <v>2162</v>
      </c>
      <c r="D824" s="79" t="s">
        <v>1600</v>
      </c>
      <c r="E824" s="79" t="s">
        <v>1017</v>
      </c>
      <c r="F824" s="79" t="s">
        <v>1029</v>
      </c>
      <c r="G824" s="79" t="s">
        <v>38</v>
      </c>
      <c r="H824" s="79" t="s">
        <v>455</v>
      </c>
      <c r="I824" s="79">
        <v>156</v>
      </c>
      <c r="J824" s="79" t="s">
        <v>1600</v>
      </c>
      <c r="K824" s="80" t="s">
        <v>469</v>
      </c>
      <c r="L824" s="80">
        <v>580</v>
      </c>
      <c r="M824" s="80">
        <f>L824-3</f>
        <v>577</v>
      </c>
      <c r="N824" s="81">
        <f t="shared" si="181"/>
        <v>-3</v>
      </c>
      <c r="O824" s="80"/>
      <c r="P824" s="82">
        <f>R824-TIME(0,27,0)</f>
        <v>45370.34103009259</v>
      </c>
      <c r="Q824" s="82">
        <v>45370.312557870369</v>
      </c>
      <c r="R824" s="82">
        <v>45370.359780092593</v>
      </c>
      <c r="S824" s="81">
        <f t="shared" si="182"/>
        <v>67.685185186807459</v>
      </c>
      <c r="T824" s="81">
        <f t="shared" si="172"/>
        <v>26.87500000417155</v>
      </c>
      <c r="U824" s="79"/>
      <c r="V824" s="82">
        <v>45370.160474537035</v>
      </c>
      <c r="W824" s="82">
        <v>45370.738252314812</v>
      </c>
      <c r="X824" s="103">
        <f t="shared" si="173"/>
        <v>814.66666666507081</v>
      </c>
      <c r="Y824" s="82" t="s">
        <v>1044</v>
      </c>
      <c r="Z824" s="82">
        <v>45372.338252314818</v>
      </c>
      <c r="AA824" s="82">
        <f>Z824+TIME(0,75,0)</f>
        <v>45372.390335648153</v>
      </c>
      <c r="AB824" s="81">
        <f t="shared" si="174"/>
        <v>73.4375000034197</v>
      </c>
      <c r="AC824" s="82" t="s">
        <v>1678</v>
      </c>
      <c r="AD824" s="83">
        <f t="shared" si="175"/>
        <v>1.9784722222248092</v>
      </c>
      <c r="AE824" s="83">
        <v>2</v>
      </c>
      <c r="AF824" s="83">
        <f t="shared" si="176"/>
        <v>2.1527777775190771E-2</v>
      </c>
      <c r="AG824" s="83">
        <f t="shared" si="177"/>
        <v>47.483333333395422</v>
      </c>
      <c r="AH824" s="83">
        <f t="shared" si="178"/>
        <v>12</v>
      </c>
      <c r="AI824" s="83">
        <f t="shared" si="179"/>
        <v>35.483333333395422</v>
      </c>
      <c r="AJ824" s="83">
        <f t="shared" si="180"/>
        <v>4.3964302489354727</v>
      </c>
      <c r="AK824" s="83"/>
      <c r="AL824" s="83"/>
      <c r="AM824" s="83"/>
      <c r="AN824" s="83"/>
    </row>
    <row r="825" spans="1:40" ht="15" hidden="1" x14ac:dyDescent="0.25">
      <c r="A825" s="82">
        <v>45743</v>
      </c>
      <c r="B825" s="94" t="str">
        <f t="shared" si="169"/>
        <v>March</v>
      </c>
      <c r="C825" s="79" t="s">
        <v>2162</v>
      </c>
      <c r="D825" s="79" t="s">
        <v>1601</v>
      </c>
      <c r="E825" s="79" t="s">
        <v>1017</v>
      </c>
      <c r="F825" s="79" t="s">
        <v>1669</v>
      </c>
      <c r="G825" s="79" t="s">
        <v>82</v>
      </c>
      <c r="H825" s="79" t="s">
        <v>450</v>
      </c>
      <c r="I825" s="79">
        <v>156</v>
      </c>
      <c r="J825" s="79" t="s">
        <v>1601</v>
      </c>
      <c r="K825" s="80" t="s">
        <v>469</v>
      </c>
      <c r="L825" s="80">
        <v>288</v>
      </c>
      <c r="M825" s="80">
        <f>L825-2</f>
        <v>286</v>
      </c>
      <c r="N825" s="81">
        <f t="shared" si="181"/>
        <v>-2</v>
      </c>
      <c r="O825" s="80"/>
      <c r="P825" s="82">
        <f>R825-TIME(0,26,0)</f>
        <v>45370.640277777777</v>
      </c>
      <c r="Q825" s="82">
        <v>45369.842361111114</v>
      </c>
      <c r="R825" s="82">
        <v>45370.658333333333</v>
      </c>
      <c r="S825" s="81">
        <f t="shared" si="182"/>
        <v>1169.5601851805502</v>
      </c>
      <c r="T825" s="81">
        <f t="shared" si="172"/>
        <v>25.879629630556639</v>
      </c>
      <c r="U825" s="79"/>
      <c r="V825" s="82">
        <v>45372.408333333333</v>
      </c>
      <c r="W825" s="82">
        <v>45372.63958333333</v>
      </c>
      <c r="X825" s="103">
        <f t="shared" si="173"/>
        <v>326.06249999589636</v>
      </c>
      <c r="Y825" s="82" t="s">
        <v>1047</v>
      </c>
      <c r="Z825" s="82">
        <v>45372.330555555556</v>
      </c>
      <c r="AA825" s="82">
        <f>Z825+TIME(0,72,0)</f>
        <v>45372.380555555559</v>
      </c>
      <c r="AB825" s="81">
        <f t="shared" si="174"/>
        <v>70.50000000410364</v>
      </c>
      <c r="AC825" s="82" t="s">
        <v>1673</v>
      </c>
      <c r="AD825" s="83">
        <f t="shared" si="175"/>
        <v>1.672222222223354</v>
      </c>
      <c r="AE825" s="83">
        <v>2</v>
      </c>
      <c r="AF825" s="83">
        <f t="shared" si="176"/>
        <v>0.32777777777664596</v>
      </c>
      <c r="AG825" s="83">
        <f t="shared" si="177"/>
        <v>40.133333333360497</v>
      </c>
      <c r="AH825" s="83">
        <f t="shared" si="178"/>
        <v>12</v>
      </c>
      <c r="AI825" s="83">
        <f t="shared" si="179"/>
        <v>28.133333333360497</v>
      </c>
      <c r="AJ825" s="83">
        <f t="shared" si="180"/>
        <v>5.5450236966771103</v>
      </c>
      <c r="AK825" s="83"/>
      <c r="AL825" s="83"/>
      <c r="AM825" s="83"/>
      <c r="AN825" s="83"/>
    </row>
    <row r="826" spans="1:40" ht="15" hidden="1" x14ac:dyDescent="0.25">
      <c r="A826" s="82">
        <v>45743</v>
      </c>
      <c r="B826" s="94" t="str">
        <f t="shared" si="169"/>
        <v>March</v>
      </c>
      <c r="C826" s="79" t="s">
        <v>2162</v>
      </c>
      <c r="D826" s="79" t="s">
        <v>1602</v>
      </c>
      <c r="E826" s="79" t="s">
        <v>1017</v>
      </c>
      <c r="F826" s="79" t="s">
        <v>1669</v>
      </c>
      <c r="G826" s="79" t="s">
        <v>82</v>
      </c>
      <c r="H826" s="79" t="s">
        <v>450</v>
      </c>
      <c r="I826" s="79">
        <v>156</v>
      </c>
      <c r="J826" s="79" t="s">
        <v>1602</v>
      </c>
      <c r="K826" s="80" t="s">
        <v>469</v>
      </c>
      <c r="L826" s="80">
        <v>288</v>
      </c>
      <c r="M826" s="80">
        <f>L826-1</f>
        <v>287</v>
      </c>
      <c r="N826" s="81">
        <f t="shared" si="181"/>
        <v>-1</v>
      </c>
      <c r="O826" s="80"/>
      <c r="P826" s="82">
        <f t="shared" ref="P826" si="197">R826-TIME(0,26,0)</f>
        <v>45370.341666666667</v>
      </c>
      <c r="Q826" s="82">
        <v>45370.3125</v>
      </c>
      <c r="R826" s="82">
        <v>45370.359722222223</v>
      </c>
      <c r="S826" s="81">
        <f t="shared" si="182"/>
        <v>67.685185186807459</v>
      </c>
      <c r="T826" s="81">
        <f t="shared" si="172"/>
        <v>25.879629630556639</v>
      </c>
      <c r="U826" s="79"/>
      <c r="V826" s="82">
        <v>45371.453472222223</v>
      </c>
      <c r="W826" s="82">
        <v>45371.652083333334</v>
      </c>
      <c r="X826" s="103">
        <f t="shared" si="173"/>
        <v>280.04166666643869</v>
      </c>
      <c r="Y826" s="82" t="s">
        <v>1044</v>
      </c>
      <c r="Z826" s="82">
        <v>45372.852083333331</v>
      </c>
      <c r="AA826" s="82">
        <f>Z826+TIME(0,43,0)</f>
        <v>45372.881944444445</v>
      </c>
      <c r="AB826" s="81">
        <f t="shared" si="174"/>
        <v>42.104166670542327</v>
      </c>
      <c r="AC826" s="82"/>
      <c r="AD826" s="83">
        <f t="shared" si="175"/>
        <v>2.492361111108039</v>
      </c>
      <c r="AE826" s="83">
        <v>2</v>
      </c>
      <c r="AF826" s="83">
        <f t="shared" si="176"/>
        <v>-0.49236111110803904</v>
      </c>
      <c r="AG826" s="83">
        <f t="shared" si="177"/>
        <v>59.816666666592937</v>
      </c>
      <c r="AH826" s="83">
        <f t="shared" si="178"/>
        <v>24</v>
      </c>
      <c r="AI826" s="83">
        <f t="shared" si="179"/>
        <v>35.816666666592937</v>
      </c>
      <c r="AJ826" s="83">
        <f t="shared" si="180"/>
        <v>4.3555141926567087</v>
      </c>
      <c r="AK826" s="83"/>
      <c r="AL826" s="83"/>
      <c r="AM826" s="83"/>
      <c r="AN826" s="83"/>
    </row>
    <row r="827" spans="1:40" ht="15" hidden="1" x14ac:dyDescent="0.25">
      <c r="A827" s="82">
        <v>45743</v>
      </c>
      <c r="B827" s="94" t="str">
        <f t="shared" si="169"/>
        <v>March</v>
      </c>
      <c r="C827" s="79" t="s">
        <v>2162</v>
      </c>
      <c r="D827" s="79" t="s">
        <v>1603</v>
      </c>
      <c r="E827" s="79" t="s">
        <v>1017</v>
      </c>
      <c r="F827" s="79" t="s">
        <v>1013</v>
      </c>
      <c r="G827" s="79" t="s">
        <v>56</v>
      </c>
      <c r="H827" s="79" t="s">
        <v>454</v>
      </c>
      <c r="I827" s="79">
        <v>156</v>
      </c>
      <c r="J827" s="79" t="s">
        <v>1603</v>
      </c>
      <c r="K827" s="80" t="s">
        <v>469</v>
      </c>
      <c r="L827" s="80">
        <v>304</v>
      </c>
      <c r="M827" s="80">
        <f>L827-1</f>
        <v>303</v>
      </c>
      <c r="N827" s="81">
        <f t="shared" si="181"/>
        <v>-1</v>
      </c>
      <c r="O827" s="80"/>
      <c r="P827" s="82">
        <f>R827-TIME(0,28,0)</f>
        <v>45372.293055555558</v>
      </c>
      <c r="Q827" s="82">
        <v>45370.833333333336</v>
      </c>
      <c r="R827" s="82">
        <v>45372.3125</v>
      </c>
      <c r="S827" s="81">
        <f t="shared" si="182"/>
        <v>2120.1388888854126</v>
      </c>
      <c r="T827" s="81">
        <f t="shared" si="172"/>
        <v>27.870370367357584</v>
      </c>
      <c r="U827" s="79"/>
      <c r="V827" s="82">
        <v>45372.800694444442</v>
      </c>
      <c r="W827" s="82">
        <v>45373.671527777777</v>
      </c>
      <c r="X827" s="103">
        <f t="shared" si="173"/>
        <v>1227.8750000013679</v>
      </c>
      <c r="Y827" s="82" t="s">
        <v>1044</v>
      </c>
      <c r="Z827" s="82">
        <v>45374.817361111112</v>
      </c>
      <c r="AA827" s="82">
        <f>Z827+TIME(0,75,0)</f>
        <v>45374.869444444448</v>
      </c>
      <c r="AB827" s="81">
        <f t="shared" si="174"/>
        <v>73.4375000034197</v>
      </c>
      <c r="AC827" s="82" t="s">
        <v>1676</v>
      </c>
      <c r="AD827" s="83">
        <f t="shared" si="175"/>
        <v>2.5048611111124046</v>
      </c>
      <c r="AE827" s="83">
        <v>2</v>
      </c>
      <c r="AF827" s="83">
        <f t="shared" si="176"/>
        <v>-0.50486111111240461</v>
      </c>
      <c r="AG827" s="83">
        <f t="shared" si="177"/>
        <v>60.116666666697711</v>
      </c>
      <c r="AH827" s="83">
        <f t="shared" si="178"/>
        <v>24</v>
      </c>
      <c r="AI827" s="83">
        <f t="shared" si="179"/>
        <v>36.116666666697711</v>
      </c>
      <c r="AJ827" s="83">
        <f t="shared" si="180"/>
        <v>4.3193354868444649</v>
      </c>
      <c r="AK827" s="83"/>
      <c r="AL827" s="83"/>
      <c r="AM827" s="83"/>
      <c r="AN827" s="83"/>
    </row>
    <row r="828" spans="1:40" ht="15" hidden="1" x14ac:dyDescent="0.25">
      <c r="A828" s="82">
        <v>45743</v>
      </c>
      <c r="B828" s="94" t="str">
        <f t="shared" si="169"/>
        <v>March</v>
      </c>
      <c r="C828" s="79" t="s">
        <v>2162</v>
      </c>
      <c r="D828" s="79" t="s">
        <v>1604</v>
      </c>
      <c r="E828" s="79" t="s">
        <v>1017</v>
      </c>
      <c r="F828" s="79" t="s">
        <v>1034</v>
      </c>
      <c r="G828" s="79" t="s">
        <v>53</v>
      </c>
      <c r="H828" s="79" t="s">
        <v>464</v>
      </c>
      <c r="I828" s="79">
        <v>156</v>
      </c>
      <c r="J828" s="79" t="s">
        <v>1604</v>
      </c>
      <c r="K828" s="80" t="s">
        <v>469</v>
      </c>
      <c r="L828" s="79">
        <v>256</v>
      </c>
      <c r="M828" s="80">
        <f>L828-3</f>
        <v>253</v>
      </c>
      <c r="N828" s="81">
        <f t="shared" si="181"/>
        <v>-3</v>
      </c>
      <c r="O828" s="80"/>
      <c r="P828" s="82">
        <f t="shared" ref="P828" si="198">R828-TIME(0,24,0)</f>
        <v>45371.71875</v>
      </c>
      <c r="Q828" s="82">
        <v>45370.791666666664</v>
      </c>
      <c r="R828" s="82">
        <v>45371.73541666667</v>
      </c>
      <c r="S828" s="81">
        <f t="shared" si="182"/>
        <v>1352.7083333416765</v>
      </c>
      <c r="T828" s="81">
        <f t="shared" si="172"/>
        <v>23.888888893755695</v>
      </c>
      <c r="U828" s="79"/>
      <c r="V828" s="82">
        <v>45372.554166666669</v>
      </c>
      <c r="W828" s="82">
        <v>45372.795138888891</v>
      </c>
      <c r="X828" s="103">
        <f t="shared" si="173"/>
        <v>339.77083333287737</v>
      </c>
      <c r="Y828" s="82" t="s">
        <v>1051</v>
      </c>
      <c r="Z828" s="82">
        <v>45373.782638888886</v>
      </c>
      <c r="AA828" s="82">
        <f>Z828+TIME(0,56,0)</f>
        <v>45373.821527777778</v>
      </c>
      <c r="AB828" s="81">
        <f t="shared" si="174"/>
        <v>54.833333337664953</v>
      </c>
      <c r="AC828" s="82" t="s">
        <v>1677</v>
      </c>
      <c r="AD828" s="83">
        <f t="shared" si="175"/>
        <v>2.0472222222160781</v>
      </c>
      <c r="AE828" s="83">
        <v>2</v>
      </c>
      <c r="AF828" s="83">
        <f t="shared" si="176"/>
        <v>-4.722222221607808E-2</v>
      </c>
      <c r="AG828" s="83">
        <f t="shared" si="177"/>
        <v>49.133333333185874</v>
      </c>
      <c r="AH828" s="83">
        <f t="shared" si="178"/>
        <v>24</v>
      </c>
      <c r="AI828" s="83">
        <f t="shared" si="179"/>
        <v>25.133333333185874</v>
      </c>
      <c r="AJ828" s="83">
        <f t="shared" si="180"/>
        <v>6.2068965517605541</v>
      </c>
      <c r="AK828" s="83"/>
      <c r="AL828" s="83"/>
      <c r="AM828" s="83"/>
      <c r="AN828" s="83"/>
    </row>
    <row r="829" spans="1:40" ht="15" hidden="1" x14ac:dyDescent="0.25">
      <c r="A829" s="82">
        <v>45743</v>
      </c>
      <c r="B829" s="94" t="str">
        <f t="shared" si="169"/>
        <v>March</v>
      </c>
      <c r="C829" s="79" t="s">
        <v>2162</v>
      </c>
      <c r="D829" s="79" t="s">
        <v>1605</v>
      </c>
      <c r="E829" s="79" t="s">
        <v>1017</v>
      </c>
      <c r="F829" s="79" t="s">
        <v>1025</v>
      </c>
      <c r="G829" s="79" t="s">
        <v>54</v>
      </c>
      <c r="H829" s="79" t="s">
        <v>451</v>
      </c>
      <c r="I829" s="79">
        <v>156</v>
      </c>
      <c r="J829" s="79" t="s">
        <v>1605</v>
      </c>
      <c r="K829" s="80" t="s">
        <v>469</v>
      </c>
      <c r="L829" s="80">
        <v>790</v>
      </c>
      <c r="M829" s="80">
        <f>L829-3</f>
        <v>787</v>
      </c>
      <c r="N829" s="81">
        <f t="shared" si="181"/>
        <v>-3</v>
      </c>
      <c r="O829" s="80"/>
      <c r="P829" s="82">
        <f>R829-TIME(0,28,0)</f>
        <v>45371.704861111117</v>
      </c>
      <c r="Q829" s="82">
        <v>45370.333333333336</v>
      </c>
      <c r="R829" s="82">
        <v>45371.724305555559</v>
      </c>
      <c r="S829" s="81">
        <f t="shared" si="182"/>
        <v>1993.726851853474</v>
      </c>
      <c r="T829" s="81">
        <f t="shared" si="172"/>
        <v>27.870370367357584</v>
      </c>
      <c r="U829" s="79"/>
      <c r="V829" s="82">
        <v>45372.35</v>
      </c>
      <c r="W829" s="82">
        <v>45372.510416666664</v>
      </c>
      <c r="X829" s="103">
        <f t="shared" si="173"/>
        <v>226.18749999863212</v>
      </c>
      <c r="Y829" s="82" t="s">
        <v>1044</v>
      </c>
      <c r="Z829" s="82">
        <v>45373.651388888888</v>
      </c>
      <c r="AA829" s="82">
        <f>Z829+TIME(0,75,0)</f>
        <v>45373.703472222223</v>
      </c>
      <c r="AB829" s="81">
        <f t="shared" si="174"/>
        <v>73.4375000034197</v>
      </c>
      <c r="AC829" s="82" t="s">
        <v>1678</v>
      </c>
      <c r="AD829" s="83">
        <f t="shared" si="175"/>
        <v>1.9270833333284827</v>
      </c>
      <c r="AE829" s="83">
        <v>3</v>
      </c>
      <c r="AF829" s="83">
        <f t="shared" si="176"/>
        <v>1.0729166666715173</v>
      </c>
      <c r="AG829" s="83">
        <f t="shared" si="177"/>
        <v>46.249999999883585</v>
      </c>
      <c r="AH829" s="83">
        <f t="shared" si="178"/>
        <v>12</v>
      </c>
      <c r="AI829" s="83">
        <f t="shared" si="179"/>
        <v>34.249999999883585</v>
      </c>
      <c r="AJ829" s="83">
        <f t="shared" si="180"/>
        <v>4.5547445255629269</v>
      </c>
      <c r="AK829" s="83"/>
      <c r="AL829" s="83"/>
      <c r="AM829" s="83"/>
      <c r="AN829" s="83"/>
    </row>
    <row r="830" spans="1:40" ht="15" hidden="1" x14ac:dyDescent="0.25">
      <c r="A830" s="82">
        <v>45743</v>
      </c>
      <c r="B830" s="94" t="str">
        <f t="shared" si="169"/>
        <v>March</v>
      </c>
      <c r="C830" s="79" t="s">
        <v>2162</v>
      </c>
      <c r="D830" s="79" t="s">
        <v>1606</v>
      </c>
      <c r="E830" s="79" t="s">
        <v>1017</v>
      </c>
      <c r="F830" s="79"/>
      <c r="G830" s="79" t="s">
        <v>42</v>
      </c>
      <c r="H830" s="79" t="s">
        <v>451</v>
      </c>
      <c r="I830" s="79">
        <v>156</v>
      </c>
      <c r="J830" s="79" t="s">
        <v>1606</v>
      </c>
      <c r="K830" s="80" t="s">
        <v>469</v>
      </c>
      <c r="L830" s="80">
        <v>790</v>
      </c>
      <c r="M830" s="80">
        <f>L830-3</f>
        <v>787</v>
      </c>
      <c r="N830" s="81">
        <f t="shared" si="181"/>
        <v>-3</v>
      </c>
      <c r="O830" s="80"/>
      <c r="P830" s="82">
        <f>R830-TIME(0,27,0)</f>
        <v>45370.893749999996</v>
      </c>
      <c r="Q830" s="82">
        <v>45371.916666666664</v>
      </c>
      <c r="R830" s="82">
        <v>45370.912499999999</v>
      </c>
      <c r="S830" s="81">
        <f t="shared" si="182"/>
        <v>-1439.305555554165</v>
      </c>
      <c r="T830" s="81">
        <f t="shared" si="172"/>
        <v>26.87500000417155</v>
      </c>
      <c r="U830" s="79"/>
      <c r="V830" s="82">
        <v>45371.145138888889</v>
      </c>
      <c r="W830" s="82">
        <v>45371.665972222225</v>
      </c>
      <c r="X830" s="103">
        <f t="shared" si="173"/>
        <v>734.3750000034197</v>
      </c>
      <c r="Y830" s="82" t="s">
        <v>1044</v>
      </c>
      <c r="Z830" s="82">
        <v>45372.427083333336</v>
      </c>
      <c r="AA830" s="82">
        <f>Z830+TIME(0,43,0)</f>
        <v>45372.45694444445</v>
      </c>
      <c r="AB830" s="81">
        <f t="shared" si="174"/>
        <v>42.104166670542327</v>
      </c>
      <c r="AC830" s="82"/>
      <c r="AD830" s="83">
        <f t="shared" si="175"/>
        <v>1.5145833333372138</v>
      </c>
      <c r="AE830" s="83">
        <v>3</v>
      </c>
      <c r="AF830" s="83">
        <f t="shared" si="176"/>
        <v>1.4854166666627862</v>
      </c>
      <c r="AG830" s="83">
        <f t="shared" si="177"/>
        <v>36.350000000093132</v>
      </c>
      <c r="AH830" s="83">
        <f t="shared" si="178"/>
        <v>12</v>
      </c>
      <c r="AI830" s="83">
        <f t="shared" si="179"/>
        <v>24.350000000093132</v>
      </c>
      <c r="AJ830" s="83">
        <f t="shared" si="180"/>
        <v>6.4065708418646139</v>
      </c>
      <c r="AK830" s="83"/>
      <c r="AL830" s="83"/>
      <c r="AM830" s="83"/>
      <c r="AN830" s="83"/>
    </row>
    <row r="831" spans="1:40" ht="15" hidden="1" x14ac:dyDescent="0.25">
      <c r="A831" s="82">
        <v>45743</v>
      </c>
      <c r="B831" s="94" t="str">
        <f t="shared" si="169"/>
        <v>March</v>
      </c>
      <c r="C831" s="79" t="s">
        <v>2162</v>
      </c>
      <c r="D831" s="79" t="s">
        <v>1607</v>
      </c>
      <c r="E831" s="79" t="s">
        <v>1017</v>
      </c>
      <c r="F831" s="79"/>
      <c r="G831" s="79" t="s">
        <v>59</v>
      </c>
      <c r="H831" s="79" t="s">
        <v>1284</v>
      </c>
      <c r="I831" s="79">
        <v>78</v>
      </c>
      <c r="J831" s="79" t="s">
        <v>1607</v>
      </c>
      <c r="K831" s="80" t="s">
        <v>469</v>
      </c>
      <c r="L831" s="79">
        <v>620</v>
      </c>
      <c r="M831" s="80">
        <f>L831+1</f>
        <v>621</v>
      </c>
      <c r="N831" s="81">
        <f t="shared" si="181"/>
        <v>1</v>
      </c>
      <c r="O831" s="80"/>
      <c r="P831" s="82">
        <f>R831-TIME(0,26,0)</f>
        <v>45370.911805555552</v>
      </c>
      <c r="Q831" s="82">
        <v>45371.658333333333</v>
      </c>
      <c r="R831" s="82">
        <v>45370.929861111108</v>
      </c>
      <c r="S831" s="81">
        <f t="shared" si="182"/>
        <v>-1044.1435185222265</v>
      </c>
      <c r="T831" s="81">
        <f t="shared" si="172"/>
        <v>25.879629630556639</v>
      </c>
      <c r="U831" s="79"/>
      <c r="V831" s="82">
        <v>45371.955555555556</v>
      </c>
      <c r="W831" s="82">
        <f>V831+TIME(0,178,0)</f>
        <v>45372.07916666667</v>
      </c>
      <c r="X831" s="103">
        <f t="shared" si="173"/>
        <v>174.29166667054233</v>
      </c>
      <c r="Y831" s="82"/>
      <c r="Z831" s="82">
        <v>45372.645833333336</v>
      </c>
      <c r="AA831" s="82">
        <f>Z831+TIME(0,75,0)</f>
        <v>45372.697916666672</v>
      </c>
      <c r="AB831" s="81">
        <f t="shared" si="174"/>
        <v>73.4375000034197</v>
      </c>
      <c r="AC831" s="82" t="s">
        <v>1678</v>
      </c>
      <c r="AD831" s="83">
        <f t="shared" si="175"/>
        <v>1.7159722222277196</v>
      </c>
      <c r="AE831" s="83">
        <v>3</v>
      </c>
      <c r="AF831" s="83">
        <f t="shared" si="176"/>
        <v>1.2840277777722804</v>
      </c>
      <c r="AG831" s="83">
        <f t="shared" si="177"/>
        <v>41.183333333465271</v>
      </c>
      <c r="AH831" s="83">
        <f t="shared" si="178"/>
        <v>12</v>
      </c>
      <c r="AI831" s="83">
        <f t="shared" si="179"/>
        <v>29.183333333465271</v>
      </c>
      <c r="AJ831" s="83">
        <f t="shared" si="180"/>
        <v>2.6727584237457691</v>
      </c>
      <c r="AK831" s="83"/>
      <c r="AL831" s="83"/>
      <c r="AM831" s="83"/>
      <c r="AN831" s="83"/>
    </row>
    <row r="832" spans="1:40" ht="15" hidden="1" x14ac:dyDescent="0.25">
      <c r="A832" s="82">
        <v>45743</v>
      </c>
      <c r="B832" s="94" t="str">
        <f t="shared" si="169"/>
        <v>March</v>
      </c>
      <c r="C832" s="79" t="s">
        <v>2162</v>
      </c>
      <c r="D832" s="79" t="s">
        <v>1608</v>
      </c>
      <c r="E832" s="79" t="s">
        <v>1017</v>
      </c>
      <c r="F832" s="79"/>
      <c r="G832" s="79" t="s">
        <v>1662</v>
      </c>
      <c r="H832" s="79" t="s">
        <v>452</v>
      </c>
      <c r="I832" s="79">
        <v>156</v>
      </c>
      <c r="J832" s="79" t="s">
        <v>1608</v>
      </c>
      <c r="K832" s="80" t="s">
        <v>469</v>
      </c>
      <c r="L832" s="79">
        <v>690</v>
      </c>
      <c r="M832" s="80">
        <f>L832-3</f>
        <v>687</v>
      </c>
      <c r="N832" s="81">
        <f t="shared" si="181"/>
        <v>-3</v>
      </c>
      <c r="O832" s="80"/>
      <c r="P832" s="82">
        <f>R832-TIME(0,28,0)</f>
        <v>45370.920138888891</v>
      </c>
      <c r="Q832" s="82">
        <v>45370.740277777775</v>
      </c>
      <c r="R832" s="82">
        <v>45370.939583333333</v>
      </c>
      <c r="S832" s="81">
        <f t="shared" si="182"/>
        <v>285.67129629930906</v>
      </c>
      <c r="T832" s="81">
        <f t="shared" si="172"/>
        <v>27.870370367357584</v>
      </c>
      <c r="U832" s="79"/>
      <c r="V832" s="82">
        <v>45371.445833333331</v>
      </c>
      <c r="W832" s="82">
        <v>45371.784722222219</v>
      </c>
      <c r="X832" s="103">
        <f t="shared" si="173"/>
        <v>477.83333333150949</v>
      </c>
      <c r="Y832" s="82" t="s">
        <v>1049</v>
      </c>
      <c r="Z832" s="82">
        <v>45372.68472222222</v>
      </c>
      <c r="AA832" s="82">
        <v>45372.740277777775</v>
      </c>
      <c r="AB832" s="81">
        <f t="shared" si="174"/>
        <v>78.333333332193433</v>
      </c>
      <c r="AC832" s="82" t="s">
        <v>1674</v>
      </c>
      <c r="AD832" s="83">
        <f t="shared" si="175"/>
        <v>1.7451388888875954</v>
      </c>
      <c r="AE832" s="83">
        <v>3</v>
      </c>
      <c r="AF832" s="83">
        <f t="shared" si="176"/>
        <v>1.2548611111124046</v>
      </c>
      <c r="AG832" s="83">
        <f t="shared" si="177"/>
        <v>41.883333333302289</v>
      </c>
      <c r="AH832" s="83">
        <f t="shared" si="178"/>
        <v>12</v>
      </c>
      <c r="AI832" s="83">
        <f t="shared" si="179"/>
        <v>29.883333333302289</v>
      </c>
      <c r="AJ832" s="83">
        <f t="shared" si="180"/>
        <v>5.2203011712268399</v>
      </c>
      <c r="AK832" s="83"/>
      <c r="AL832" s="83"/>
      <c r="AM832" s="83"/>
      <c r="AN832" s="83"/>
    </row>
    <row r="833" spans="1:40" ht="15" hidden="1" x14ac:dyDescent="0.25">
      <c r="A833" s="82">
        <v>45743</v>
      </c>
      <c r="B833" s="94" t="str">
        <f t="shared" si="169"/>
        <v>March</v>
      </c>
      <c r="C833" s="79" t="s">
        <v>2161</v>
      </c>
      <c r="D833" s="79" t="s">
        <v>1609</v>
      </c>
      <c r="E833" s="79" t="s">
        <v>1017</v>
      </c>
      <c r="F833" s="79"/>
      <c r="G833" s="79" t="s">
        <v>980</v>
      </c>
      <c r="H833" s="79" t="s">
        <v>465</v>
      </c>
      <c r="I833" s="79">
        <v>153.6</v>
      </c>
      <c r="J833" s="79" t="s">
        <v>1609</v>
      </c>
      <c r="K833" s="80" t="s">
        <v>469</v>
      </c>
      <c r="L833" s="80">
        <v>382</v>
      </c>
      <c r="M833" s="80">
        <f>L833-3</f>
        <v>379</v>
      </c>
      <c r="N833" s="81">
        <f t="shared" si="181"/>
        <v>-3</v>
      </c>
      <c r="O833" s="80"/>
      <c r="P833" s="82">
        <f>R833-TIME(0,25,0)</f>
        <v>45371.345138888893</v>
      </c>
      <c r="Q833" s="82">
        <v>45371.3125</v>
      </c>
      <c r="R833" s="82">
        <v>45371.362500000003</v>
      </c>
      <c r="S833" s="81">
        <f t="shared" si="182"/>
        <v>71.666666670838211</v>
      </c>
      <c r="T833" s="81">
        <f t="shared" si="172"/>
        <v>24.884259256941732</v>
      </c>
      <c r="U833" s="79"/>
      <c r="V833" s="82">
        <v>45371.612500000003</v>
      </c>
      <c r="W833" s="82">
        <v>45371.793055555558</v>
      </c>
      <c r="X833" s="103">
        <f t="shared" si="173"/>
        <v>254.58333333219343</v>
      </c>
      <c r="Y833" s="82" t="s">
        <v>1050</v>
      </c>
      <c r="Z833" s="82">
        <v>45372.373055555552</v>
      </c>
      <c r="AA833" s="82">
        <f>Z833+TIME(0,43,0)</f>
        <v>45372.402916666666</v>
      </c>
      <c r="AB833" s="81">
        <f t="shared" si="174"/>
        <v>42.104166670542327</v>
      </c>
      <c r="AC833" s="82"/>
      <c r="AD833" s="83">
        <f t="shared" si="175"/>
        <v>1.0105555555492174</v>
      </c>
      <c r="AE833" s="83">
        <v>2</v>
      </c>
      <c r="AF833" s="83">
        <f t="shared" si="176"/>
        <v>0.98944444445078261</v>
      </c>
      <c r="AG833" s="83">
        <f t="shared" si="177"/>
        <v>24.253333333181217</v>
      </c>
      <c r="AH833" s="83">
        <f t="shared" si="178"/>
        <v>12</v>
      </c>
      <c r="AI833" s="83">
        <f t="shared" si="179"/>
        <v>12.253333333181217</v>
      </c>
      <c r="AJ833" s="83">
        <f t="shared" si="180"/>
        <v>12.535364526815028</v>
      </c>
      <c r="AK833" s="83"/>
      <c r="AL833" s="83"/>
      <c r="AM833" s="83"/>
      <c r="AN833" s="83"/>
    </row>
    <row r="834" spans="1:40" ht="15" hidden="1" x14ac:dyDescent="0.25">
      <c r="A834" s="82">
        <v>45743</v>
      </c>
      <c r="B834" s="94" t="str">
        <f t="shared" ref="B834:B885" si="199">TEXT(A834, "MMMM")</f>
        <v>March</v>
      </c>
      <c r="C834" s="79" t="s">
        <v>2162</v>
      </c>
      <c r="D834" s="79" t="s">
        <v>1610</v>
      </c>
      <c r="E834" s="79" t="s">
        <v>1017</v>
      </c>
      <c r="F834" s="79"/>
      <c r="G834" s="79" t="s">
        <v>81</v>
      </c>
      <c r="H834" s="79" t="s">
        <v>458</v>
      </c>
      <c r="I834" s="79">
        <v>156</v>
      </c>
      <c r="J834" s="79" t="s">
        <v>1610</v>
      </c>
      <c r="K834" s="80" t="s">
        <v>469</v>
      </c>
      <c r="L834" s="80">
        <v>448</v>
      </c>
      <c r="M834" s="80">
        <f>L834-2</f>
        <v>446</v>
      </c>
      <c r="N834" s="81">
        <f t="shared" si="181"/>
        <v>-2</v>
      </c>
      <c r="O834" s="80"/>
      <c r="P834" s="82">
        <f>R834-TIME(0,27,0)</f>
        <v>45372.4215625</v>
      </c>
      <c r="Q834" s="82">
        <v>45372.379201388889</v>
      </c>
      <c r="R834" s="82">
        <v>45372.440312500003</v>
      </c>
      <c r="S834" s="81">
        <f t="shared" ref="S834:S868" si="200">(R834-Q834)*86000/60</f>
        <v>87.592592596532384</v>
      </c>
      <c r="T834" s="81">
        <f t="shared" ref="T834:T897" si="201">(R834-P834)*86000/60</f>
        <v>26.87500000417155</v>
      </c>
      <c r="U834" s="79"/>
      <c r="V834" s="82">
        <v>45373.350034722222</v>
      </c>
      <c r="W834" s="82">
        <v>45373.611840277779</v>
      </c>
      <c r="X834" s="103">
        <f t="shared" ref="X834:X897" si="202">(W834-V834)*84600/60</f>
        <v>369.14583333629707</v>
      </c>
      <c r="Y834" s="82" t="s">
        <v>1044</v>
      </c>
      <c r="Z834" s="82">
        <v>45374.436840277776</v>
      </c>
      <c r="AA834" s="82">
        <f>Z834+TIME(0,51,0)</f>
        <v>45374.472256944442</v>
      </c>
      <c r="AB834" s="81">
        <f t="shared" ref="AB834:AB897" si="203">(AA834-Z834)*84600/60</f>
        <v>49.93749999863212</v>
      </c>
      <c r="AC834" s="82" t="s">
        <v>1673</v>
      </c>
      <c r="AD834" s="83">
        <f t="shared" ref="AD834:AD885" si="204">Z834-R834</f>
        <v>1.9965277777737356</v>
      </c>
      <c r="AE834" s="83">
        <v>2</v>
      </c>
      <c r="AF834" s="83">
        <f t="shared" ref="AF834:AF885" si="205">AE834-AD834</f>
        <v>3.4722222262644209E-3</v>
      </c>
      <c r="AG834" s="83">
        <f t="shared" ref="AG834:AG885" si="206">AD834*24</f>
        <v>47.916666666569654</v>
      </c>
      <c r="AH834" s="83">
        <f t="shared" ref="AH834:AH885" si="207">AG834-AI834</f>
        <v>12</v>
      </c>
      <c r="AI834" s="83">
        <f t="shared" ref="AI834:AI885" si="208" xml:space="preserve"> ((Z834 - R834) * 24) - (INT(Z834 - R834) * 12)</f>
        <v>35.916666666569654</v>
      </c>
      <c r="AJ834" s="83">
        <f t="shared" ref="AJ834:AJ897" si="209">I834/AI834</f>
        <v>4.3433874710094118</v>
      </c>
      <c r="AK834" s="83"/>
      <c r="AL834" s="83"/>
      <c r="AM834" s="83"/>
      <c r="AN834" s="83"/>
    </row>
    <row r="835" spans="1:40" ht="15" hidden="1" x14ac:dyDescent="0.25">
      <c r="A835" s="82">
        <v>45743</v>
      </c>
      <c r="B835" s="94" t="str">
        <f t="shared" si="199"/>
        <v>March</v>
      </c>
      <c r="C835" s="79" t="s">
        <v>2162</v>
      </c>
      <c r="D835" s="79" t="s">
        <v>1611</v>
      </c>
      <c r="E835" s="79" t="s">
        <v>1017</v>
      </c>
      <c r="F835" s="79"/>
      <c r="G835" s="79" t="s">
        <v>80</v>
      </c>
      <c r="H835" s="79" t="s">
        <v>454</v>
      </c>
      <c r="I835" s="79">
        <v>156</v>
      </c>
      <c r="J835" s="79" t="s">
        <v>1611</v>
      </c>
      <c r="K835" s="80" t="s">
        <v>469</v>
      </c>
      <c r="L835" s="80">
        <v>304</v>
      </c>
      <c r="M835" s="80">
        <f>L835-3</f>
        <v>301</v>
      </c>
      <c r="N835" s="81">
        <f t="shared" si="181"/>
        <v>-3</v>
      </c>
      <c r="O835" s="80"/>
      <c r="P835" s="82">
        <f>R835-TIME(0,28,0)</f>
        <v>45372.386805555558</v>
      </c>
      <c r="Q835" s="82">
        <v>45371.375</v>
      </c>
      <c r="R835" s="82">
        <v>45372.40625</v>
      </c>
      <c r="S835" s="81">
        <f t="shared" si="200"/>
        <v>1478.125</v>
      </c>
      <c r="T835" s="81">
        <f t="shared" si="201"/>
        <v>27.870370367357584</v>
      </c>
      <c r="U835" s="79"/>
      <c r="V835" s="82">
        <v>45372.509722222225</v>
      </c>
      <c r="W835" s="82">
        <v>45372.761805555558</v>
      </c>
      <c r="X835" s="103">
        <f t="shared" si="202"/>
        <v>355.43749999931606</v>
      </c>
      <c r="Y835" s="82" t="s">
        <v>1044</v>
      </c>
      <c r="Z835" s="82">
        <v>45373.614583333336</v>
      </c>
      <c r="AA835" s="82">
        <f>Z835+TIME(0,58,0)</f>
        <v>45373.654861111114</v>
      </c>
      <c r="AB835" s="81">
        <f t="shared" si="203"/>
        <v>56.791666667122627</v>
      </c>
      <c r="AC835" s="82" t="s">
        <v>2169</v>
      </c>
      <c r="AD835" s="83">
        <f t="shared" si="204"/>
        <v>1.2083333333357587</v>
      </c>
      <c r="AE835" s="83">
        <v>2</v>
      </c>
      <c r="AF835" s="83">
        <f t="shared" si="205"/>
        <v>0.79166666666424135</v>
      </c>
      <c r="AG835" s="83">
        <f t="shared" si="206"/>
        <v>29.000000000058208</v>
      </c>
      <c r="AH835" s="83">
        <f t="shared" si="207"/>
        <v>12</v>
      </c>
      <c r="AI835" s="83">
        <f t="shared" si="208"/>
        <v>17.000000000058208</v>
      </c>
      <c r="AJ835" s="83">
        <f t="shared" si="209"/>
        <v>9.1764705882038733</v>
      </c>
      <c r="AK835" s="83"/>
      <c r="AL835" s="83"/>
      <c r="AM835" s="83"/>
      <c r="AN835" s="83"/>
    </row>
    <row r="836" spans="1:40" ht="15" hidden="1" x14ac:dyDescent="0.25">
      <c r="A836" s="82">
        <v>45743</v>
      </c>
      <c r="B836" s="94" t="str">
        <f t="shared" si="199"/>
        <v>March</v>
      </c>
      <c r="C836" s="79" t="s">
        <v>2162</v>
      </c>
      <c r="D836" s="79" t="s">
        <v>1612</v>
      </c>
      <c r="E836" s="79" t="s">
        <v>1017</v>
      </c>
      <c r="F836" s="79" t="s">
        <v>1036</v>
      </c>
      <c r="G836" s="79" t="s">
        <v>36</v>
      </c>
      <c r="H836" s="79" t="s">
        <v>448</v>
      </c>
      <c r="I836" s="79">
        <v>156</v>
      </c>
      <c r="J836" s="79" t="s">
        <v>1612</v>
      </c>
      <c r="K836" s="80" t="s">
        <v>469</v>
      </c>
      <c r="L836" s="79">
        <v>560</v>
      </c>
      <c r="M836" s="80">
        <f>L836-2</f>
        <v>558</v>
      </c>
      <c r="N836" s="81">
        <f t="shared" ref="N836:N885" si="210">M836-L836</f>
        <v>-2</v>
      </c>
      <c r="O836" s="80"/>
      <c r="P836" s="82">
        <f t="shared" ref="P836" si="211">R836-TIME(0,26,0)</f>
        <v>45372.612500000003</v>
      </c>
      <c r="Q836" s="82">
        <v>45371.333333333336</v>
      </c>
      <c r="R836" s="82">
        <v>45372.630555555559</v>
      </c>
      <c r="S836" s="81">
        <f t="shared" si="200"/>
        <v>1859.351851853474</v>
      </c>
      <c r="T836" s="81">
        <f t="shared" si="201"/>
        <v>25.879629630556639</v>
      </c>
      <c r="U836" s="79"/>
      <c r="V836" s="82">
        <v>45373.365277777775</v>
      </c>
      <c r="W836" s="82">
        <v>45373.509027777778</v>
      </c>
      <c r="X836" s="103">
        <f t="shared" si="202"/>
        <v>202.68750000410364</v>
      </c>
      <c r="Y836" s="82" t="s">
        <v>1050</v>
      </c>
      <c r="Z836" s="82">
        <v>45375.667361111111</v>
      </c>
      <c r="AA836" s="82">
        <f>Z836+TIME(0,82,0)</f>
        <v>45375.724305555552</v>
      </c>
      <c r="AB836" s="81">
        <f t="shared" si="203"/>
        <v>80.291666661651107</v>
      </c>
      <c r="AC836" s="82" t="s">
        <v>549</v>
      </c>
      <c r="AD836" s="83">
        <f t="shared" si="204"/>
        <v>3.0368055555518367</v>
      </c>
      <c r="AE836" s="83">
        <v>2</v>
      </c>
      <c r="AF836" s="83">
        <f t="shared" si="205"/>
        <v>-1.0368055555518367</v>
      </c>
      <c r="AG836" s="83">
        <f t="shared" si="206"/>
        <v>72.883333333244082</v>
      </c>
      <c r="AH836" s="83">
        <f t="shared" si="207"/>
        <v>36</v>
      </c>
      <c r="AI836" s="83">
        <f t="shared" si="208"/>
        <v>36.883333333244082</v>
      </c>
      <c r="AJ836" s="83">
        <f t="shared" si="209"/>
        <v>4.2295526434806368</v>
      </c>
      <c r="AK836" s="83"/>
      <c r="AL836" s="83"/>
      <c r="AM836" s="83"/>
      <c r="AN836" s="83"/>
    </row>
    <row r="837" spans="1:40" ht="15" hidden="1" x14ac:dyDescent="0.25">
      <c r="A837" s="82">
        <v>45743</v>
      </c>
      <c r="B837" s="94" t="str">
        <f t="shared" si="199"/>
        <v>March</v>
      </c>
      <c r="C837" s="79" t="s">
        <v>2162</v>
      </c>
      <c r="D837" s="79" t="s">
        <v>1613</v>
      </c>
      <c r="E837" s="79" t="s">
        <v>1017</v>
      </c>
      <c r="F837" s="79" t="s">
        <v>1028</v>
      </c>
      <c r="G837" s="79" t="s">
        <v>45</v>
      </c>
      <c r="H837" s="79" t="s">
        <v>463</v>
      </c>
      <c r="I837" s="79">
        <v>78</v>
      </c>
      <c r="J837" s="79" t="s">
        <v>1613</v>
      </c>
      <c r="K837" s="80" t="s">
        <v>469</v>
      </c>
      <c r="L837" s="80">
        <v>464</v>
      </c>
      <c r="M837" s="80">
        <f>L837-3</f>
        <v>461</v>
      </c>
      <c r="N837" s="81">
        <f t="shared" si="210"/>
        <v>-3</v>
      </c>
      <c r="O837" s="80"/>
      <c r="P837" s="82">
        <f>R837-TIME(0,28,0)</f>
        <v>45373.28402777778</v>
      </c>
      <c r="Q837" s="82">
        <v>45371.333333333336</v>
      </c>
      <c r="R837" s="82">
        <v>45373.303472222222</v>
      </c>
      <c r="S837" s="81">
        <f t="shared" si="200"/>
        <v>2823.8657407368009</v>
      </c>
      <c r="T837" s="81">
        <f t="shared" si="201"/>
        <v>27.870370367357584</v>
      </c>
      <c r="U837" s="79"/>
      <c r="V837" s="82">
        <v>45374.399305555555</v>
      </c>
      <c r="W837" s="82">
        <v>45374.555555555555</v>
      </c>
      <c r="X837" s="103">
        <f t="shared" si="202"/>
        <v>220.3125</v>
      </c>
      <c r="Y837" s="82" t="s">
        <v>1044</v>
      </c>
      <c r="Z837" s="82">
        <v>45375.349305555559</v>
      </c>
      <c r="AA837" s="82">
        <f>Z837+TIME(0,69,0)</f>
        <v>45375.397222222229</v>
      </c>
      <c r="AB837" s="81">
        <f t="shared" si="203"/>
        <v>67.56250000478758</v>
      </c>
      <c r="AC837" s="82" t="s">
        <v>1673</v>
      </c>
      <c r="AD837" s="83">
        <f t="shared" si="204"/>
        <v>2.0458333333372138</v>
      </c>
      <c r="AE837" s="83">
        <v>3</v>
      </c>
      <c r="AF837" s="83">
        <f t="shared" si="205"/>
        <v>0.95416666666278616</v>
      </c>
      <c r="AG837" s="83">
        <f t="shared" si="206"/>
        <v>49.100000000093132</v>
      </c>
      <c r="AH837" s="83">
        <f t="shared" si="207"/>
        <v>24</v>
      </c>
      <c r="AI837" s="83">
        <f t="shared" si="208"/>
        <v>25.100000000093132</v>
      </c>
      <c r="AJ837" s="83">
        <f t="shared" si="209"/>
        <v>3.1075697211040074</v>
      </c>
      <c r="AK837" s="83"/>
      <c r="AL837" s="83"/>
      <c r="AM837" s="83"/>
      <c r="AN837" s="83"/>
    </row>
    <row r="838" spans="1:40" ht="15" hidden="1" x14ac:dyDescent="0.25">
      <c r="A838" s="82">
        <v>45743</v>
      </c>
      <c r="B838" s="94" t="str">
        <f t="shared" si="199"/>
        <v>March</v>
      </c>
      <c r="C838" s="79" t="s">
        <v>2162</v>
      </c>
      <c r="D838" s="79" t="s">
        <v>1614</v>
      </c>
      <c r="E838" s="79" t="s">
        <v>1017</v>
      </c>
      <c r="F838" s="79" t="s">
        <v>1026</v>
      </c>
      <c r="G838" s="79" t="s">
        <v>51</v>
      </c>
      <c r="H838" s="79" t="s">
        <v>452</v>
      </c>
      <c r="I838" s="79">
        <v>156</v>
      </c>
      <c r="J838" s="79" t="s">
        <v>1614</v>
      </c>
      <c r="K838" s="80" t="s">
        <v>469</v>
      </c>
      <c r="L838" s="79">
        <v>690</v>
      </c>
      <c r="M838" s="80">
        <f>L838-2</f>
        <v>688</v>
      </c>
      <c r="N838" s="81">
        <f t="shared" si="210"/>
        <v>-2</v>
      </c>
      <c r="O838" s="80"/>
      <c r="P838" s="82">
        <f>R838-TIME(0,27,0)</f>
        <v>45372.142361111109</v>
      </c>
      <c r="Q838" s="82">
        <v>45372.291666666664</v>
      </c>
      <c r="R838" s="82">
        <v>45372.161111111112</v>
      </c>
      <c r="S838" s="81">
        <f t="shared" si="200"/>
        <v>-187.12962962429933</v>
      </c>
      <c r="T838" s="81">
        <f t="shared" si="201"/>
        <v>26.87500000417155</v>
      </c>
      <c r="U838" s="79"/>
      <c r="V838" s="82">
        <v>45372.649305555555</v>
      </c>
      <c r="W838" s="82">
        <f>V838+TIME(0,163,0)</f>
        <v>45372.762499999997</v>
      </c>
      <c r="X838" s="103">
        <f t="shared" si="202"/>
        <v>159.60416666370293</v>
      </c>
      <c r="Y838" s="82"/>
      <c r="Z838" s="82">
        <v>45373.75</v>
      </c>
      <c r="AA838" s="82">
        <f>Z838+TIME(0,40,0)</f>
        <v>45373.777777777781</v>
      </c>
      <c r="AB838" s="81">
        <f t="shared" si="203"/>
        <v>39.166666671226267</v>
      </c>
      <c r="AC838" s="82" t="s">
        <v>1674</v>
      </c>
      <c r="AD838" s="83">
        <f t="shared" si="204"/>
        <v>1.5888888888875954</v>
      </c>
      <c r="AE838" s="83">
        <v>3</v>
      </c>
      <c r="AF838" s="83">
        <f t="shared" si="205"/>
        <v>1.4111111111124046</v>
      </c>
      <c r="AG838" s="83">
        <f t="shared" si="206"/>
        <v>38.133333333302289</v>
      </c>
      <c r="AH838" s="83">
        <f t="shared" si="207"/>
        <v>12</v>
      </c>
      <c r="AI838" s="83">
        <f t="shared" si="208"/>
        <v>26.133333333302289</v>
      </c>
      <c r="AJ838" s="83">
        <f t="shared" si="209"/>
        <v>5.9693877551091319</v>
      </c>
      <c r="AK838" s="83"/>
      <c r="AL838" s="83"/>
      <c r="AM838" s="83"/>
      <c r="AN838" s="83"/>
    </row>
    <row r="839" spans="1:40" ht="15" hidden="1" x14ac:dyDescent="0.25">
      <c r="A839" s="82">
        <v>45743</v>
      </c>
      <c r="B839" s="94" t="str">
        <f t="shared" si="199"/>
        <v>March</v>
      </c>
      <c r="C839" s="79" t="s">
        <v>2162</v>
      </c>
      <c r="D839" s="79" t="s">
        <v>1615</v>
      </c>
      <c r="E839" s="79" t="s">
        <v>1017</v>
      </c>
      <c r="F839" s="79" t="s">
        <v>1019</v>
      </c>
      <c r="G839" s="79" t="s">
        <v>37</v>
      </c>
      <c r="H839" s="79" t="s">
        <v>448</v>
      </c>
      <c r="I839" s="79">
        <v>156</v>
      </c>
      <c r="J839" s="79" t="s">
        <v>1615</v>
      </c>
      <c r="K839" s="80" t="s">
        <v>469</v>
      </c>
      <c r="L839" s="79">
        <v>560</v>
      </c>
      <c r="M839" s="80">
        <f>L839-2</f>
        <v>558</v>
      </c>
      <c r="N839" s="81">
        <f t="shared" si="210"/>
        <v>-2</v>
      </c>
      <c r="O839" s="80"/>
      <c r="P839" s="82">
        <f>R839-TIME(0,29,0)</f>
        <v>45372.342361111114</v>
      </c>
      <c r="Q839" s="82">
        <v>45372.3125</v>
      </c>
      <c r="R839" s="82">
        <v>45372.362500000003</v>
      </c>
      <c r="S839" s="81">
        <f t="shared" si="200"/>
        <v>71.666666670838211</v>
      </c>
      <c r="T839" s="81">
        <f t="shared" si="201"/>
        <v>28.865740740972495</v>
      </c>
      <c r="U839" s="79"/>
      <c r="V839" s="82">
        <v>45372.716666666667</v>
      </c>
      <c r="W839" s="82">
        <v>45373.547662037039</v>
      </c>
      <c r="X839" s="103">
        <f t="shared" si="202"/>
        <v>1171.7034722244716</v>
      </c>
      <c r="Y839" s="82" t="s">
        <v>1046</v>
      </c>
      <c r="Z839" s="82">
        <v>45374.310671296298</v>
      </c>
      <c r="AA839" s="82">
        <f>Z839+TIME(0,59,0)</f>
        <v>45374.351643518523</v>
      </c>
      <c r="AB839" s="81">
        <f t="shared" si="203"/>
        <v>57.770833336981013</v>
      </c>
      <c r="AC839" s="82" t="s">
        <v>2170</v>
      </c>
      <c r="AD839" s="83">
        <f t="shared" si="204"/>
        <v>1.948171296295186</v>
      </c>
      <c r="AE839" s="83">
        <v>2</v>
      </c>
      <c r="AF839" s="83">
        <f t="shared" si="205"/>
        <v>5.1828703704813961E-2</v>
      </c>
      <c r="AG839" s="83">
        <f t="shared" si="206"/>
        <v>46.756111111084465</v>
      </c>
      <c r="AH839" s="83">
        <f t="shared" si="207"/>
        <v>12</v>
      </c>
      <c r="AI839" s="83">
        <f t="shared" si="208"/>
        <v>34.756111111084465</v>
      </c>
      <c r="AJ839" s="83">
        <f t="shared" si="209"/>
        <v>4.4884193027639467</v>
      </c>
      <c r="AK839" s="83"/>
      <c r="AL839" s="83"/>
      <c r="AM839" s="83"/>
      <c r="AN839" s="83"/>
    </row>
    <row r="840" spans="1:40" ht="15" hidden="1" x14ac:dyDescent="0.25">
      <c r="A840" s="82">
        <v>45743</v>
      </c>
      <c r="B840" s="94" t="str">
        <f t="shared" si="199"/>
        <v>March</v>
      </c>
      <c r="C840" s="79" t="s">
        <v>2162</v>
      </c>
      <c r="D840" s="79" t="s">
        <v>1616</v>
      </c>
      <c r="E840" s="79" t="s">
        <v>1017</v>
      </c>
      <c r="F840" s="79" t="s">
        <v>1031</v>
      </c>
      <c r="G840" s="79" t="s">
        <v>50</v>
      </c>
      <c r="H840" s="79" t="s">
        <v>448</v>
      </c>
      <c r="I840" s="79">
        <v>156</v>
      </c>
      <c r="J840" s="79" t="s">
        <v>1616</v>
      </c>
      <c r="K840" s="80" t="s">
        <v>469</v>
      </c>
      <c r="L840" s="79">
        <v>560</v>
      </c>
      <c r="M840" s="80">
        <f>L840-4</f>
        <v>556</v>
      </c>
      <c r="N840" s="81">
        <f t="shared" si="210"/>
        <v>-4</v>
      </c>
      <c r="O840" s="82"/>
      <c r="P840" s="82">
        <f>R840-TIME(0,27,0)</f>
        <v>45372.346527777772</v>
      </c>
      <c r="Q840" s="82">
        <v>45372.3125</v>
      </c>
      <c r="R840" s="82">
        <v>45372.365277777775</v>
      </c>
      <c r="S840" s="81">
        <f t="shared" si="200"/>
        <v>75.6481481444401</v>
      </c>
      <c r="T840" s="81">
        <f t="shared" si="201"/>
        <v>26.87500000417155</v>
      </c>
      <c r="U840" s="79"/>
      <c r="V840" s="82">
        <v>45372.136111111111</v>
      </c>
      <c r="W840" s="82">
        <v>45372.719444444447</v>
      </c>
      <c r="X840" s="103">
        <f t="shared" si="202"/>
        <v>822.5000000034197</v>
      </c>
      <c r="Y840" s="82" t="s">
        <v>1051</v>
      </c>
      <c r="Z840" s="82">
        <v>45373.865277777775</v>
      </c>
      <c r="AA840" s="82">
        <f>Z840+TIME(0,40,0)</f>
        <v>45373.893055555556</v>
      </c>
      <c r="AB840" s="81">
        <f t="shared" si="203"/>
        <v>39.166666671226267</v>
      </c>
      <c r="AC840" s="82"/>
      <c r="AD840" s="83">
        <f t="shared" si="204"/>
        <v>1.5</v>
      </c>
      <c r="AE840" s="83">
        <v>2</v>
      </c>
      <c r="AF840" s="83">
        <f t="shared" si="205"/>
        <v>0.5</v>
      </c>
      <c r="AG840" s="83">
        <f t="shared" si="206"/>
        <v>36</v>
      </c>
      <c r="AH840" s="83">
        <f t="shared" si="207"/>
        <v>12</v>
      </c>
      <c r="AI840" s="83">
        <f t="shared" si="208"/>
        <v>24</v>
      </c>
      <c r="AJ840" s="83">
        <f t="shared" si="209"/>
        <v>6.5</v>
      </c>
      <c r="AK840" s="83"/>
      <c r="AL840" s="83"/>
      <c r="AM840" s="83"/>
      <c r="AN840" s="83"/>
    </row>
    <row r="841" spans="1:40" ht="15" hidden="1" x14ac:dyDescent="0.25">
      <c r="A841" s="82">
        <v>45744</v>
      </c>
      <c r="B841" s="94" t="str">
        <f t="shared" si="199"/>
        <v>March</v>
      </c>
      <c r="C841" s="79" t="s">
        <v>2162</v>
      </c>
      <c r="D841" s="79" t="s">
        <v>1617</v>
      </c>
      <c r="E841" s="79" t="s">
        <v>1017</v>
      </c>
      <c r="F841" s="79"/>
      <c r="G841" s="79" t="s">
        <v>70</v>
      </c>
      <c r="H841" s="79" t="s">
        <v>454</v>
      </c>
      <c r="I841" s="79">
        <v>78</v>
      </c>
      <c r="J841" s="79" t="s">
        <v>1617</v>
      </c>
      <c r="K841" s="80" t="s">
        <v>469</v>
      </c>
      <c r="L841" s="80">
        <v>304</v>
      </c>
      <c r="M841" s="80">
        <f>L841-1</f>
        <v>303</v>
      </c>
      <c r="N841" s="81">
        <f t="shared" si="210"/>
        <v>-1</v>
      </c>
      <c r="O841" s="80"/>
      <c r="P841" s="82">
        <f>R841-TIME(0,28,0)</f>
        <v>45372.356944444444</v>
      </c>
      <c r="Q841" s="82">
        <v>45372.3125</v>
      </c>
      <c r="R841" s="82">
        <v>45372.376388888886</v>
      </c>
      <c r="S841" s="81">
        <f t="shared" si="200"/>
        <v>91.574074070134273</v>
      </c>
      <c r="T841" s="81">
        <f t="shared" si="201"/>
        <v>27.870370367357584</v>
      </c>
      <c r="U841" s="79"/>
      <c r="V841" s="82">
        <v>45372.668055555558</v>
      </c>
      <c r="W841" s="82">
        <v>45373.578055555554</v>
      </c>
      <c r="X841" s="103">
        <f t="shared" si="202"/>
        <v>1283.0999999946653</v>
      </c>
      <c r="Y841" s="82" t="s">
        <v>1044</v>
      </c>
      <c r="Z841" s="82">
        <v>45373.703055555554</v>
      </c>
      <c r="AA841" s="82">
        <f>Z841+TIME(0,50,0)</f>
        <v>45373.737777777773</v>
      </c>
      <c r="AB841" s="81">
        <f t="shared" si="203"/>
        <v>48.958333328773733</v>
      </c>
      <c r="AC841" s="82" t="s">
        <v>2171</v>
      </c>
      <c r="AD841" s="83">
        <f t="shared" si="204"/>
        <v>1.3266666666677338</v>
      </c>
      <c r="AE841" s="83">
        <v>2</v>
      </c>
      <c r="AF841" s="83">
        <f t="shared" si="205"/>
        <v>0.67333333333226619</v>
      </c>
      <c r="AG841" s="83">
        <f t="shared" si="206"/>
        <v>31.840000000025611</v>
      </c>
      <c r="AH841" s="83">
        <f t="shared" si="207"/>
        <v>12</v>
      </c>
      <c r="AI841" s="83">
        <f t="shared" si="208"/>
        <v>19.840000000025611</v>
      </c>
      <c r="AJ841" s="83">
        <f t="shared" si="209"/>
        <v>3.9314516128981509</v>
      </c>
      <c r="AK841" s="83"/>
      <c r="AL841" s="83"/>
      <c r="AM841" s="83"/>
      <c r="AN841" s="83"/>
    </row>
    <row r="842" spans="1:40" ht="15" hidden="1" x14ac:dyDescent="0.25">
      <c r="A842" s="82">
        <v>45744</v>
      </c>
      <c r="B842" s="94" t="str">
        <f t="shared" si="199"/>
        <v>March</v>
      </c>
      <c r="C842" s="79" t="s">
        <v>2162</v>
      </c>
      <c r="D842" s="79" t="s">
        <v>1618</v>
      </c>
      <c r="E842" s="79" t="s">
        <v>1017</v>
      </c>
      <c r="F842" s="79" t="s">
        <v>1035</v>
      </c>
      <c r="G842" s="79" t="s">
        <v>44</v>
      </c>
      <c r="H842" s="79" t="s">
        <v>458</v>
      </c>
      <c r="I842" s="79">
        <v>156</v>
      </c>
      <c r="J842" s="79" t="s">
        <v>1618</v>
      </c>
      <c r="K842" s="80" t="s">
        <v>469</v>
      </c>
      <c r="L842" s="80">
        <v>448</v>
      </c>
      <c r="M842" s="80">
        <f>L842-1</f>
        <v>447</v>
      </c>
      <c r="N842" s="81">
        <f t="shared" si="210"/>
        <v>-1</v>
      </c>
      <c r="O842" s="80"/>
      <c r="P842" s="82">
        <f>R842-TIME(0,52,0)</f>
        <v>45372.329861111109</v>
      </c>
      <c r="Q842" s="82">
        <v>45372.3125</v>
      </c>
      <c r="R842" s="82">
        <v>45372.365972222222</v>
      </c>
      <c r="S842" s="81">
        <f t="shared" si="200"/>
        <v>76.643518518055018</v>
      </c>
      <c r="T842" s="81">
        <f t="shared" si="201"/>
        <v>51.759259261113279</v>
      </c>
      <c r="U842" s="79" t="s">
        <v>1671</v>
      </c>
      <c r="V842" s="82">
        <v>45373.303472222222</v>
      </c>
      <c r="W842" s="82">
        <v>45373.500694444447</v>
      </c>
      <c r="X842" s="103">
        <f t="shared" si="202"/>
        <v>278.08333333698101</v>
      </c>
      <c r="Y842" s="82" t="s">
        <v>1048</v>
      </c>
      <c r="Z842" s="82">
        <v>45374.333472222221</v>
      </c>
      <c r="AA842" s="82">
        <f>Z842+TIME(0,54,0)</f>
        <v>45374.370972222219</v>
      </c>
      <c r="AB842" s="81">
        <f t="shared" si="203"/>
        <v>52.87499999794818</v>
      </c>
      <c r="AC842" s="82" t="s">
        <v>1675</v>
      </c>
      <c r="AD842" s="83">
        <f t="shared" si="204"/>
        <v>1.9674999999988358</v>
      </c>
      <c r="AE842" s="83">
        <v>2</v>
      </c>
      <c r="AF842" s="83">
        <f t="shared" si="205"/>
        <v>3.2500000001164153E-2</v>
      </c>
      <c r="AG842" s="83">
        <f t="shared" si="206"/>
        <v>47.21999999997206</v>
      </c>
      <c r="AH842" s="83">
        <f t="shared" si="207"/>
        <v>12</v>
      </c>
      <c r="AI842" s="83">
        <f t="shared" si="208"/>
        <v>35.21999999997206</v>
      </c>
      <c r="AJ842" s="83">
        <f t="shared" si="209"/>
        <v>4.429301533223275</v>
      </c>
      <c r="AK842" s="83"/>
      <c r="AL842" s="83"/>
      <c r="AM842" s="83"/>
      <c r="AN842" s="83"/>
    </row>
    <row r="843" spans="1:40" ht="15" hidden="1" x14ac:dyDescent="0.25">
      <c r="A843" s="82">
        <v>45744</v>
      </c>
      <c r="B843" s="94" t="str">
        <f t="shared" si="199"/>
        <v>March</v>
      </c>
      <c r="C843" s="79" t="s">
        <v>2162</v>
      </c>
      <c r="D843" s="79" t="s">
        <v>1619</v>
      </c>
      <c r="E843" s="79" t="s">
        <v>1017</v>
      </c>
      <c r="F843" s="79"/>
      <c r="G843" s="79" t="s">
        <v>75</v>
      </c>
      <c r="H843" s="79" t="s">
        <v>458</v>
      </c>
      <c r="I843" s="79">
        <v>78</v>
      </c>
      <c r="J843" s="79" t="s">
        <v>1619</v>
      </c>
      <c r="K843" s="80" t="s">
        <v>469</v>
      </c>
      <c r="L843" s="80">
        <v>448</v>
      </c>
      <c r="M843" s="80">
        <f>L843-3</f>
        <v>445</v>
      </c>
      <c r="N843" s="81">
        <f t="shared" si="210"/>
        <v>-3</v>
      </c>
      <c r="O843" s="80"/>
      <c r="P843" s="82">
        <f>R843-TIME(0,28,0)</f>
        <v>45373.143055555556</v>
      </c>
      <c r="Q843" s="82">
        <v>45372.850694444445</v>
      </c>
      <c r="R843" s="82">
        <v>45373.162499999999</v>
      </c>
      <c r="S843" s="81">
        <f t="shared" si="200"/>
        <v>446.92129629305174</v>
      </c>
      <c r="T843" s="81">
        <f t="shared" si="201"/>
        <v>27.870370367357584</v>
      </c>
      <c r="U843" s="79"/>
      <c r="V843" s="82">
        <v>45375.331250000003</v>
      </c>
      <c r="W843" s="82">
        <v>45375.54791666667</v>
      </c>
      <c r="X843" s="103">
        <f t="shared" si="202"/>
        <v>305.50000000068394</v>
      </c>
      <c r="Y843" s="82" t="s">
        <v>1044</v>
      </c>
      <c r="Z843" s="82">
        <v>45375.793749999997</v>
      </c>
      <c r="AA843" s="82">
        <f>Z843+TIME(0,40,0)</f>
        <v>45375.821527777778</v>
      </c>
      <c r="AB843" s="81">
        <f t="shared" si="203"/>
        <v>39.166666671226267</v>
      </c>
      <c r="AC843" s="82"/>
      <c r="AD843" s="83">
        <f t="shared" si="204"/>
        <v>2.6312499999985448</v>
      </c>
      <c r="AE843" s="83">
        <v>2</v>
      </c>
      <c r="AF843" s="83">
        <f t="shared" si="205"/>
        <v>-0.63124999999854481</v>
      </c>
      <c r="AG843" s="83">
        <f t="shared" si="206"/>
        <v>63.149999999965075</v>
      </c>
      <c r="AH843" s="83">
        <f t="shared" si="207"/>
        <v>24</v>
      </c>
      <c r="AI843" s="83">
        <f t="shared" si="208"/>
        <v>39.149999999965075</v>
      </c>
      <c r="AJ843" s="83">
        <f t="shared" si="209"/>
        <v>1.9923371647527353</v>
      </c>
      <c r="AK843" s="83"/>
      <c r="AL843" s="83"/>
      <c r="AM843" s="83"/>
      <c r="AN843" s="83"/>
    </row>
    <row r="844" spans="1:40" ht="15" hidden="1" x14ac:dyDescent="0.25">
      <c r="A844" s="82">
        <v>45744</v>
      </c>
      <c r="B844" s="94" t="str">
        <f t="shared" si="199"/>
        <v>March</v>
      </c>
      <c r="C844" s="79" t="s">
        <v>2162</v>
      </c>
      <c r="D844" s="79" t="s">
        <v>1620</v>
      </c>
      <c r="E844" s="79" t="s">
        <v>1017</v>
      </c>
      <c r="F844" s="79" t="s">
        <v>963</v>
      </c>
      <c r="G844" s="79" t="s">
        <v>60</v>
      </c>
      <c r="H844" s="79" t="s">
        <v>457</v>
      </c>
      <c r="I844" s="79">
        <v>156</v>
      </c>
      <c r="J844" s="79" t="s">
        <v>1620</v>
      </c>
      <c r="K844" s="80" t="s">
        <v>469</v>
      </c>
      <c r="L844" s="79">
        <v>320</v>
      </c>
      <c r="M844" s="80">
        <f>L844-3</f>
        <v>317</v>
      </c>
      <c r="N844" s="81">
        <f t="shared" si="210"/>
        <v>-3</v>
      </c>
      <c r="O844" s="80"/>
      <c r="P844" s="82">
        <f>R844-TIME(0,27,0)</f>
        <v>45372.931944444441</v>
      </c>
      <c r="Q844" s="82">
        <v>45372.850694444445</v>
      </c>
      <c r="R844" s="82">
        <v>45372.950694444444</v>
      </c>
      <c r="S844" s="81">
        <f t="shared" si="200"/>
        <v>143.33333333124756</v>
      </c>
      <c r="T844" s="81">
        <f t="shared" si="201"/>
        <v>26.87500000417155</v>
      </c>
      <c r="U844" s="79"/>
      <c r="V844" s="82">
        <v>45374.518750000003</v>
      </c>
      <c r="W844" s="82">
        <v>45374.736805555556</v>
      </c>
      <c r="X844" s="103">
        <f t="shared" si="202"/>
        <v>307.45833333014161</v>
      </c>
      <c r="Y844" s="82" t="s">
        <v>1049</v>
      </c>
      <c r="Z844" s="82">
        <v>45374.870138888888</v>
      </c>
      <c r="AA844" s="82">
        <f>Z844+TIME(0,59,0)</f>
        <v>45374.911111111112</v>
      </c>
      <c r="AB844" s="81">
        <f t="shared" si="203"/>
        <v>57.770833336981013</v>
      </c>
      <c r="AC844" s="82"/>
      <c r="AD844" s="83">
        <f t="shared" si="204"/>
        <v>1.9194444444437977</v>
      </c>
      <c r="AE844" s="83">
        <v>2</v>
      </c>
      <c r="AF844" s="83">
        <f t="shared" si="205"/>
        <v>8.0555555556202307E-2</v>
      </c>
      <c r="AG844" s="83">
        <f t="shared" si="206"/>
        <v>46.066666666651145</v>
      </c>
      <c r="AH844" s="83">
        <f t="shared" si="207"/>
        <v>12</v>
      </c>
      <c r="AI844" s="83">
        <f t="shared" si="208"/>
        <v>34.066666666651145</v>
      </c>
      <c r="AJ844" s="83">
        <f t="shared" si="209"/>
        <v>4.5792563600803646</v>
      </c>
      <c r="AK844" s="83"/>
      <c r="AL844" s="83"/>
      <c r="AM844" s="83"/>
      <c r="AN844" s="83"/>
    </row>
    <row r="845" spans="1:40" ht="15" hidden="1" x14ac:dyDescent="0.25">
      <c r="A845" s="82">
        <v>45744</v>
      </c>
      <c r="B845" s="94" t="str">
        <f t="shared" si="199"/>
        <v>March</v>
      </c>
      <c r="C845" s="79" t="s">
        <v>2162</v>
      </c>
      <c r="D845" s="79" t="s">
        <v>1621</v>
      </c>
      <c r="E845" s="79" t="s">
        <v>1017</v>
      </c>
      <c r="F845" s="79" t="s">
        <v>1033</v>
      </c>
      <c r="G845" s="79" t="s">
        <v>41</v>
      </c>
      <c r="H845" s="79" t="s">
        <v>455</v>
      </c>
      <c r="I845" s="79">
        <v>39</v>
      </c>
      <c r="J845" s="79" t="s">
        <v>1621</v>
      </c>
      <c r="K845" s="80" t="s">
        <v>469</v>
      </c>
      <c r="L845" s="80">
        <v>580</v>
      </c>
      <c r="M845" s="80">
        <f>L845-1</f>
        <v>579</v>
      </c>
      <c r="N845" s="81">
        <f t="shared" si="210"/>
        <v>-1</v>
      </c>
      <c r="O845" s="80"/>
      <c r="P845" s="82">
        <f>R845-TIME(0,27,0)</f>
        <v>45373.679166666661</v>
      </c>
      <c r="Q845" s="82">
        <v>45372.333333333336</v>
      </c>
      <c r="R845" s="82">
        <v>45373.697916666664</v>
      </c>
      <c r="S845" s="81">
        <f t="shared" si="200"/>
        <v>1955.9027777708252</v>
      </c>
      <c r="T845" s="81">
        <f t="shared" si="201"/>
        <v>26.87500000417155</v>
      </c>
      <c r="U845" s="79"/>
      <c r="V845" s="82">
        <v>45374.147916666669</v>
      </c>
      <c r="W845" s="82">
        <v>45374.72152777778</v>
      </c>
      <c r="X845" s="103">
        <f t="shared" si="202"/>
        <v>808.79166666643869</v>
      </c>
      <c r="Y845" s="82" t="s">
        <v>1050</v>
      </c>
      <c r="Z845" s="82">
        <v>45375.767361111109</v>
      </c>
      <c r="AA845" s="82">
        <f>Z845+TIME(0,82,0)</f>
        <v>45375.82430555555</v>
      </c>
      <c r="AB845" s="81">
        <f t="shared" si="203"/>
        <v>80.291666661651107</v>
      </c>
      <c r="AC845" s="82" t="s">
        <v>1674</v>
      </c>
      <c r="AD845" s="83">
        <f t="shared" si="204"/>
        <v>2.0694444444452529</v>
      </c>
      <c r="AE845" s="83">
        <v>2</v>
      </c>
      <c r="AF845" s="83">
        <f t="shared" si="205"/>
        <v>-6.9444444445252884E-2</v>
      </c>
      <c r="AG845" s="83">
        <f t="shared" si="206"/>
        <v>49.666666666686069</v>
      </c>
      <c r="AH845" s="83">
        <f t="shared" si="207"/>
        <v>24</v>
      </c>
      <c r="AI845" s="83">
        <f t="shared" si="208"/>
        <v>25.666666666686069</v>
      </c>
      <c r="AJ845" s="83">
        <f t="shared" si="209"/>
        <v>1.5194805194793708</v>
      </c>
      <c r="AK845" s="83"/>
      <c r="AL845" s="83"/>
      <c r="AM845" s="83"/>
      <c r="AN845" s="83"/>
    </row>
    <row r="846" spans="1:40" ht="15" hidden="1" x14ac:dyDescent="0.25">
      <c r="A846" s="82">
        <v>45744</v>
      </c>
      <c r="B846" s="94" t="str">
        <f t="shared" si="199"/>
        <v>March</v>
      </c>
      <c r="C846" s="79" t="s">
        <v>2162</v>
      </c>
      <c r="D846" s="79" t="s">
        <v>1622</v>
      </c>
      <c r="E846" s="79" t="s">
        <v>1017</v>
      </c>
      <c r="F846" s="79" t="s">
        <v>1014</v>
      </c>
      <c r="G846" s="79" t="s">
        <v>52</v>
      </c>
      <c r="H846" s="79" t="s">
        <v>454</v>
      </c>
      <c r="I846" s="79">
        <v>156</v>
      </c>
      <c r="J846" s="79" t="s">
        <v>1622</v>
      </c>
      <c r="K846" s="80" t="s">
        <v>469</v>
      </c>
      <c r="L846" s="80">
        <v>304</v>
      </c>
      <c r="M846" s="80">
        <f>L846-3</f>
        <v>301</v>
      </c>
      <c r="N846" s="81">
        <f t="shared" si="210"/>
        <v>-3</v>
      </c>
      <c r="O846" s="80"/>
      <c r="P846" s="82">
        <f>R846-TIME(0,27,0)</f>
        <v>45373.497615740736</v>
      </c>
      <c r="Q846" s="82">
        <v>45373.135810185187</v>
      </c>
      <c r="R846" s="82">
        <v>45373.516365740739</v>
      </c>
      <c r="S846" s="81">
        <f t="shared" si="200"/>
        <v>545.46296295763261</v>
      </c>
      <c r="T846" s="81">
        <f t="shared" si="201"/>
        <v>26.87500000417155</v>
      </c>
      <c r="U846" s="79"/>
      <c r="V846" s="82">
        <v>45373.766365740739</v>
      </c>
      <c r="W846" s="82">
        <f>V846+TIME(0,168,0)</f>
        <v>45373.883032407408</v>
      </c>
      <c r="X846" s="103">
        <f t="shared" si="202"/>
        <v>164.50000000273576</v>
      </c>
      <c r="Y846" s="82"/>
      <c r="Z846" s="82">
        <v>45374.738587962966</v>
      </c>
      <c r="AA846" s="82">
        <f>Z846+TIME(0,43,0)</f>
        <v>45374.768449074079</v>
      </c>
      <c r="AB846" s="81">
        <f t="shared" si="203"/>
        <v>42.104166670542327</v>
      </c>
      <c r="AC846" s="82"/>
      <c r="AD846" s="83">
        <f t="shared" si="204"/>
        <v>1.2222222222262644</v>
      </c>
      <c r="AE846" s="83">
        <v>2</v>
      </c>
      <c r="AF846" s="83">
        <f t="shared" si="205"/>
        <v>0.77777777777373558</v>
      </c>
      <c r="AG846" s="83">
        <f t="shared" si="206"/>
        <v>29.333333333430346</v>
      </c>
      <c r="AH846" s="83">
        <f t="shared" si="207"/>
        <v>12</v>
      </c>
      <c r="AI846" s="83">
        <f t="shared" si="208"/>
        <v>17.333333333430346</v>
      </c>
      <c r="AJ846" s="83">
        <f t="shared" si="209"/>
        <v>8.9999999999496278</v>
      </c>
      <c r="AK846" s="83"/>
      <c r="AL846" s="83"/>
      <c r="AM846" s="83"/>
      <c r="AN846" s="83"/>
    </row>
    <row r="847" spans="1:40" ht="15" hidden="1" x14ac:dyDescent="0.25">
      <c r="A847" s="82">
        <v>45744</v>
      </c>
      <c r="B847" s="94" t="str">
        <f t="shared" si="199"/>
        <v>March</v>
      </c>
      <c r="C847" s="79" t="s">
        <v>2162</v>
      </c>
      <c r="D847" s="79" t="s">
        <v>1623</v>
      </c>
      <c r="E847" s="79" t="s">
        <v>1017</v>
      </c>
      <c r="F847" s="79" t="s">
        <v>1034</v>
      </c>
      <c r="G847" s="79" t="s">
        <v>53</v>
      </c>
      <c r="H847" s="79" t="s">
        <v>463</v>
      </c>
      <c r="I847" s="79">
        <v>78</v>
      </c>
      <c r="J847" s="79" t="s">
        <v>1623</v>
      </c>
      <c r="K847" s="80" t="s">
        <v>469</v>
      </c>
      <c r="L847" s="80">
        <v>464</v>
      </c>
      <c r="M847" s="80">
        <f>L847-3</f>
        <v>461</v>
      </c>
      <c r="N847" s="81">
        <f t="shared" si="210"/>
        <v>-3</v>
      </c>
      <c r="O847" s="80"/>
      <c r="P847" s="82">
        <f>R847-TIME(0,24,0)</f>
        <v>45375.419444444444</v>
      </c>
      <c r="Q847" s="82">
        <v>45372.375</v>
      </c>
      <c r="R847" s="82">
        <v>45375.436111111114</v>
      </c>
      <c r="S847" s="81">
        <f t="shared" si="200"/>
        <v>4387.5925925965321</v>
      </c>
      <c r="T847" s="81">
        <f t="shared" si="201"/>
        <v>23.888888893755695</v>
      </c>
      <c r="U847" s="79"/>
      <c r="V847" s="82">
        <v>45375.740972222222</v>
      </c>
      <c r="W847" s="82">
        <f>V847+TIME(0,165,0)</f>
        <v>45375.855555555558</v>
      </c>
      <c r="X847" s="103">
        <f t="shared" si="202"/>
        <v>161.5625000034197</v>
      </c>
      <c r="Y847" s="82"/>
      <c r="Z847" s="82">
        <v>45377.456944444442</v>
      </c>
      <c r="AA847" s="82">
        <f>Z847+TIME(0,58,0)</f>
        <v>45377.49722222222</v>
      </c>
      <c r="AB847" s="81">
        <f t="shared" si="203"/>
        <v>56.791666667122627</v>
      </c>
      <c r="AC847" s="82"/>
      <c r="AD847" s="83">
        <f t="shared" si="204"/>
        <v>2.0208333333284827</v>
      </c>
      <c r="AE847" s="83">
        <v>3</v>
      </c>
      <c r="AF847" s="83">
        <f t="shared" si="205"/>
        <v>0.97916666667151731</v>
      </c>
      <c r="AG847" s="83">
        <f t="shared" si="206"/>
        <v>48.499999999883585</v>
      </c>
      <c r="AH847" s="83">
        <f t="shared" si="207"/>
        <v>24</v>
      </c>
      <c r="AI847" s="83">
        <f t="shared" si="208"/>
        <v>24.499999999883585</v>
      </c>
      <c r="AJ847" s="83">
        <f t="shared" si="209"/>
        <v>3.183673469402883</v>
      </c>
      <c r="AK847" s="83"/>
      <c r="AL847" s="83"/>
      <c r="AM847" s="83"/>
      <c r="AN847" s="83"/>
    </row>
    <row r="848" spans="1:40" ht="15" hidden="1" x14ac:dyDescent="0.25">
      <c r="A848" s="82">
        <v>45744</v>
      </c>
      <c r="B848" s="94" t="str">
        <f t="shared" si="199"/>
        <v>March</v>
      </c>
      <c r="C848" s="79" t="s">
        <v>2162</v>
      </c>
      <c r="D848" s="79" t="s">
        <v>1624</v>
      </c>
      <c r="E848" s="79" t="s">
        <v>1017</v>
      </c>
      <c r="F848" s="79" t="s">
        <v>1018</v>
      </c>
      <c r="G848" s="79" t="s">
        <v>39</v>
      </c>
      <c r="H848" s="79" t="s">
        <v>451</v>
      </c>
      <c r="I848" s="79">
        <v>156</v>
      </c>
      <c r="J848" s="79" t="s">
        <v>1624</v>
      </c>
      <c r="K848" s="80" t="s">
        <v>469</v>
      </c>
      <c r="L848" s="80">
        <v>790</v>
      </c>
      <c r="M848" s="80">
        <f>L848-1</f>
        <v>789</v>
      </c>
      <c r="N848" s="81">
        <f t="shared" si="210"/>
        <v>-1</v>
      </c>
      <c r="O848" s="80"/>
      <c r="P848" s="82">
        <f>R848-TIME(0,27,0)</f>
        <v>45373.527777777774</v>
      </c>
      <c r="Q848" s="82">
        <v>45372.375</v>
      </c>
      <c r="R848" s="82">
        <v>45373.546527777777</v>
      </c>
      <c r="S848" s="81">
        <f t="shared" si="200"/>
        <v>1679.1898148131925</v>
      </c>
      <c r="T848" s="81">
        <f t="shared" si="201"/>
        <v>26.87500000417155</v>
      </c>
      <c r="U848" s="79"/>
      <c r="V848" s="82">
        <v>45374.37222222222</v>
      </c>
      <c r="W848" s="82">
        <v>45374.699305555558</v>
      </c>
      <c r="X848" s="103">
        <f t="shared" si="202"/>
        <v>461.18750000547152</v>
      </c>
      <c r="Y848" s="82" t="s">
        <v>1044</v>
      </c>
      <c r="Z848" s="82">
        <v>45375.42083333333</v>
      </c>
      <c r="AA848" s="82">
        <f>Z848+TIME(0,59,0)</f>
        <v>45375.461805555555</v>
      </c>
      <c r="AB848" s="81">
        <f t="shared" si="203"/>
        <v>57.770833336981013</v>
      </c>
      <c r="AC848" s="82"/>
      <c r="AD848" s="83">
        <f t="shared" si="204"/>
        <v>1.8743055555532919</v>
      </c>
      <c r="AE848" s="83">
        <v>3</v>
      </c>
      <c r="AF848" s="83">
        <f t="shared" si="205"/>
        <v>1.1256944444467081</v>
      </c>
      <c r="AG848" s="83">
        <f t="shared" si="206"/>
        <v>44.983333333279006</v>
      </c>
      <c r="AH848" s="83">
        <f t="shared" si="207"/>
        <v>12</v>
      </c>
      <c r="AI848" s="83">
        <f t="shared" si="208"/>
        <v>32.983333333279006</v>
      </c>
      <c r="AJ848" s="83">
        <f t="shared" si="209"/>
        <v>4.7296614451821206</v>
      </c>
      <c r="AK848" s="83"/>
      <c r="AL848" s="83"/>
      <c r="AM848" s="83"/>
      <c r="AN848" s="83"/>
    </row>
    <row r="849" spans="1:40" ht="15" hidden="1" x14ac:dyDescent="0.25">
      <c r="A849" s="82">
        <v>45744</v>
      </c>
      <c r="B849" s="94" t="str">
        <f t="shared" si="199"/>
        <v>March</v>
      </c>
      <c r="C849" s="79" t="s">
        <v>2162</v>
      </c>
      <c r="D849" s="79" t="s">
        <v>1625</v>
      </c>
      <c r="E849" s="79" t="s">
        <v>1017</v>
      </c>
      <c r="F849" s="79" t="s">
        <v>960</v>
      </c>
      <c r="G849" s="79" t="s">
        <v>62</v>
      </c>
      <c r="H849" s="79" t="s">
        <v>453</v>
      </c>
      <c r="I849" s="79">
        <v>78</v>
      </c>
      <c r="J849" s="79" t="s">
        <v>1625</v>
      </c>
      <c r="K849" s="80" t="s">
        <v>469</v>
      </c>
      <c r="L849" s="80">
        <v>464</v>
      </c>
      <c r="M849" s="80">
        <f>L849-3</f>
        <v>461</v>
      </c>
      <c r="N849" s="81">
        <f t="shared" si="210"/>
        <v>-3</v>
      </c>
      <c r="O849" s="80"/>
      <c r="P849" s="82">
        <f>R849-TIME(0,54,0)</f>
        <v>45374.795138888891</v>
      </c>
      <c r="Q849" s="82">
        <v>45374.694444444445</v>
      </c>
      <c r="R849" s="82">
        <v>45374.832638888889</v>
      </c>
      <c r="S849" s="81">
        <f t="shared" si="200"/>
        <v>198.07870370277669</v>
      </c>
      <c r="T849" s="81">
        <f t="shared" si="201"/>
        <v>53.749999997914223</v>
      </c>
      <c r="U849" s="79" t="s">
        <v>562</v>
      </c>
      <c r="V849" s="82">
        <v>45375.747916666667</v>
      </c>
      <c r="W849" s="82">
        <v>45376.613194444442</v>
      </c>
      <c r="X849" s="103">
        <f t="shared" si="202"/>
        <v>1220.041666663019</v>
      </c>
      <c r="Y849" s="82" t="s">
        <v>1044</v>
      </c>
      <c r="Z849" s="82">
        <v>45377.815972222219</v>
      </c>
      <c r="AA849" s="82">
        <f>Z849+TIME(0,72,0)</f>
        <v>45377.865972222222</v>
      </c>
      <c r="AB849" s="81">
        <f t="shared" si="203"/>
        <v>70.50000000410364</v>
      </c>
      <c r="AC849" s="82" t="s">
        <v>1674</v>
      </c>
      <c r="AD849" s="83">
        <f t="shared" si="204"/>
        <v>2.9833333333299379</v>
      </c>
      <c r="AE849" s="83">
        <v>3</v>
      </c>
      <c r="AF849" s="83">
        <f t="shared" si="205"/>
        <v>1.6666666670062114E-2</v>
      </c>
      <c r="AG849" s="83">
        <f t="shared" si="206"/>
        <v>71.599999999918509</v>
      </c>
      <c r="AH849" s="83">
        <f t="shared" si="207"/>
        <v>24</v>
      </c>
      <c r="AI849" s="83">
        <f t="shared" si="208"/>
        <v>47.599999999918509</v>
      </c>
      <c r="AJ849" s="83">
        <f t="shared" si="209"/>
        <v>1.6386554621876792</v>
      </c>
      <c r="AK849" s="83"/>
      <c r="AL849" s="83"/>
      <c r="AM849" s="83"/>
      <c r="AN849" s="83"/>
    </row>
    <row r="850" spans="1:40" ht="15" hidden="1" x14ac:dyDescent="0.25">
      <c r="A850" s="82">
        <v>45744</v>
      </c>
      <c r="B850" s="94" t="str">
        <f t="shared" si="199"/>
        <v>March</v>
      </c>
      <c r="C850" s="79" t="s">
        <v>2162</v>
      </c>
      <c r="D850" s="79" t="s">
        <v>1626</v>
      </c>
      <c r="E850" s="79" t="s">
        <v>1017</v>
      </c>
      <c r="F850" s="79"/>
      <c r="G850" s="79" t="s">
        <v>67</v>
      </c>
      <c r="H850" s="79" t="s">
        <v>450</v>
      </c>
      <c r="I850" s="79">
        <v>156</v>
      </c>
      <c r="J850" s="79" t="s">
        <v>1626</v>
      </c>
      <c r="K850" s="80" t="s">
        <v>469</v>
      </c>
      <c r="L850" s="80">
        <v>288</v>
      </c>
      <c r="M850" s="80">
        <f>L850-2</f>
        <v>286</v>
      </c>
      <c r="N850" s="81">
        <f t="shared" si="210"/>
        <v>-2</v>
      </c>
      <c r="O850" s="80"/>
      <c r="P850" s="82">
        <f t="shared" ref="P850:P851" si="212">R850-TIME(0,27,0)</f>
        <v>45374.057453703703</v>
      </c>
      <c r="Q850" s="82">
        <v>45374.028981481482</v>
      </c>
      <c r="R850" s="82">
        <v>45374.076203703706</v>
      </c>
      <c r="S850" s="81">
        <f t="shared" si="200"/>
        <v>67.685185186807459</v>
      </c>
      <c r="T850" s="81">
        <f t="shared" si="201"/>
        <v>26.87500000417155</v>
      </c>
      <c r="V850" s="82">
        <v>45375.138703703706</v>
      </c>
      <c r="W850" s="82">
        <v>45376.532037037039</v>
      </c>
      <c r="X850" s="103">
        <f t="shared" si="202"/>
        <v>1964.6000000001368</v>
      </c>
      <c r="Y850" s="82" t="s">
        <v>1047</v>
      </c>
      <c r="Z850" s="82">
        <v>45376.44604166667</v>
      </c>
      <c r="AA850" s="82">
        <f>Z850+TIME(0,50,0)</f>
        <v>45376.480763888889</v>
      </c>
      <c r="AB850" s="81">
        <f t="shared" si="203"/>
        <v>48.958333328773733</v>
      </c>
      <c r="AC850" s="82"/>
      <c r="AD850" s="83">
        <f t="shared" si="204"/>
        <v>2.369837962964084</v>
      </c>
      <c r="AE850" s="83">
        <v>2</v>
      </c>
      <c r="AF850" s="83">
        <f t="shared" si="205"/>
        <v>-0.369837962964084</v>
      </c>
      <c r="AG850" s="83">
        <f t="shared" si="206"/>
        <v>56.876111111138016</v>
      </c>
      <c r="AH850" s="83">
        <f t="shared" si="207"/>
        <v>24</v>
      </c>
      <c r="AI850" s="83">
        <f t="shared" si="208"/>
        <v>32.876111111138016</v>
      </c>
      <c r="AJ850" s="83">
        <f t="shared" si="209"/>
        <v>4.7450867735736892</v>
      </c>
      <c r="AK850" s="83"/>
      <c r="AL850" s="83"/>
      <c r="AM850" s="83"/>
      <c r="AN850" s="83"/>
    </row>
    <row r="851" spans="1:40" ht="15" hidden="1" x14ac:dyDescent="0.25">
      <c r="A851" s="82">
        <v>45744</v>
      </c>
      <c r="B851" s="94" t="str">
        <f t="shared" si="199"/>
        <v>March</v>
      </c>
      <c r="C851" s="79" t="s">
        <v>2162</v>
      </c>
      <c r="D851" s="79" t="s">
        <v>1627</v>
      </c>
      <c r="E851" s="79" t="s">
        <v>1017</v>
      </c>
      <c r="F851" s="79" t="s">
        <v>1021</v>
      </c>
      <c r="G851" s="79" t="s">
        <v>57</v>
      </c>
      <c r="H851" s="79" t="s">
        <v>463</v>
      </c>
      <c r="I851" s="79">
        <v>78</v>
      </c>
      <c r="J851" s="79" t="s">
        <v>1627</v>
      </c>
      <c r="K851" s="80" t="s">
        <v>469</v>
      </c>
      <c r="L851" s="80">
        <v>464</v>
      </c>
      <c r="M851" s="80">
        <f>L851-3</f>
        <v>461</v>
      </c>
      <c r="N851" s="81">
        <f t="shared" si="210"/>
        <v>-3</v>
      </c>
      <c r="O851" s="80"/>
      <c r="P851" s="82">
        <f t="shared" si="212"/>
        <v>45374.367881944439</v>
      </c>
      <c r="Q851" s="82">
        <v>45374.325520833336</v>
      </c>
      <c r="R851" s="82">
        <v>45374.386631944442</v>
      </c>
      <c r="S851" s="81">
        <f t="shared" si="200"/>
        <v>87.592592586103521</v>
      </c>
      <c r="T851" s="81">
        <f t="shared" si="201"/>
        <v>26.87500000417155</v>
      </c>
      <c r="V851" s="82">
        <v>45375.386631944442</v>
      </c>
      <c r="W851" s="82">
        <v>45375.533159722225</v>
      </c>
      <c r="X851" s="103">
        <f t="shared" si="202"/>
        <v>206.60416667327809</v>
      </c>
      <c r="Y851" s="82" t="s">
        <v>1049</v>
      </c>
      <c r="Z851" s="82">
        <v>45376.386631944442</v>
      </c>
      <c r="AA851" s="82">
        <f>Z851+TIME(0,43,0)</f>
        <v>45376.416493055556</v>
      </c>
      <c r="AB851" s="81">
        <f t="shared" si="203"/>
        <v>42.104166670542327</v>
      </c>
      <c r="AC851" s="82"/>
      <c r="AD851" s="83">
        <f t="shared" si="204"/>
        <v>2</v>
      </c>
      <c r="AE851" s="83">
        <v>3</v>
      </c>
      <c r="AF851" s="83">
        <f t="shared" si="205"/>
        <v>1</v>
      </c>
      <c r="AG851" s="83">
        <f t="shared" si="206"/>
        <v>48</v>
      </c>
      <c r="AH851" s="83">
        <f t="shared" si="207"/>
        <v>24</v>
      </c>
      <c r="AI851" s="83">
        <f t="shared" si="208"/>
        <v>24</v>
      </c>
      <c r="AJ851" s="83">
        <f t="shared" si="209"/>
        <v>3.25</v>
      </c>
      <c r="AK851" s="83"/>
      <c r="AL851" s="83"/>
      <c r="AM851" s="83"/>
      <c r="AN851" s="83"/>
    </row>
    <row r="852" spans="1:40" ht="15" hidden="1" x14ac:dyDescent="0.25">
      <c r="A852" s="82">
        <v>45744</v>
      </c>
      <c r="B852" s="94" t="str">
        <f t="shared" si="199"/>
        <v>March</v>
      </c>
      <c r="C852" s="79" t="s">
        <v>2162</v>
      </c>
      <c r="D852" s="79" t="s">
        <v>1628</v>
      </c>
      <c r="E852" s="79" t="s">
        <v>1017</v>
      </c>
      <c r="F852" s="79"/>
      <c r="G852" s="79" t="s">
        <v>74</v>
      </c>
      <c r="H852" s="79" t="s">
        <v>452</v>
      </c>
      <c r="I852" s="79">
        <v>156</v>
      </c>
      <c r="J852" s="79" t="s">
        <v>1628</v>
      </c>
      <c r="K852" s="80" t="s">
        <v>469</v>
      </c>
      <c r="L852" s="79">
        <v>690</v>
      </c>
      <c r="M852" s="80">
        <f>L852-2</f>
        <v>688</v>
      </c>
      <c r="N852" s="81">
        <f t="shared" si="210"/>
        <v>-2</v>
      </c>
      <c r="O852" s="80"/>
      <c r="P852" s="82">
        <f>R852-TIME(0,28,0)</f>
        <v>45373.861805555556</v>
      </c>
      <c r="Q852" s="82">
        <v>45374.136805555558</v>
      </c>
      <c r="R852" s="82">
        <v>45373.881249999999</v>
      </c>
      <c r="S852" s="81">
        <f t="shared" si="200"/>
        <v>-366.29629630139488</v>
      </c>
      <c r="T852" s="81">
        <f t="shared" si="201"/>
        <v>27.870370367357584</v>
      </c>
      <c r="V852" s="82">
        <v>45374.588194444441</v>
      </c>
      <c r="W852" s="82">
        <v>45374.694444444445</v>
      </c>
      <c r="X852" s="103">
        <f t="shared" si="202"/>
        <v>149.81250000615546</v>
      </c>
      <c r="Y852" s="82"/>
      <c r="Z852" s="82">
        <v>45375.801388888889</v>
      </c>
      <c r="AA852" s="82">
        <f>Z852+TIME(0,52,0)</f>
        <v>45375.837500000001</v>
      </c>
      <c r="AB852" s="81">
        <f t="shared" si="203"/>
        <v>50.916666668490507</v>
      </c>
      <c r="AC852" s="82"/>
      <c r="AD852" s="83">
        <f t="shared" si="204"/>
        <v>1.9201388888905058</v>
      </c>
      <c r="AE852" s="83">
        <v>3</v>
      </c>
      <c r="AF852" s="83">
        <f t="shared" si="205"/>
        <v>1.0798611111094942</v>
      </c>
      <c r="AG852" s="83">
        <f t="shared" si="206"/>
        <v>46.083333333372138</v>
      </c>
      <c r="AH852" s="83">
        <f t="shared" si="207"/>
        <v>12</v>
      </c>
      <c r="AI852" s="83">
        <f t="shared" si="208"/>
        <v>34.083333333372138</v>
      </c>
      <c r="AJ852" s="83">
        <f t="shared" si="209"/>
        <v>4.5770171149092143</v>
      </c>
      <c r="AK852" s="83"/>
      <c r="AL852" s="83"/>
      <c r="AM852" s="83"/>
      <c r="AN852" s="83"/>
    </row>
    <row r="853" spans="1:40" ht="15" hidden="1" x14ac:dyDescent="0.25">
      <c r="A853" s="82">
        <v>45744</v>
      </c>
      <c r="B853" s="94" t="str">
        <f t="shared" si="199"/>
        <v>March</v>
      </c>
      <c r="C853" s="79" t="s">
        <v>2162</v>
      </c>
      <c r="D853" s="79" t="s">
        <v>1629</v>
      </c>
      <c r="E853" s="79" t="s">
        <v>1017</v>
      </c>
      <c r="F853" s="79"/>
      <c r="G853" s="79" t="s">
        <v>77</v>
      </c>
      <c r="H853" s="79" t="s">
        <v>465</v>
      </c>
      <c r="I853" s="79">
        <v>156</v>
      </c>
      <c r="J853" s="79" t="s">
        <v>1629</v>
      </c>
      <c r="K853" s="80" t="s">
        <v>469</v>
      </c>
      <c r="L853" s="80">
        <v>382</v>
      </c>
      <c r="M853" s="80">
        <f>L853-1</f>
        <v>381</v>
      </c>
      <c r="N853" s="81">
        <f t="shared" si="210"/>
        <v>-1</v>
      </c>
      <c r="O853" s="80"/>
      <c r="P853" s="82">
        <f>R853-TIME(0,29,0)</f>
        <v>45374.366666666669</v>
      </c>
      <c r="Q853" s="82">
        <v>45374.104166666664</v>
      </c>
      <c r="R853" s="82">
        <v>45374.386805555558</v>
      </c>
      <c r="S853" s="81">
        <f t="shared" si="200"/>
        <v>405.11574074722984</v>
      </c>
      <c r="T853" s="81">
        <f t="shared" si="201"/>
        <v>28.865740740972495</v>
      </c>
      <c r="V853" s="82">
        <v>45376.397222222222</v>
      </c>
      <c r="W853" s="82">
        <f>V853+TIME(0,163,0)</f>
        <v>45376.510416666664</v>
      </c>
      <c r="X853" s="103">
        <f t="shared" si="202"/>
        <v>159.60416666370293</v>
      </c>
      <c r="Y853" s="82"/>
      <c r="Z853" s="82">
        <v>45376.862500000003</v>
      </c>
      <c r="AA853" s="82">
        <f>Z853+TIME(0,50,0)</f>
        <v>45376.897222222222</v>
      </c>
      <c r="AB853" s="81">
        <f t="shared" si="203"/>
        <v>48.958333328773733</v>
      </c>
      <c r="AC853" s="82"/>
      <c r="AD853" s="83">
        <f t="shared" si="204"/>
        <v>2.4756944444452529</v>
      </c>
      <c r="AE853" s="83">
        <v>2</v>
      </c>
      <c r="AF853" s="83">
        <f t="shared" si="205"/>
        <v>-0.47569444444525288</v>
      </c>
      <c r="AG853" s="83">
        <f t="shared" si="206"/>
        <v>59.416666666686069</v>
      </c>
      <c r="AH853" s="83">
        <f t="shared" si="207"/>
        <v>24</v>
      </c>
      <c r="AI853" s="83">
        <f t="shared" si="208"/>
        <v>35.416666666686069</v>
      </c>
      <c r="AJ853" s="83">
        <f t="shared" si="209"/>
        <v>4.4047058823505285</v>
      </c>
      <c r="AK853" s="83"/>
      <c r="AL853" s="83"/>
      <c r="AM853" s="83"/>
      <c r="AN853" s="83"/>
    </row>
    <row r="854" spans="1:40" ht="15" hidden="1" x14ac:dyDescent="0.25">
      <c r="A854" s="82">
        <v>45744</v>
      </c>
      <c r="B854" s="94" t="str">
        <f t="shared" si="199"/>
        <v>March</v>
      </c>
      <c r="C854" s="79" t="s">
        <v>2162</v>
      </c>
      <c r="D854" s="79" t="s">
        <v>1630</v>
      </c>
      <c r="E854" s="79" t="s">
        <v>1017</v>
      </c>
      <c r="F854" s="79" t="s">
        <v>1029</v>
      </c>
      <c r="G854" s="79" t="s">
        <v>38</v>
      </c>
      <c r="H854" s="79" t="s">
        <v>448</v>
      </c>
      <c r="I854" s="79">
        <v>156</v>
      </c>
      <c r="J854" s="79" t="s">
        <v>1630</v>
      </c>
      <c r="K854" s="80" t="s">
        <v>469</v>
      </c>
      <c r="L854" s="79">
        <v>560</v>
      </c>
      <c r="M854" s="80">
        <f>L854-2</f>
        <v>558</v>
      </c>
      <c r="N854" s="81">
        <f t="shared" si="210"/>
        <v>-2</v>
      </c>
      <c r="O854" s="80"/>
      <c r="P854" s="82">
        <f>R854-TIME(0,27,0)</f>
        <v>45374.597916666666</v>
      </c>
      <c r="Q854" s="82">
        <v>45375.098611111112</v>
      </c>
      <c r="R854" s="82">
        <v>45374.616666666669</v>
      </c>
      <c r="S854" s="81">
        <f t="shared" si="200"/>
        <v>-690.78703703611006</v>
      </c>
      <c r="T854" s="81">
        <f t="shared" si="201"/>
        <v>26.87500000417155</v>
      </c>
      <c r="V854" s="82">
        <v>45375.383333333331</v>
      </c>
      <c r="W854" s="82">
        <v>45375.626388888886</v>
      </c>
      <c r="X854" s="103">
        <f t="shared" si="202"/>
        <v>342.70833333219343</v>
      </c>
      <c r="Y854" s="82" t="s">
        <v>1047</v>
      </c>
      <c r="Z854" s="82">
        <v>45375.740277777775</v>
      </c>
      <c r="AA854" s="82">
        <f>Z854+TIME(0,43,0)</f>
        <v>45375.770138888889</v>
      </c>
      <c r="AB854" s="81">
        <f t="shared" si="203"/>
        <v>42.104166670542327</v>
      </c>
      <c r="AC854" s="82"/>
      <c r="AD854" s="83">
        <f t="shared" si="204"/>
        <v>1.1236111111065838</v>
      </c>
      <c r="AE854" s="83">
        <v>2</v>
      </c>
      <c r="AF854" s="83">
        <f t="shared" si="205"/>
        <v>0.87638888889341615</v>
      </c>
      <c r="AG854" s="83">
        <f t="shared" si="206"/>
        <v>26.966666666558012</v>
      </c>
      <c r="AH854" s="83">
        <f t="shared" si="207"/>
        <v>12</v>
      </c>
      <c r="AI854" s="83">
        <f t="shared" si="208"/>
        <v>14.966666666558012</v>
      </c>
      <c r="AJ854" s="83">
        <f t="shared" si="209"/>
        <v>10.4231625835946</v>
      </c>
      <c r="AK854" s="83"/>
      <c r="AL854" s="83"/>
      <c r="AM854" s="83"/>
      <c r="AN854" s="83"/>
    </row>
    <row r="855" spans="1:40" ht="15" hidden="1" x14ac:dyDescent="0.25">
      <c r="A855" s="82">
        <v>45745</v>
      </c>
      <c r="B855" s="94" t="str">
        <f t="shared" si="199"/>
        <v>March</v>
      </c>
      <c r="C855" s="79" t="s">
        <v>2162</v>
      </c>
      <c r="D855" s="79" t="s">
        <v>1631</v>
      </c>
      <c r="E855" s="79" t="s">
        <v>1017</v>
      </c>
      <c r="F855" s="79" t="s">
        <v>963</v>
      </c>
      <c r="G855" s="79" t="s">
        <v>60</v>
      </c>
      <c r="H855" s="79" t="s">
        <v>455</v>
      </c>
      <c r="I855" s="79">
        <v>156</v>
      </c>
      <c r="J855" s="79" t="s">
        <v>1631</v>
      </c>
      <c r="K855" s="80" t="s">
        <v>469</v>
      </c>
      <c r="L855" s="80">
        <v>580</v>
      </c>
      <c r="M855" s="80">
        <f>L855-3</f>
        <v>577</v>
      </c>
      <c r="N855" s="81">
        <f t="shared" si="210"/>
        <v>-3</v>
      </c>
      <c r="O855" s="80"/>
      <c r="P855" s="82">
        <f>R855-TIME(0,28,0)</f>
        <v>45375.130555555559</v>
      </c>
      <c r="Q855" s="82">
        <v>45374.729166666664</v>
      </c>
      <c r="R855" s="82">
        <v>45375.15</v>
      </c>
      <c r="S855" s="81">
        <f t="shared" si="200"/>
        <v>603.19444445000647</v>
      </c>
      <c r="T855" s="81">
        <f t="shared" si="201"/>
        <v>27.870370367357584</v>
      </c>
      <c r="V855" s="82">
        <v>45376.294444444444</v>
      </c>
      <c r="W855" s="82">
        <v>45376.793749999997</v>
      </c>
      <c r="X855" s="103">
        <f t="shared" si="202"/>
        <v>704.02083333014161</v>
      </c>
      <c r="Y855" s="82" t="s">
        <v>1047</v>
      </c>
      <c r="Z855" s="82">
        <v>45377.287499999999</v>
      </c>
      <c r="AA855" s="82">
        <f>Z855+TIME(0,58,0)</f>
        <v>45377.327777777777</v>
      </c>
      <c r="AB855" s="81">
        <f t="shared" si="203"/>
        <v>56.791666667122627</v>
      </c>
      <c r="AC855" s="82"/>
      <c r="AD855" s="83">
        <f t="shared" si="204"/>
        <v>2.1374999999970896</v>
      </c>
      <c r="AE855" s="83">
        <v>2</v>
      </c>
      <c r="AF855" s="83">
        <f t="shared" si="205"/>
        <v>-0.13749999999708962</v>
      </c>
      <c r="AG855" s="83">
        <f t="shared" si="206"/>
        <v>51.299999999930151</v>
      </c>
      <c r="AH855" s="83">
        <f t="shared" si="207"/>
        <v>24</v>
      </c>
      <c r="AI855" s="83">
        <f t="shared" si="208"/>
        <v>27.299999999930151</v>
      </c>
      <c r="AJ855" s="83">
        <f t="shared" si="209"/>
        <v>5.7142857143003347</v>
      </c>
      <c r="AK855" s="83"/>
      <c r="AL855" s="83"/>
      <c r="AM855" s="83"/>
      <c r="AN855" s="83"/>
    </row>
    <row r="856" spans="1:40" ht="15" hidden="1" x14ac:dyDescent="0.25">
      <c r="A856" s="82">
        <v>45745</v>
      </c>
      <c r="B856" s="94" t="str">
        <f t="shared" si="199"/>
        <v>March</v>
      </c>
      <c r="C856" s="79" t="s">
        <v>2162</v>
      </c>
      <c r="D856" s="79" t="s">
        <v>1632</v>
      </c>
      <c r="E856" s="79" t="s">
        <v>1017</v>
      </c>
      <c r="F856" s="79" t="s">
        <v>1028</v>
      </c>
      <c r="G856" s="79" t="s">
        <v>45</v>
      </c>
      <c r="H856" s="79" t="s">
        <v>458</v>
      </c>
      <c r="I856" s="79">
        <v>156</v>
      </c>
      <c r="J856" s="79" t="s">
        <v>1632</v>
      </c>
      <c r="K856" s="80" t="s">
        <v>469</v>
      </c>
      <c r="L856" s="80">
        <v>448</v>
      </c>
      <c r="M856" s="80">
        <f>L856-3</f>
        <v>445</v>
      </c>
      <c r="N856" s="81">
        <f t="shared" si="210"/>
        <v>-3</v>
      </c>
      <c r="O856" s="80"/>
      <c r="P856" s="82">
        <f>R856-TIME(0,50,0)</f>
        <v>45376.652083333334</v>
      </c>
      <c r="Q856" s="82">
        <v>45374.842361111114</v>
      </c>
      <c r="R856" s="82">
        <v>45376.686805555553</v>
      </c>
      <c r="S856" s="81">
        <f t="shared" si="200"/>
        <v>2643.7037036965194</v>
      </c>
      <c r="T856" s="81">
        <f t="shared" si="201"/>
        <v>49.768518513883464</v>
      </c>
      <c r="U856" s="79" t="s">
        <v>550</v>
      </c>
      <c r="V856" s="82">
        <v>45377.399305555555</v>
      </c>
      <c r="W856" s="82">
        <v>45377.633333333331</v>
      </c>
      <c r="X856" s="103">
        <f t="shared" si="202"/>
        <v>329.97916666507081</v>
      </c>
      <c r="Y856" s="82" t="s">
        <v>1044</v>
      </c>
      <c r="Z856" s="82">
        <v>45378.254861111112</v>
      </c>
      <c r="AA856" s="82">
        <f>Z856+TIME(0,75,0)</f>
        <v>45378.306944444448</v>
      </c>
      <c r="AB856" s="81">
        <f t="shared" si="203"/>
        <v>73.4375000034197</v>
      </c>
      <c r="AC856" s="82" t="s">
        <v>1674</v>
      </c>
      <c r="AD856" s="83">
        <f t="shared" si="204"/>
        <v>1.5680555555591127</v>
      </c>
      <c r="AE856" s="83">
        <v>2</v>
      </c>
      <c r="AF856" s="83">
        <f t="shared" si="205"/>
        <v>0.43194444444088731</v>
      </c>
      <c r="AG856" s="83">
        <f t="shared" si="206"/>
        <v>37.633333333418705</v>
      </c>
      <c r="AH856" s="83">
        <f t="shared" si="207"/>
        <v>12</v>
      </c>
      <c r="AI856" s="83">
        <f t="shared" si="208"/>
        <v>25.633333333418705</v>
      </c>
      <c r="AJ856" s="83">
        <f t="shared" si="209"/>
        <v>6.0858257477040487</v>
      </c>
      <c r="AK856" s="83"/>
      <c r="AL856" s="83"/>
      <c r="AM856" s="83"/>
      <c r="AN856" s="83"/>
    </row>
    <row r="857" spans="1:40" ht="15" hidden="1" x14ac:dyDescent="0.25">
      <c r="A857" s="82">
        <v>45745</v>
      </c>
      <c r="B857" s="94" t="str">
        <f t="shared" si="199"/>
        <v>March</v>
      </c>
      <c r="C857" s="79" t="s">
        <v>2162</v>
      </c>
      <c r="D857" s="79" t="s">
        <v>1633</v>
      </c>
      <c r="E857" s="79" t="s">
        <v>1017</v>
      </c>
      <c r="F857" s="79" t="s">
        <v>1036</v>
      </c>
      <c r="G857" s="79" t="s">
        <v>36</v>
      </c>
      <c r="H857" s="79" t="s">
        <v>458</v>
      </c>
      <c r="I857" s="79">
        <v>156</v>
      </c>
      <c r="J857" s="79" t="s">
        <v>1633</v>
      </c>
      <c r="K857" s="80" t="s">
        <v>469</v>
      </c>
      <c r="L857" s="80">
        <v>448</v>
      </c>
      <c r="M857" s="80">
        <f>L857-1</f>
        <v>447</v>
      </c>
      <c r="N857" s="81">
        <f t="shared" si="210"/>
        <v>-1</v>
      </c>
      <c r="O857" s="80"/>
      <c r="P857" s="82">
        <f>R857-TIME(0,26,0)</f>
        <v>45375.399305555555</v>
      </c>
      <c r="Q857" s="82">
        <v>45375.176388888889</v>
      </c>
      <c r="R857" s="82">
        <v>45375.417361111111</v>
      </c>
      <c r="S857" s="81">
        <f t="shared" si="200"/>
        <v>345.39351851805503</v>
      </c>
      <c r="T857" s="81">
        <f t="shared" si="201"/>
        <v>25.879629630556639</v>
      </c>
      <c r="V857" s="82">
        <v>45375.589583333334</v>
      </c>
      <c r="W857" s="82">
        <v>45375.696527777778</v>
      </c>
      <c r="X857" s="103">
        <f t="shared" si="202"/>
        <v>150.79166666575475</v>
      </c>
      <c r="Y857" s="82"/>
      <c r="Z857" s="82">
        <v>45377.379166666666</v>
      </c>
      <c r="AA857" s="82">
        <f>Z857+TIME(0,69,0)</f>
        <v>45377.427083333336</v>
      </c>
      <c r="AB857" s="81">
        <f t="shared" si="203"/>
        <v>67.56250000478758</v>
      </c>
      <c r="AC857" s="82" t="s">
        <v>1673</v>
      </c>
      <c r="AD857" s="83">
        <f t="shared" si="204"/>
        <v>1.9618055555547471</v>
      </c>
      <c r="AE857" s="83">
        <v>2</v>
      </c>
      <c r="AF857" s="83">
        <f t="shared" si="205"/>
        <v>3.8194444445252884E-2</v>
      </c>
      <c r="AG857" s="83">
        <f t="shared" si="206"/>
        <v>47.083333333313931</v>
      </c>
      <c r="AH857" s="83">
        <f t="shared" si="207"/>
        <v>12</v>
      </c>
      <c r="AI857" s="83">
        <f t="shared" si="208"/>
        <v>35.083333333313931</v>
      </c>
      <c r="AJ857" s="83">
        <f t="shared" si="209"/>
        <v>4.4465558194798938</v>
      </c>
      <c r="AK857" s="83"/>
      <c r="AL857" s="83"/>
      <c r="AM857" s="83"/>
      <c r="AN857" s="83"/>
    </row>
    <row r="858" spans="1:40" ht="15" hidden="1" x14ac:dyDescent="0.25">
      <c r="A858" s="82">
        <v>45745</v>
      </c>
      <c r="B858" s="94" t="str">
        <f t="shared" si="199"/>
        <v>March</v>
      </c>
      <c r="C858" s="79" t="s">
        <v>2162</v>
      </c>
      <c r="D858" s="79" t="s">
        <v>1634</v>
      </c>
      <c r="E858" s="79" t="s">
        <v>1017</v>
      </c>
      <c r="F858" s="79"/>
      <c r="G858" s="79" t="s">
        <v>65</v>
      </c>
      <c r="H858" s="79" t="s">
        <v>450</v>
      </c>
      <c r="I858" s="79">
        <v>156</v>
      </c>
      <c r="J858" s="79" t="s">
        <v>1634</v>
      </c>
      <c r="K858" s="80" t="s">
        <v>469</v>
      </c>
      <c r="L858" s="80">
        <v>288</v>
      </c>
      <c r="M858" s="80">
        <f>L858-1</f>
        <v>287</v>
      </c>
      <c r="N858" s="81">
        <f t="shared" si="210"/>
        <v>-1</v>
      </c>
      <c r="O858" s="80"/>
      <c r="P858" s="82">
        <f>R858-TIME(0,28,0)</f>
        <v>45375.17701388889</v>
      </c>
      <c r="Q858" s="82">
        <v>45375.146458333336</v>
      </c>
      <c r="R858" s="82">
        <v>45375.196458333332</v>
      </c>
      <c r="S858" s="81">
        <f t="shared" si="200"/>
        <v>71.666666660409348</v>
      </c>
      <c r="T858" s="81">
        <f t="shared" si="201"/>
        <v>27.870370367357584</v>
      </c>
      <c r="V858" s="82">
        <v>45375.154791666668</v>
      </c>
      <c r="W858" s="82">
        <v>45375.696458333332</v>
      </c>
      <c r="X858" s="103">
        <f t="shared" si="202"/>
        <v>763.7499999965803</v>
      </c>
      <c r="Y858" s="82" t="s">
        <v>1051</v>
      </c>
      <c r="Z858" s="82">
        <v>45376.696458333332</v>
      </c>
      <c r="AA858" s="82">
        <f>Z858+TIME(0,40,0)</f>
        <v>45376.724236111113</v>
      </c>
      <c r="AB858" s="81">
        <f t="shared" si="203"/>
        <v>39.166666671226267</v>
      </c>
      <c r="AC858" s="82"/>
      <c r="AD858" s="83">
        <f t="shared" si="204"/>
        <v>1.5</v>
      </c>
      <c r="AE858" s="83">
        <v>2</v>
      </c>
      <c r="AF858" s="83">
        <f t="shared" si="205"/>
        <v>0.5</v>
      </c>
      <c r="AG858" s="83">
        <f t="shared" si="206"/>
        <v>36</v>
      </c>
      <c r="AH858" s="83">
        <f t="shared" si="207"/>
        <v>12</v>
      </c>
      <c r="AI858" s="83">
        <f t="shared" si="208"/>
        <v>24</v>
      </c>
      <c r="AJ858" s="83">
        <f t="shared" si="209"/>
        <v>6.5</v>
      </c>
      <c r="AK858" s="83"/>
      <c r="AL858" s="83"/>
      <c r="AM858" s="83"/>
      <c r="AN858" s="83"/>
    </row>
    <row r="859" spans="1:40" ht="15" hidden="1" x14ac:dyDescent="0.25">
      <c r="A859" s="82">
        <v>45745</v>
      </c>
      <c r="B859" s="94" t="str">
        <f t="shared" si="199"/>
        <v>March</v>
      </c>
      <c r="C859" s="79" t="s">
        <v>2162</v>
      </c>
      <c r="D859" s="79" t="s">
        <v>1635</v>
      </c>
      <c r="E859" s="79" t="s">
        <v>1017</v>
      </c>
      <c r="F859" s="79"/>
      <c r="G859" s="79" t="s">
        <v>42</v>
      </c>
      <c r="H859" s="79" t="s">
        <v>450</v>
      </c>
      <c r="I859" s="79">
        <v>156</v>
      </c>
      <c r="J859" s="79" t="s">
        <v>1635</v>
      </c>
      <c r="K859" s="80" t="s">
        <v>469</v>
      </c>
      <c r="L859" s="80">
        <v>288</v>
      </c>
      <c r="M859" s="80">
        <f>L859-1</f>
        <v>287</v>
      </c>
      <c r="N859" s="81">
        <f t="shared" si="210"/>
        <v>-1</v>
      </c>
      <c r="O859" s="80"/>
      <c r="P859" s="82">
        <f t="shared" ref="P859" si="213">R859-TIME(0,26,0)</f>
        <v>45740.18378472222</v>
      </c>
      <c r="Q859" s="82">
        <v>45740.154618055552</v>
      </c>
      <c r="R859" s="82">
        <v>45740.201840277776</v>
      </c>
      <c r="S859" s="81">
        <f t="shared" si="200"/>
        <v>67.685185186807459</v>
      </c>
      <c r="T859" s="81">
        <f t="shared" si="201"/>
        <v>25.879629630556639</v>
      </c>
      <c r="V859" s="82">
        <v>45741.274756944447</v>
      </c>
      <c r="W859" s="82">
        <v>45741.456006944441</v>
      </c>
      <c r="X859" s="103">
        <f t="shared" si="202"/>
        <v>255.56249999179272</v>
      </c>
      <c r="Y859" s="82" t="s">
        <v>1044</v>
      </c>
      <c r="Z859" s="82">
        <v>45742.835416666669</v>
      </c>
      <c r="AA859" s="82">
        <f>Z859+TIME(0,59,0)</f>
        <v>45742.876388888893</v>
      </c>
      <c r="AB859" s="81">
        <f t="shared" si="203"/>
        <v>57.770833336981013</v>
      </c>
      <c r="AC859" s="82"/>
      <c r="AD859" s="83">
        <f t="shared" si="204"/>
        <v>2.6335763888928341</v>
      </c>
      <c r="AE859" s="83">
        <v>2</v>
      </c>
      <c r="AF859" s="83">
        <f t="shared" si="205"/>
        <v>-0.63357638889283407</v>
      </c>
      <c r="AG859" s="83">
        <f t="shared" si="206"/>
        <v>63.205833333428018</v>
      </c>
      <c r="AH859" s="83">
        <f t="shared" si="207"/>
        <v>24</v>
      </c>
      <c r="AI859" s="83">
        <f t="shared" si="208"/>
        <v>39.205833333428018</v>
      </c>
      <c r="AJ859" s="83">
        <f t="shared" si="209"/>
        <v>3.9789997236709653</v>
      </c>
      <c r="AK859" s="83"/>
      <c r="AL859" s="83"/>
      <c r="AM859" s="83"/>
      <c r="AN859" s="83"/>
    </row>
    <row r="860" spans="1:40" ht="15" hidden="1" x14ac:dyDescent="0.25">
      <c r="A860" s="82">
        <v>45745</v>
      </c>
      <c r="B860" s="94" t="str">
        <f t="shared" si="199"/>
        <v>March</v>
      </c>
      <c r="C860" s="79" t="s">
        <v>2162</v>
      </c>
      <c r="D860" s="79" t="s">
        <v>1636</v>
      </c>
      <c r="E860" s="79" t="s">
        <v>1017</v>
      </c>
      <c r="F860" s="79" t="s">
        <v>1035</v>
      </c>
      <c r="G860" s="79" t="s">
        <v>44</v>
      </c>
      <c r="H860" s="79" t="s">
        <v>449</v>
      </c>
      <c r="I860" s="79">
        <v>70.8</v>
      </c>
      <c r="J860" s="79" t="s">
        <v>1636</v>
      </c>
      <c r="K860" s="80" t="s">
        <v>469</v>
      </c>
      <c r="L860" s="80">
        <v>790</v>
      </c>
      <c r="M860" s="80">
        <f>L860-2</f>
        <v>788</v>
      </c>
      <c r="N860" s="81">
        <f t="shared" si="210"/>
        <v>-2</v>
      </c>
      <c r="O860" s="80"/>
      <c r="P860" s="82">
        <f t="shared" ref="P860:P861" si="214">R860-TIME(0,27,0)</f>
        <v>45374.606249999997</v>
      </c>
      <c r="Q860" s="82">
        <v>45374.875</v>
      </c>
      <c r="R860" s="82">
        <v>45374.625</v>
      </c>
      <c r="S860" s="81">
        <f t="shared" si="200"/>
        <v>-358.33333333333331</v>
      </c>
      <c r="T860" s="81">
        <f t="shared" si="201"/>
        <v>26.87500000417155</v>
      </c>
      <c r="V860" s="82">
        <v>45377.363888888889</v>
      </c>
      <c r="W860" s="82">
        <v>45377.595138888886</v>
      </c>
      <c r="X860" s="103">
        <f t="shared" si="202"/>
        <v>326.06249999589636</v>
      </c>
      <c r="Y860" s="82" t="s">
        <v>1044</v>
      </c>
      <c r="Z860" s="82">
        <v>45375.820833333331</v>
      </c>
      <c r="AA860" s="82">
        <f>Z860+TIME(0,51,0)</f>
        <v>45375.856249999997</v>
      </c>
      <c r="AB860" s="81">
        <f t="shared" si="203"/>
        <v>49.93749999863212</v>
      </c>
      <c r="AC860" s="82"/>
      <c r="AD860" s="83">
        <f t="shared" si="204"/>
        <v>1.1958333333313931</v>
      </c>
      <c r="AE860" s="83">
        <v>3</v>
      </c>
      <c r="AF860" s="83">
        <f t="shared" si="205"/>
        <v>1.8041666666686069</v>
      </c>
      <c r="AG860" s="83">
        <f t="shared" si="206"/>
        <v>28.699999999953434</v>
      </c>
      <c r="AH860" s="83">
        <f t="shared" si="207"/>
        <v>12</v>
      </c>
      <c r="AI860" s="83">
        <f t="shared" si="208"/>
        <v>16.699999999953434</v>
      </c>
      <c r="AJ860" s="83">
        <f t="shared" si="209"/>
        <v>4.2395209580956532</v>
      </c>
      <c r="AK860" s="83"/>
      <c r="AL860" s="83"/>
      <c r="AM860" s="83"/>
      <c r="AN860" s="83"/>
    </row>
    <row r="861" spans="1:40" ht="15" hidden="1" x14ac:dyDescent="0.25">
      <c r="A861" s="82">
        <v>45745</v>
      </c>
      <c r="B861" s="94" t="str">
        <f t="shared" si="199"/>
        <v>March</v>
      </c>
      <c r="C861" s="79" t="s">
        <v>2162</v>
      </c>
      <c r="D861" s="79" t="s">
        <v>1637</v>
      </c>
      <c r="E861" s="79" t="s">
        <v>1017</v>
      </c>
      <c r="F861" s="79"/>
      <c r="G861" s="79" t="s">
        <v>80</v>
      </c>
      <c r="H861" s="79" t="s">
        <v>464</v>
      </c>
      <c r="I861" s="79">
        <v>148.80000000000001</v>
      </c>
      <c r="J861" s="79" t="s">
        <v>1637</v>
      </c>
      <c r="K861" s="80" t="s">
        <v>469</v>
      </c>
      <c r="L861" s="79">
        <v>256</v>
      </c>
      <c r="M861" s="80">
        <f>L861-1</f>
        <v>255</v>
      </c>
      <c r="N861" s="81">
        <f t="shared" si="210"/>
        <v>-1</v>
      </c>
      <c r="O861" s="80"/>
      <c r="P861" s="82">
        <f t="shared" si="214"/>
        <v>45375.577777777777</v>
      </c>
      <c r="Q861" s="82">
        <v>45374.375</v>
      </c>
      <c r="R861" s="82">
        <v>45375.59652777778</v>
      </c>
      <c r="S861" s="81">
        <f t="shared" si="200"/>
        <v>1750.8564814840308</v>
      </c>
      <c r="T861" s="81">
        <f t="shared" si="201"/>
        <v>26.87500000417155</v>
      </c>
      <c r="V861" s="82">
        <v>45376.152777777781</v>
      </c>
      <c r="W861" s="82">
        <v>45376.572916666664</v>
      </c>
      <c r="X861" s="103">
        <f t="shared" si="202"/>
        <v>592.39583332535403</v>
      </c>
      <c r="Y861" s="82" t="s">
        <v>1050</v>
      </c>
      <c r="Z861" s="82">
        <v>45376.779861111114</v>
      </c>
      <c r="AA861" s="82">
        <f>Z861+TIME(0,40,0)</f>
        <v>45376.807638888895</v>
      </c>
      <c r="AB861" s="81">
        <f t="shared" si="203"/>
        <v>39.166666671226267</v>
      </c>
      <c r="AC861" s="82"/>
      <c r="AD861" s="83">
        <f t="shared" si="204"/>
        <v>1.1833333333343035</v>
      </c>
      <c r="AE861" s="83">
        <v>2</v>
      </c>
      <c r="AF861" s="83">
        <f t="shared" si="205"/>
        <v>0.81666666666569654</v>
      </c>
      <c r="AG861" s="83">
        <f t="shared" si="206"/>
        <v>28.400000000023283</v>
      </c>
      <c r="AH861" s="83">
        <f t="shared" si="207"/>
        <v>12</v>
      </c>
      <c r="AI861" s="83">
        <f t="shared" si="208"/>
        <v>16.400000000023283</v>
      </c>
      <c r="AJ861" s="83">
        <f t="shared" si="209"/>
        <v>9.0731707316944359</v>
      </c>
      <c r="AK861" s="83"/>
      <c r="AL861" s="83"/>
      <c r="AM861" s="83"/>
      <c r="AN861" s="83"/>
    </row>
    <row r="862" spans="1:40" ht="15" hidden="1" x14ac:dyDescent="0.25">
      <c r="A862" s="82">
        <v>45745</v>
      </c>
      <c r="B862" s="94" t="str">
        <f t="shared" si="199"/>
        <v>March</v>
      </c>
      <c r="C862" s="79" t="s">
        <v>2162</v>
      </c>
      <c r="D862" s="79" t="s">
        <v>1638</v>
      </c>
      <c r="E862" s="79" t="s">
        <v>1017</v>
      </c>
      <c r="F862" s="79"/>
      <c r="G862" s="79" t="s">
        <v>67</v>
      </c>
      <c r="H862" s="79" t="s">
        <v>451</v>
      </c>
      <c r="I862" s="79">
        <v>141.6</v>
      </c>
      <c r="J862" s="79" t="s">
        <v>1638</v>
      </c>
      <c r="K862" s="80" t="s">
        <v>469</v>
      </c>
      <c r="L862" s="80">
        <v>790</v>
      </c>
      <c r="M862" s="80">
        <f>L862-1</f>
        <v>789</v>
      </c>
      <c r="N862" s="81">
        <f t="shared" si="210"/>
        <v>-1</v>
      </c>
      <c r="O862" s="80"/>
      <c r="P862" s="82">
        <f>R862-TIME(0,27,0)</f>
        <v>45740.797222222216</v>
      </c>
      <c r="Q862" s="82">
        <v>45740.8125</v>
      </c>
      <c r="R862" s="82">
        <v>45740.815972222219</v>
      </c>
      <c r="S862" s="81">
        <f t="shared" si="200"/>
        <v>4.9768518472167971</v>
      </c>
      <c r="T862" s="81">
        <f t="shared" si="201"/>
        <v>26.87500000417155</v>
      </c>
      <c r="V862" s="82">
        <v>45741.590277777781</v>
      </c>
      <c r="W862" s="82">
        <f>V862+TIME(0,170,0)</f>
        <v>45741.708333333336</v>
      </c>
      <c r="X862" s="103">
        <f t="shared" si="202"/>
        <v>166.45833333219343</v>
      </c>
      <c r="Y862" s="82"/>
      <c r="Z862" s="82">
        <v>45741.835416666669</v>
      </c>
      <c r="AA862" s="82">
        <f>Z862+TIME(0,59,0)</f>
        <v>45741.876388888893</v>
      </c>
      <c r="AB862" s="81">
        <f t="shared" si="203"/>
        <v>57.770833336981013</v>
      </c>
      <c r="AC862" s="82"/>
      <c r="AD862" s="83">
        <f t="shared" si="204"/>
        <v>1.0194444444496185</v>
      </c>
      <c r="AE862" s="83">
        <v>3</v>
      </c>
      <c r="AF862" s="83">
        <f t="shared" si="205"/>
        <v>1.9805555555503815</v>
      </c>
      <c r="AG862" s="83">
        <f t="shared" si="206"/>
        <v>24.466666666790843</v>
      </c>
      <c r="AH862" s="83">
        <f t="shared" si="207"/>
        <v>12</v>
      </c>
      <c r="AI862" s="83">
        <f t="shared" si="208"/>
        <v>12.466666666790843</v>
      </c>
      <c r="AJ862" s="83">
        <f t="shared" si="209"/>
        <v>11.358288769940339</v>
      </c>
      <c r="AK862" s="83"/>
      <c r="AL862" s="83"/>
      <c r="AM862" s="83"/>
      <c r="AN862" s="83"/>
    </row>
    <row r="863" spans="1:40" ht="15" hidden="1" x14ac:dyDescent="0.25">
      <c r="A863" s="82">
        <v>45745</v>
      </c>
      <c r="B863" s="94" t="str">
        <f t="shared" si="199"/>
        <v>March</v>
      </c>
      <c r="C863" s="79" t="s">
        <v>2162</v>
      </c>
      <c r="D863" s="79" t="s">
        <v>1639</v>
      </c>
      <c r="E863" s="79" t="s">
        <v>1017</v>
      </c>
      <c r="F863" s="79" t="s">
        <v>1019</v>
      </c>
      <c r="G863" s="79" t="s">
        <v>37</v>
      </c>
      <c r="H863" s="79" t="s">
        <v>452</v>
      </c>
      <c r="I863" s="79">
        <v>141.6</v>
      </c>
      <c r="J863" s="79" t="s">
        <v>1639</v>
      </c>
      <c r="K863" s="80" t="s">
        <v>469</v>
      </c>
      <c r="L863" s="79">
        <v>690</v>
      </c>
      <c r="M863" s="80">
        <f>L863-1</f>
        <v>689</v>
      </c>
      <c r="N863" s="81">
        <f t="shared" si="210"/>
        <v>-1</v>
      </c>
      <c r="O863" s="80"/>
      <c r="P863" s="82">
        <f>R863-TIME(0,27,0)</f>
        <v>45376.788194444438</v>
      </c>
      <c r="Q863" s="82">
        <v>45376.154861111114</v>
      </c>
      <c r="R863" s="82">
        <v>45376.806944444441</v>
      </c>
      <c r="S863" s="81">
        <f t="shared" si="200"/>
        <v>934.65277776873938</v>
      </c>
      <c r="T863" s="81">
        <f t="shared" si="201"/>
        <v>26.87500000417155</v>
      </c>
      <c r="V863" s="82">
        <v>45377.857638888891</v>
      </c>
      <c r="W863" s="82">
        <v>45378.597222222219</v>
      </c>
      <c r="X863" s="103">
        <f t="shared" si="202"/>
        <v>1042.8124999931606</v>
      </c>
      <c r="Y863" s="82" t="s">
        <v>1044</v>
      </c>
      <c r="Z863" s="82">
        <v>45379.143055555556</v>
      </c>
      <c r="AA863" s="82">
        <f>Z863+TIME(0,50,0)</f>
        <v>45379.177777777775</v>
      </c>
      <c r="AB863" s="81">
        <f t="shared" si="203"/>
        <v>48.958333328773733</v>
      </c>
      <c r="AC863" s="82"/>
      <c r="AD863" s="83">
        <f t="shared" si="204"/>
        <v>2.336111111115315</v>
      </c>
      <c r="AE863" s="83">
        <v>3</v>
      </c>
      <c r="AF863" s="83">
        <f t="shared" si="205"/>
        <v>0.663888888884685</v>
      </c>
      <c r="AG863" s="83">
        <f t="shared" si="206"/>
        <v>56.06666666676756</v>
      </c>
      <c r="AH863" s="83">
        <f t="shared" si="207"/>
        <v>24</v>
      </c>
      <c r="AI863" s="83">
        <f t="shared" si="208"/>
        <v>32.06666666676756</v>
      </c>
      <c r="AJ863" s="83">
        <f t="shared" si="209"/>
        <v>4.4158004157865216</v>
      </c>
      <c r="AK863" s="83"/>
      <c r="AL863" s="83"/>
      <c r="AM863" s="83"/>
      <c r="AN863" s="83"/>
    </row>
    <row r="864" spans="1:40" ht="15" hidden="1" x14ac:dyDescent="0.25">
      <c r="A864" s="82">
        <v>45745</v>
      </c>
      <c r="B864" s="94" t="str">
        <f t="shared" si="199"/>
        <v>March</v>
      </c>
      <c r="C864" s="79" t="s">
        <v>2162</v>
      </c>
      <c r="D864" s="79" t="s">
        <v>1640</v>
      </c>
      <c r="E864" s="79" t="s">
        <v>1017</v>
      </c>
      <c r="F864" s="79" t="s">
        <v>1667</v>
      </c>
      <c r="G864" s="79" t="s">
        <v>977</v>
      </c>
      <c r="H864" s="79" t="s">
        <v>454</v>
      </c>
      <c r="I864" s="79">
        <v>156</v>
      </c>
      <c r="J864" s="79" t="s">
        <v>1640</v>
      </c>
      <c r="K864" s="80" t="s">
        <v>469</v>
      </c>
      <c r="L864" s="80">
        <v>304</v>
      </c>
      <c r="M864" s="80">
        <f>L864-1</f>
        <v>303</v>
      </c>
      <c r="N864" s="81">
        <f t="shared" si="210"/>
        <v>-1</v>
      </c>
      <c r="O864" s="80"/>
      <c r="P864" s="82">
        <f>R864-TIME(0,26,0)</f>
        <v>45741.341666666667</v>
      </c>
      <c r="Q864" s="82">
        <v>45741.3125</v>
      </c>
      <c r="R864" s="82">
        <v>45741.359722222223</v>
      </c>
      <c r="S864" s="81">
        <f t="shared" si="200"/>
        <v>67.685185186807459</v>
      </c>
      <c r="T864" s="81">
        <f t="shared" si="201"/>
        <v>25.879629630556639</v>
      </c>
      <c r="V864" s="82">
        <v>45742.411805555559</v>
      </c>
      <c r="W864" s="82">
        <v>45742.61041666667</v>
      </c>
      <c r="X864" s="103">
        <f t="shared" si="202"/>
        <v>280.04166666643869</v>
      </c>
      <c r="Y864" s="82" t="s">
        <v>1044</v>
      </c>
      <c r="Z864" s="82">
        <v>45743.835416666669</v>
      </c>
      <c r="AA864" s="82">
        <f>Z864+TIME(0,43,0)</f>
        <v>45743.865277777782</v>
      </c>
      <c r="AB864" s="81">
        <f t="shared" si="203"/>
        <v>42.104166670542327</v>
      </c>
      <c r="AC864" s="82"/>
      <c r="AD864" s="83">
        <f t="shared" si="204"/>
        <v>2.4756944444452529</v>
      </c>
      <c r="AE864" s="83">
        <v>2</v>
      </c>
      <c r="AF864" s="83">
        <f t="shared" si="205"/>
        <v>-0.47569444444525288</v>
      </c>
      <c r="AG864" s="83">
        <f t="shared" si="206"/>
        <v>59.416666666686069</v>
      </c>
      <c r="AH864" s="83">
        <f t="shared" si="207"/>
        <v>24</v>
      </c>
      <c r="AI864" s="83">
        <f t="shared" si="208"/>
        <v>35.416666666686069</v>
      </c>
      <c r="AJ864" s="83">
        <f t="shared" si="209"/>
        <v>4.4047058823505285</v>
      </c>
      <c r="AK864" s="83"/>
      <c r="AL864" s="83"/>
      <c r="AM864" s="83"/>
      <c r="AN864" s="83"/>
    </row>
    <row r="865" spans="1:41" ht="15" hidden="1" x14ac:dyDescent="0.25">
      <c r="A865" s="82">
        <v>45745</v>
      </c>
      <c r="B865" s="94" t="str">
        <f t="shared" si="199"/>
        <v>March</v>
      </c>
      <c r="C865" s="79" t="s">
        <v>2162</v>
      </c>
      <c r="D865" s="79" t="s">
        <v>1641</v>
      </c>
      <c r="E865" s="79" t="s">
        <v>1017</v>
      </c>
      <c r="F865" s="79" t="s">
        <v>1023</v>
      </c>
      <c r="G865" s="79" t="s">
        <v>61</v>
      </c>
      <c r="H865" s="79" t="s">
        <v>448</v>
      </c>
      <c r="I865" s="79">
        <v>78</v>
      </c>
      <c r="J865" s="79" t="s">
        <v>1641</v>
      </c>
      <c r="K865" s="80" t="s">
        <v>469</v>
      </c>
      <c r="L865" s="79">
        <v>560</v>
      </c>
      <c r="M865" s="80">
        <f>L865-3</f>
        <v>557</v>
      </c>
      <c r="N865" s="81">
        <f t="shared" si="210"/>
        <v>-3</v>
      </c>
      <c r="O865" s="80"/>
      <c r="P865" s="82">
        <f t="shared" ref="P865" si="215">R865-TIME(0,26,0)</f>
        <v>45376.897222222222</v>
      </c>
      <c r="Q865" s="82">
        <v>45377.176388888889</v>
      </c>
      <c r="R865" s="82">
        <v>45376.915277777778</v>
      </c>
      <c r="S865" s="81">
        <f t="shared" si="200"/>
        <v>-374.25925925902749</v>
      </c>
      <c r="T865" s="81">
        <f t="shared" si="201"/>
        <v>25.879629630556639</v>
      </c>
      <c r="V865" s="82">
        <v>45377.559027777781</v>
      </c>
      <c r="W865" s="82">
        <v>45377.786111111112</v>
      </c>
      <c r="X865" s="103">
        <f t="shared" si="202"/>
        <v>320.18749999726424</v>
      </c>
      <c r="Y865" s="82" t="s">
        <v>1044</v>
      </c>
      <c r="Z865" s="82">
        <v>45379.134722222225</v>
      </c>
      <c r="AA865" s="82">
        <f>Z865+TIME(0,58,0)</f>
        <v>45379.175000000003</v>
      </c>
      <c r="AB865" s="81">
        <f t="shared" si="203"/>
        <v>56.791666667122627</v>
      </c>
      <c r="AC865" s="82"/>
      <c r="AD865" s="83">
        <f t="shared" si="204"/>
        <v>2.2194444444467081</v>
      </c>
      <c r="AE865" s="83">
        <v>2</v>
      </c>
      <c r="AF865" s="83">
        <f t="shared" si="205"/>
        <v>-0.21944444444670808</v>
      </c>
      <c r="AG865" s="83">
        <f t="shared" si="206"/>
        <v>53.266666666720994</v>
      </c>
      <c r="AH865" s="83">
        <f t="shared" si="207"/>
        <v>24</v>
      </c>
      <c r="AI865" s="83">
        <f t="shared" si="208"/>
        <v>29.266666666720994</v>
      </c>
      <c r="AJ865" s="83">
        <f t="shared" si="209"/>
        <v>2.6651480637763738</v>
      </c>
      <c r="AK865" s="83"/>
      <c r="AL865" s="83"/>
      <c r="AM865" s="83"/>
      <c r="AN865" s="83"/>
    </row>
    <row r="866" spans="1:41" ht="15" hidden="1" x14ac:dyDescent="0.25">
      <c r="A866" s="82">
        <v>45745</v>
      </c>
      <c r="B866" s="94" t="str">
        <f t="shared" si="199"/>
        <v>March</v>
      </c>
      <c r="C866" s="79" t="s">
        <v>2162</v>
      </c>
      <c r="D866" s="79" t="s">
        <v>1642</v>
      </c>
      <c r="E866" s="79" t="s">
        <v>1017</v>
      </c>
      <c r="F866" s="79" t="s">
        <v>1025</v>
      </c>
      <c r="G866" s="79" t="s">
        <v>54</v>
      </c>
      <c r="H866" s="79" t="s">
        <v>454</v>
      </c>
      <c r="I866" s="79">
        <v>156</v>
      </c>
      <c r="J866" s="79" t="s">
        <v>1642</v>
      </c>
      <c r="K866" s="80" t="s">
        <v>469</v>
      </c>
      <c r="L866" s="80">
        <v>304</v>
      </c>
      <c r="M866" s="80">
        <f>L866-3</f>
        <v>301</v>
      </c>
      <c r="N866" s="81">
        <f t="shared" si="210"/>
        <v>-3</v>
      </c>
      <c r="O866" s="80"/>
      <c r="P866" s="82">
        <f>R866-TIME(0,54,0)</f>
        <v>45376.631944444445</v>
      </c>
      <c r="Q866" s="82">
        <v>45377.260416666664</v>
      </c>
      <c r="R866" s="82">
        <v>45376.669444444444</v>
      </c>
      <c r="S866" s="81">
        <f t="shared" si="200"/>
        <v>-847.06018518263591</v>
      </c>
      <c r="T866" s="81">
        <f t="shared" si="201"/>
        <v>53.749999997914223</v>
      </c>
      <c r="U866" s="79" t="s">
        <v>2163</v>
      </c>
      <c r="V866" s="82">
        <v>45376.743750000001</v>
      </c>
      <c r="W866" s="82">
        <v>45377.156944444447</v>
      </c>
      <c r="X866" s="103">
        <f t="shared" si="202"/>
        <v>582.60416666780657</v>
      </c>
      <c r="Y866" s="82" t="s">
        <v>1044</v>
      </c>
      <c r="Z866" s="82">
        <v>45378.559027777781</v>
      </c>
      <c r="AA866" s="82">
        <f>Z866+TIME(0,60,0)</f>
        <v>45378.600694444445</v>
      </c>
      <c r="AB866" s="81">
        <f t="shared" si="203"/>
        <v>58.7499999965803</v>
      </c>
      <c r="AC866" s="82"/>
      <c r="AD866" s="83">
        <f t="shared" si="204"/>
        <v>1.8895833333372138</v>
      </c>
      <c r="AE866" s="83">
        <v>2</v>
      </c>
      <c r="AF866" s="83">
        <f t="shared" si="205"/>
        <v>0.11041666666278616</v>
      </c>
      <c r="AG866" s="83">
        <f t="shared" si="206"/>
        <v>45.350000000093132</v>
      </c>
      <c r="AH866" s="83">
        <f t="shared" si="207"/>
        <v>12</v>
      </c>
      <c r="AI866" s="83">
        <f t="shared" si="208"/>
        <v>33.350000000093132</v>
      </c>
      <c r="AJ866" s="83">
        <f t="shared" si="209"/>
        <v>4.6776611694022296</v>
      </c>
      <c r="AK866" s="83"/>
      <c r="AL866" s="83"/>
      <c r="AM866" s="83"/>
      <c r="AN866" s="83"/>
    </row>
    <row r="867" spans="1:41" ht="15" hidden="1" x14ac:dyDescent="0.25">
      <c r="A867" s="82">
        <v>45745</v>
      </c>
      <c r="B867" s="94" t="str">
        <f t="shared" si="199"/>
        <v>March</v>
      </c>
      <c r="C867" s="79" t="s">
        <v>2162</v>
      </c>
      <c r="D867" s="79" t="s">
        <v>1643</v>
      </c>
      <c r="E867" s="79" t="s">
        <v>1017</v>
      </c>
      <c r="F867" s="79"/>
      <c r="G867" s="79" t="s">
        <v>81</v>
      </c>
      <c r="H867" s="79" t="s">
        <v>456</v>
      </c>
      <c r="I867" s="79">
        <v>148.80000000000001</v>
      </c>
      <c r="J867" s="79" t="s">
        <v>1643</v>
      </c>
      <c r="K867" s="80" t="s">
        <v>469</v>
      </c>
      <c r="L867" s="80">
        <v>670</v>
      </c>
      <c r="M867" s="80">
        <f>L867+1</f>
        <v>671</v>
      </c>
      <c r="N867" s="81">
        <f t="shared" si="210"/>
        <v>1</v>
      </c>
      <c r="O867" s="80"/>
      <c r="P867" s="82">
        <f>R867-TIME(0,27,0)</f>
        <v>45377.431249999994</v>
      </c>
      <c r="Q867" s="82">
        <v>45377.176388888889</v>
      </c>
      <c r="R867" s="82">
        <v>45377.45</v>
      </c>
      <c r="S867" s="81">
        <f t="shared" si="200"/>
        <v>392.17592592152261</v>
      </c>
      <c r="T867" s="81">
        <f t="shared" si="201"/>
        <v>26.87500000417155</v>
      </c>
      <c r="V867" s="82">
        <v>45377.686805555553</v>
      </c>
      <c r="W867" s="82">
        <v>45378.163888888892</v>
      </c>
      <c r="X867" s="103">
        <f t="shared" si="202"/>
        <v>672.68750000752334</v>
      </c>
      <c r="Y867" s="82" t="s">
        <v>1046</v>
      </c>
      <c r="Z867" s="82">
        <v>45378.680555555555</v>
      </c>
      <c r="AA867" s="82">
        <f>Z867+TIME(0,40,0)</f>
        <v>45378.708333333336</v>
      </c>
      <c r="AB867" s="81">
        <f t="shared" si="203"/>
        <v>39.166666671226267</v>
      </c>
      <c r="AC867" s="82" t="s">
        <v>1677</v>
      </c>
      <c r="AD867" s="83">
        <f t="shared" si="204"/>
        <v>1.2305555555576575</v>
      </c>
      <c r="AE867" s="83">
        <v>2</v>
      </c>
      <c r="AF867" s="83">
        <f t="shared" si="205"/>
        <v>0.7694444444423425</v>
      </c>
      <c r="AG867" s="83">
        <f t="shared" si="206"/>
        <v>29.53333333338378</v>
      </c>
      <c r="AH867" s="83">
        <f t="shared" si="207"/>
        <v>12</v>
      </c>
      <c r="AI867" s="83">
        <f t="shared" si="208"/>
        <v>17.53333333338378</v>
      </c>
      <c r="AJ867" s="83">
        <f t="shared" si="209"/>
        <v>8.4866920151847083</v>
      </c>
      <c r="AK867" s="83"/>
      <c r="AL867" s="83"/>
      <c r="AM867" s="83"/>
      <c r="AN867" s="83"/>
    </row>
    <row r="868" spans="1:41" ht="15" hidden="1" x14ac:dyDescent="0.25">
      <c r="A868" s="82">
        <v>45745</v>
      </c>
      <c r="B868" s="94" t="str">
        <f t="shared" si="199"/>
        <v>March</v>
      </c>
      <c r="C868" s="79" t="s">
        <v>2162</v>
      </c>
      <c r="D868" s="79" t="s">
        <v>1644</v>
      </c>
      <c r="E868" s="79" t="s">
        <v>1017</v>
      </c>
      <c r="F868" s="79"/>
      <c r="G868" s="79" t="s">
        <v>1662</v>
      </c>
      <c r="H868" s="79" t="s">
        <v>455</v>
      </c>
      <c r="I868" s="79">
        <v>156</v>
      </c>
      <c r="J868" s="79" t="s">
        <v>1644</v>
      </c>
      <c r="K868" s="80" t="s">
        <v>469</v>
      </c>
      <c r="L868" s="80">
        <v>580</v>
      </c>
      <c r="M868" s="80">
        <f>L868-1</f>
        <v>579</v>
      </c>
      <c r="N868" s="81">
        <f t="shared" si="210"/>
        <v>-1</v>
      </c>
      <c r="O868" s="80"/>
      <c r="P868" s="82">
        <f>R868-TIME(0,27,0)</f>
        <v>45743.787499999999</v>
      </c>
      <c r="Q868" s="82">
        <v>45743.098611111112</v>
      </c>
      <c r="R868" s="82">
        <v>45743.806250000001</v>
      </c>
      <c r="S868" s="81">
        <f t="shared" si="200"/>
        <v>1014.2824074076392</v>
      </c>
      <c r="T868" s="81">
        <f t="shared" si="201"/>
        <v>26.87500000417155</v>
      </c>
      <c r="V868" s="82">
        <v>45746.606944444444</v>
      </c>
      <c r="W868" s="82">
        <v>45746.818055555559</v>
      </c>
      <c r="X868" s="103">
        <f t="shared" si="202"/>
        <v>297.66666667259415</v>
      </c>
      <c r="Y868" s="82" t="s">
        <v>1051</v>
      </c>
      <c r="Z868" s="82">
        <v>45744.835416666669</v>
      </c>
      <c r="AA868" s="82">
        <f>Z868+TIME(0,51,0)</f>
        <v>45744.870833333334</v>
      </c>
      <c r="AB868" s="81">
        <f t="shared" si="203"/>
        <v>49.93749999863212</v>
      </c>
      <c r="AC868" s="82"/>
      <c r="AD868" s="83">
        <f t="shared" si="204"/>
        <v>1.0291666666671517</v>
      </c>
      <c r="AE868" s="83">
        <v>2</v>
      </c>
      <c r="AF868" s="83">
        <f t="shared" si="205"/>
        <v>0.97083333333284827</v>
      </c>
      <c r="AG868" s="83">
        <f t="shared" si="206"/>
        <v>24.700000000011642</v>
      </c>
      <c r="AH868" s="83">
        <f t="shared" si="207"/>
        <v>12</v>
      </c>
      <c r="AI868" s="83">
        <f t="shared" si="208"/>
        <v>12.700000000011642</v>
      </c>
      <c r="AJ868" s="83">
        <f t="shared" si="209"/>
        <v>12.283464566917875</v>
      </c>
      <c r="AK868" s="83"/>
      <c r="AL868" s="83"/>
      <c r="AM868" s="83"/>
      <c r="AN868" s="83"/>
    </row>
    <row r="869" spans="1:41" ht="15" hidden="1" x14ac:dyDescent="0.25">
      <c r="A869" s="82">
        <v>45745</v>
      </c>
      <c r="B869" s="94" t="str">
        <f t="shared" si="199"/>
        <v>March</v>
      </c>
      <c r="C869" s="79" t="s">
        <v>2161</v>
      </c>
      <c r="D869" s="79" t="s">
        <v>1645</v>
      </c>
      <c r="E869" s="79" t="s">
        <v>1017</v>
      </c>
      <c r="F869" s="79"/>
      <c r="G869" s="79" t="s">
        <v>979</v>
      </c>
      <c r="H869" s="79" t="s">
        <v>457</v>
      </c>
      <c r="I869" s="79">
        <v>153.6</v>
      </c>
      <c r="J869" s="79" t="s">
        <v>1645</v>
      </c>
      <c r="K869" s="80" t="s">
        <v>469</v>
      </c>
      <c r="L869" s="79">
        <v>320</v>
      </c>
      <c r="M869" s="80">
        <f>L869-1</f>
        <v>319</v>
      </c>
      <c r="N869" s="81">
        <f t="shared" si="210"/>
        <v>-1</v>
      </c>
      <c r="O869" s="80"/>
      <c r="P869" s="82">
        <f t="shared" ref="P869" si="216">R869-TIME(0,26,0)</f>
        <v>45744.727083333331</v>
      </c>
      <c r="Q869" s="82">
        <v>45743.098611111112</v>
      </c>
      <c r="R869" s="82">
        <v>45744.745138888888</v>
      </c>
      <c r="S869" s="81">
        <f t="shared" ref="S869:S886" si="217">(R869-Q869)*86000/60</f>
        <v>2360.0231481444403</v>
      </c>
      <c r="T869" s="81">
        <f t="shared" si="201"/>
        <v>25.879629630556639</v>
      </c>
      <c r="V869" s="82">
        <v>45745.665972222225</v>
      </c>
      <c r="W869" s="82">
        <v>45745.752083333333</v>
      </c>
      <c r="X869" s="103">
        <f t="shared" si="202"/>
        <v>121.41666666233505</v>
      </c>
      <c r="Y869" s="82"/>
      <c r="Z869" s="82">
        <v>45746.835416666669</v>
      </c>
      <c r="AA869" s="82">
        <f>Z869+TIME(0,56,0)</f>
        <v>45746.874305555561</v>
      </c>
      <c r="AB869" s="81">
        <f t="shared" si="203"/>
        <v>54.833333337664953</v>
      </c>
      <c r="AC869" s="82"/>
      <c r="AD869" s="83">
        <f t="shared" si="204"/>
        <v>2.0902777777810115</v>
      </c>
      <c r="AE869" s="83">
        <v>2</v>
      </c>
      <c r="AF869" s="83">
        <f t="shared" si="205"/>
        <v>-9.0277777781011537E-2</v>
      </c>
      <c r="AG869" s="83">
        <f t="shared" si="206"/>
        <v>50.166666666744277</v>
      </c>
      <c r="AH869" s="83">
        <f t="shared" si="207"/>
        <v>24</v>
      </c>
      <c r="AI869" s="83">
        <f t="shared" si="208"/>
        <v>26.166666666744277</v>
      </c>
      <c r="AJ869" s="83">
        <f t="shared" si="209"/>
        <v>5.8700636942501054</v>
      </c>
      <c r="AK869" s="83"/>
      <c r="AL869" s="83"/>
      <c r="AM869" s="83"/>
      <c r="AN869" s="83"/>
    </row>
    <row r="870" spans="1:41" ht="15" hidden="1" x14ac:dyDescent="0.25">
      <c r="A870" s="82">
        <v>45745</v>
      </c>
      <c r="B870" s="94" t="str">
        <f t="shared" si="199"/>
        <v>March</v>
      </c>
      <c r="C870" s="79" t="s">
        <v>2161</v>
      </c>
      <c r="D870" s="79" t="s">
        <v>1646</v>
      </c>
      <c r="E870" s="79" t="s">
        <v>1017</v>
      </c>
      <c r="F870" s="79"/>
      <c r="G870" s="79" t="s">
        <v>980</v>
      </c>
      <c r="H870" s="79" t="s">
        <v>457</v>
      </c>
      <c r="I870" s="79">
        <v>153.6</v>
      </c>
      <c r="J870" s="79" t="s">
        <v>1646</v>
      </c>
      <c r="K870" s="80" t="s">
        <v>469</v>
      </c>
      <c r="L870" s="79">
        <v>320</v>
      </c>
      <c r="M870" s="80">
        <f>L870-3</f>
        <v>317</v>
      </c>
      <c r="N870" s="81">
        <f t="shared" si="210"/>
        <v>-3</v>
      </c>
      <c r="O870" s="80"/>
      <c r="P870" s="82">
        <f>R870-TIME(0,28,0)</f>
        <v>45378.724305555559</v>
      </c>
      <c r="Q870" s="82">
        <v>45378.320833333331</v>
      </c>
      <c r="R870" s="82">
        <v>45378.743750000001</v>
      </c>
      <c r="S870" s="81">
        <f t="shared" si="217"/>
        <v>606.18055556042236</v>
      </c>
      <c r="T870" s="81">
        <f t="shared" si="201"/>
        <v>27.870370367357584</v>
      </c>
      <c r="V870" s="82">
        <v>45379.580555555556</v>
      </c>
      <c r="W870" s="82">
        <v>45379.747916666667</v>
      </c>
      <c r="X870" s="103">
        <f t="shared" si="202"/>
        <v>235.97916666643869</v>
      </c>
      <c r="Y870" s="82" t="s">
        <v>1048</v>
      </c>
      <c r="Z870" s="82">
        <v>45380.707638888889</v>
      </c>
      <c r="AA870" s="82">
        <f>Z870+TIME(0,40,0)</f>
        <v>45380.73541666667</v>
      </c>
      <c r="AB870" s="81">
        <f t="shared" si="203"/>
        <v>39.166666671226267</v>
      </c>
      <c r="AC870" s="82"/>
      <c r="AD870" s="83">
        <f t="shared" si="204"/>
        <v>1.9638888888875954</v>
      </c>
      <c r="AE870" s="83">
        <v>2</v>
      </c>
      <c r="AF870" s="83">
        <f t="shared" si="205"/>
        <v>3.6111111112404615E-2</v>
      </c>
      <c r="AG870" s="83">
        <f t="shared" si="206"/>
        <v>47.133333333302289</v>
      </c>
      <c r="AH870" s="83">
        <f t="shared" si="207"/>
        <v>12</v>
      </c>
      <c r="AI870" s="83">
        <f t="shared" si="208"/>
        <v>35.133333333302289</v>
      </c>
      <c r="AJ870" s="83">
        <f t="shared" si="209"/>
        <v>4.3719165085427623</v>
      </c>
      <c r="AK870" s="83"/>
      <c r="AL870" s="83"/>
      <c r="AM870" s="83"/>
      <c r="AN870" s="83"/>
    </row>
    <row r="871" spans="1:41" ht="15" hidden="1" x14ac:dyDescent="0.25">
      <c r="A871" s="82">
        <v>45745</v>
      </c>
      <c r="B871" s="94" t="str">
        <f t="shared" si="199"/>
        <v>March</v>
      </c>
      <c r="C871" s="79" t="s">
        <v>2162</v>
      </c>
      <c r="D871" s="79" t="s">
        <v>1647</v>
      </c>
      <c r="E871" s="79" t="s">
        <v>1017</v>
      </c>
      <c r="F871" s="79" t="s">
        <v>1027</v>
      </c>
      <c r="G871" s="79" t="s">
        <v>34</v>
      </c>
      <c r="H871" s="79" t="s">
        <v>454</v>
      </c>
      <c r="I871" s="79">
        <v>10.08</v>
      </c>
      <c r="J871" s="79" t="s">
        <v>1647</v>
      </c>
      <c r="K871" s="80" t="s">
        <v>469</v>
      </c>
      <c r="L871" s="80">
        <v>304</v>
      </c>
      <c r="M871" s="80">
        <f t="shared" ref="M871:M876" si="218">L871-1</f>
        <v>303</v>
      </c>
      <c r="N871" s="81">
        <f t="shared" si="210"/>
        <v>-1</v>
      </c>
      <c r="O871" s="80"/>
      <c r="P871" s="82">
        <f t="shared" ref="P871:P872" si="219">R871-TIME(0,26,0)</f>
        <v>45378.788888888885</v>
      </c>
      <c r="Q871" s="82">
        <v>45377.9375</v>
      </c>
      <c r="R871" s="82">
        <v>45378.806944444441</v>
      </c>
      <c r="S871" s="81">
        <f t="shared" si="217"/>
        <v>1246.2037036986051</v>
      </c>
      <c r="T871" s="81">
        <f t="shared" si="201"/>
        <v>25.879629630556639</v>
      </c>
      <c r="V871" s="82">
        <v>45379.609027777777</v>
      </c>
      <c r="W871" s="82">
        <v>45379.818749999999</v>
      </c>
      <c r="X871" s="103">
        <f t="shared" si="202"/>
        <v>295.70833333287737</v>
      </c>
      <c r="Y871" s="82" t="s">
        <v>1044</v>
      </c>
      <c r="Z871" s="82">
        <v>45381.785416666666</v>
      </c>
      <c r="AA871" s="82">
        <f>Z871+TIME(0,52,0)</f>
        <v>45381.821527777778</v>
      </c>
      <c r="AB871" s="81">
        <f t="shared" si="203"/>
        <v>50.916666668490507</v>
      </c>
      <c r="AC871" s="82"/>
      <c r="AD871" s="83">
        <f t="shared" si="204"/>
        <v>2.9784722222248092</v>
      </c>
      <c r="AE871" s="83">
        <v>2</v>
      </c>
      <c r="AF871" s="83">
        <f t="shared" si="205"/>
        <v>-0.97847222222480923</v>
      </c>
      <c r="AG871" s="83">
        <f t="shared" si="206"/>
        <v>71.483333333395422</v>
      </c>
      <c r="AH871" s="83">
        <f t="shared" si="207"/>
        <v>24</v>
      </c>
      <c r="AI871" s="83">
        <f t="shared" si="208"/>
        <v>47.483333333395422</v>
      </c>
      <c r="AJ871" s="83">
        <f t="shared" si="209"/>
        <v>0.2122850122847347</v>
      </c>
      <c r="AK871" s="83"/>
      <c r="AL871" s="83"/>
      <c r="AM871" s="83"/>
      <c r="AN871" s="83"/>
    </row>
    <row r="872" spans="1:41" ht="15" hidden="1" x14ac:dyDescent="0.25">
      <c r="A872" s="82">
        <v>45745</v>
      </c>
      <c r="B872" s="94" t="str">
        <f t="shared" si="199"/>
        <v>March</v>
      </c>
      <c r="C872" s="79" t="s">
        <v>2161</v>
      </c>
      <c r="D872" s="79" t="s">
        <v>1648</v>
      </c>
      <c r="E872" s="79" t="s">
        <v>1017</v>
      </c>
      <c r="F872" s="79"/>
      <c r="G872" s="79" t="s">
        <v>974</v>
      </c>
      <c r="H872" s="79" t="s">
        <v>457</v>
      </c>
      <c r="I872" s="79">
        <v>153.6</v>
      </c>
      <c r="J872" s="79" t="s">
        <v>1648</v>
      </c>
      <c r="K872" s="80" t="s">
        <v>469</v>
      </c>
      <c r="L872" s="79">
        <v>320</v>
      </c>
      <c r="M872" s="80">
        <f t="shared" si="218"/>
        <v>319</v>
      </c>
      <c r="N872" s="81">
        <f t="shared" si="210"/>
        <v>-1</v>
      </c>
      <c r="O872" s="80"/>
      <c r="P872" s="82">
        <f t="shared" si="219"/>
        <v>45378.657638888886</v>
      </c>
      <c r="Q872" s="82">
        <v>45377.354166666664</v>
      </c>
      <c r="R872" s="82">
        <v>45378.675694444442</v>
      </c>
      <c r="S872" s="81">
        <f t="shared" si="217"/>
        <v>1894.1898148152784</v>
      </c>
      <c r="T872" s="81">
        <f t="shared" si="201"/>
        <v>25.879629630556639</v>
      </c>
      <c r="V872" s="82">
        <v>45379.51458333333</v>
      </c>
      <c r="W872" s="82">
        <v>45379.681944444441</v>
      </c>
      <c r="X872" s="103">
        <f t="shared" si="202"/>
        <v>235.97916666643869</v>
      </c>
      <c r="Y872" s="82" t="s">
        <v>1050</v>
      </c>
      <c r="Z872" s="82">
        <v>45380.68472222222</v>
      </c>
      <c r="AA872" s="82">
        <f>Z872+TIME(0,58,0)</f>
        <v>45380.724999999999</v>
      </c>
      <c r="AB872" s="81">
        <f t="shared" si="203"/>
        <v>56.791666667122627</v>
      </c>
      <c r="AC872" s="82"/>
      <c r="AD872" s="83">
        <f t="shared" si="204"/>
        <v>2.0090277777781012</v>
      </c>
      <c r="AE872" s="83">
        <v>2</v>
      </c>
      <c r="AF872" s="83">
        <f t="shared" si="205"/>
        <v>-9.0277777781011537E-3</v>
      </c>
      <c r="AG872" s="83">
        <f t="shared" si="206"/>
        <v>48.216666666674428</v>
      </c>
      <c r="AH872" s="83">
        <f t="shared" si="207"/>
        <v>24</v>
      </c>
      <c r="AI872" s="83">
        <f t="shared" si="208"/>
        <v>24.216666666674428</v>
      </c>
      <c r="AJ872" s="83">
        <f t="shared" si="209"/>
        <v>6.3427391603558476</v>
      </c>
      <c r="AK872" s="83"/>
      <c r="AL872" s="83"/>
      <c r="AM872" s="83"/>
      <c r="AN872" s="83"/>
    </row>
    <row r="873" spans="1:41" ht="15" hidden="1" x14ac:dyDescent="0.25">
      <c r="A873" s="82">
        <v>45746</v>
      </c>
      <c r="B873" s="94" t="str">
        <f t="shared" si="199"/>
        <v>March</v>
      </c>
      <c r="C873" s="79" t="s">
        <v>2162</v>
      </c>
      <c r="D873" s="79" t="s">
        <v>1649</v>
      </c>
      <c r="E873" s="79" t="s">
        <v>1017</v>
      </c>
      <c r="F873" s="79" t="s">
        <v>1669</v>
      </c>
      <c r="G873" s="79" t="s">
        <v>82</v>
      </c>
      <c r="H873" s="79" t="s">
        <v>454</v>
      </c>
      <c r="I873" s="79">
        <v>78</v>
      </c>
      <c r="J873" s="79" t="s">
        <v>1649</v>
      </c>
      <c r="K873" s="80" t="s">
        <v>469</v>
      </c>
      <c r="L873" s="80">
        <v>304</v>
      </c>
      <c r="M873" s="80">
        <f t="shared" si="218"/>
        <v>303</v>
      </c>
      <c r="N873" s="81">
        <f t="shared" si="210"/>
        <v>-1</v>
      </c>
      <c r="O873" s="80"/>
      <c r="P873" s="82">
        <f>R873-TIME(0,27,0)</f>
        <v>45745.387499999997</v>
      </c>
      <c r="Q873" s="82">
        <v>45744.8125</v>
      </c>
      <c r="R873" s="82">
        <v>45745.40625</v>
      </c>
      <c r="S873" s="81">
        <f t="shared" si="217"/>
        <v>851.04166666666663</v>
      </c>
      <c r="T873" s="81">
        <f t="shared" si="201"/>
        <v>26.87500000417155</v>
      </c>
      <c r="V873" s="82">
        <v>45745.762499999997</v>
      </c>
      <c r="W873" s="82">
        <f>V873+TIME(0,168,0)</f>
        <v>45745.879166666666</v>
      </c>
      <c r="X873" s="103">
        <f t="shared" si="202"/>
        <v>164.50000000273576</v>
      </c>
      <c r="Y873" s="82"/>
      <c r="Z873" s="82">
        <v>45747.334722222222</v>
      </c>
      <c r="AA873" s="82">
        <f>Z873+TIME(0,40,0)</f>
        <v>45747.362500000003</v>
      </c>
      <c r="AB873" s="81">
        <f t="shared" si="203"/>
        <v>39.166666671226267</v>
      </c>
      <c r="AC873" s="82" t="s">
        <v>1677</v>
      </c>
      <c r="AD873" s="83">
        <f t="shared" si="204"/>
        <v>1.9284722222218988</v>
      </c>
      <c r="AE873" s="83">
        <v>2</v>
      </c>
      <c r="AF873" s="83">
        <f t="shared" si="205"/>
        <v>7.1527777778101154E-2</v>
      </c>
      <c r="AG873" s="83">
        <f t="shared" si="206"/>
        <v>46.283333333325572</v>
      </c>
      <c r="AH873" s="83">
        <f t="shared" si="207"/>
        <v>12</v>
      </c>
      <c r="AI873" s="83">
        <f t="shared" si="208"/>
        <v>34.283333333325572</v>
      </c>
      <c r="AJ873" s="83">
        <f t="shared" si="209"/>
        <v>2.275157997083646</v>
      </c>
      <c r="AK873" s="83"/>
      <c r="AL873" s="83"/>
      <c r="AM873" s="83"/>
      <c r="AN873" s="83"/>
    </row>
    <row r="874" spans="1:41" ht="15" hidden="1" x14ac:dyDescent="0.25">
      <c r="A874" s="82">
        <v>45746</v>
      </c>
      <c r="B874" s="94" t="str">
        <f t="shared" si="199"/>
        <v>March</v>
      </c>
      <c r="C874" s="79" t="s">
        <v>2161</v>
      </c>
      <c r="D874" s="79" t="s">
        <v>1650</v>
      </c>
      <c r="E874" s="79" t="s">
        <v>1017</v>
      </c>
      <c r="F874" s="79"/>
      <c r="G874" s="79" t="s">
        <v>980</v>
      </c>
      <c r="H874" s="79" t="s">
        <v>464</v>
      </c>
      <c r="I874" s="79">
        <v>50.4</v>
      </c>
      <c r="J874" s="79" t="s">
        <v>1650</v>
      </c>
      <c r="K874" s="80" t="s">
        <v>469</v>
      </c>
      <c r="L874" s="79">
        <v>256</v>
      </c>
      <c r="M874" s="80">
        <f t="shared" si="218"/>
        <v>255</v>
      </c>
      <c r="N874" s="81">
        <f t="shared" si="210"/>
        <v>-1</v>
      </c>
      <c r="O874" s="80"/>
      <c r="P874" s="82">
        <f>R874-TIME(0,27,0)</f>
        <v>45745.354861111111</v>
      </c>
      <c r="Q874" s="82">
        <v>45745.3125</v>
      </c>
      <c r="R874" s="82">
        <v>45745.373611111114</v>
      </c>
      <c r="S874" s="81">
        <f t="shared" si="217"/>
        <v>87.592592596532384</v>
      </c>
      <c r="T874" s="81">
        <f t="shared" si="201"/>
        <v>26.87500000417155</v>
      </c>
      <c r="V874" s="82">
        <v>45746.373611111114</v>
      </c>
      <c r="W874" s="82">
        <v>45746.638194444444</v>
      </c>
      <c r="X874" s="103">
        <f t="shared" si="202"/>
        <v>373.06249999521242</v>
      </c>
      <c r="Y874" s="82" t="s">
        <v>1044</v>
      </c>
      <c r="Z874" s="82">
        <v>45747.835416666669</v>
      </c>
      <c r="AA874" s="82">
        <f>Z874+TIME(0,52,0)</f>
        <v>45747.871527777781</v>
      </c>
      <c r="AB874" s="81">
        <f t="shared" si="203"/>
        <v>50.916666668490507</v>
      </c>
      <c r="AC874" s="82"/>
      <c r="AD874" s="83">
        <f t="shared" si="204"/>
        <v>2.4618055555547471</v>
      </c>
      <c r="AE874" s="83">
        <v>2</v>
      </c>
      <c r="AF874" s="83">
        <f t="shared" si="205"/>
        <v>-0.46180555555474712</v>
      </c>
      <c r="AG874" s="83">
        <f t="shared" si="206"/>
        <v>59.083333333313931</v>
      </c>
      <c r="AH874" s="83">
        <f t="shared" si="207"/>
        <v>24</v>
      </c>
      <c r="AI874" s="83">
        <f t="shared" si="208"/>
        <v>35.083333333313931</v>
      </c>
      <c r="AJ874" s="83">
        <f t="shared" si="209"/>
        <v>1.4365795724473502</v>
      </c>
      <c r="AK874" s="83"/>
      <c r="AL874" s="83"/>
      <c r="AM874" s="83"/>
      <c r="AN874" s="83"/>
    </row>
    <row r="875" spans="1:41" ht="15" hidden="1" x14ac:dyDescent="0.25">
      <c r="A875" s="82">
        <v>45746</v>
      </c>
      <c r="B875" s="94" t="str">
        <f t="shared" si="199"/>
        <v>March</v>
      </c>
      <c r="C875" s="79" t="s">
        <v>2162</v>
      </c>
      <c r="D875" s="79" t="s">
        <v>1651</v>
      </c>
      <c r="E875" s="79" t="s">
        <v>1017</v>
      </c>
      <c r="F875" s="79"/>
      <c r="G875" s="79" t="s">
        <v>59</v>
      </c>
      <c r="H875" s="79" t="s">
        <v>451</v>
      </c>
      <c r="I875" s="79">
        <v>156</v>
      </c>
      <c r="J875" s="79" t="s">
        <v>1651</v>
      </c>
      <c r="K875" s="80" t="s">
        <v>469</v>
      </c>
      <c r="L875" s="80">
        <v>790</v>
      </c>
      <c r="M875" s="80">
        <f t="shared" si="218"/>
        <v>789</v>
      </c>
      <c r="N875" s="81">
        <f t="shared" si="210"/>
        <v>-1</v>
      </c>
      <c r="O875" s="80"/>
      <c r="P875" s="82">
        <f>R875-TIME(0,27,0)</f>
        <v>45380.34097222222</v>
      </c>
      <c r="Q875" s="82">
        <v>45380.3125</v>
      </c>
      <c r="R875" s="82">
        <v>45380.359722222223</v>
      </c>
      <c r="S875" s="81">
        <f t="shared" si="217"/>
        <v>67.685185186807459</v>
      </c>
      <c r="T875" s="81">
        <f t="shared" si="201"/>
        <v>26.87500000417155</v>
      </c>
      <c r="V875" s="82">
        <v>45381.359722222223</v>
      </c>
      <c r="W875" s="82">
        <v>45382.578472222223</v>
      </c>
      <c r="X875" s="103">
        <f t="shared" si="202"/>
        <v>1718.4375</v>
      </c>
      <c r="Y875" s="82" t="s">
        <v>1046</v>
      </c>
      <c r="Z875" s="82">
        <v>45382.52847222222</v>
      </c>
      <c r="AA875" s="82">
        <f>Z875+TIME(0,59,0)</f>
        <v>45382.569444444445</v>
      </c>
      <c r="AB875" s="81">
        <f t="shared" si="203"/>
        <v>57.770833336981013</v>
      </c>
      <c r="AC875" s="82"/>
      <c r="AD875" s="83">
        <f t="shared" si="204"/>
        <v>2.1687499999970896</v>
      </c>
      <c r="AE875" s="83">
        <v>3</v>
      </c>
      <c r="AF875" s="83">
        <f t="shared" si="205"/>
        <v>0.83125000000291038</v>
      </c>
      <c r="AG875" s="83">
        <f t="shared" si="206"/>
        <v>52.049999999930151</v>
      </c>
      <c r="AH875" s="83">
        <f t="shared" si="207"/>
        <v>24</v>
      </c>
      <c r="AI875" s="83">
        <f t="shared" si="208"/>
        <v>28.049999999930151</v>
      </c>
      <c r="AJ875" s="83">
        <f t="shared" si="209"/>
        <v>5.5614973262170579</v>
      </c>
      <c r="AK875" s="83"/>
      <c r="AL875" s="83"/>
      <c r="AM875" s="83"/>
      <c r="AN875" s="83"/>
    </row>
    <row r="876" spans="1:41" ht="15" hidden="1" x14ac:dyDescent="0.25">
      <c r="A876" s="82">
        <v>45746</v>
      </c>
      <c r="B876" s="94" t="str">
        <f t="shared" si="199"/>
        <v>March</v>
      </c>
      <c r="C876" s="79" t="s">
        <v>2162</v>
      </c>
      <c r="D876" s="79" t="s">
        <v>1652</v>
      </c>
      <c r="E876" s="79" t="s">
        <v>1017</v>
      </c>
      <c r="F876" s="79" t="s">
        <v>1013</v>
      </c>
      <c r="G876" s="79" t="s">
        <v>56</v>
      </c>
      <c r="H876" s="79" t="s">
        <v>458</v>
      </c>
      <c r="I876" s="79">
        <v>156</v>
      </c>
      <c r="J876" s="79" t="s">
        <v>1652</v>
      </c>
      <c r="K876" s="80" t="s">
        <v>469</v>
      </c>
      <c r="L876" s="80">
        <v>448</v>
      </c>
      <c r="M876" s="80">
        <f t="shared" si="218"/>
        <v>447</v>
      </c>
      <c r="N876" s="81">
        <f t="shared" si="210"/>
        <v>-1</v>
      </c>
      <c r="O876" s="80"/>
      <c r="P876" s="82">
        <f t="shared" ref="P876:P877" si="220">R876-TIME(0,27,0)</f>
        <v>45746.265277777777</v>
      </c>
      <c r="Q876" s="82">
        <v>45746.260416666664</v>
      </c>
      <c r="R876" s="82">
        <v>45746.28402777778</v>
      </c>
      <c r="S876" s="81">
        <f t="shared" si="217"/>
        <v>33.842592598618161</v>
      </c>
      <c r="T876" s="81">
        <f t="shared" si="201"/>
        <v>26.87500000417155</v>
      </c>
      <c r="V876" s="82">
        <v>45746.394444444442</v>
      </c>
      <c r="W876" s="82">
        <f>V876+TIME(0,165,0)</f>
        <v>45746.509027777778</v>
      </c>
      <c r="X876" s="103">
        <f t="shared" si="202"/>
        <v>161.5625000034197</v>
      </c>
      <c r="Y876" s="82"/>
      <c r="Z876" s="82">
        <v>45747.863194444442</v>
      </c>
      <c r="AA876" s="82">
        <f>Z876+TIME(0,40,0)</f>
        <v>45747.890972222223</v>
      </c>
      <c r="AB876" s="81">
        <f t="shared" si="203"/>
        <v>39.166666671226267</v>
      </c>
      <c r="AC876" s="82"/>
      <c r="AD876" s="83">
        <f t="shared" si="204"/>
        <v>1.5791666666627862</v>
      </c>
      <c r="AE876" s="83">
        <v>2</v>
      </c>
      <c r="AF876" s="83">
        <f t="shared" si="205"/>
        <v>0.42083333333721384</v>
      </c>
      <c r="AG876" s="83">
        <f t="shared" si="206"/>
        <v>37.899999999906868</v>
      </c>
      <c r="AH876" s="83">
        <f t="shared" si="207"/>
        <v>12</v>
      </c>
      <c r="AI876" s="83">
        <f t="shared" si="208"/>
        <v>25.899999999906868</v>
      </c>
      <c r="AJ876" s="83">
        <f t="shared" si="209"/>
        <v>6.0231660231876818</v>
      </c>
      <c r="AK876" s="83"/>
      <c r="AL876" s="83"/>
      <c r="AM876" s="83"/>
      <c r="AN876" s="83"/>
    </row>
    <row r="877" spans="1:41" ht="15" hidden="1" x14ac:dyDescent="0.25">
      <c r="A877" s="82">
        <v>45746</v>
      </c>
      <c r="B877" s="94" t="str">
        <f t="shared" si="199"/>
        <v>March</v>
      </c>
      <c r="C877" s="79" t="s">
        <v>2162</v>
      </c>
      <c r="D877" s="79" t="s">
        <v>1653</v>
      </c>
      <c r="E877" s="79" t="s">
        <v>1017</v>
      </c>
      <c r="F877" s="79"/>
      <c r="G877" s="79" t="s">
        <v>1665</v>
      </c>
      <c r="H877" s="79" t="s">
        <v>451</v>
      </c>
      <c r="I877" s="79">
        <v>156</v>
      </c>
      <c r="J877" s="79" t="s">
        <v>1653</v>
      </c>
      <c r="K877" s="80" t="s">
        <v>469</v>
      </c>
      <c r="L877" s="80">
        <v>790</v>
      </c>
      <c r="M877" s="80">
        <f>L877-3</f>
        <v>787</v>
      </c>
      <c r="N877" s="81">
        <f t="shared" si="210"/>
        <v>-3</v>
      </c>
      <c r="O877" s="80"/>
      <c r="P877" s="82">
        <f t="shared" si="220"/>
        <v>45381.36137731481</v>
      </c>
      <c r="Q877" s="82">
        <v>45381.326655092591</v>
      </c>
      <c r="R877" s="82">
        <v>45381.380127314813</v>
      </c>
      <c r="S877" s="81">
        <f t="shared" si="217"/>
        <v>76.643518518055018</v>
      </c>
      <c r="T877" s="81">
        <f t="shared" si="201"/>
        <v>26.87500000417155</v>
      </c>
      <c r="V877" s="82">
        <v>45381.514155092591</v>
      </c>
      <c r="W877" s="82">
        <v>45381.716932870368</v>
      </c>
      <c r="X877" s="103">
        <f t="shared" si="202"/>
        <v>285.91666666507081</v>
      </c>
      <c r="Y877" s="82" t="s">
        <v>1048</v>
      </c>
      <c r="Z877" s="82">
        <v>45382.828043981484</v>
      </c>
      <c r="AA877" s="82">
        <f>Z877+TIME(0,58,0)</f>
        <v>45382.868321759262</v>
      </c>
      <c r="AB877" s="81">
        <f t="shared" si="203"/>
        <v>56.791666667122627</v>
      </c>
      <c r="AC877" s="82"/>
      <c r="AD877" s="83">
        <f t="shared" si="204"/>
        <v>1.4479166666715173</v>
      </c>
      <c r="AE877" s="83">
        <v>3</v>
      </c>
      <c r="AF877" s="83">
        <f t="shared" si="205"/>
        <v>1.5520833333284827</v>
      </c>
      <c r="AG877" s="83">
        <f t="shared" si="206"/>
        <v>34.750000000116415</v>
      </c>
      <c r="AH877" s="83">
        <f t="shared" si="207"/>
        <v>12</v>
      </c>
      <c r="AI877" s="83">
        <f t="shared" si="208"/>
        <v>22.750000000116415</v>
      </c>
      <c r="AJ877" s="83">
        <f t="shared" si="209"/>
        <v>6.8571428571077684</v>
      </c>
      <c r="AK877" s="83"/>
      <c r="AL877" s="83"/>
      <c r="AM877" s="83"/>
      <c r="AN877" s="83"/>
    </row>
    <row r="878" spans="1:41" ht="15" hidden="1" x14ac:dyDescent="0.25">
      <c r="A878" s="82">
        <v>45746</v>
      </c>
      <c r="B878" s="94" t="str">
        <f t="shared" si="199"/>
        <v>March</v>
      </c>
      <c r="C878" s="79" t="s">
        <v>2162</v>
      </c>
      <c r="D878" s="79" t="s">
        <v>1654</v>
      </c>
      <c r="E878" s="79" t="s">
        <v>1017</v>
      </c>
      <c r="F878" s="79"/>
      <c r="G878" s="79" t="s">
        <v>74</v>
      </c>
      <c r="H878" s="79" t="s">
        <v>450</v>
      </c>
      <c r="I878" s="79">
        <v>156</v>
      </c>
      <c r="J878" s="79" t="s">
        <v>1654</v>
      </c>
      <c r="K878" s="80" t="s">
        <v>469</v>
      </c>
      <c r="L878" s="80">
        <v>288</v>
      </c>
      <c r="M878" s="80">
        <f>L878-3</f>
        <v>285</v>
      </c>
      <c r="N878" s="81">
        <f t="shared" si="210"/>
        <v>-3</v>
      </c>
      <c r="O878" s="80"/>
      <c r="P878" s="82">
        <f>R878-TIME(0,39,0)</f>
        <v>45746.350532407407</v>
      </c>
      <c r="Q878" s="82">
        <v>45746.330393518518</v>
      </c>
      <c r="R878" s="82">
        <v>45746.377615740741</v>
      </c>
      <c r="S878" s="81">
        <f t="shared" si="217"/>
        <v>67.685185186807459</v>
      </c>
      <c r="T878" s="81">
        <f t="shared" si="201"/>
        <v>38.819444445834961</v>
      </c>
      <c r="U878" s="79" t="s">
        <v>2164</v>
      </c>
      <c r="V878" s="82">
        <v>45746.636643518519</v>
      </c>
      <c r="W878" s="82">
        <v>45746.725532407407</v>
      </c>
      <c r="X878" s="103">
        <f t="shared" si="202"/>
        <v>125.33333333150949</v>
      </c>
      <c r="Y878" s="82"/>
      <c r="Z878" s="82">
        <v>45747.849305555559</v>
      </c>
      <c r="AA878" s="82">
        <f>Z878+TIME(0,58,0)</f>
        <v>45747.889583333337</v>
      </c>
      <c r="AB878" s="81">
        <f t="shared" si="203"/>
        <v>56.791666667122627</v>
      </c>
      <c r="AC878" s="82"/>
      <c r="AD878" s="83">
        <f t="shared" si="204"/>
        <v>1.4716898148180917</v>
      </c>
      <c r="AE878" s="83">
        <v>2</v>
      </c>
      <c r="AF878" s="83">
        <f t="shared" si="205"/>
        <v>0.52831018518190831</v>
      </c>
      <c r="AG878" s="83">
        <f t="shared" si="206"/>
        <v>35.320555555634201</v>
      </c>
      <c r="AH878" s="83">
        <f t="shared" si="207"/>
        <v>12</v>
      </c>
      <c r="AI878" s="83">
        <f t="shared" si="208"/>
        <v>23.320555555634201</v>
      </c>
      <c r="AJ878" s="83">
        <f t="shared" si="209"/>
        <v>6.6893775162363447</v>
      </c>
      <c r="AK878" s="83"/>
      <c r="AL878" s="83"/>
      <c r="AM878" s="83"/>
      <c r="AN878" s="83"/>
    </row>
    <row r="879" spans="1:41" ht="15" hidden="1" x14ac:dyDescent="0.25">
      <c r="A879" s="82">
        <v>45746</v>
      </c>
      <c r="B879" s="94" t="str">
        <f t="shared" si="199"/>
        <v>March</v>
      </c>
      <c r="C879" s="79" t="s">
        <v>2162</v>
      </c>
      <c r="D879" s="79" t="s">
        <v>1655</v>
      </c>
      <c r="E879" s="79" t="s">
        <v>1017</v>
      </c>
      <c r="F879" s="79" t="s">
        <v>1667</v>
      </c>
      <c r="G879" s="79" t="s">
        <v>977</v>
      </c>
      <c r="H879" s="79" t="s">
        <v>457</v>
      </c>
      <c r="I879" s="79">
        <v>156</v>
      </c>
      <c r="J879" s="79" t="s">
        <v>1655</v>
      </c>
      <c r="K879" s="80" t="s">
        <v>469</v>
      </c>
      <c r="L879" s="79">
        <v>320</v>
      </c>
      <c r="M879" s="80">
        <f>L879-2</f>
        <v>318</v>
      </c>
      <c r="N879" s="81">
        <f t="shared" si="210"/>
        <v>-2</v>
      </c>
      <c r="O879" s="80"/>
      <c r="P879" s="82">
        <f t="shared" ref="P879" si="221">R879-TIME(0,26,0)</f>
        <v>45746.408333333333</v>
      </c>
      <c r="Q879" s="82">
        <v>45745.854166666664</v>
      </c>
      <c r="R879" s="82">
        <v>45746.426388888889</v>
      </c>
      <c r="S879" s="81">
        <f t="shared" si="217"/>
        <v>820.18518518889323</v>
      </c>
      <c r="T879" s="81">
        <f t="shared" si="201"/>
        <v>25.879629630556639</v>
      </c>
      <c r="U879" s="79"/>
      <c r="V879" s="82">
        <v>45747.411111111112</v>
      </c>
      <c r="W879" s="82">
        <v>45747.531944444447</v>
      </c>
      <c r="X879" s="103">
        <f t="shared" si="202"/>
        <v>170.37500000136788</v>
      </c>
      <c r="Y879" s="82"/>
      <c r="Z879" s="82">
        <v>45747.835416666669</v>
      </c>
      <c r="AA879" s="82">
        <f>Z879+TIME(0,54,0)</f>
        <v>45747.872916666667</v>
      </c>
      <c r="AB879" s="81">
        <f t="shared" si="203"/>
        <v>52.87499999794818</v>
      </c>
      <c r="AD879" s="83">
        <f t="shared" si="204"/>
        <v>1.4090277777795563</v>
      </c>
      <c r="AE879" s="83">
        <v>2</v>
      </c>
      <c r="AF879" s="83">
        <f t="shared" si="205"/>
        <v>0.59097222222044365</v>
      </c>
      <c r="AG879" s="83">
        <f t="shared" si="206"/>
        <v>33.816666666709352</v>
      </c>
      <c r="AH879" s="83">
        <f t="shared" si="207"/>
        <v>12</v>
      </c>
      <c r="AI879" s="83">
        <f t="shared" si="208"/>
        <v>21.816666666709352</v>
      </c>
      <c r="AJ879" s="83">
        <f t="shared" si="209"/>
        <v>7.1504965622472776</v>
      </c>
      <c r="AK879" s="83"/>
      <c r="AL879" s="83"/>
      <c r="AM879" s="83"/>
      <c r="AN879" s="83"/>
    </row>
    <row r="880" spans="1:41" s="86" customFormat="1" ht="15" hidden="1" x14ac:dyDescent="0.25">
      <c r="A880" s="82">
        <v>45746</v>
      </c>
      <c r="B880" s="94" t="str">
        <f t="shared" si="199"/>
        <v>March</v>
      </c>
      <c r="C880" s="79" t="s">
        <v>2162</v>
      </c>
      <c r="D880" s="79" t="s">
        <v>1656</v>
      </c>
      <c r="E880" s="79" t="s">
        <v>1017</v>
      </c>
      <c r="F880" s="79"/>
      <c r="G880" s="79" t="s">
        <v>75</v>
      </c>
      <c r="H880" s="79" t="s">
        <v>458</v>
      </c>
      <c r="I880" s="79">
        <v>156</v>
      </c>
      <c r="J880" s="79" t="s">
        <v>1656</v>
      </c>
      <c r="K880" s="80" t="s">
        <v>469</v>
      </c>
      <c r="L880" s="80">
        <v>448</v>
      </c>
      <c r="M880" s="80">
        <f>L880-3</f>
        <v>445</v>
      </c>
      <c r="N880" s="81">
        <f t="shared" si="210"/>
        <v>-3</v>
      </c>
      <c r="O880" s="80"/>
      <c r="P880" s="82">
        <f>R880-TIME(0,27,0)</f>
        <v>45746.402060185181</v>
      </c>
      <c r="Q880" s="82">
        <v>45746.37358796296</v>
      </c>
      <c r="R880" s="82">
        <v>45746.420810185184</v>
      </c>
      <c r="S880" s="81">
        <f t="shared" si="217"/>
        <v>67.685185186807459</v>
      </c>
      <c r="T880" s="81">
        <f t="shared" si="201"/>
        <v>26.87500000417155</v>
      </c>
      <c r="U880" s="79"/>
      <c r="V880" s="82">
        <v>45747.358310185184</v>
      </c>
      <c r="W880" s="82">
        <v>45747.627754629626</v>
      </c>
      <c r="X880" s="103">
        <f t="shared" si="202"/>
        <v>379.91666666370293</v>
      </c>
      <c r="Y880" s="82" t="s">
        <v>1044</v>
      </c>
      <c r="Z880" s="82">
        <v>45747.856249999997</v>
      </c>
      <c r="AA880" s="82">
        <f>Z880+TIME(0,40,0)</f>
        <v>45747.884027777778</v>
      </c>
      <c r="AB880" s="81">
        <f t="shared" si="203"/>
        <v>39.166666671226267</v>
      </c>
      <c r="AC880" s="80"/>
      <c r="AD880" s="83">
        <f t="shared" si="204"/>
        <v>1.4354398148134351</v>
      </c>
      <c r="AE880" s="83">
        <v>2</v>
      </c>
      <c r="AF880" s="83">
        <f t="shared" si="205"/>
        <v>0.56456018518656492</v>
      </c>
      <c r="AG880" s="83">
        <f t="shared" si="206"/>
        <v>34.450555555522442</v>
      </c>
      <c r="AH880" s="83">
        <f t="shared" si="207"/>
        <v>12</v>
      </c>
      <c r="AI880" s="83">
        <f t="shared" si="208"/>
        <v>22.450555555522442</v>
      </c>
      <c r="AJ880" s="83">
        <f t="shared" si="209"/>
        <v>6.9486031031257376</v>
      </c>
      <c r="AK880" s="83"/>
      <c r="AL880" s="83"/>
      <c r="AM880" s="83"/>
      <c r="AN880" s="83"/>
      <c r="AO880" s="78"/>
    </row>
    <row r="881" spans="1:40" ht="15" hidden="1" x14ac:dyDescent="0.25">
      <c r="A881" s="82">
        <v>45746</v>
      </c>
      <c r="B881" s="94" t="str">
        <f t="shared" si="199"/>
        <v>March</v>
      </c>
      <c r="C881" s="79" t="s">
        <v>2162</v>
      </c>
      <c r="D881" s="79" t="s">
        <v>1657</v>
      </c>
      <c r="E881" s="79" t="s">
        <v>1017</v>
      </c>
      <c r="F881" s="79"/>
      <c r="G881" s="79" t="s">
        <v>70</v>
      </c>
      <c r="H881" s="79" t="s">
        <v>459</v>
      </c>
      <c r="I881" s="79">
        <v>156</v>
      </c>
      <c r="J881" s="79" t="s">
        <v>1657</v>
      </c>
      <c r="K881" s="80" t="s">
        <v>469</v>
      </c>
      <c r="L881" s="79">
        <v>560</v>
      </c>
      <c r="M881" s="80">
        <f>L881-1</f>
        <v>559</v>
      </c>
      <c r="N881" s="81">
        <f t="shared" si="210"/>
        <v>-1</v>
      </c>
      <c r="O881" s="80"/>
      <c r="P881" s="82">
        <f>R881-TIME(0,28,0)</f>
        <v>45381.340277777781</v>
      </c>
      <c r="Q881" s="82">
        <v>45381.3125</v>
      </c>
      <c r="R881" s="82">
        <v>45381.359722222223</v>
      </c>
      <c r="S881" s="81">
        <f t="shared" si="217"/>
        <v>67.685185186807459</v>
      </c>
      <c r="T881" s="81">
        <f t="shared" si="201"/>
        <v>27.870370367357584</v>
      </c>
      <c r="U881" s="79"/>
      <c r="V881" s="82">
        <v>45627.609722222223</v>
      </c>
      <c r="W881" s="82">
        <v>45627.770833333336</v>
      </c>
      <c r="X881" s="103">
        <f t="shared" si="202"/>
        <v>227.16666666849051</v>
      </c>
      <c r="Y881" s="82" t="s">
        <v>1044</v>
      </c>
      <c r="Z881" s="82">
        <v>45382.750833333332</v>
      </c>
      <c r="AA881" s="82">
        <f>Z881+TIME(0,52,0)</f>
        <v>45382.786944444444</v>
      </c>
      <c r="AB881" s="81">
        <f t="shared" si="203"/>
        <v>50.916666668490507</v>
      </c>
      <c r="AD881" s="83">
        <f t="shared" si="204"/>
        <v>1.3911111111083301</v>
      </c>
      <c r="AE881" s="83">
        <v>3</v>
      </c>
      <c r="AF881" s="83">
        <f t="shared" si="205"/>
        <v>1.6088888888916699</v>
      </c>
      <c r="AG881" s="83">
        <f t="shared" si="206"/>
        <v>33.386666666599922</v>
      </c>
      <c r="AH881" s="83">
        <f t="shared" si="207"/>
        <v>12</v>
      </c>
      <c r="AI881" s="83">
        <f t="shared" si="208"/>
        <v>21.386666666599922</v>
      </c>
      <c r="AJ881" s="83">
        <f t="shared" si="209"/>
        <v>7.2942643391748838</v>
      </c>
      <c r="AK881" s="83"/>
      <c r="AL881" s="83"/>
      <c r="AM881" s="83"/>
      <c r="AN881" s="83"/>
    </row>
    <row r="882" spans="1:40" ht="15" hidden="1" x14ac:dyDescent="0.25">
      <c r="A882" s="82">
        <v>45746</v>
      </c>
      <c r="B882" s="94" t="str">
        <f t="shared" si="199"/>
        <v>March</v>
      </c>
      <c r="C882" s="79" t="s">
        <v>2162</v>
      </c>
      <c r="D882" s="79" t="s">
        <v>1658</v>
      </c>
      <c r="E882" s="79" t="s">
        <v>1017</v>
      </c>
      <c r="F882" s="79" t="s">
        <v>1021</v>
      </c>
      <c r="G882" s="79" t="s">
        <v>57</v>
      </c>
      <c r="H882" s="79" t="s">
        <v>462</v>
      </c>
      <c r="I882" s="79">
        <v>156</v>
      </c>
      <c r="J882" s="79" t="s">
        <v>1658</v>
      </c>
      <c r="K882" s="80" t="s">
        <v>469</v>
      </c>
      <c r="L882" s="79">
        <v>680</v>
      </c>
      <c r="M882" s="80">
        <f>L882-1</f>
        <v>679</v>
      </c>
      <c r="N882" s="81">
        <f t="shared" si="210"/>
        <v>-1</v>
      </c>
      <c r="O882" s="80"/>
      <c r="P882" s="82">
        <f t="shared" ref="P882" si="222">R882-TIME(0,26,0)</f>
        <v>45381.344444444447</v>
      </c>
      <c r="Q882" s="82">
        <v>45381.3125</v>
      </c>
      <c r="R882" s="82">
        <v>45381.362500000003</v>
      </c>
      <c r="S882" s="81">
        <f t="shared" si="217"/>
        <v>71.666666670838211</v>
      </c>
      <c r="T882" s="81">
        <f t="shared" si="201"/>
        <v>25.879629630556639</v>
      </c>
      <c r="U882" s="79"/>
      <c r="V882" s="82">
        <v>45381.163194444445</v>
      </c>
      <c r="W882" s="82">
        <v>45381.679166666669</v>
      </c>
      <c r="X882" s="103">
        <f t="shared" si="202"/>
        <v>727.52083333492919</v>
      </c>
      <c r="Y882" s="82" t="s">
        <v>1049</v>
      </c>
      <c r="Z882" s="82">
        <v>45383.790277777778</v>
      </c>
      <c r="AA882" s="82">
        <f>Z882+TIME(0,40,0)</f>
        <v>45383.818055555559</v>
      </c>
      <c r="AB882" s="81">
        <f t="shared" si="203"/>
        <v>39.166666671226267</v>
      </c>
      <c r="AC882" s="80" t="s">
        <v>1677</v>
      </c>
      <c r="AD882" s="83">
        <f t="shared" si="204"/>
        <v>2.4277777777751908</v>
      </c>
      <c r="AE882" s="83">
        <v>3</v>
      </c>
      <c r="AF882" s="83">
        <f t="shared" si="205"/>
        <v>0.57222222222480923</v>
      </c>
      <c r="AG882" s="83">
        <f t="shared" si="206"/>
        <v>58.266666666604578</v>
      </c>
      <c r="AH882" s="83">
        <f t="shared" si="207"/>
        <v>24</v>
      </c>
      <c r="AI882" s="83">
        <f t="shared" si="208"/>
        <v>34.266666666604578</v>
      </c>
      <c r="AJ882" s="83">
        <f t="shared" si="209"/>
        <v>4.5525291828876266</v>
      </c>
      <c r="AK882" s="83"/>
      <c r="AL882" s="83"/>
      <c r="AM882" s="83"/>
      <c r="AN882" s="83"/>
    </row>
    <row r="883" spans="1:40" ht="15" hidden="1" x14ac:dyDescent="0.25">
      <c r="A883" s="82">
        <v>45746</v>
      </c>
      <c r="B883" s="94" t="str">
        <f t="shared" si="199"/>
        <v>March</v>
      </c>
      <c r="C883" s="79" t="s">
        <v>2162</v>
      </c>
      <c r="D883" s="79" t="s">
        <v>1659</v>
      </c>
      <c r="E883" s="79" t="s">
        <v>1017</v>
      </c>
      <c r="F883" s="79"/>
      <c r="G883" s="79" t="s">
        <v>81</v>
      </c>
      <c r="H883" s="79" t="s">
        <v>449</v>
      </c>
      <c r="I883" s="79">
        <v>156</v>
      </c>
      <c r="J883" s="79" t="s">
        <v>1659</v>
      </c>
      <c r="K883" s="80" t="s">
        <v>469</v>
      </c>
      <c r="L883" s="80">
        <v>790</v>
      </c>
      <c r="M883" s="80">
        <f>L883-2</f>
        <v>788</v>
      </c>
      <c r="N883" s="81">
        <f t="shared" si="210"/>
        <v>-2</v>
      </c>
      <c r="O883" s="80"/>
      <c r="P883" s="82">
        <f t="shared" ref="P883:P884" si="223">R883-TIME(0,27,0)</f>
        <v>45746.611111111109</v>
      </c>
      <c r="Q883" s="82">
        <v>45746.913194444445</v>
      </c>
      <c r="R883" s="82">
        <v>45746.629861111112</v>
      </c>
      <c r="S883" s="81">
        <f t="shared" si="217"/>
        <v>-406.11111111041583</v>
      </c>
      <c r="T883" s="81">
        <f t="shared" si="201"/>
        <v>26.87500000417155</v>
      </c>
      <c r="U883" s="79"/>
      <c r="V883" s="82">
        <v>45747.418749999997</v>
      </c>
      <c r="W883" s="82">
        <v>45747.681250000001</v>
      </c>
      <c r="X883" s="103">
        <f t="shared" si="202"/>
        <v>370.12500000615546</v>
      </c>
      <c r="Y883" s="82" t="s">
        <v>1050</v>
      </c>
      <c r="Z883" s="82">
        <v>45748.835416666669</v>
      </c>
      <c r="AA883" s="82">
        <f>Z883+TIME(0,59,0)</f>
        <v>45748.876388888893</v>
      </c>
      <c r="AB883" s="81">
        <f t="shared" si="203"/>
        <v>57.770833336981013</v>
      </c>
      <c r="AD883" s="83">
        <f t="shared" si="204"/>
        <v>2.2055555555562023</v>
      </c>
      <c r="AE883" s="83">
        <v>3</v>
      </c>
      <c r="AF883" s="83">
        <f t="shared" si="205"/>
        <v>0.79444444444379769</v>
      </c>
      <c r="AG883" s="83">
        <f t="shared" si="206"/>
        <v>52.933333333348855</v>
      </c>
      <c r="AH883" s="83">
        <f t="shared" si="207"/>
        <v>24</v>
      </c>
      <c r="AI883" s="83">
        <f t="shared" si="208"/>
        <v>28.933333333348855</v>
      </c>
      <c r="AJ883" s="83">
        <f t="shared" si="209"/>
        <v>5.3917050691215316</v>
      </c>
      <c r="AK883" s="83"/>
      <c r="AL883" s="83"/>
      <c r="AM883" s="83"/>
      <c r="AN883" s="83"/>
    </row>
    <row r="884" spans="1:40" ht="15" hidden="1" x14ac:dyDescent="0.25">
      <c r="A884" s="82">
        <v>45746</v>
      </c>
      <c r="B884" s="94" t="str">
        <f t="shared" si="199"/>
        <v>March</v>
      </c>
      <c r="C884" s="79" t="s">
        <v>2162</v>
      </c>
      <c r="D884" s="79" t="s">
        <v>1660</v>
      </c>
      <c r="E884" s="79" t="s">
        <v>1017</v>
      </c>
      <c r="F884" s="79" t="s">
        <v>1014</v>
      </c>
      <c r="G884" s="79" t="s">
        <v>52</v>
      </c>
      <c r="H884" s="79" t="s">
        <v>448</v>
      </c>
      <c r="I884" s="79">
        <v>156</v>
      </c>
      <c r="J884" s="79" t="s">
        <v>1660</v>
      </c>
      <c r="K884" s="80" t="s">
        <v>469</v>
      </c>
      <c r="L884" s="79">
        <v>560</v>
      </c>
      <c r="M884" s="80">
        <f>L884-2</f>
        <v>558</v>
      </c>
      <c r="N884" s="81">
        <f t="shared" si="210"/>
        <v>-2</v>
      </c>
      <c r="O884" s="80"/>
      <c r="P884" s="82">
        <f t="shared" si="223"/>
        <v>45746.933333333327</v>
      </c>
      <c r="Q884" s="82">
        <v>45746.582638888889</v>
      </c>
      <c r="R884" s="82">
        <v>45746.95208333333</v>
      </c>
      <c r="S884" s="81">
        <f t="shared" si="217"/>
        <v>529.53703703193844</v>
      </c>
      <c r="T884" s="81">
        <f t="shared" si="201"/>
        <v>26.87500000417155</v>
      </c>
      <c r="U884" s="79"/>
      <c r="V884" s="82">
        <v>45746.248611111114</v>
      </c>
      <c r="W884" s="82">
        <f>V884+TIME(0,168,0)</f>
        <v>45746.365277777782</v>
      </c>
      <c r="X884" s="103">
        <f t="shared" si="202"/>
        <v>164.50000000273576</v>
      </c>
      <c r="Y884" s="82"/>
      <c r="Z884" s="82">
        <v>45748.842361111114</v>
      </c>
      <c r="AA884" s="82">
        <f>Z884+TIME(0,40,0)</f>
        <v>45748.870138888895</v>
      </c>
      <c r="AB884" s="81">
        <f t="shared" si="203"/>
        <v>39.166666671226267</v>
      </c>
      <c r="AD884" s="83">
        <f t="shared" si="204"/>
        <v>1.8902777777839219</v>
      </c>
      <c r="AE884" s="83">
        <v>2</v>
      </c>
      <c r="AF884" s="83">
        <f t="shared" si="205"/>
        <v>0.10972222221607808</v>
      </c>
      <c r="AG884" s="83">
        <f t="shared" si="206"/>
        <v>45.366666666814126</v>
      </c>
      <c r="AH884" s="83">
        <f t="shared" si="207"/>
        <v>12</v>
      </c>
      <c r="AI884" s="83">
        <f t="shared" si="208"/>
        <v>33.366666666814126</v>
      </c>
      <c r="AJ884" s="83">
        <f t="shared" si="209"/>
        <v>4.6753246753040134</v>
      </c>
      <c r="AK884" s="83"/>
      <c r="AL884" s="83"/>
      <c r="AM884" s="83"/>
      <c r="AN884" s="83"/>
    </row>
    <row r="885" spans="1:40" ht="15" hidden="1" x14ac:dyDescent="0.25">
      <c r="A885" s="82">
        <v>45746</v>
      </c>
      <c r="B885" s="94" t="str">
        <f t="shared" si="199"/>
        <v>March</v>
      </c>
      <c r="C885" s="79" t="s">
        <v>2162</v>
      </c>
      <c r="D885" s="79" t="s">
        <v>1661</v>
      </c>
      <c r="E885" s="79" t="s">
        <v>1017</v>
      </c>
      <c r="F885" s="79" t="s">
        <v>1019</v>
      </c>
      <c r="G885" s="79" t="s">
        <v>37</v>
      </c>
      <c r="H885" s="79" t="s">
        <v>460</v>
      </c>
      <c r="I885" s="79">
        <v>156</v>
      </c>
      <c r="J885" s="79" t="s">
        <v>1661</v>
      </c>
      <c r="K885" s="80" t="s">
        <v>469</v>
      </c>
      <c r="L885" s="87">
        <v>600</v>
      </c>
      <c r="M885" s="80">
        <f>L885-1</f>
        <v>599</v>
      </c>
      <c r="N885" s="81">
        <f t="shared" si="210"/>
        <v>-1</v>
      </c>
      <c r="O885" s="80"/>
      <c r="P885" s="82">
        <f t="shared" ref="P885:P886" si="224">R885-TIME(0,26,0)</f>
        <v>45381.923611111109</v>
      </c>
      <c r="Q885" s="82">
        <v>45381.658333333333</v>
      </c>
      <c r="R885" s="82">
        <v>45381.941666666666</v>
      </c>
      <c r="S885" s="81">
        <f t="shared" si="217"/>
        <v>406.11111111041583</v>
      </c>
      <c r="T885" s="81">
        <f t="shared" si="201"/>
        <v>25.879629630556639</v>
      </c>
      <c r="U885" s="79"/>
      <c r="V885" s="82">
        <v>45628.013888888891</v>
      </c>
      <c r="W885" s="82">
        <f>V885+TIME(0,163,0)</f>
        <v>45628.127083333333</v>
      </c>
      <c r="X885" s="103">
        <f t="shared" si="202"/>
        <v>159.60416666370293</v>
      </c>
      <c r="Y885" s="82"/>
      <c r="Z885" s="82">
        <v>45384.693749999999</v>
      </c>
      <c r="AA885" s="82">
        <f>Z885+TIME(0,58,0)</f>
        <v>45384.734027777777</v>
      </c>
      <c r="AB885" s="81">
        <f t="shared" si="203"/>
        <v>56.791666667122627</v>
      </c>
      <c r="AD885" s="83">
        <f t="shared" si="204"/>
        <v>2.7520833333328483</v>
      </c>
      <c r="AE885" s="83">
        <v>2</v>
      </c>
      <c r="AF885" s="83">
        <f t="shared" si="205"/>
        <v>-0.75208333333284827</v>
      </c>
      <c r="AG885" s="83">
        <f t="shared" si="206"/>
        <v>66.049999999988358</v>
      </c>
      <c r="AH885" s="83">
        <f t="shared" si="207"/>
        <v>24</v>
      </c>
      <c r="AI885" s="83">
        <f t="shared" si="208"/>
        <v>42.049999999988358</v>
      </c>
      <c r="AJ885" s="83">
        <f t="shared" si="209"/>
        <v>3.7098692033303968</v>
      </c>
      <c r="AK885" s="83"/>
      <c r="AL885" s="83"/>
      <c r="AM885" s="83"/>
      <c r="AN885" s="83"/>
    </row>
    <row r="886" spans="1:40" ht="15" hidden="1" x14ac:dyDescent="0.25">
      <c r="A886" s="82">
        <v>45749</v>
      </c>
      <c r="B886" s="94" t="str">
        <f t="shared" ref="B886:B947" si="225">TEXT(A886, "MMMM")</f>
        <v>April</v>
      </c>
      <c r="C886" s="79" t="s">
        <v>2162</v>
      </c>
      <c r="D886" s="79" t="s">
        <v>1701</v>
      </c>
      <c r="E886" s="79" t="s">
        <v>1016</v>
      </c>
      <c r="F886" s="79" t="s">
        <v>963</v>
      </c>
      <c r="G886" s="79" t="s">
        <v>60</v>
      </c>
      <c r="H886" s="79" t="s">
        <v>2190</v>
      </c>
      <c r="I886" s="79">
        <v>156</v>
      </c>
      <c r="J886" s="79" t="s">
        <v>1701</v>
      </c>
      <c r="K886" s="80" t="s">
        <v>469</v>
      </c>
      <c r="L886" s="79">
        <f>VLOOKUP(H886,Table2[#All],3,FALSE)</f>
        <v>680</v>
      </c>
      <c r="M886" s="80">
        <f t="shared" ref="M886:M941" si="226">L886-1</f>
        <v>679</v>
      </c>
      <c r="N886" s="81">
        <f t="shared" ref="N886:N942" si="227">M886-L886</f>
        <v>-1</v>
      </c>
      <c r="P886" s="82">
        <f t="shared" si="224"/>
        <v>45750.524305555555</v>
      </c>
      <c r="Q886" s="82">
        <v>45748.9375</v>
      </c>
      <c r="R886" s="82">
        <v>45750.542361111111</v>
      </c>
      <c r="S886" s="81">
        <f t="shared" si="217"/>
        <v>2300.3009259256942</v>
      </c>
      <c r="T886" s="81">
        <f t="shared" si="201"/>
        <v>25.879629630556639</v>
      </c>
      <c r="U886" s="79"/>
      <c r="V886" s="82">
        <v>45751.288888888892</v>
      </c>
      <c r="W886" s="82">
        <v>45751.581250000003</v>
      </c>
      <c r="X886" s="103">
        <f t="shared" si="202"/>
        <v>412.22916666643869</v>
      </c>
      <c r="Y886" s="82" t="s">
        <v>1049</v>
      </c>
      <c r="Z886" s="82">
        <v>45752.350694444445</v>
      </c>
      <c r="AA886" s="82">
        <f>Z886+TIME(0,41,0)</f>
        <v>45752.379166666666</v>
      </c>
      <c r="AB886" s="81">
        <f t="shared" si="203"/>
        <v>40.145833330825553</v>
      </c>
      <c r="AC886" s="78"/>
      <c r="AD886" s="83">
        <f t="shared" ref="AD886:AD942" si="228">Z886-R886</f>
        <v>1.8083333333343035</v>
      </c>
      <c r="AE886" s="83">
        <f>VLOOKUP(H886,'LIST 2'!$A$1:$E$27,4,FALSE)</f>
        <v>3</v>
      </c>
      <c r="AF886" s="83">
        <f t="shared" ref="AF886:AF942" si="229">AE886-AD886</f>
        <v>1.1916666666656965</v>
      </c>
      <c r="AG886" s="83">
        <f t="shared" ref="AG886:AG942" si="230">AD886*24</f>
        <v>43.400000000023283</v>
      </c>
      <c r="AH886" s="83">
        <f>AG886-AI886</f>
        <v>12</v>
      </c>
      <c r="AI886" s="83">
        <f xml:space="preserve"> ((Z886 - R886) * 24) - (INT(Z886 - R886) * 12)</f>
        <v>31.400000000023283</v>
      </c>
      <c r="AJ886" s="83">
        <f t="shared" si="209"/>
        <v>4.9681528662383547</v>
      </c>
      <c r="AK886" s="83"/>
      <c r="AL886" s="83"/>
      <c r="AM886" s="83"/>
      <c r="AN886" s="83"/>
    </row>
    <row r="887" spans="1:40" ht="15" hidden="1" x14ac:dyDescent="0.25">
      <c r="A887" s="82">
        <v>45749</v>
      </c>
      <c r="B887" s="94" t="str">
        <f t="shared" si="225"/>
        <v>April</v>
      </c>
      <c r="C887" s="79" t="s">
        <v>2161</v>
      </c>
      <c r="D887" s="79" t="s">
        <v>1702</v>
      </c>
      <c r="E887" s="80" t="s">
        <v>1016</v>
      </c>
      <c r="F887" s="79" t="s">
        <v>954</v>
      </c>
      <c r="G887" s="79" t="s">
        <v>971</v>
      </c>
      <c r="H887" s="79" t="s">
        <v>1959</v>
      </c>
      <c r="I887" s="79">
        <v>156</v>
      </c>
      <c r="J887" s="79" t="s">
        <v>1702</v>
      </c>
      <c r="K887" s="80" t="s">
        <v>469</v>
      </c>
      <c r="L887" s="79">
        <f>VLOOKUP(H887,Table2[#All],3,FALSE)</f>
        <v>304</v>
      </c>
      <c r="M887" s="80">
        <f>L887-2</f>
        <v>302</v>
      </c>
      <c r="N887" s="81">
        <f t="shared" si="227"/>
        <v>-2</v>
      </c>
      <c r="O887" s="82"/>
      <c r="P887" s="82">
        <f>R887-TIME(0,26,0)</f>
        <v>45750.578472222223</v>
      </c>
      <c r="Q887" s="82">
        <v>45749.098611111112</v>
      </c>
      <c r="R887" s="82">
        <v>45750.59652777778</v>
      </c>
      <c r="S887" s="81">
        <f t="shared" ref="S887:S942" si="231">(R887-Q887)*86000/60</f>
        <v>2147.013888889584</v>
      </c>
      <c r="T887" s="81">
        <f t="shared" si="201"/>
        <v>25.879629630556639</v>
      </c>
      <c r="U887" s="79"/>
      <c r="V887" s="82">
        <v>45752.558333333334</v>
      </c>
      <c r="W887" s="82">
        <v>45752.645138888889</v>
      </c>
      <c r="X887" s="103">
        <f t="shared" si="202"/>
        <v>122.39583333219343</v>
      </c>
      <c r="Y887" s="82"/>
      <c r="Z887" s="82">
        <v>45753.447916666664</v>
      </c>
      <c r="AA887" s="82">
        <f>Z887+TIME(0,49,0)</f>
        <v>45753.481944444444</v>
      </c>
      <c r="AB887" s="81">
        <f t="shared" si="203"/>
        <v>47.979166669174447</v>
      </c>
      <c r="AC887" s="82" t="s">
        <v>2168</v>
      </c>
      <c r="AD887" s="83">
        <f t="shared" si="228"/>
        <v>2.851388888884685</v>
      </c>
      <c r="AE887" s="83">
        <f>VLOOKUP(H887,'LIST 2'!$A$1:$E$27,4,FALSE)</f>
        <v>2</v>
      </c>
      <c r="AF887" s="83">
        <f t="shared" si="229"/>
        <v>-0.851388888884685</v>
      </c>
      <c r="AG887" s="83">
        <f t="shared" si="230"/>
        <v>68.43333333323244</v>
      </c>
      <c r="AH887" s="83">
        <f t="shared" ref="AH887:AH942" si="232">AG887-AI887</f>
        <v>24</v>
      </c>
      <c r="AI887" s="83">
        <f xml:space="preserve"> ((Z887 - R887) * 24) - (INT(Z887 - R887) * 12)</f>
        <v>44.43333333323244</v>
      </c>
      <c r="AJ887" s="83">
        <f t="shared" si="209"/>
        <v>3.5108777194378296</v>
      </c>
      <c r="AK887" s="83">
        <v>12.12</v>
      </c>
      <c r="AL887" s="83">
        <v>9.42</v>
      </c>
      <c r="AM887" s="83">
        <v>11.59</v>
      </c>
      <c r="AN887" s="83"/>
    </row>
    <row r="888" spans="1:40" ht="15" hidden="1" x14ac:dyDescent="0.25">
      <c r="A888" s="82">
        <v>45749</v>
      </c>
      <c r="B888" s="94" t="str">
        <f t="shared" si="225"/>
        <v>April</v>
      </c>
      <c r="C888" s="79" t="s">
        <v>2161</v>
      </c>
      <c r="D888" s="79" t="s">
        <v>1703</v>
      </c>
      <c r="E888" s="79"/>
      <c r="F888" s="79" t="s">
        <v>958</v>
      </c>
      <c r="G888" s="79" t="s">
        <v>975</v>
      </c>
      <c r="H888" s="79" t="s">
        <v>1989</v>
      </c>
      <c r="I888" s="79">
        <v>153.6</v>
      </c>
      <c r="J888" s="79" t="s">
        <v>1703</v>
      </c>
      <c r="K888" s="80" t="s">
        <v>469</v>
      </c>
      <c r="L888" s="79">
        <f>VLOOKUP(H888,Table2[#All],3,FALSE)</f>
        <v>20</v>
      </c>
      <c r="M888" s="80">
        <f>L888+1</f>
        <v>21</v>
      </c>
      <c r="N888" s="81">
        <f t="shared" si="227"/>
        <v>1</v>
      </c>
      <c r="O888" s="82"/>
      <c r="P888" s="82">
        <f>R888-TIME(0,27,0)</f>
        <v>45750.55972222222</v>
      </c>
      <c r="Q888" s="82">
        <v>45749.320833333331</v>
      </c>
      <c r="R888" s="82">
        <v>45750.578472222223</v>
      </c>
      <c r="S888" s="81">
        <f t="shared" si="231"/>
        <v>1802.615740745144</v>
      </c>
      <c r="T888" s="81">
        <f t="shared" si="201"/>
        <v>26.87500000417155</v>
      </c>
      <c r="U888" s="79"/>
      <c r="V888" s="82">
        <v>45749.802777777775</v>
      </c>
      <c r="W888" s="82">
        <v>45750.427777777775</v>
      </c>
      <c r="X888" s="103">
        <f t="shared" si="202"/>
        <v>881.25</v>
      </c>
      <c r="Y888" s="82" t="s">
        <v>1044</v>
      </c>
      <c r="Z888" s="82">
        <v>45750.467361111114</v>
      </c>
      <c r="AA888" s="82">
        <f>Z888+TIME(0,38,0)</f>
        <v>45750.493750000001</v>
      </c>
      <c r="AB888" s="81">
        <f t="shared" si="203"/>
        <v>37.208333331509493</v>
      </c>
      <c r="AC888" s="82"/>
      <c r="AD888" s="83">
        <f t="shared" si="228"/>
        <v>-0.11111111110949423</v>
      </c>
      <c r="AE888" s="83">
        <f>VLOOKUP(H888,'LIST 2'!$A$1:$E$27,4,FALSE)</f>
        <v>1</v>
      </c>
      <c r="AF888" s="83">
        <f t="shared" si="229"/>
        <v>1.1111111111094942</v>
      </c>
      <c r="AG888" s="83">
        <f t="shared" si="230"/>
        <v>-2.6666666666278616</v>
      </c>
      <c r="AH888" s="83">
        <f t="shared" si="232"/>
        <v>-12</v>
      </c>
      <c r="AI888" s="83">
        <f t="shared" ref="AI888:AI942" si="233" xml:space="preserve"> ((Z888 - R888) * 24) - (INT(Z888 - R888) * 12)</f>
        <v>9.3333333333721384</v>
      </c>
      <c r="AJ888" s="83">
        <f t="shared" si="209"/>
        <v>16.457142857074434</v>
      </c>
      <c r="AK888" s="83"/>
      <c r="AL888" s="83"/>
      <c r="AM888" s="83"/>
      <c r="AN888" s="83"/>
    </row>
    <row r="889" spans="1:40" ht="15" hidden="1" x14ac:dyDescent="0.25">
      <c r="A889" s="82">
        <v>45749</v>
      </c>
      <c r="B889" s="94" t="str">
        <f t="shared" si="225"/>
        <v>April</v>
      </c>
      <c r="C889" s="79" t="s">
        <v>2161</v>
      </c>
      <c r="D889" s="79" t="s">
        <v>1704</v>
      </c>
      <c r="E889" s="79"/>
      <c r="F889" s="79" t="s">
        <v>958</v>
      </c>
      <c r="G889" s="79" t="s">
        <v>975</v>
      </c>
      <c r="H889" s="79" t="s">
        <v>1989</v>
      </c>
      <c r="I889" s="79">
        <v>153.6</v>
      </c>
      <c r="J889" s="79" t="s">
        <v>1704</v>
      </c>
      <c r="K889" s="80" t="s">
        <v>469</v>
      </c>
      <c r="L889" s="79">
        <f>VLOOKUP(H889,Table2[#All],3,FALSE)</f>
        <v>20</v>
      </c>
      <c r="M889" s="80">
        <f t="shared" si="226"/>
        <v>19</v>
      </c>
      <c r="N889" s="81">
        <f t="shared" si="227"/>
        <v>-1</v>
      </c>
      <c r="O889" s="82"/>
      <c r="P889" s="82">
        <f>R889-TIME(0,24,0)</f>
        <v>45749.76458333333</v>
      </c>
      <c r="Q889" s="82">
        <v>45749.494444444441</v>
      </c>
      <c r="R889" s="82">
        <v>45749.78125</v>
      </c>
      <c r="S889" s="81">
        <f t="shared" si="231"/>
        <v>411.0879629680615</v>
      </c>
      <c r="T889" s="81">
        <f t="shared" si="201"/>
        <v>23.888888893755695</v>
      </c>
      <c r="U889" s="79"/>
      <c r="V889" s="82">
        <v>45750.609027777777</v>
      </c>
      <c r="W889" s="82">
        <v>45751.411805555559</v>
      </c>
      <c r="X889" s="103">
        <f t="shared" si="202"/>
        <v>1131.9166666732781</v>
      </c>
      <c r="Y889" s="82" t="s">
        <v>1046</v>
      </c>
      <c r="Z889" s="82">
        <v>45751.474305555559</v>
      </c>
      <c r="AA889" s="82">
        <f>Z889+TIME(0,41,0)</f>
        <v>45751.50277777778</v>
      </c>
      <c r="AB889" s="81">
        <f t="shared" si="203"/>
        <v>40.145833330825553</v>
      </c>
      <c r="AC889" s="82"/>
      <c r="AD889" s="83">
        <f t="shared" si="228"/>
        <v>1.6930555555591127</v>
      </c>
      <c r="AE889" s="83">
        <f>VLOOKUP(H889,'LIST 2'!$A$1:$E$27,4,FALSE)</f>
        <v>1</v>
      </c>
      <c r="AF889" s="83">
        <f t="shared" si="229"/>
        <v>-0.69305555555911269</v>
      </c>
      <c r="AG889" s="83">
        <f t="shared" si="230"/>
        <v>40.633333333418705</v>
      </c>
      <c r="AH889" s="83">
        <f t="shared" si="232"/>
        <v>12</v>
      </c>
      <c r="AI889" s="83">
        <f t="shared" si="233"/>
        <v>28.633333333418705</v>
      </c>
      <c r="AJ889" s="83">
        <f t="shared" si="209"/>
        <v>5.3643771827546693</v>
      </c>
      <c r="AK889" s="83"/>
      <c r="AL889" s="83"/>
      <c r="AM889" s="83"/>
      <c r="AN889" s="83"/>
    </row>
    <row r="890" spans="1:40" ht="15" hidden="1" x14ac:dyDescent="0.25">
      <c r="A890" s="82">
        <v>45750</v>
      </c>
      <c r="B890" s="94" t="str">
        <f t="shared" si="225"/>
        <v>April</v>
      </c>
      <c r="C890" s="79" t="s">
        <v>2161</v>
      </c>
      <c r="D890" s="79" t="s">
        <v>1705</v>
      </c>
      <c r="E890" s="79"/>
      <c r="F890" s="79" t="s">
        <v>962</v>
      </c>
      <c r="G890" s="79" t="s">
        <v>978</v>
      </c>
      <c r="H890" t="s">
        <v>1956</v>
      </c>
      <c r="I890" s="79">
        <v>153.6</v>
      </c>
      <c r="J890" s="79" t="s">
        <v>1705</v>
      </c>
      <c r="K890" s="80" t="s">
        <v>469</v>
      </c>
      <c r="L890" s="79">
        <f>VLOOKUP(H890,Table2[#All],3,FALSE)</f>
        <v>596</v>
      </c>
      <c r="M890" s="80">
        <f t="shared" si="226"/>
        <v>595</v>
      </c>
      <c r="N890" s="81">
        <f t="shared" si="227"/>
        <v>-1</v>
      </c>
      <c r="O890" s="82"/>
      <c r="P890" s="82">
        <f>R890-TIME(0,24,0)</f>
        <v>45752.535416666666</v>
      </c>
      <c r="Q890" s="82">
        <v>45750.176388888889</v>
      </c>
      <c r="R890" s="82">
        <v>45752.552083333336</v>
      </c>
      <c r="S890" s="81">
        <f t="shared" si="231"/>
        <v>3405.1620370402816</v>
      </c>
      <c r="T890" s="81">
        <f t="shared" si="201"/>
        <v>23.888888893755695</v>
      </c>
      <c r="U890" s="79"/>
      <c r="V890" s="82">
        <v>45752.787499999999</v>
      </c>
      <c r="W890" s="82">
        <v>45753.402777777781</v>
      </c>
      <c r="X890" s="103">
        <f t="shared" si="202"/>
        <v>867.54166667327809</v>
      </c>
      <c r="Y890" s="82" t="s">
        <v>1049</v>
      </c>
      <c r="Z890" s="82">
        <v>45753.805555555555</v>
      </c>
      <c r="AA890" s="82">
        <f>Z890+TIME(0,51,0)</f>
        <v>45753.84097222222</v>
      </c>
      <c r="AB890" s="81">
        <f t="shared" si="203"/>
        <v>49.93749999863212</v>
      </c>
      <c r="AC890" s="82" t="s">
        <v>1676</v>
      </c>
      <c r="AD890" s="83">
        <f t="shared" si="228"/>
        <v>1.2534722222189885</v>
      </c>
      <c r="AE890" s="83">
        <f>VLOOKUP(H890,'LIST 2'!$A$1:$E$27,4,FALSE)</f>
        <v>2</v>
      </c>
      <c r="AF890" s="83">
        <f t="shared" si="229"/>
        <v>0.74652777778101154</v>
      </c>
      <c r="AG890" s="83">
        <f t="shared" si="230"/>
        <v>30.083333333255723</v>
      </c>
      <c r="AH890" s="83">
        <f t="shared" si="232"/>
        <v>12</v>
      </c>
      <c r="AI890" s="83">
        <f xml:space="preserve"> ((Z890 - R890) * 24) - (INT(Z890 - R890) * 12)</f>
        <v>18.083333333255723</v>
      </c>
      <c r="AJ890" s="83">
        <f t="shared" si="209"/>
        <v>8.4940092166263153</v>
      </c>
      <c r="AK890" s="83"/>
      <c r="AL890" s="83"/>
      <c r="AM890" s="83"/>
      <c r="AN890" s="83"/>
    </row>
    <row r="891" spans="1:40" ht="15" hidden="1" x14ac:dyDescent="0.25">
      <c r="A891" s="82">
        <v>45750</v>
      </c>
      <c r="B891" s="94" t="str">
        <f t="shared" si="225"/>
        <v>April</v>
      </c>
      <c r="C891" s="79" t="s">
        <v>2161</v>
      </c>
      <c r="D891" s="79" t="s">
        <v>1706</v>
      </c>
      <c r="E891" s="79"/>
      <c r="F891" s="79" t="s">
        <v>957</v>
      </c>
      <c r="G891" s="79" t="s">
        <v>974</v>
      </c>
      <c r="H891" s="79" t="s">
        <v>2022</v>
      </c>
      <c r="I891" s="79">
        <v>153.6</v>
      </c>
      <c r="J891" s="79" t="s">
        <v>1706</v>
      </c>
      <c r="K891" s="80" t="s">
        <v>469</v>
      </c>
      <c r="L891" s="79">
        <f>VLOOKUP(H891,Table2[#All],3,FALSE)</f>
        <v>150</v>
      </c>
      <c r="M891" s="80">
        <f t="shared" si="226"/>
        <v>149</v>
      </c>
      <c r="N891" s="81">
        <f t="shared" si="227"/>
        <v>-1</v>
      </c>
      <c r="O891" s="82"/>
      <c r="P891" s="82">
        <f>R891-TIME(0,42,0)</f>
        <v>45751.368055555555</v>
      </c>
      <c r="Q891" s="82">
        <v>45750.260416666664</v>
      </c>
      <c r="R891" s="82">
        <v>45751.397222222222</v>
      </c>
      <c r="S891" s="81">
        <f t="shared" si="231"/>
        <v>1629.421296299309</v>
      </c>
      <c r="T891" s="81">
        <f t="shared" si="201"/>
        <v>41.805555556250816</v>
      </c>
      <c r="U891" s="79" t="s">
        <v>2164</v>
      </c>
      <c r="V891" s="82">
        <v>45751.512499999997</v>
      </c>
      <c r="W891" s="82">
        <v>45751.729861111111</v>
      </c>
      <c r="X891" s="103">
        <f t="shared" si="202"/>
        <v>306.47916667054233</v>
      </c>
      <c r="Y891" s="82" t="s">
        <v>1050</v>
      </c>
      <c r="Z891" s="82">
        <v>45751.843055555553</v>
      </c>
      <c r="AA891" s="82">
        <f>Z891+TIME(0,50,0)</f>
        <v>45751.877777777772</v>
      </c>
      <c r="AB891" s="81">
        <f t="shared" si="203"/>
        <v>48.958333328773733</v>
      </c>
      <c r="AC891" s="82" t="s">
        <v>1677</v>
      </c>
      <c r="AD891" s="83">
        <f t="shared" si="228"/>
        <v>0.44583333333139308</v>
      </c>
      <c r="AE891" s="83">
        <f>VLOOKUP(H891,'LIST 2'!$A$1:$E$27,4,FALSE)</f>
        <v>1</v>
      </c>
      <c r="AF891" s="83">
        <f t="shared" si="229"/>
        <v>0.55416666666860692</v>
      </c>
      <c r="AG891" s="83">
        <f t="shared" si="230"/>
        <v>10.699999999953434</v>
      </c>
      <c r="AH891" s="83">
        <f t="shared" si="232"/>
        <v>0</v>
      </c>
      <c r="AI891" s="83">
        <f t="shared" si="233"/>
        <v>10.699999999953434</v>
      </c>
      <c r="AJ891" s="83">
        <f t="shared" si="209"/>
        <v>14.35514018697836</v>
      </c>
      <c r="AK891" s="83"/>
      <c r="AL891" s="83"/>
      <c r="AM891" s="83"/>
      <c r="AN891" s="83"/>
    </row>
    <row r="892" spans="1:40" ht="15" hidden="1" x14ac:dyDescent="0.25">
      <c r="A892" s="82">
        <v>45750</v>
      </c>
      <c r="B892" s="94" t="str">
        <f t="shared" si="225"/>
        <v>April</v>
      </c>
      <c r="C892" s="79" t="s">
        <v>2161</v>
      </c>
      <c r="D892" s="79" t="s">
        <v>1707</v>
      </c>
      <c r="E892" s="79"/>
      <c r="F892" s="79" t="s">
        <v>955</v>
      </c>
      <c r="G892" s="79" t="s">
        <v>972</v>
      </c>
      <c r="H892" s="79" t="s">
        <v>1991</v>
      </c>
      <c r="I892" s="79">
        <v>153.6</v>
      </c>
      <c r="J892" s="79" t="s">
        <v>1707</v>
      </c>
      <c r="K892" s="80" t="s">
        <v>469</v>
      </c>
      <c r="L892" s="79">
        <f>VLOOKUP(H892,Table2[#All],3,FALSE)</f>
        <v>272</v>
      </c>
      <c r="M892" s="80">
        <f t="shared" si="226"/>
        <v>271</v>
      </c>
      <c r="N892" s="81">
        <f t="shared" si="227"/>
        <v>-1</v>
      </c>
      <c r="O892" s="82"/>
      <c r="P892" s="82">
        <f>R892-TIME(0,27,0)</f>
        <v>45750.6</v>
      </c>
      <c r="Q892" s="82">
        <v>45750.082638888889</v>
      </c>
      <c r="R892" s="82">
        <v>45750.618750000001</v>
      </c>
      <c r="S892" s="81">
        <f t="shared" si="231"/>
        <v>768.42592592777999</v>
      </c>
      <c r="T892" s="81">
        <f t="shared" si="201"/>
        <v>26.87500000417155</v>
      </c>
      <c r="U892" s="79"/>
      <c r="V892" s="82">
        <v>45751.366666666669</v>
      </c>
      <c r="W892" s="82">
        <v>45751.585416666669</v>
      </c>
      <c r="X892" s="103">
        <f t="shared" si="202"/>
        <v>308.4375</v>
      </c>
      <c r="Y892" s="82" t="s">
        <v>1044</v>
      </c>
      <c r="Z892" s="82">
        <v>45752.342361111114</v>
      </c>
      <c r="AA892" s="82">
        <f>Z892+TIME(0,52,0)</f>
        <v>45752.378472222226</v>
      </c>
      <c r="AB892" s="81">
        <f t="shared" si="203"/>
        <v>50.916666668490507</v>
      </c>
      <c r="AC892" s="82" t="s">
        <v>2168</v>
      </c>
      <c r="AD892" s="83">
        <f t="shared" si="228"/>
        <v>1.7236111111124046</v>
      </c>
      <c r="AE892" s="83">
        <f>VLOOKUP(H892,'LIST 2'!$A$1:$E$27,4,FALSE)</f>
        <v>2</v>
      </c>
      <c r="AF892" s="83">
        <f t="shared" si="229"/>
        <v>0.27638888888759539</v>
      </c>
      <c r="AG892" s="83">
        <f t="shared" si="230"/>
        <v>41.366666666697711</v>
      </c>
      <c r="AH892" s="83">
        <f t="shared" si="232"/>
        <v>12</v>
      </c>
      <c r="AI892" s="83">
        <f t="shared" si="233"/>
        <v>29.366666666697711</v>
      </c>
      <c r="AJ892" s="83">
        <f t="shared" si="209"/>
        <v>5.2304199772929953</v>
      </c>
      <c r="AK892" s="83"/>
      <c r="AL892" s="83"/>
      <c r="AM892" s="83"/>
      <c r="AN892" s="83"/>
    </row>
    <row r="893" spans="1:40" ht="15" hidden="1" x14ac:dyDescent="0.25">
      <c r="A893" s="82">
        <v>45750</v>
      </c>
      <c r="B893" s="94" t="str">
        <f t="shared" si="225"/>
        <v>April</v>
      </c>
      <c r="C893" s="79" t="s">
        <v>2161</v>
      </c>
      <c r="D893" s="79" t="s">
        <v>1708</v>
      </c>
      <c r="E893" s="79"/>
      <c r="F893" s="79" t="s">
        <v>964</v>
      </c>
      <c r="G893" s="79" t="s">
        <v>979</v>
      </c>
      <c r="H893" t="s">
        <v>1957</v>
      </c>
      <c r="I893" s="79">
        <v>153.6</v>
      </c>
      <c r="J893" s="79" t="s">
        <v>1708</v>
      </c>
      <c r="K893" s="80" t="s">
        <v>469</v>
      </c>
      <c r="L893" s="79">
        <f>VLOOKUP(H893,Table2[#All],3,FALSE)</f>
        <v>288</v>
      </c>
      <c r="M893" s="80">
        <f t="shared" si="226"/>
        <v>287</v>
      </c>
      <c r="N893" s="81">
        <f t="shared" si="227"/>
        <v>-1</v>
      </c>
      <c r="O893" s="82"/>
      <c r="P893" s="82">
        <f>R893-TIME(0,26,0)</f>
        <v>45750.442361111112</v>
      </c>
      <c r="Q893" s="82">
        <v>45750.154861111114</v>
      </c>
      <c r="R893" s="82">
        <v>45750.460416666669</v>
      </c>
      <c r="S893" s="81">
        <f t="shared" si="231"/>
        <v>437.96296296180418</v>
      </c>
      <c r="T893" s="81">
        <f t="shared" si="201"/>
        <v>25.879629630556639</v>
      </c>
      <c r="U893" s="79"/>
      <c r="V893" s="82">
        <v>45750.675000000003</v>
      </c>
      <c r="W893" s="82">
        <v>45751.651388888888</v>
      </c>
      <c r="X893" s="103">
        <f t="shared" si="202"/>
        <v>1376.7083333274059</v>
      </c>
      <c r="Y893" s="82" t="s">
        <v>1044</v>
      </c>
      <c r="Z893" s="82">
        <v>45752.439583333333</v>
      </c>
      <c r="AA893" s="82">
        <f>Z893+TIME(0,38,0)</f>
        <v>45752.46597222222</v>
      </c>
      <c r="AB893" s="81">
        <f t="shared" si="203"/>
        <v>37.208333331509493</v>
      </c>
      <c r="AC893" s="82"/>
      <c r="AD893" s="83">
        <f t="shared" si="228"/>
        <v>1.9791666666642413</v>
      </c>
      <c r="AE893" s="83">
        <f>VLOOKUP(H893,'LIST 2'!$A$1:$E$27,4,FALSE)</f>
        <v>2</v>
      </c>
      <c r="AF893" s="83">
        <f t="shared" si="229"/>
        <v>2.0833333335758653E-2</v>
      </c>
      <c r="AG893" s="83">
        <f t="shared" si="230"/>
        <v>47.499999999941792</v>
      </c>
      <c r="AH893" s="83">
        <f t="shared" si="232"/>
        <v>12</v>
      </c>
      <c r="AI893" s="83">
        <f t="shared" si="233"/>
        <v>35.499999999941792</v>
      </c>
      <c r="AJ893" s="83">
        <f t="shared" si="209"/>
        <v>4.326760563387376</v>
      </c>
      <c r="AK893" s="83"/>
      <c r="AL893" s="83"/>
      <c r="AM893" s="83"/>
      <c r="AN893" s="83"/>
    </row>
    <row r="894" spans="1:40" ht="15" hidden="1" x14ac:dyDescent="0.25">
      <c r="A894" s="82">
        <v>45750</v>
      </c>
      <c r="B894" s="94" t="str">
        <f t="shared" si="225"/>
        <v>April</v>
      </c>
      <c r="C894" s="79" t="s">
        <v>2161</v>
      </c>
      <c r="D894" s="79" t="s">
        <v>1709</v>
      </c>
      <c r="E894" s="79"/>
      <c r="F894" s="79" t="s">
        <v>965</v>
      </c>
      <c r="G894" s="79" t="s">
        <v>980</v>
      </c>
      <c r="H894" s="79" t="s">
        <v>1989</v>
      </c>
      <c r="I894" s="79">
        <v>153.6</v>
      </c>
      <c r="J894" s="79" t="s">
        <v>1709</v>
      </c>
      <c r="K894" s="80" t="s">
        <v>469</v>
      </c>
      <c r="L894" s="79">
        <f>VLOOKUP(H894,Table2[#All],3,FALSE)</f>
        <v>20</v>
      </c>
      <c r="M894" s="80">
        <f>L894+1</f>
        <v>21</v>
      </c>
      <c r="N894" s="81">
        <f t="shared" si="227"/>
        <v>1</v>
      </c>
      <c r="O894" s="82"/>
      <c r="P894" s="82">
        <f>R894-TIME(0,27,0)</f>
        <v>45750.368749999994</v>
      </c>
      <c r="Q894" s="82">
        <v>45750.320833333331</v>
      </c>
      <c r="R894" s="82">
        <v>45750.387499999997</v>
      </c>
      <c r="S894" s="81">
        <f t="shared" si="231"/>
        <v>95.555555554165039</v>
      </c>
      <c r="T894" s="81">
        <f t="shared" si="201"/>
        <v>26.87500000417155</v>
      </c>
      <c r="U894" s="79"/>
      <c r="V894" s="82">
        <v>45750.409722222219</v>
      </c>
      <c r="W894" s="82">
        <v>45750.56527777778</v>
      </c>
      <c r="X894" s="103">
        <f t="shared" si="202"/>
        <v>219.33333334040071</v>
      </c>
      <c r="Y894" s="82" t="s">
        <v>1044</v>
      </c>
      <c r="Z894" s="82">
        <v>45750.586805555555</v>
      </c>
      <c r="AA894" s="82">
        <f>Z894+TIME(0,41,0)</f>
        <v>45750.615277777775</v>
      </c>
      <c r="AB894" s="81">
        <f t="shared" si="203"/>
        <v>40.145833330825553</v>
      </c>
      <c r="AC894" s="82"/>
      <c r="AD894" s="83">
        <f t="shared" si="228"/>
        <v>0.1993055555576575</v>
      </c>
      <c r="AE894" s="83">
        <f>VLOOKUP(H894,'LIST 2'!$A$1:$E$27,4,FALSE)</f>
        <v>1</v>
      </c>
      <c r="AF894" s="83">
        <f t="shared" si="229"/>
        <v>0.8006944444423425</v>
      </c>
      <c r="AG894" s="83">
        <f t="shared" si="230"/>
        <v>4.78333333338378</v>
      </c>
      <c r="AH894" s="83">
        <f t="shared" si="232"/>
        <v>0</v>
      </c>
      <c r="AI894" s="83">
        <f t="shared" si="233"/>
        <v>4.78333333338378</v>
      </c>
      <c r="AJ894" s="83">
        <f t="shared" si="209"/>
        <v>32.111498257501061</v>
      </c>
      <c r="AK894" s="83"/>
      <c r="AL894" s="83"/>
      <c r="AM894" s="83"/>
      <c r="AN894" s="83"/>
    </row>
    <row r="895" spans="1:40" ht="15" hidden="1" x14ac:dyDescent="0.25">
      <c r="A895" s="82">
        <v>45750</v>
      </c>
      <c r="B895" s="94" t="str">
        <f t="shared" si="225"/>
        <v>April</v>
      </c>
      <c r="C895" s="79" t="s">
        <v>2161</v>
      </c>
      <c r="D895" s="79" t="s">
        <v>1710</v>
      </c>
      <c r="E895" s="79"/>
      <c r="F895" s="79" t="s">
        <v>965</v>
      </c>
      <c r="G895" s="79" t="s">
        <v>980</v>
      </c>
      <c r="H895" t="s">
        <v>1956</v>
      </c>
      <c r="I895" s="79">
        <v>153.6</v>
      </c>
      <c r="J895" s="79" t="s">
        <v>1710</v>
      </c>
      <c r="K895" s="80" t="s">
        <v>469</v>
      </c>
      <c r="L895" s="79">
        <f>VLOOKUP(H895,Table2[#All],3,FALSE)</f>
        <v>596</v>
      </c>
      <c r="M895" s="80">
        <f t="shared" si="226"/>
        <v>595</v>
      </c>
      <c r="N895" s="81">
        <f t="shared" si="227"/>
        <v>-1</v>
      </c>
      <c r="O895" s="82"/>
      <c r="P895" s="82">
        <f>R895-TIME(0,22,0)</f>
        <v>45750.838194444448</v>
      </c>
      <c r="Q895" s="82">
        <v>45751.176388888889</v>
      </c>
      <c r="R895" s="82">
        <v>45750.853472222225</v>
      </c>
      <c r="S895" s="81">
        <f t="shared" si="231"/>
        <v>-462.84722221874591</v>
      </c>
      <c r="T895" s="81">
        <f t="shared" si="201"/>
        <v>21.89814814652588</v>
      </c>
      <c r="U895" s="79"/>
      <c r="V895" s="82">
        <v>45751.417361111111</v>
      </c>
      <c r="W895" s="82">
        <v>45751.609722222223</v>
      </c>
      <c r="X895" s="103">
        <f t="shared" si="202"/>
        <v>271.22916666849051</v>
      </c>
      <c r="Y895" s="82" t="s">
        <v>1046</v>
      </c>
      <c r="Z895" s="82">
        <v>45751.789583333331</v>
      </c>
      <c r="AA895" s="82">
        <f>Z895+TIME(0,50,0)</f>
        <v>45751.82430555555</v>
      </c>
      <c r="AB895" s="81">
        <f t="shared" si="203"/>
        <v>48.958333328773733</v>
      </c>
      <c r="AC895" s="82" t="s">
        <v>1676</v>
      </c>
      <c r="AD895" s="83">
        <f t="shared" si="228"/>
        <v>0.93611111110658385</v>
      </c>
      <c r="AE895" s="83">
        <f>VLOOKUP(H895,'LIST 2'!$A$1:$E$27,4,FALSE)</f>
        <v>2</v>
      </c>
      <c r="AF895" s="83">
        <f t="shared" si="229"/>
        <v>1.0638888888934162</v>
      </c>
      <c r="AG895" s="83">
        <f t="shared" si="230"/>
        <v>22.466666666558012</v>
      </c>
      <c r="AH895" s="83">
        <f t="shared" si="232"/>
        <v>0</v>
      </c>
      <c r="AI895" s="83">
        <f t="shared" si="233"/>
        <v>22.466666666558012</v>
      </c>
      <c r="AJ895" s="83">
        <f t="shared" si="209"/>
        <v>6.8367952522585833</v>
      </c>
      <c r="AK895" s="83"/>
      <c r="AL895" s="83"/>
      <c r="AM895" s="83"/>
      <c r="AN895" s="83"/>
    </row>
    <row r="896" spans="1:40" ht="15" hidden="1" x14ac:dyDescent="0.25">
      <c r="A896" s="82">
        <v>45751</v>
      </c>
      <c r="B896" s="94" t="str">
        <f t="shared" si="225"/>
        <v>April</v>
      </c>
      <c r="C896" s="79" t="s">
        <v>2161</v>
      </c>
      <c r="D896" s="79" t="s">
        <v>1711</v>
      </c>
      <c r="E896" s="79"/>
      <c r="F896" s="79" t="s">
        <v>958</v>
      </c>
      <c r="G896" s="79" t="s">
        <v>975</v>
      </c>
      <c r="H896" t="s">
        <v>1956</v>
      </c>
      <c r="I896" s="79">
        <v>153.6</v>
      </c>
      <c r="J896" s="79" t="s">
        <v>1711</v>
      </c>
      <c r="K896" s="80" t="s">
        <v>469</v>
      </c>
      <c r="L896" s="79">
        <f>VLOOKUP(H896,Table2[#All],3,FALSE)</f>
        <v>596</v>
      </c>
      <c r="M896" s="80">
        <f>L896-3</f>
        <v>593</v>
      </c>
      <c r="N896" s="81">
        <f t="shared" si="227"/>
        <v>-3</v>
      </c>
      <c r="O896" s="82"/>
      <c r="P896" s="82">
        <f>R896-TIME(0,24,0)</f>
        <v>45753.579166666663</v>
      </c>
      <c r="Q896" s="82">
        <v>45751.176388888889</v>
      </c>
      <c r="R896" s="82">
        <v>45753.595833333333</v>
      </c>
      <c r="S896" s="81">
        <f t="shared" si="231"/>
        <v>3467.8703703694432</v>
      </c>
      <c r="T896" s="81">
        <f t="shared" si="201"/>
        <v>23.888888893755695</v>
      </c>
      <c r="U896" s="79"/>
      <c r="V896" s="82">
        <v>45754.347222222219</v>
      </c>
      <c r="W896" s="82">
        <v>45754.503472222219</v>
      </c>
      <c r="X896" s="103">
        <f t="shared" si="202"/>
        <v>220.3125</v>
      </c>
      <c r="Y896" s="82" t="s">
        <v>1049</v>
      </c>
      <c r="Z896" s="82">
        <v>45754.675694444442</v>
      </c>
      <c r="AA896" s="82">
        <f>Z896+TIME(0,49,0)</f>
        <v>45754.709722222222</v>
      </c>
      <c r="AB896" s="81">
        <f t="shared" si="203"/>
        <v>47.979166669174447</v>
      </c>
      <c r="AC896" s="82" t="s">
        <v>1677</v>
      </c>
      <c r="AD896" s="83">
        <f t="shared" si="228"/>
        <v>1.0798611111094942</v>
      </c>
      <c r="AE896" s="83">
        <f>VLOOKUP(H896,'LIST 2'!$A$1:$E$27,4,FALSE)</f>
        <v>2</v>
      </c>
      <c r="AF896" s="83">
        <f t="shared" si="229"/>
        <v>0.92013888889050577</v>
      </c>
      <c r="AG896" s="83">
        <f t="shared" si="230"/>
        <v>25.916666666627862</v>
      </c>
      <c r="AH896" s="83">
        <f t="shared" si="232"/>
        <v>12</v>
      </c>
      <c r="AI896" s="83">
        <f t="shared" si="233"/>
        <v>13.916666666627862</v>
      </c>
      <c r="AJ896" s="83">
        <f t="shared" si="209"/>
        <v>11.03712574853377</v>
      </c>
      <c r="AK896" s="83"/>
      <c r="AL896" s="83"/>
      <c r="AM896" s="83"/>
      <c r="AN896" s="83"/>
    </row>
    <row r="897" spans="1:40" ht="15" hidden="1" x14ac:dyDescent="0.25">
      <c r="A897" s="82">
        <v>45751</v>
      </c>
      <c r="B897" s="94" t="str">
        <f t="shared" si="225"/>
        <v>April</v>
      </c>
      <c r="C897" s="79" t="s">
        <v>2162</v>
      </c>
      <c r="D897" s="79" t="s">
        <v>1712</v>
      </c>
      <c r="E897" s="79" t="s">
        <v>1016</v>
      </c>
      <c r="F897" s="79" t="s">
        <v>961</v>
      </c>
      <c r="G897" s="79" t="s">
        <v>977</v>
      </c>
      <c r="H897" s="79" t="s">
        <v>2190</v>
      </c>
      <c r="I897" s="79">
        <v>156</v>
      </c>
      <c r="J897" s="79" t="s">
        <v>1712</v>
      </c>
      <c r="K897" s="80" t="s">
        <v>469</v>
      </c>
      <c r="L897" s="79">
        <f>VLOOKUP(H897,Table2[#All],3,FALSE)</f>
        <v>680</v>
      </c>
      <c r="M897" s="80">
        <f>L897-3</f>
        <v>677</v>
      </c>
      <c r="N897" s="81">
        <f t="shared" si="227"/>
        <v>-3</v>
      </c>
      <c r="O897" s="82"/>
      <c r="P897" s="82">
        <f>R897-TIME(0,22,0)</f>
        <v>45750.90902777778</v>
      </c>
      <c r="Q897" s="82">
        <v>45750.895833333336</v>
      </c>
      <c r="R897" s="82">
        <v>45750.924305555556</v>
      </c>
      <c r="S897" s="81">
        <f t="shared" si="231"/>
        <v>40.810185182635905</v>
      </c>
      <c r="T897" s="81">
        <f t="shared" si="201"/>
        <v>21.89814814652588</v>
      </c>
      <c r="U897" s="79"/>
      <c r="V897" s="82">
        <v>45751.775694444441</v>
      </c>
      <c r="W897" s="82">
        <v>45752.519444444442</v>
      </c>
      <c r="X897" s="103">
        <f t="shared" si="202"/>
        <v>1048.6875000020518</v>
      </c>
      <c r="Y897" s="82" t="s">
        <v>1051</v>
      </c>
      <c r="Z897" s="82">
        <v>45753.338888888888</v>
      </c>
      <c r="AA897" s="82">
        <f t="shared" ref="AA897:AA947" si="234">Z897+TIME(0,45,0)</f>
        <v>45753.370138888888</v>
      </c>
      <c r="AB897" s="81">
        <f t="shared" si="203"/>
        <v>44.0625</v>
      </c>
      <c r="AC897" s="82"/>
      <c r="AD897" s="83">
        <f t="shared" si="228"/>
        <v>2.4145833333313931</v>
      </c>
      <c r="AE897" s="83">
        <f>VLOOKUP(H897,'LIST 2'!$A$1:$E$27,4,FALSE)</f>
        <v>3</v>
      </c>
      <c r="AF897" s="83">
        <f t="shared" si="229"/>
        <v>0.58541666666860692</v>
      </c>
      <c r="AG897" s="83">
        <f t="shared" si="230"/>
        <v>57.949999999953434</v>
      </c>
      <c r="AH897" s="83">
        <f t="shared" si="232"/>
        <v>24</v>
      </c>
      <c r="AI897" s="83">
        <f t="shared" si="233"/>
        <v>33.949999999953434</v>
      </c>
      <c r="AJ897" s="83">
        <f t="shared" si="209"/>
        <v>4.5949926362360518</v>
      </c>
      <c r="AK897" s="83"/>
      <c r="AL897" s="83"/>
      <c r="AM897" s="83"/>
      <c r="AN897" s="83"/>
    </row>
    <row r="898" spans="1:40" ht="15" hidden="1" x14ac:dyDescent="0.25">
      <c r="A898" s="82">
        <v>45751</v>
      </c>
      <c r="B898" s="94" t="str">
        <f t="shared" si="225"/>
        <v>April</v>
      </c>
      <c r="C898" s="79" t="s">
        <v>2161</v>
      </c>
      <c r="D898" s="79" t="s">
        <v>1713</v>
      </c>
      <c r="E898" s="79"/>
      <c r="F898" s="79" t="s">
        <v>952</v>
      </c>
      <c r="G898" s="79" t="s">
        <v>969</v>
      </c>
      <c r="H898" t="s">
        <v>1957</v>
      </c>
      <c r="I898" s="79">
        <v>153.6</v>
      </c>
      <c r="J898" s="79" t="s">
        <v>1713</v>
      </c>
      <c r="K898" s="80" t="s">
        <v>469</v>
      </c>
      <c r="L898" s="79">
        <f>VLOOKUP(H898,Table2[#All],3,FALSE)</f>
        <v>288</v>
      </c>
      <c r="M898" s="80">
        <f>L898-2</f>
        <v>286</v>
      </c>
      <c r="N898" s="81">
        <f t="shared" si="227"/>
        <v>-2</v>
      </c>
      <c r="P898" s="82">
        <f>R898-TIME(0,24,0)</f>
        <v>45750.873611111107</v>
      </c>
      <c r="Q898" s="82">
        <v>45751.154861111114</v>
      </c>
      <c r="R898" s="82">
        <v>45750.890277777777</v>
      </c>
      <c r="S898" s="81">
        <f t="shared" si="231"/>
        <v>-379.23611111667316</v>
      </c>
      <c r="T898" s="81">
        <f t="shared" ref="T898:T959" si="235">(R898-P898)*86000/60</f>
        <v>23.888888893755695</v>
      </c>
      <c r="U898" s="79"/>
      <c r="V898" s="82">
        <v>45751.537499999999</v>
      </c>
      <c r="W898" s="82">
        <v>45751.809027777781</v>
      </c>
      <c r="X898" s="103">
        <f t="shared" ref="X898:X959" si="236">(W898-V898)*84600/60</f>
        <v>382.85416667327809</v>
      </c>
      <c r="Y898" s="82" t="s">
        <v>1050</v>
      </c>
      <c r="Z898" s="82">
        <v>45752.441666666666</v>
      </c>
      <c r="AA898" s="82">
        <f>Z898+TIME(0,41,0)</f>
        <v>45752.470138888886</v>
      </c>
      <c r="AB898" s="81">
        <f t="shared" ref="AB898:AB959" si="237">(AA898-Z898)*84600/60</f>
        <v>40.145833330825553</v>
      </c>
      <c r="AC898" s="82"/>
      <c r="AD898" s="83">
        <f t="shared" si="228"/>
        <v>1.5513888888890506</v>
      </c>
      <c r="AE898" s="83">
        <f>VLOOKUP(H898,'LIST 2'!$A$1:$E$27,4,FALSE)</f>
        <v>2</v>
      </c>
      <c r="AF898" s="83">
        <f t="shared" si="229"/>
        <v>0.44861111111094942</v>
      </c>
      <c r="AG898" s="83">
        <f t="shared" si="230"/>
        <v>37.233333333337214</v>
      </c>
      <c r="AH898" s="83">
        <f t="shared" si="232"/>
        <v>12</v>
      </c>
      <c r="AI898" s="83">
        <f t="shared" si="233"/>
        <v>25.233333333337214</v>
      </c>
      <c r="AJ898" s="83">
        <f t="shared" ref="AJ898:AJ929" si="238">I898/AI898</f>
        <v>6.0871862615578483</v>
      </c>
      <c r="AK898" s="83"/>
      <c r="AL898" s="83"/>
      <c r="AM898" s="83"/>
      <c r="AN898" s="83"/>
    </row>
    <row r="899" spans="1:40" ht="15" hidden="1" x14ac:dyDescent="0.25">
      <c r="A899" s="82">
        <v>45752</v>
      </c>
      <c r="B899" s="94" t="str">
        <f t="shared" si="225"/>
        <v>April</v>
      </c>
      <c r="C899" s="79" t="s">
        <v>2161</v>
      </c>
      <c r="D899" s="79" t="s">
        <v>1714</v>
      </c>
      <c r="E899" s="79"/>
      <c r="F899" s="79" t="s">
        <v>966</v>
      </c>
      <c r="G899" s="79" t="s">
        <v>981</v>
      </c>
      <c r="H899" s="79" t="s">
        <v>1989</v>
      </c>
      <c r="I899" s="79">
        <v>153.6</v>
      </c>
      <c r="J899" s="79" t="s">
        <v>1714</v>
      </c>
      <c r="K899" s="80" t="s">
        <v>469</v>
      </c>
      <c r="L899" s="79">
        <f>VLOOKUP(H899,Table2[#All],3,FALSE)</f>
        <v>20</v>
      </c>
      <c r="M899" s="80">
        <f t="shared" si="226"/>
        <v>19</v>
      </c>
      <c r="N899" s="81">
        <f t="shared" si="227"/>
        <v>-1</v>
      </c>
      <c r="P899" s="82">
        <f>R899-TIME(0,26,0)</f>
        <v>45753.320833333331</v>
      </c>
      <c r="Q899" s="82">
        <v>45752.494444444441</v>
      </c>
      <c r="R899" s="82">
        <v>45753.338888888888</v>
      </c>
      <c r="S899" s="81">
        <f t="shared" si="231"/>
        <v>1210.3703703736148</v>
      </c>
      <c r="T899" s="81">
        <f t="shared" si="235"/>
        <v>25.879629630556639</v>
      </c>
      <c r="U899" s="79"/>
      <c r="V899" s="82">
        <v>45753.587500000001</v>
      </c>
      <c r="W899" s="82">
        <v>45754.482638888891</v>
      </c>
      <c r="X899" s="103">
        <f t="shared" si="236"/>
        <v>1262.1458333335613</v>
      </c>
      <c r="Y899" s="82" t="s">
        <v>1044</v>
      </c>
      <c r="Z899" s="82">
        <v>45754.736111111109</v>
      </c>
      <c r="AA899" s="82">
        <f>Z899+TIME(0,38,0)</f>
        <v>45754.762499999997</v>
      </c>
      <c r="AB899" s="81">
        <f t="shared" si="237"/>
        <v>37.208333331509493</v>
      </c>
      <c r="AC899" s="82"/>
      <c r="AD899" s="83">
        <f t="shared" si="228"/>
        <v>1.3972222222218988</v>
      </c>
      <c r="AE899" s="83">
        <f>VLOOKUP(H899,'LIST 2'!$A$1:$E$27,4,FALSE)</f>
        <v>1</v>
      </c>
      <c r="AF899" s="83">
        <f t="shared" si="229"/>
        <v>-0.39722222222189885</v>
      </c>
      <c r="AG899" s="83">
        <f t="shared" si="230"/>
        <v>33.533333333325572</v>
      </c>
      <c r="AH899" s="83">
        <f t="shared" si="232"/>
        <v>12</v>
      </c>
      <c r="AI899" s="83">
        <f t="shared" si="233"/>
        <v>21.533333333325572</v>
      </c>
      <c r="AJ899" s="83">
        <f t="shared" si="238"/>
        <v>7.1331269349870912</v>
      </c>
      <c r="AK899" s="83"/>
      <c r="AL899" s="83"/>
      <c r="AM899" s="83"/>
      <c r="AN899" s="83"/>
    </row>
    <row r="900" spans="1:40" ht="15" hidden="1" x14ac:dyDescent="0.25">
      <c r="A900" s="82">
        <v>45752</v>
      </c>
      <c r="B900" s="94" t="str">
        <f t="shared" si="225"/>
        <v>April</v>
      </c>
      <c r="C900" s="79" t="s">
        <v>2161</v>
      </c>
      <c r="D900" s="79" t="s">
        <v>1715</v>
      </c>
      <c r="E900" s="79"/>
      <c r="F900" s="79" t="s">
        <v>959</v>
      </c>
      <c r="G900" s="79" t="s">
        <v>976</v>
      </c>
      <c r="H900" s="79" t="s">
        <v>1990</v>
      </c>
      <c r="I900" s="79">
        <v>153.6</v>
      </c>
      <c r="J900" s="79" t="s">
        <v>1715</v>
      </c>
      <c r="K900" s="80" t="s">
        <v>469</v>
      </c>
      <c r="L900" s="79">
        <f>VLOOKUP(H900,Table2[#All],3,FALSE)</f>
        <v>810</v>
      </c>
      <c r="M900" s="80">
        <f t="shared" si="226"/>
        <v>809</v>
      </c>
      <c r="N900" s="81">
        <f t="shared" si="227"/>
        <v>-1</v>
      </c>
      <c r="P900" s="82">
        <f>R900-TIME(0,42,0)</f>
        <v>45752.241666666669</v>
      </c>
      <c r="Q900" s="82">
        <v>45751.833333333336</v>
      </c>
      <c r="R900" s="82">
        <v>45752.270833333336</v>
      </c>
      <c r="S900" s="81">
        <f t="shared" si="231"/>
        <v>627.08333333333337</v>
      </c>
      <c r="T900" s="81">
        <f t="shared" si="235"/>
        <v>41.805555556250816</v>
      </c>
      <c r="U900" s="79" t="s">
        <v>2163</v>
      </c>
      <c r="V900" s="82">
        <v>45753.400694444441</v>
      </c>
      <c r="W900" s="82">
        <v>45753.609027777777</v>
      </c>
      <c r="X900" s="103">
        <f t="shared" si="236"/>
        <v>293.7500000034197</v>
      </c>
      <c r="Y900" s="82" t="s">
        <v>1044</v>
      </c>
      <c r="Z900" s="82">
        <v>45754.743750000001</v>
      </c>
      <c r="AA900" s="82">
        <f>Z900+TIME(0,51,0)</f>
        <v>45754.779166666667</v>
      </c>
      <c r="AB900" s="81">
        <f t="shared" si="237"/>
        <v>49.93749999863212</v>
      </c>
      <c r="AC900" s="82" t="s">
        <v>1673</v>
      </c>
      <c r="AD900" s="83">
        <f t="shared" si="228"/>
        <v>2.4729166666656965</v>
      </c>
      <c r="AE900" s="83">
        <f>VLOOKUP(H900,'LIST 2'!$A$1:$E$27,4,FALSE)</f>
        <v>3</v>
      </c>
      <c r="AF900" s="83">
        <f t="shared" si="229"/>
        <v>0.52708333333430346</v>
      </c>
      <c r="AG900" s="83">
        <f t="shared" si="230"/>
        <v>59.349999999976717</v>
      </c>
      <c r="AH900" s="83">
        <f t="shared" si="232"/>
        <v>24</v>
      </c>
      <c r="AI900" s="83">
        <f t="shared" si="233"/>
        <v>35.349999999976717</v>
      </c>
      <c r="AJ900" s="83">
        <f t="shared" si="238"/>
        <v>4.3451202263112068</v>
      </c>
      <c r="AK900" s="83"/>
      <c r="AL900" s="83"/>
      <c r="AM900" s="83"/>
      <c r="AN900" s="83"/>
    </row>
    <row r="901" spans="1:40" ht="15" hidden="1" x14ac:dyDescent="0.25">
      <c r="A901" s="82">
        <v>45752</v>
      </c>
      <c r="B901" s="94" t="str">
        <f t="shared" si="225"/>
        <v>April</v>
      </c>
      <c r="C901" s="79" t="s">
        <v>2161</v>
      </c>
      <c r="D901" s="79" t="s">
        <v>1716</v>
      </c>
      <c r="E901" s="79"/>
      <c r="F901" s="79" t="s">
        <v>965</v>
      </c>
      <c r="G901" s="79" t="s">
        <v>980</v>
      </c>
      <c r="H901" t="s">
        <v>1956</v>
      </c>
      <c r="I901" s="79">
        <v>153.6</v>
      </c>
      <c r="J901" s="79" t="s">
        <v>1716</v>
      </c>
      <c r="K901" s="80" t="s">
        <v>469</v>
      </c>
      <c r="L901" s="79">
        <f>VLOOKUP(H901,Table2[#All],3,FALSE)</f>
        <v>596</v>
      </c>
      <c r="M901" s="80">
        <f t="shared" si="226"/>
        <v>595</v>
      </c>
      <c r="N901" s="81">
        <f t="shared" si="227"/>
        <v>-1</v>
      </c>
      <c r="P901" s="82">
        <f t="shared" ref="P901:P902" si="239">R901-TIME(0,39,0)</f>
        <v>45752.44027777778</v>
      </c>
      <c r="Q901" s="82">
        <v>45752.176388888889</v>
      </c>
      <c r="R901" s="82">
        <v>45752.467361111114</v>
      </c>
      <c r="S901" s="81">
        <f t="shared" si="231"/>
        <v>417.06018518889323</v>
      </c>
      <c r="T901" s="81">
        <f t="shared" si="235"/>
        <v>38.819444445834961</v>
      </c>
      <c r="U901" s="79" t="s">
        <v>2164</v>
      </c>
      <c r="V901" s="82">
        <v>45752.550694444442</v>
      </c>
      <c r="W901" s="82">
        <v>45752.660416666666</v>
      </c>
      <c r="X901" s="103">
        <f t="shared" si="236"/>
        <v>154.70833333492919</v>
      </c>
      <c r="Y901" s="82"/>
      <c r="Z901" s="82">
        <v>45753.458333333336</v>
      </c>
      <c r="AA901" s="82">
        <f>Z901+TIME(0,50,0)</f>
        <v>45753.493055555555</v>
      </c>
      <c r="AB901" s="81">
        <f t="shared" si="237"/>
        <v>48.958333328773733</v>
      </c>
      <c r="AC901" s="82" t="s">
        <v>2169</v>
      </c>
      <c r="AD901" s="83">
        <f t="shared" si="228"/>
        <v>0.99097222222189885</v>
      </c>
      <c r="AE901" s="83">
        <f>VLOOKUP(H901,'LIST 2'!$A$1:$E$27,4,FALSE)</f>
        <v>2</v>
      </c>
      <c r="AF901" s="83">
        <f t="shared" si="229"/>
        <v>1.0090277777781012</v>
      </c>
      <c r="AG901" s="83">
        <f t="shared" si="230"/>
        <v>23.783333333325572</v>
      </c>
      <c r="AH901" s="83">
        <f t="shared" si="232"/>
        <v>0</v>
      </c>
      <c r="AI901" s="83">
        <f t="shared" si="233"/>
        <v>23.783333333325572</v>
      </c>
      <c r="AJ901" s="83">
        <f t="shared" si="238"/>
        <v>6.4583041345501098</v>
      </c>
      <c r="AK901" s="83"/>
      <c r="AL901" s="83"/>
      <c r="AM901" s="83"/>
      <c r="AN901" s="83"/>
    </row>
    <row r="902" spans="1:40" ht="15" hidden="1" x14ac:dyDescent="0.25">
      <c r="A902" s="82">
        <v>45752</v>
      </c>
      <c r="B902" s="94" t="str">
        <f t="shared" si="225"/>
        <v>April</v>
      </c>
      <c r="C902" s="79" t="s">
        <v>2161</v>
      </c>
      <c r="D902" s="79" t="s">
        <v>1717</v>
      </c>
      <c r="E902" s="79"/>
      <c r="F902" s="79" t="s">
        <v>951</v>
      </c>
      <c r="G902" s="79" t="s">
        <v>968</v>
      </c>
      <c r="H902" s="79" t="s">
        <v>1991</v>
      </c>
      <c r="I902" s="79">
        <v>153.6</v>
      </c>
      <c r="J902" s="79" t="s">
        <v>1717</v>
      </c>
      <c r="K902" s="80" t="s">
        <v>469</v>
      </c>
      <c r="L902" s="79">
        <f>VLOOKUP(H902,Table2[#All],3,FALSE)</f>
        <v>272</v>
      </c>
      <c r="M902" s="80">
        <f t="shared" si="226"/>
        <v>271</v>
      </c>
      <c r="N902" s="81">
        <f t="shared" si="227"/>
        <v>-1</v>
      </c>
      <c r="P902" s="82">
        <f t="shared" si="239"/>
        <v>45752.333333333336</v>
      </c>
      <c r="Q902" s="82">
        <v>45752.082638888889</v>
      </c>
      <c r="R902" s="82">
        <v>45752.36041666667</v>
      </c>
      <c r="S902" s="81">
        <f t="shared" si="231"/>
        <v>398.14814815278322</v>
      </c>
      <c r="T902" s="81">
        <f t="shared" si="235"/>
        <v>38.819444445834961</v>
      </c>
      <c r="U902" s="79" t="s">
        <v>2163</v>
      </c>
      <c r="V902" s="82">
        <v>45752.576388888891</v>
      </c>
      <c r="W902" s="82">
        <v>45753.543055555558</v>
      </c>
      <c r="X902" s="103">
        <f t="shared" si="236"/>
        <v>1363.0000000006839</v>
      </c>
      <c r="Y902" s="82" t="s">
        <v>1049</v>
      </c>
      <c r="Z902" s="82">
        <v>45753.754166666666</v>
      </c>
      <c r="AA902" s="82">
        <f>Z902+TIME(0,49,0)</f>
        <v>45753.788194444445</v>
      </c>
      <c r="AB902" s="81">
        <f t="shared" si="237"/>
        <v>47.979166669174447</v>
      </c>
      <c r="AC902" s="82" t="s">
        <v>549</v>
      </c>
      <c r="AD902" s="83">
        <f t="shared" si="228"/>
        <v>1.3937499999956344</v>
      </c>
      <c r="AE902" s="83">
        <f>VLOOKUP(H902,'LIST 2'!$A$1:$E$27,4,FALSE)</f>
        <v>2</v>
      </c>
      <c r="AF902" s="83">
        <f t="shared" si="229"/>
        <v>0.60625000000436557</v>
      </c>
      <c r="AG902" s="83">
        <f t="shared" si="230"/>
        <v>33.449999999895226</v>
      </c>
      <c r="AH902" s="83">
        <f t="shared" si="232"/>
        <v>12</v>
      </c>
      <c r="AI902" s="83">
        <f t="shared" si="233"/>
        <v>21.449999999895226</v>
      </c>
      <c r="AJ902" s="83">
        <f t="shared" si="238"/>
        <v>7.1608391608741382</v>
      </c>
      <c r="AK902" s="83"/>
      <c r="AL902" s="83"/>
      <c r="AM902" s="83"/>
      <c r="AN902" s="83"/>
    </row>
    <row r="903" spans="1:40" ht="15" hidden="1" x14ac:dyDescent="0.25">
      <c r="A903" s="82">
        <v>45752</v>
      </c>
      <c r="B903" s="94" t="str">
        <f t="shared" si="225"/>
        <v>April</v>
      </c>
      <c r="C903" s="79" t="s">
        <v>2161</v>
      </c>
      <c r="D903" s="79" t="s">
        <v>1718</v>
      </c>
      <c r="E903" s="79"/>
      <c r="F903" s="79" t="s">
        <v>956</v>
      </c>
      <c r="G903" s="79" t="s">
        <v>973</v>
      </c>
      <c r="H903" s="79" t="s">
        <v>1989</v>
      </c>
      <c r="I903" s="79">
        <v>153.6</v>
      </c>
      <c r="J903" s="79" t="s">
        <v>1718</v>
      </c>
      <c r="K903" s="80" t="s">
        <v>469</v>
      </c>
      <c r="L903" s="79">
        <f>VLOOKUP(H903,Table2[#All],3,FALSE)</f>
        <v>20</v>
      </c>
      <c r="M903" s="80">
        <f>L903-2</f>
        <v>18</v>
      </c>
      <c r="N903" s="81">
        <f t="shared" si="227"/>
        <v>-2</v>
      </c>
      <c r="P903" s="82">
        <f>R903-TIME(0,26,0)</f>
        <v>45752.477777777778</v>
      </c>
      <c r="Q903" s="82">
        <v>45752.320833333331</v>
      </c>
      <c r="R903" s="82">
        <v>45752.495833333334</v>
      </c>
      <c r="S903" s="81">
        <f t="shared" si="231"/>
        <v>250.83333333750488</v>
      </c>
      <c r="T903" s="81">
        <f t="shared" si="235"/>
        <v>25.879629630556639</v>
      </c>
      <c r="U903" s="79"/>
      <c r="V903" s="82">
        <v>45752.522916666669</v>
      </c>
      <c r="W903" s="82">
        <v>45752.709722222222</v>
      </c>
      <c r="X903" s="103">
        <f t="shared" si="236"/>
        <v>263.39583333014161</v>
      </c>
      <c r="Y903" s="82" t="s">
        <v>1044</v>
      </c>
      <c r="Z903" s="82">
        <v>45752.741666666669</v>
      </c>
      <c r="AA903" s="82">
        <f>Z903+TIME(0,41,0)</f>
        <v>45752.770138888889</v>
      </c>
      <c r="AB903" s="81">
        <f t="shared" si="237"/>
        <v>40.145833330825553</v>
      </c>
      <c r="AC903" s="82"/>
      <c r="AD903" s="83">
        <f t="shared" si="228"/>
        <v>0.24583333333430346</v>
      </c>
      <c r="AE903" s="83">
        <f>VLOOKUP(H903,'LIST 2'!$A$1:$E$27,4,FALSE)</f>
        <v>1</v>
      </c>
      <c r="AF903" s="83">
        <f t="shared" si="229"/>
        <v>0.75416666666569654</v>
      </c>
      <c r="AG903" s="83">
        <f t="shared" si="230"/>
        <v>5.9000000000232831</v>
      </c>
      <c r="AH903" s="83">
        <f t="shared" si="232"/>
        <v>0</v>
      </c>
      <c r="AI903" s="83">
        <f t="shared" si="233"/>
        <v>5.9000000000232831</v>
      </c>
      <c r="AJ903" s="83">
        <f t="shared" si="238"/>
        <v>26.033898304982007</v>
      </c>
      <c r="AK903" s="83"/>
      <c r="AL903" s="83"/>
      <c r="AM903" s="83"/>
      <c r="AN903" s="83"/>
    </row>
    <row r="904" spans="1:40" ht="15" hidden="1" x14ac:dyDescent="0.25">
      <c r="A904" s="82">
        <v>45753</v>
      </c>
      <c r="B904" s="94" t="str">
        <f t="shared" si="225"/>
        <v>April</v>
      </c>
      <c r="C904" s="79" t="s">
        <v>2161</v>
      </c>
      <c r="D904" s="79" t="s">
        <v>1719</v>
      </c>
      <c r="E904" s="80" t="s">
        <v>1016</v>
      </c>
      <c r="F904" s="79" t="s">
        <v>954</v>
      </c>
      <c r="G904" s="79" t="s">
        <v>971</v>
      </c>
      <c r="H904" s="79" t="s">
        <v>1957</v>
      </c>
      <c r="I904" s="79">
        <v>153.6</v>
      </c>
      <c r="J904" s="79" t="s">
        <v>1719</v>
      </c>
      <c r="K904" s="80" t="s">
        <v>469</v>
      </c>
      <c r="L904" s="79">
        <f>VLOOKUP(H904,Table2[#All],3,FALSE)</f>
        <v>288</v>
      </c>
      <c r="M904" s="80">
        <f t="shared" si="226"/>
        <v>287</v>
      </c>
      <c r="N904" s="81">
        <f t="shared" si="227"/>
        <v>-1</v>
      </c>
      <c r="P904" s="82">
        <f>R904-TIME(0,54,0)</f>
        <v>45754.390972222223</v>
      </c>
      <c r="Q904" s="82">
        <v>45753.416666666664</v>
      </c>
      <c r="R904" s="82">
        <v>45754.428472222222</v>
      </c>
      <c r="S904" s="81">
        <f t="shared" si="231"/>
        <v>1450.2546296326425</v>
      </c>
      <c r="T904" s="81">
        <f t="shared" si="235"/>
        <v>53.749999997914223</v>
      </c>
      <c r="U904" s="79" t="s">
        <v>2165</v>
      </c>
      <c r="V904" s="82">
        <v>45755.87777777778</v>
      </c>
      <c r="W904" s="82">
        <v>45755.972916666666</v>
      </c>
      <c r="X904" s="103">
        <f t="shared" si="236"/>
        <v>134.14583332945767</v>
      </c>
      <c r="Y904" s="82"/>
      <c r="Z904" s="82">
        <v>45757.607638888891</v>
      </c>
      <c r="AA904" s="82">
        <f>Z904+TIME(0,52,0)</f>
        <v>45757.643750000003</v>
      </c>
      <c r="AB904" s="81">
        <f t="shared" si="237"/>
        <v>50.916666668490507</v>
      </c>
      <c r="AC904" s="82" t="s">
        <v>2170</v>
      </c>
      <c r="AD904" s="83">
        <f t="shared" si="228"/>
        <v>3.1791666666686069</v>
      </c>
      <c r="AE904" s="83">
        <f>VLOOKUP(H904,'LIST 2'!$A$1:$E$27,4,FALSE)</f>
        <v>2</v>
      </c>
      <c r="AF904" s="83">
        <f t="shared" si="229"/>
        <v>-1.1791666666686069</v>
      </c>
      <c r="AG904" s="83">
        <f t="shared" si="230"/>
        <v>76.300000000046566</v>
      </c>
      <c r="AH904" s="83">
        <f t="shared" si="232"/>
        <v>36</v>
      </c>
      <c r="AI904" s="83">
        <f t="shared" si="233"/>
        <v>40.300000000046566</v>
      </c>
      <c r="AJ904" s="83">
        <f t="shared" si="238"/>
        <v>3.8114143920551493</v>
      </c>
      <c r="AK904" s="83">
        <v>10.24</v>
      </c>
      <c r="AL904" s="83">
        <v>11.57</v>
      </c>
      <c r="AM904" s="83"/>
      <c r="AN904" s="83"/>
    </row>
    <row r="905" spans="1:40" ht="15" hidden="1" x14ac:dyDescent="0.25">
      <c r="A905" s="82">
        <v>45753</v>
      </c>
      <c r="B905" s="94" t="str">
        <f t="shared" si="225"/>
        <v>April</v>
      </c>
      <c r="C905" s="79" t="s">
        <v>2161</v>
      </c>
      <c r="D905" s="79" t="s">
        <v>1720</v>
      </c>
      <c r="E905" s="79"/>
      <c r="F905" s="79" t="s">
        <v>957</v>
      </c>
      <c r="G905" s="79" t="s">
        <v>974</v>
      </c>
      <c r="H905" s="79" t="s">
        <v>1989</v>
      </c>
      <c r="I905" s="79">
        <v>153.6</v>
      </c>
      <c r="J905" s="79" t="s">
        <v>1720</v>
      </c>
      <c r="K905" s="80" t="s">
        <v>469</v>
      </c>
      <c r="L905" s="79">
        <f>VLOOKUP(H905,Table2[#All],3,FALSE)</f>
        <v>20</v>
      </c>
      <c r="M905" s="80">
        <f>L905+1</f>
        <v>21</v>
      </c>
      <c r="N905" s="81">
        <f t="shared" si="227"/>
        <v>1</v>
      </c>
      <c r="P905" s="82">
        <f>R905-TIME(0,42,0)</f>
        <v>45753.307638888888</v>
      </c>
      <c r="Q905" s="82">
        <v>45753.320833333331</v>
      </c>
      <c r="R905" s="82">
        <v>45753.336805555555</v>
      </c>
      <c r="S905" s="81">
        <f t="shared" si="231"/>
        <v>22.893518520140788</v>
      </c>
      <c r="T905" s="81">
        <f t="shared" si="235"/>
        <v>41.805555556250816</v>
      </c>
      <c r="U905" s="79" t="s">
        <v>1671</v>
      </c>
      <c r="V905" s="82">
        <v>45753.652083333334</v>
      </c>
      <c r="W905" s="82">
        <v>45754.599305555559</v>
      </c>
      <c r="X905" s="103">
        <f t="shared" si="236"/>
        <v>1335.583333336981</v>
      </c>
      <c r="Y905" s="82" t="s">
        <v>1044</v>
      </c>
      <c r="Z905" s="82">
        <v>45756.356944444444</v>
      </c>
      <c r="AA905" s="82">
        <f>Z905+TIME(0,41,0)</f>
        <v>45756.385416666664</v>
      </c>
      <c r="AB905" s="81">
        <f t="shared" si="237"/>
        <v>40.145833330825553</v>
      </c>
      <c r="AC905" s="82"/>
      <c r="AD905" s="83">
        <f t="shared" si="228"/>
        <v>3.0201388888890506</v>
      </c>
      <c r="AE905" s="83">
        <f>VLOOKUP(H905,'LIST 2'!$A$1:$E$27,4,FALSE)</f>
        <v>1</v>
      </c>
      <c r="AF905" s="83">
        <f t="shared" si="229"/>
        <v>-2.0201388888890506</v>
      </c>
      <c r="AG905" s="83">
        <f t="shared" si="230"/>
        <v>72.483333333337214</v>
      </c>
      <c r="AH905" s="83">
        <f t="shared" si="232"/>
        <v>36</v>
      </c>
      <c r="AI905" s="83">
        <f t="shared" si="233"/>
        <v>36.483333333337214</v>
      </c>
      <c r="AJ905" s="83">
        <f t="shared" si="238"/>
        <v>4.2101416171763448</v>
      </c>
      <c r="AK905" s="83"/>
      <c r="AL905" s="83"/>
      <c r="AM905" s="83"/>
      <c r="AN905" s="83"/>
    </row>
    <row r="906" spans="1:40" ht="15" hidden="1" x14ac:dyDescent="0.25">
      <c r="A906" s="82">
        <v>45753</v>
      </c>
      <c r="B906" s="94" t="str">
        <f t="shared" si="225"/>
        <v>April</v>
      </c>
      <c r="C906" s="79" t="s">
        <v>2161</v>
      </c>
      <c r="D906" s="79" t="s">
        <v>1721</v>
      </c>
      <c r="E906" s="79"/>
      <c r="F906" s="79" t="s">
        <v>952</v>
      </c>
      <c r="G906" s="79" t="s">
        <v>969</v>
      </c>
      <c r="H906" s="79" t="s">
        <v>1959</v>
      </c>
      <c r="I906" s="79">
        <v>156</v>
      </c>
      <c r="J906" s="79" t="s">
        <v>1721</v>
      </c>
      <c r="K906" s="80" t="s">
        <v>469</v>
      </c>
      <c r="L906" s="79">
        <f>VLOOKUP(H906,Table2[#All],3,FALSE)</f>
        <v>304</v>
      </c>
      <c r="M906" s="80">
        <f t="shared" si="226"/>
        <v>303</v>
      </c>
      <c r="N906" s="81">
        <f t="shared" si="227"/>
        <v>-1</v>
      </c>
      <c r="P906" s="82">
        <f>R906-TIME(0,39,0)</f>
        <v>45752.574305555558</v>
      </c>
      <c r="Q906" s="82">
        <v>45753.098611111112</v>
      </c>
      <c r="R906" s="82">
        <v>45752.601388888892</v>
      </c>
      <c r="S906" s="81">
        <f t="shared" si="231"/>
        <v>-712.68518518263591</v>
      </c>
      <c r="T906" s="81">
        <f t="shared" si="235"/>
        <v>38.819444445834961</v>
      </c>
      <c r="U906" s="79" t="s">
        <v>562</v>
      </c>
      <c r="V906" s="82">
        <v>45752.706944444442</v>
      </c>
      <c r="W906" s="82">
        <v>45753.401388888888</v>
      </c>
      <c r="X906" s="103">
        <f t="shared" si="236"/>
        <v>979.16666666780657</v>
      </c>
      <c r="Y906" s="82" t="s">
        <v>1049</v>
      </c>
      <c r="Z906" s="82">
        <v>45753.527083333334</v>
      </c>
      <c r="AA906" s="82">
        <f>Z906+TIME(0,51,0)</f>
        <v>45753.5625</v>
      </c>
      <c r="AB906" s="81">
        <f t="shared" si="237"/>
        <v>49.93749999863212</v>
      </c>
      <c r="AC906" s="82" t="s">
        <v>2168</v>
      </c>
      <c r="AD906" s="83">
        <f>Z906-R906</f>
        <v>0.9256944444423425</v>
      </c>
      <c r="AE906" s="83">
        <f>VLOOKUP(H906,'LIST 2'!$A$1:$E$27,4,FALSE)</f>
        <v>2</v>
      </c>
      <c r="AF906" s="83">
        <f t="shared" si="229"/>
        <v>1.0743055555576575</v>
      </c>
      <c r="AG906" s="83">
        <f t="shared" si="230"/>
        <v>22.21666666661622</v>
      </c>
      <c r="AH906" s="83">
        <f t="shared" si="232"/>
        <v>0</v>
      </c>
      <c r="AI906" s="83">
        <f t="shared" si="233"/>
        <v>22.21666666661622</v>
      </c>
      <c r="AJ906" s="83">
        <f t="shared" si="238"/>
        <v>7.0217554388756591</v>
      </c>
      <c r="AK906" s="83"/>
      <c r="AL906" s="83"/>
      <c r="AM906" s="83"/>
      <c r="AN906" s="83"/>
    </row>
    <row r="907" spans="1:40" ht="15" hidden="1" x14ac:dyDescent="0.25">
      <c r="A907" s="82">
        <v>45754</v>
      </c>
      <c r="B907" s="94" t="str">
        <f t="shared" si="225"/>
        <v>April</v>
      </c>
      <c r="C907" s="79" t="s">
        <v>2161</v>
      </c>
      <c r="D907" s="79" t="s">
        <v>1722</v>
      </c>
      <c r="E907" s="79"/>
      <c r="F907" s="79" t="s">
        <v>953</v>
      </c>
      <c r="G907" s="79" t="s">
        <v>970</v>
      </c>
      <c r="H907" s="79" t="s">
        <v>1990</v>
      </c>
      <c r="I907" s="79">
        <v>153.6</v>
      </c>
      <c r="J907" s="79" t="s">
        <v>1722</v>
      </c>
      <c r="K907" s="80" t="s">
        <v>469</v>
      </c>
      <c r="L907" s="79">
        <f>VLOOKUP(H907,Table2[#All],3,FALSE)</f>
        <v>810</v>
      </c>
      <c r="M907" s="80">
        <f t="shared" si="226"/>
        <v>809</v>
      </c>
      <c r="N907" s="81">
        <f t="shared" si="227"/>
        <v>-1</v>
      </c>
      <c r="P907" s="82">
        <f>R907-TIME(0,28,0)</f>
        <v>45754.446527777778</v>
      </c>
      <c r="Q907" s="82">
        <v>45753.875</v>
      </c>
      <c r="R907" s="82">
        <v>45754.46597222222</v>
      </c>
      <c r="S907" s="81">
        <f t="shared" si="231"/>
        <v>847.06018518263591</v>
      </c>
      <c r="T907" s="81">
        <f t="shared" si="235"/>
        <v>27.870370367357584</v>
      </c>
      <c r="U907" s="79"/>
      <c r="V907" s="82">
        <v>45755.410416666666</v>
      </c>
      <c r="W907" s="82">
        <v>45755.624305555553</v>
      </c>
      <c r="X907" s="103">
        <f t="shared" si="236"/>
        <v>301.58333333150949</v>
      </c>
      <c r="Y907" s="82" t="s">
        <v>1044</v>
      </c>
      <c r="Z907" s="82">
        <v>45756.791666666664</v>
      </c>
      <c r="AA907" s="82">
        <f>Z907+TIME(0,38,0)</f>
        <v>45756.818055555552</v>
      </c>
      <c r="AB907" s="81">
        <f t="shared" si="237"/>
        <v>37.208333331509493</v>
      </c>
      <c r="AC907" s="82"/>
      <c r="AD907" s="83">
        <f t="shared" si="228"/>
        <v>2.3256944444437977</v>
      </c>
      <c r="AE907" s="83">
        <f>VLOOKUP(H907,'LIST 2'!$A$1:$E$27,4,FALSE)</f>
        <v>3</v>
      </c>
      <c r="AF907" s="83">
        <f t="shared" si="229"/>
        <v>0.67430555555620231</v>
      </c>
      <c r="AG907" s="83">
        <f t="shared" si="230"/>
        <v>55.816666666651145</v>
      </c>
      <c r="AH907" s="83">
        <f t="shared" si="232"/>
        <v>24</v>
      </c>
      <c r="AI907" s="83">
        <f t="shared" si="233"/>
        <v>31.816666666651145</v>
      </c>
      <c r="AJ907" s="83">
        <f t="shared" si="238"/>
        <v>4.827658459929018</v>
      </c>
      <c r="AK907" s="83"/>
      <c r="AL907" s="83"/>
      <c r="AM907" s="83"/>
      <c r="AN907" s="83"/>
    </row>
    <row r="908" spans="1:40" ht="15" hidden="1" x14ac:dyDescent="0.25">
      <c r="A908" s="82">
        <v>45754</v>
      </c>
      <c r="B908" s="94" t="str">
        <f t="shared" si="225"/>
        <v>April</v>
      </c>
      <c r="C908" s="79" t="s">
        <v>2161</v>
      </c>
      <c r="D908" s="79" t="s">
        <v>1723</v>
      </c>
      <c r="E908" s="79"/>
      <c r="F908" s="79" t="s">
        <v>951</v>
      </c>
      <c r="G908" s="79" t="s">
        <v>968</v>
      </c>
      <c r="H908" s="79" t="s">
        <v>2194</v>
      </c>
      <c r="I908" s="79">
        <v>156</v>
      </c>
      <c r="J908" s="79" t="s">
        <v>1723</v>
      </c>
      <c r="K908" s="80" t="s">
        <v>469</v>
      </c>
      <c r="L908" s="79">
        <f>VLOOKUP(H908,Table2[#All],3,FALSE)</f>
        <v>620</v>
      </c>
      <c r="M908" s="80">
        <f>L908-3</f>
        <v>617</v>
      </c>
      <c r="N908" s="81">
        <f t="shared" si="227"/>
        <v>-3</v>
      </c>
      <c r="P908" s="82">
        <f t="shared" ref="P908:P909" si="240">R908-TIME(0,24,0)</f>
        <v>45753.940972222219</v>
      </c>
      <c r="Q908" s="82">
        <v>45754.082638888889</v>
      </c>
      <c r="R908" s="82">
        <v>45753.957638888889</v>
      </c>
      <c r="S908" s="81">
        <f t="shared" si="231"/>
        <v>-179.16666666666666</v>
      </c>
      <c r="T908" s="81">
        <f t="shared" si="235"/>
        <v>23.888888893755695</v>
      </c>
      <c r="U908" s="79"/>
      <c r="V908" s="82">
        <v>45754.65625</v>
      </c>
      <c r="W908" s="82">
        <v>45754.841666666667</v>
      </c>
      <c r="X908" s="103">
        <f t="shared" si="236"/>
        <v>261.43750000068394</v>
      </c>
      <c r="Y908" s="82" t="s">
        <v>1044</v>
      </c>
      <c r="Z908" s="82">
        <v>45755.538888888892</v>
      </c>
      <c r="AA908" s="82">
        <f>Z908+TIME(0,41,0)</f>
        <v>45755.567361111112</v>
      </c>
      <c r="AB908" s="81">
        <f t="shared" si="237"/>
        <v>40.145833330825553</v>
      </c>
      <c r="AC908" s="82"/>
      <c r="AD908" s="83">
        <f t="shared" si="228"/>
        <v>1.5812500000029104</v>
      </c>
      <c r="AE908" s="83">
        <f>VLOOKUP(H908,'LIST 2'!$A$1:$E$27,4,FALSE)</f>
        <v>3</v>
      </c>
      <c r="AF908" s="83">
        <f t="shared" si="229"/>
        <v>1.4187499999970896</v>
      </c>
      <c r="AG908" s="83">
        <f t="shared" si="230"/>
        <v>37.950000000069849</v>
      </c>
      <c r="AH908" s="83">
        <f t="shared" si="232"/>
        <v>12</v>
      </c>
      <c r="AI908" s="83">
        <f t="shared" si="233"/>
        <v>25.950000000069849</v>
      </c>
      <c r="AJ908" s="83">
        <f t="shared" si="238"/>
        <v>6.0115606936254373</v>
      </c>
      <c r="AK908" s="83"/>
      <c r="AL908" s="83"/>
      <c r="AM908" s="83"/>
      <c r="AN908" s="83"/>
    </row>
    <row r="909" spans="1:40" ht="15" hidden="1" x14ac:dyDescent="0.25">
      <c r="A909" s="82">
        <v>45754</v>
      </c>
      <c r="B909" s="94" t="str">
        <f t="shared" si="225"/>
        <v>April</v>
      </c>
      <c r="C909" s="79" t="s">
        <v>2161</v>
      </c>
      <c r="D909" s="79" t="s">
        <v>1724</v>
      </c>
      <c r="E909" s="79"/>
      <c r="F909" s="79" t="s">
        <v>952</v>
      </c>
      <c r="G909" s="79" t="s">
        <v>969</v>
      </c>
      <c r="H909" s="79" t="s">
        <v>1989</v>
      </c>
      <c r="I909" s="79">
        <v>153.6</v>
      </c>
      <c r="J909" s="79" t="s">
        <v>1724</v>
      </c>
      <c r="K909" s="80" t="s">
        <v>469</v>
      </c>
      <c r="L909" s="79">
        <f>VLOOKUP(H909,Table2[#All],3,FALSE)</f>
        <v>20</v>
      </c>
      <c r="M909" s="80">
        <f t="shared" si="226"/>
        <v>19</v>
      </c>
      <c r="N909" s="81">
        <f t="shared" si="227"/>
        <v>-1</v>
      </c>
      <c r="P909" s="82">
        <f t="shared" si="240"/>
        <v>45753.861111111109</v>
      </c>
      <c r="Q909" s="82">
        <v>45754.320833333331</v>
      </c>
      <c r="R909" s="82">
        <v>45753.87777777778</v>
      </c>
      <c r="S909" s="81">
        <f t="shared" si="231"/>
        <v>-635.04629629096598</v>
      </c>
      <c r="T909" s="81">
        <f t="shared" si="235"/>
        <v>23.888888893755695</v>
      </c>
      <c r="U909" s="79"/>
      <c r="V909" s="82">
        <v>45754.520138888889</v>
      </c>
      <c r="W909" s="82">
        <v>45754.741666666669</v>
      </c>
      <c r="X909" s="103">
        <f t="shared" si="236"/>
        <v>312.35416666917445</v>
      </c>
      <c r="Y909" s="82"/>
      <c r="Z909" s="82">
        <v>45755.40625</v>
      </c>
      <c r="AA909" s="82">
        <f>Z909+TIME(0,38,0)</f>
        <v>45755.432638888888</v>
      </c>
      <c r="AB909" s="81">
        <f t="shared" si="237"/>
        <v>37.208333331509493</v>
      </c>
      <c r="AC909" s="82"/>
      <c r="AD909" s="83">
        <f t="shared" si="228"/>
        <v>1.5284722222204437</v>
      </c>
      <c r="AE909" s="83">
        <f>VLOOKUP(H909,'LIST 2'!$A$1:$E$27,4,FALSE)</f>
        <v>1</v>
      </c>
      <c r="AF909" s="83">
        <f t="shared" si="229"/>
        <v>-0.52847222222044365</v>
      </c>
      <c r="AG909" s="83">
        <f t="shared" si="230"/>
        <v>36.683333333290648</v>
      </c>
      <c r="AH909" s="83">
        <f t="shared" si="232"/>
        <v>12</v>
      </c>
      <c r="AI909" s="83">
        <f t="shared" si="233"/>
        <v>24.683333333290648</v>
      </c>
      <c r="AJ909" s="83">
        <f t="shared" si="238"/>
        <v>6.2228224172963786</v>
      </c>
      <c r="AK909" s="83"/>
      <c r="AL909" s="83"/>
      <c r="AM909" s="83"/>
      <c r="AN909" s="83"/>
    </row>
    <row r="910" spans="1:40" ht="15" hidden="1" x14ac:dyDescent="0.25">
      <c r="A910" s="82">
        <v>45755</v>
      </c>
      <c r="B910" s="94" t="str">
        <f t="shared" si="225"/>
        <v>April</v>
      </c>
      <c r="C910" s="79" t="s">
        <v>2161</v>
      </c>
      <c r="D910" s="79" t="s">
        <v>1725</v>
      </c>
      <c r="E910" s="79"/>
      <c r="F910" s="79" t="s">
        <v>952</v>
      </c>
      <c r="G910" s="79" t="s">
        <v>969</v>
      </c>
      <c r="H910" t="s">
        <v>1956</v>
      </c>
      <c r="I910" s="79">
        <v>153.6</v>
      </c>
      <c r="J910" s="79" t="s">
        <v>1725</v>
      </c>
      <c r="K910" s="80" t="s">
        <v>469</v>
      </c>
      <c r="L910" s="79">
        <f>VLOOKUP(H910,Table2[#All],3,FALSE)</f>
        <v>596</v>
      </c>
      <c r="M910" s="80">
        <f t="shared" si="226"/>
        <v>595</v>
      </c>
      <c r="N910" s="81">
        <f t="shared" si="227"/>
        <v>-1</v>
      </c>
      <c r="P910" s="82">
        <f>R910-TIME(0,26,0)</f>
        <v>45755.540972222225</v>
      </c>
      <c r="Q910" s="82">
        <v>45755.333333333336</v>
      </c>
      <c r="R910" s="82">
        <v>45755.559027777781</v>
      </c>
      <c r="S910" s="81">
        <f t="shared" si="231"/>
        <v>323.49537037152913</v>
      </c>
      <c r="T910" s="81">
        <f t="shared" si="235"/>
        <v>25.879629630556639</v>
      </c>
      <c r="U910" s="79"/>
      <c r="V910" s="82">
        <v>45756.352777777778</v>
      </c>
      <c r="W910" s="82">
        <v>45756.48541666667</v>
      </c>
      <c r="X910" s="103">
        <f t="shared" si="236"/>
        <v>187.02083333766495</v>
      </c>
      <c r="Y910" s="82" t="s">
        <v>1049</v>
      </c>
      <c r="Z910" s="82">
        <v>45756.709027777775</v>
      </c>
      <c r="AA910" s="82">
        <f>Z910+TIME(0,41,0)</f>
        <v>45756.737499999996</v>
      </c>
      <c r="AB910" s="81">
        <f t="shared" si="237"/>
        <v>40.145833330825553</v>
      </c>
      <c r="AC910" s="82"/>
      <c r="AD910" s="83">
        <f t="shared" si="228"/>
        <v>1.1499999999941792</v>
      </c>
      <c r="AE910" s="83">
        <f>VLOOKUP(H910,'LIST 2'!$A$1:$E$27,4,FALSE)</f>
        <v>2</v>
      </c>
      <c r="AF910" s="83">
        <f t="shared" si="229"/>
        <v>0.85000000000582077</v>
      </c>
      <c r="AG910" s="83">
        <f t="shared" si="230"/>
        <v>27.599999999860302</v>
      </c>
      <c r="AH910" s="83">
        <f t="shared" si="232"/>
        <v>12</v>
      </c>
      <c r="AI910" s="83">
        <f t="shared" si="233"/>
        <v>15.599999999860302</v>
      </c>
      <c r="AJ910" s="83">
        <f t="shared" si="238"/>
        <v>9.8461538462420179</v>
      </c>
      <c r="AK910" s="83"/>
      <c r="AL910" s="83"/>
      <c r="AM910" s="83"/>
      <c r="AN910" s="83"/>
    </row>
    <row r="911" spans="1:40" ht="15" hidden="1" x14ac:dyDescent="0.25">
      <c r="A911" s="82">
        <v>45755</v>
      </c>
      <c r="B911" s="94" t="str">
        <f t="shared" si="225"/>
        <v>April</v>
      </c>
      <c r="C911" s="79" t="s">
        <v>2161</v>
      </c>
      <c r="D911" s="79" t="s">
        <v>1726</v>
      </c>
      <c r="E911" s="79"/>
      <c r="F911" s="79" t="s">
        <v>966</v>
      </c>
      <c r="G911" s="79" t="s">
        <v>981</v>
      </c>
      <c r="H911" t="s">
        <v>1956</v>
      </c>
      <c r="I911" s="79">
        <v>153.6</v>
      </c>
      <c r="J911" s="79" t="s">
        <v>1726</v>
      </c>
      <c r="K911" s="80" t="s">
        <v>469</v>
      </c>
      <c r="L911" s="79">
        <f>VLOOKUP(H911,Table2[#All],3,FALSE)</f>
        <v>596</v>
      </c>
      <c r="M911" s="80">
        <f t="shared" si="226"/>
        <v>595</v>
      </c>
      <c r="N911" s="81">
        <f t="shared" si="227"/>
        <v>-1</v>
      </c>
      <c r="P911" s="82">
        <f>R911-TIME(0,28,0)</f>
        <v>45755.400694444448</v>
      </c>
      <c r="Q911" s="82">
        <v>45755.333333333336</v>
      </c>
      <c r="R911" s="82">
        <v>45755.420138888891</v>
      </c>
      <c r="S911" s="81">
        <f t="shared" si="231"/>
        <v>124.42129629513754</v>
      </c>
      <c r="T911" s="81">
        <f t="shared" si="235"/>
        <v>27.870370367357584</v>
      </c>
      <c r="U911" s="79"/>
      <c r="V911" s="82">
        <v>45755.547222222223</v>
      </c>
      <c r="W911" s="82">
        <v>45755.730555555558</v>
      </c>
      <c r="X911" s="103">
        <f t="shared" si="236"/>
        <v>258.50000000136788</v>
      </c>
      <c r="Y911" s="82" t="s">
        <v>1050</v>
      </c>
      <c r="Z911" s="82">
        <v>45755.840277777781</v>
      </c>
      <c r="AA911" s="82">
        <f>Z911+TIME(0,50,0)</f>
        <v>45755.875</v>
      </c>
      <c r="AB911" s="81">
        <f t="shared" si="237"/>
        <v>48.958333328773733</v>
      </c>
      <c r="AC911" s="82" t="s">
        <v>1678</v>
      </c>
      <c r="AD911" s="83">
        <f t="shared" si="228"/>
        <v>0.42013888889050577</v>
      </c>
      <c r="AE911" s="83">
        <f>VLOOKUP(H911,'LIST 2'!$A$1:$E$27,4,FALSE)</f>
        <v>2</v>
      </c>
      <c r="AF911" s="83">
        <f t="shared" si="229"/>
        <v>1.5798611111094942</v>
      </c>
      <c r="AG911" s="83">
        <f t="shared" si="230"/>
        <v>10.083333333372138</v>
      </c>
      <c r="AH911" s="83">
        <f t="shared" si="232"/>
        <v>0</v>
      </c>
      <c r="AI911" s="83">
        <f t="shared" si="233"/>
        <v>10.083333333372138</v>
      </c>
      <c r="AJ911" s="83">
        <f t="shared" si="238"/>
        <v>15.233057851181046</v>
      </c>
      <c r="AK911" s="83"/>
      <c r="AL911" s="83"/>
      <c r="AM911" s="83"/>
      <c r="AN911" s="83"/>
    </row>
    <row r="912" spans="1:40" ht="15" hidden="1" x14ac:dyDescent="0.25">
      <c r="A912" s="82">
        <v>45755</v>
      </c>
      <c r="B912" s="94" t="str">
        <f t="shared" si="225"/>
        <v>April</v>
      </c>
      <c r="C912" s="79" t="s">
        <v>2161</v>
      </c>
      <c r="D912" s="79" t="s">
        <v>1727</v>
      </c>
      <c r="E912" s="79"/>
      <c r="F912" s="79" t="s">
        <v>950</v>
      </c>
      <c r="G912" s="79" t="s">
        <v>967</v>
      </c>
      <c r="H912" s="79" t="s">
        <v>2022</v>
      </c>
      <c r="I912" s="79">
        <v>153.6</v>
      </c>
      <c r="J912" s="79" t="s">
        <v>1727</v>
      </c>
      <c r="K912" s="80" t="s">
        <v>469</v>
      </c>
      <c r="L912" s="79">
        <f>VLOOKUP(H912,Table2[#All],3,FALSE)</f>
        <v>150</v>
      </c>
      <c r="M912" s="80">
        <f t="shared" si="226"/>
        <v>149</v>
      </c>
      <c r="N912" s="81">
        <f t="shared" si="227"/>
        <v>-1</v>
      </c>
      <c r="P912" s="82">
        <f t="shared" ref="P912:P913" si="241">R912-TIME(0,24,0)</f>
        <v>45755.38680555555</v>
      </c>
      <c r="Q912" s="82">
        <v>45755.338888888888</v>
      </c>
      <c r="R912" s="82">
        <v>45755.40347222222</v>
      </c>
      <c r="S912" s="81">
        <f t="shared" si="231"/>
        <v>92.569444443749191</v>
      </c>
      <c r="T912" s="81">
        <f t="shared" si="235"/>
        <v>23.888888893755695</v>
      </c>
      <c r="U912" s="79"/>
      <c r="V912" s="82">
        <v>45756.548611111109</v>
      </c>
      <c r="W912" s="82">
        <v>45756.723611111112</v>
      </c>
      <c r="X912" s="103">
        <f t="shared" si="236"/>
        <v>246.75000000410364</v>
      </c>
      <c r="Y912" s="82" t="s">
        <v>1044</v>
      </c>
      <c r="Z912" s="82">
        <v>45755.675000000003</v>
      </c>
      <c r="AA912" s="82">
        <f>Z912+TIME(0,38,0)</f>
        <v>45755.701388888891</v>
      </c>
      <c r="AB912" s="81">
        <f t="shared" si="237"/>
        <v>37.208333331509493</v>
      </c>
      <c r="AC912" s="82"/>
      <c r="AD912" s="83">
        <f t="shared" si="228"/>
        <v>0.27152777778246673</v>
      </c>
      <c r="AE912" s="83">
        <f>VLOOKUP(H912,'LIST 2'!$A$1:$E$27,4,FALSE)</f>
        <v>1</v>
      </c>
      <c r="AF912" s="83">
        <f t="shared" si="229"/>
        <v>0.72847222221753327</v>
      </c>
      <c r="AG912" s="83">
        <f t="shared" si="230"/>
        <v>6.5166666667792015</v>
      </c>
      <c r="AH912" s="83">
        <f t="shared" si="232"/>
        <v>0</v>
      </c>
      <c r="AI912" s="83">
        <f t="shared" si="233"/>
        <v>6.5166666667792015</v>
      </c>
      <c r="AJ912" s="83">
        <f t="shared" si="238"/>
        <v>23.570332480411384</v>
      </c>
      <c r="AK912" s="83"/>
      <c r="AL912" s="83"/>
      <c r="AM912" s="83"/>
      <c r="AN912" s="83"/>
    </row>
    <row r="913" spans="1:40" ht="15" hidden="1" x14ac:dyDescent="0.25">
      <c r="A913" s="82">
        <v>45755</v>
      </c>
      <c r="B913" s="94" t="str">
        <f t="shared" si="225"/>
        <v>April</v>
      </c>
      <c r="C913" s="79" t="s">
        <v>2162</v>
      </c>
      <c r="D913" s="79" t="s">
        <v>1728</v>
      </c>
      <c r="E913" s="79" t="s">
        <v>1016</v>
      </c>
      <c r="F913" s="79" t="s">
        <v>961</v>
      </c>
      <c r="G913" s="79" t="s">
        <v>977</v>
      </c>
      <c r="H913" s="79" t="s">
        <v>2179</v>
      </c>
      <c r="I913" s="79">
        <v>156</v>
      </c>
      <c r="J913" s="79" t="s">
        <v>1728</v>
      </c>
      <c r="K913" s="80" t="s">
        <v>469</v>
      </c>
      <c r="L913" s="79">
        <f>VLOOKUP(H913,Table2[#All],3,FALSE)</f>
        <v>560</v>
      </c>
      <c r="M913" s="80">
        <f t="shared" si="226"/>
        <v>559</v>
      </c>
      <c r="N913" s="81">
        <f t="shared" si="227"/>
        <v>-1</v>
      </c>
      <c r="P913" s="82">
        <f t="shared" si="241"/>
        <v>45754.874305555553</v>
      </c>
      <c r="Q913" s="82">
        <v>45755.333333333336</v>
      </c>
      <c r="R913" s="82">
        <v>45754.890972222223</v>
      </c>
      <c r="S913" s="81">
        <f t="shared" si="231"/>
        <v>-634.05092592777999</v>
      </c>
      <c r="T913" s="81">
        <f t="shared" si="235"/>
        <v>23.888888893755695</v>
      </c>
      <c r="U913" s="79"/>
      <c r="V913" s="82">
        <v>45755.62222222222</v>
      </c>
      <c r="W913" s="82">
        <v>45755.715277777781</v>
      </c>
      <c r="X913" s="103">
        <f t="shared" si="236"/>
        <v>131.20833334040071</v>
      </c>
      <c r="Y913" s="82"/>
      <c r="Z913" s="82">
        <v>45757.804861111108</v>
      </c>
      <c r="AA913" s="82">
        <f t="shared" si="234"/>
        <v>45757.836111111108</v>
      </c>
      <c r="AB913" s="81">
        <f t="shared" si="237"/>
        <v>44.0625</v>
      </c>
      <c r="AC913" s="82"/>
      <c r="AD913" s="83">
        <f t="shared" si="228"/>
        <v>2.913888888884685</v>
      </c>
      <c r="AE913" s="83">
        <f>VLOOKUP(H913,'LIST 2'!$A$1:$E$27,4,FALSE)</f>
        <v>2</v>
      </c>
      <c r="AF913" s="83">
        <f t="shared" si="229"/>
        <v>-0.913888888884685</v>
      </c>
      <c r="AG913" s="83">
        <f t="shared" si="230"/>
        <v>69.93333333323244</v>
      </c>
      <c r="AH913" s="83">
        <f t="shared" si="232"/>
        <v>24</v>
      </c>
      <c r="AI913" s="83">
        <f t="shared" si="233"/>
        <v>45.93333333323244</v>
      </c>
      <c r="AJ913" s="83">
        <f t="shared" si="238"/>
        <v>3.3962264151017996</v>
      </c>
      <c r="AK913" s="83"/>
      <c r="AL913" s="83"/>
      <c r="AM913" s="83"/>
      <c r="AN913" s="83"/>
    </row>
    <row r="914" spans="1:40" ht="15" hidden="1" x14ac:dyDescent="0.25">
      <c r="A914" s="82">
        <v>45756</v>
      </c>
      <c r="B914" s="94" t="str">
        <f t="shared" si="225"/>
        <v>April</v>
      </c>
      <c r="C914" s="79" t="s">
        <v>2161</v>
      </c>
      <c r="D914" s="79" t="s">
        <v>1729</v>
      </c>
      <c r="E914" s="80" t="s">
        <v>1016</v>
      </c>
      <c r="F914" s="79" t="s">
        <v>954</v>
      </c>
      <c r="G914" s="79" t="s">
        <v>971</v>
      </c>
      <c r="H914" s="79" t="s">
        <v>1991</v>
      </c>
      <c r="I914" s="79">
        <v>153.6</v>
      </c>
      <c r="J914" s="79" t="s">
        <v>1729</v>
      </c>
      <c r="K914" s="80" t="s">
        <v>469</v>
      </c>
      <c r="L914" s="79">
        <f>VLOOKUP(H914,Table2[#All],3,FALSE)</f>
        <v>272</v>
      </c>
      <c r="M914" s="80">
        <f>L914-2</f>
        <v>270</v>
      </c>
      <c r="N914" s="81">
        <f t="shared" si="227"/>
        <v>-2</v>
      </c>
      <c r="P914" s="82">
        <f>R914-TIME(0,26,0)</f>
        <v>45757.779861111114</v>
      </c>
      <c r="Q914" s="82">
        <v>45756.082638888889</v>
      </c>
      <c r="R914" s="82">
        <v>45757.79791666667</v>
      </c>
      <c r="S914" s="81">
        <f t="shared" si="231"/>
        <v>2458.56481481945</v>
      </c>
      <c r="T914" s="81">
        <f t="shared" si="235"/>
        <v>25.879629630556639</v>
      </c>
      <c r="U914" s="79"/>
      <c r="V914" s="82">
        <v>45758.605555555558</v>
      </c>
      <c r="W914" s="82">
        <v>45758.693749999999</v>
      </c>
      <c r="X914" s="103">
        <f t="shared" si="236"/>
        <v>124.35416666165111</v>
      </c>
      <c r="Y914" s="82"/>
      <c r="Z914" s="82">
        <v>45759.40625</v>
      </c>
      <c r="AA914" s="82">
        <f t="shared" ref="AA914:AA915" si="242">Z914+TIME(0,41,0)</f>
        <v>45759.43472222222</v>
      </c>
      <c r="AB914" s="81">
        <f t="shared" si="237"/>
        <v>40.145833330825553</v>
      </c>
      <c r="AC914" s="82"/>
      <c r="AD914" s="83">
        <f t="shared" si="228"/>
        <v>1.6083333333299379</v>
      </c>
      <c r="AE914" s="83">
        <f>VLOOKUP(H914,'LIST 2'!$A$1:$E$27,4,FALSE)</f>
        <v>2</v>
      </c>
      <c r="AF914" s="83">
        <f t="shared" si="229"/>
        <v>0.39166666667006211</v>
      </c>
      <c r="AG914" s="83">
        <f t="shared" si="230"/>
        <v>38.599999999918509</v>
      </c>
      <c r="AH914" s="83">
        <f t="shared" si="232"/>
        <v>12</v>
      </c>
      <c r="AI914" s="83">
        <f t="shared" si="233"/>
        <v>26.599999999918509</v>
      </c>
      <c r="AJ914" s="83">
        <f t="shared" si="238"/>
        <v>5.7744360902432543</v>
      </c>
      <c r="AK914" s="83">
        <v>11.56</v>
      </c>
      <c r="AL914" s="83">
        <v>9.4499999999999993</v>
      </c>
      <c r="AM914" s="83">
        <v>11.23</v>
      </c>
      <c r="AN914" s="83"/>
    </row>
    <row r="915" spans="1:40" ht="15" hidden="1" x14ac:dyDescent="0.25">
      <c r="A915" s="82">
        <v>45756</v>
      </c>
      <c r="B915" s="94" t="str">
        <f t="shared" si="225"/>
        <v>April</v>
      </c>
      <c r="C915" s="79" t="s">
        <v>2161</v>
      </c>
      <c r="D915" s="79" t="s">
        <v>1730</v>
      </c>
      <c r="E915" s="79"/>
      <c r="F915" s="79" t="s">
        <v>1689</v>
      </c>
      <c r="G915" s="79" t="s">
        <v>1262</v>
      </c>
      <c r="H915" s="79" t="s">
        <v>1959</v>
      </c>
      <c r="I915" s="79">
        <v>156</v>
      </c>
      <c r="J915" s="79" t="s">
        <v>1730</v>
      </c>
      <c r="K915" s="80" t="s">
        <v>469</v>
      </c>
      <c r="L915" s="79">
        <f>VLOOKUP(H915,Table2[#All],3,FALSE)</f>
        <v>304</v>
      </c>
      <c r="M915" s="80">
        <f t="shared" si="226"/>
        <v>303</v>
      </c>
      <c r="N915" s="81">
        <f t="shared" si="227"/>
        <v>-1</v>
      </c>
      <c r="P915" s="82">
        <f>R915-TIME(0,28,0)</f>
        <v>45756.568055555559</v>
      </c>
      <c r="Q915" s="82">
        <v>45756.098611111112</v>
      </c>
      <c r="R915" s="82">
        <v>45756.587500000001</v>
      </c>
      <c r="S915" s="81">
        <f t="shared" si="231"/>
        <v>700.74074074097246</v>
      </c>
      <c r="T915" s="81">
        <f t="shared" si="235"/>
        <v>27.870370367357584</v>
      </c>
      <c r="U915" s="79"/>
      <c r="V915" s="82">
        <v>45756.75277777778</v>
      </c>
      <c r="W915" s="82">
        <v>45757.529861111114</v>
      </c>
      <c r="X915" s="103">
        <f t="shared" si="236"/>
        <v>1095.6875000013679</v>
      </c>
      <c r="Y915" s="82" t="s">
        <v>1046</v>
      </c>
      <c r="Z915" s="82">
        <v>45757.643750000003</v>
      </c>
      <c r="AA915" s="82">
        <f t="shared" si="242"/>
        <v>45757.672222222223</v>
      </c>
      <c r="AB915" s="81">
        <f t="shared" si="237"/>
        <v>40.145833330825553</v>
      </c>
      <c r="AC915" s="82"/>
      <c r="AD915" s="83">
        <f t="shared" si="228"/>
        <v>1.0562500000014552</v>
      </c>
      <c r="AE915" s="83">
        <f>VLOOKUP(H915,'LIST 2'!$A$1:$E$27,4,FALSE)</f>
        <v>2</v>
      </c>
      <c r="AF915" s="83">
        <f t="shared" si="229"/>
        <v>0.94374999999854481</v>
      </c>
      <c r="AG915" s="83">
        <f t="shared" si="230"/>
        <v>25.350000000034925</v>
      </c>
      <c r="AH915" s="83">
        <f t="shared" si="232"/>
        <v>12</v>
      </c>
      <c r="AI915" s="83">
        <f t="shared" si="233"/>
        <v>13.350000000034925</v>
      </c>
      <c r="AJ915" s="83">
        <f t="shared" si="238"/>
        <v>11.685393258396397</v>
      </c>
      <c r="AK915" s="83">
        <v>7.05</v>
      </c>
      <c r="AL915" s="83">
        <v>8.9</v>
      </c>
      <c r="AM915" s="83"/>
      <c r="AN915" s="83"/>
    </row>
    <row r="916" spans="1:40" ht="15" hidden="1" x14ac:dyDescent="0.25">
      <c r="A916" s="82">
        <v>45756</v>
      </c>
      <c r="B916" s="94" t="str">
        <f t="shared" si="225"/>
        <v>April</v>
      </c>
      <c r="C916" s="79" t="s">
        <v>2161</v>
      </c>
      <c r="D916" s="79" t="s">
        <v>1731</v>
      </c>
      <c r="E916" s="79"/>
      <c r="F916" s="79" t="s">
        <v>956</v>
      </c>
      <c r="G916" s="79" t="s">
        <v>973</v>
      </c>
      <c r="H916" s="79" t="s">
        <v>1990</v>
      </c>
      <c r="I916" s="79">
        <v>153.6</v>
      </c>
      <c r="J916" s="79" t="s">
        <v>1731</v>
      </c>
      <c r="K916" s="80" t="s">
        <v>469</v>
      </c>
      <c r="L916" s="79">
        <f>VLOOKUP(H916,Table2[#All],3,FALSE)</f>
        <v>810</v>
      </c>
      <c r="M916" s="80">
        <f>L916-3</f>
        <v>807</v>
      </c>
      <c r="N916" s="81">
        <f t="shared" si="227"/>
        <v>-3</v>
      </c>
      <c r="P916" s="82">
        <f>R916-TIME(0,26,0)</f>
        <v>45756.380555555552</v>
      </c>
      <c r="Q916" s="82">
        <v>45755.916666666664</v>
      </c>
      <c r="R916" s="82">
        <v>45756.398611111108</v>
      </c>
      <c r="S916" s="81">
        <f t="shared" si="231"/>
        <v>690.78703703611006</v>
      </c>
      <c r="T916" s="81">
        <f t="shared" si="235"/>
        <v>25.879629630556639</v>
      </c>
      <c r="U916" s="79"/>
      <c r="V916" s="82">
        <v>45757.635416666664</v>
      </c>
      <c r="W916" s="82">
        <v>45757.847222222219</v>
      </c>
      <c r="X916" s="103">
        <f t="shared" si="236"/>
        <v>298.64583333219343</v>
      </c>
      <c r="Y916" s="82" t="s">
        <v>1049</v>
      </c>
      <c r="Z916" s="82">
        <v>45759.768055555556</v>
      </c>
      <c r="AA916" s="82">
        <f>Z916+TIME(0,49,0)</f>
        <v>45759.802083333336</v>
      </c>
      <c r="AB916" s="81">
        <f t="shared" si="237"/>
        <v>47.979166669174447</v>
      </c>
      <c r="AC916" s="82" t="s">
        <v>549</v>
      </c>
      <c r="AD916" s="83">
        <f t="shared" si="228"/>
        <v>3.3694444444481633</v>
      </c>
      <c r="AE916" s="83">
        <f>VLOOKUP(H916,'LIST 2'!$A$1:$E$27,4,FALSE)</f>
        <v>3</v>
      </c>
      <c r="AF916" s="83">
        <f t="shared" si="229"/>
        <v>-0.36944444444816327</v>
      </c>
      <c r="AG916" s="83">
        <f t="shared" si="230"/>
        <v>80.866666666755918</v>
      </c>
      <c r="AH916" s="83">
        <f t="shared" si="232"/>
        <v>36</v>
      </c>
      <c r="AI916" s="83">
        <f t="shared" si="233"/>
        <v>44.866666666755918</v>
      </c>
      <c r="AJ916" s="83">
        <f t="shared" si="238"/>
        <v>3.4234769687896236</v>
      </c>
      <c r="AK916" s="83"/>
      <c r="AL916" s="83"/>
      <c r="AM916" s="83"/>
      <c r="AN916" s="83"/>
    </row>
    <row r="917" spans="1:40" ht="15" hidden="1" x14ac:dyDescent="0.25">
      <c r="A917" s="82">
        <v>45756</v>
      </c>
      <c r="B917" s="94" t="str">
        <f t="shared" si="225"/>
        <v>April</v>
      </c>
      <c r="C917" s="79" t="s">
        <v>2161</v>
      </c>
      <c r="D917" s="79" t="s">
        <v>1732</v>
      </c>
      <c r="E917" s="79"/>
      <c r="F917" s="79" t="s">
        <v>959</v>
      </c>
      <c r="G917" s="79" t="s">
        <v>976</v>
      </c>
      <c r="H917" t="s">
        <v>1956</v>
      </c>
      <c r="I917" s="79">
        <v>153.6</v>
      </c>
      <c r="J917" s="79" t="s">
        <v>1732</v>
      </c>
      <c r="K917" s="80" t="s">
        <v>469</v>
      </c>
      <c r="L917" s="79">
        <f>VLOOKUP(H917,Table2[#All],3,FALSE)</f>
        <v>596</v>
      </c>
      <c r="M917" s="80">
        <f>L917-3</f>
        <v>593</v>
      </c>
      <c r="N917" s="81">
        <f t="shared" si="227"/>
        <v>-3</v>
      </c>
      <c r="P917" s="82">
        <f>R917-TIME(0,50,0)</f>
        <v>45756.579861111117</v>
      </c>
      <c r="Q917" s="82">
        <v>45756.176388888889</v>
      </c>
      <c r="R917" s="82">
        <v>45756.614583333336</v>
      </c>
      <c r="S917" s="81">
        <f t="shared" si="231"/>
        <v>628.0787037069482</v>
      </c>
      <c r="T917" s="81">
        <f t="shared" si="235"/>
        <v>49.768518513883464</v>
      </c>
      <c r="U917" s="79" t="s">
        <v>562</v>
      </c>
      <c r="V917" s="82">
        <v>45757.453472222223</v>
      </c>
      <c r="W917" s="82">
        <v>45757.659722222219</v>
      </c>
      <c r="X917" s="103">
        <f t="shared" si="236"/>
        <v>290.81249999384454</v>
      </c>
      <c r="Y917" s="82" t="s">
        <v>1051</v>
      </c>
      <c r="Z917" s="82">
        <v>45758.542361111111</v>
      </c>
      <c r="AA917" s="82">
        <f>Z917+TIME(0,38,0)</f>
        <v>45758.568749999999</v>
      </c>
      <c r="AB917" s="81">
        <f t="shared" si="237"/>
        <v>37.208333331509493</v>
      </c>
      <c r="AC917" s="82"/>
      <c r="AD917" s="83">
        <f t="shared" si="228"/>
        <v>1.9277777777751908</v>
      </c>
      <c r="AE917" s="83">
        <f>VLOOKUP(H917,'LIST 2'!$A$1:$E$27,4,FALSE)</f>
        <v>2</v>
      </c>
      <c r="AF917" s="83">
        <f t="shared" si="229"/>
        <v>7.2222222224809229E-2</v>
      </c>
      <c r="AG917" s="83">
        <f t="shared" si="230"/>
        <v>46.266666666604578</v>
      </c>
      <c r="AH917" s="83">
        <f t="shared" si="232"/>
        <v>12</v>
      </c>
      <c r="AI917" s="83">
        <f t="shared" si="233"/>
        <v>34.266666666604578</v>
      </c>
      <c r="AJ917" s="83">
        <f t="shared" si="238"/>
        <v>4.4824902723816624</v>
      </c>
      <c r="AK917" s="83"/>
      <c r="AL917" s="83"/>
      <c r="AM917" s="83"/>
      <c r="AN917" s="83"/>
    </row>
    <row r="918" spans="1:40" ht="15" hidden="1" x14ac:dyDescent="0.25">
      <c r="A918" s="82">
        <v>45756</v>
      </c>
      <c r="B918" s="94" t="str">
        <f t="shared" si="225"/>
        <v>April</v>
      </c>
      <c r="C918" s="79" t="s">
        <v>2161</v>
      </c>
      <c r="D918" s="79" t="s">
        <v>1733</v>
      </c>
      <c r="E918" s="79"/>
      <c r="F918" s="79" t="s">
        <v>957</v>
      </c>
      <c r="G918" s="79" t="s">
        <v>974</v>
      </c>
      <c r="H918" s="79" t="s">
        <v>2022</v>
      </c>
      <c r="I918" s="79">
        <v>153.6</v>
      </c>
      <c r="J918" s="79" t="s">
        <v>1733</v>
      </c>
      <c r="K918" s="80" t="s">
        <v>469</v>
      </c>
      <c r="L918" s="79">
        <f>VLOOKUP(H918,Table2[#All],3,FALSE)</f>
        <v>150</v>
      </c>
      <c r="M918" s="80">
        <f>L918-2</f>
        <v>148</v>
      </c>
      <c r="N918" s="81">
        <f t="shared" si="227"/>
        <v>-2</v>
      </c>
      <c r="P918" s="82">
        <f>R918-TIME(0,42,0)</f>
        <v>45756.535416666666</v>
      </c>
      <c r="Q918" s="82">
        <v>45756.260416666664</v>
      </c>
      <c r="R918" s="82">
        <v>45756.564583333333</v>
      </c>
      <c r="S918" s="81">
        <f t="shared" si="231"/>
        <v>435.97222222500324</v>
      </c>
      <c r="T918" s="81">
        <f t="shared" si="235"/>
        <v>41.805555556250816</v>
      </c>
      <c r="U918" s="79" t="s">
        <v>2167</v>
      </c>
      <c r="V918" s="82">
        <v>45757.525694444441</v>
      </c>
      <c r="W918" s="82">
        <v>45757.617361111108</v>
      </c>
      <c r="X918" s="103">
        <f t="shared" si="236"/>
        <v>129.25000000068394</v>
      </c>
      <c r="Y918" s="82"/>
      <c r="Z918" s="82">
        <v>45757.682638888888</v>
      </c>
      <c r="AA918" s="82">
        <f>Z918+TIME(0,51,0)</f>
        <v>45757.718055555553</v>
      </c>
      <c r="AB918" s="81">
        <f t="shared" si="237"/>
        <v>49.93749999863212</v>
      </c>
      <c r="AC918" s="82" t="s">
        <v>2168</v>
      </c>
      <c r="AD918" s="83">
        <f t="shared" si="228"/>
        <v>1.1180555555547471</v>
      </c>
      <c r="AE918" s="83">
        <f>VLOOKUP(H918,'LIST 2'!$A$1:$E$27,4,FALSE)</f>
        <v>1</v>
      </c>
      <c r="AF918" s="83">
        <f t="shared" si="229"/>
        <v>-0.11805555555474712</v>
      </c>
      <c r="AG918" s="83">
        <f t="shared" si="230"/>
        <v>26.833333333313931</v>
      </c>
      <c r="AH918" s="83">
        <f t="shared" si="232"/>
        <v>12</v>
      </c>
      <c r="AI918" s="83">
        <f t="shared" si="233"/>
        <v>14.833333333313931</v>
      </c>
      <c r="AJ918" s="83">
        <f t="shared" si="238"/>
        <v>10.355056179788825</v>
      </c>
      <c r="AK918" s="83"/>
      <c r="AL918" s="83"/>
      <c r="AM918" s="83"/>
      <c r="AN918" s="83"/>
    </row>
    <row r="919" spans="1:40" ht="15" hidden="1" x14ac:dyDescent="0.25">
      <c r="A919" s="82">
        <v>45756</v>
      </c>
      <c r="B919" s="94" t="str">
        <f t="shared" si="225"/>
        <v>April</v>
      </c>
      <c r="C919" s="79" t="s">
        <v>2161</v>
      </c>
      <c r="D919" s="79" t="s">
        <v>1734</v>
      </c>
      <c r="E919" s="79"/>
      <c r="F919" s="79" t="s">
        <v>950</v>
      </c>
      <c r="G919" s="79" t="s">
        <v>967</v>
      </c>
      <c r="H919" s="79" t="s">
        <v>1989</v>
      </c>
      <c r="I919" s="79">
        <v>153.6</v>
      </c>
      <c r="J919" s="79" t="s">
        <v>1734</v>
      </c>
      <c r="K919" s="80" t="s">
        <v>469</v>
      </c>
      <c r="L919" s="79">
        <f>VLOOKUP(H919,Table2[#All],3,FALSE)</f>
        <v>20</v>
      </c>
      <c r="M919" s="80">
        <f t="shared" si="226"/>
        <v>19</v>
      </c>
      <c r="N919" s="81">
        <f t="shared" si="227"/>
        <v>-1</v>
      </c>
      <c r="P919" s="82">
        <f>R919-TIME(0,28,0)</f>
        <v>45756.380555555559</v>
      </c>
      <c r="Q919" s="82">
        <v>45756.260416666664</v>
      </c>
      <c r="R919" s="82">
        <v>45756.4</v>
      </c>
      <c r="S919" s="81">
        <f t="shared" si="231"/>
        <v>200.0694444500065</v>
      </c>
      <c r="T919" s="81">
        <f t="shared" si="235"/>
        <v>27.870370367357584</v>
      </c>
      <c r="U919" s="79"/>
      <c r="V919" s="82">
        <v>45755.430555555555</v>
      </c>
      <c r="W919" s="82">
        <v>45755.63958333333</v>
      </c>
      <c r="X919" s="103">
        <f t="shared" si="236"/>
        <v>294.72916666301899</v>
      </c>
      <c r="Y919" s="82" t="s">
        <v>1044</v>
      </c>
      <c r="Z919" s="82">
        <v>45756.834722222222</v>
      </c>
      <c r="AA919" s="82">
        <f>Z919+TIME(0,38,0)</f>
        <v>45756.861111111109</v>
      </c>
      <c r="AB919" s="81">
        <f t="shared" si="237"/>
        <v>37.208333331509493</v>
      </c>
      <c r="AC919" s="82"/>
      <c r="AD919" s="83">
        <f t="shared" si="228"/>
        <v>0.43472222222044365</v>
      </c>
      <c r="AE919" s="83">
        <f>VLOOKUP(H919,'LIST 2'!$A$1:$E$27,4,FALSE)</f>
        <v>1</v>
      </c>
      <c r="AF919" s="83">
        <f t="shared" si="229"/>
        <v>0.56527777777955635</v>
      </c>
      <c r="AG919" s="83">
        <f t="shared" si="230"/>
        <v>10.433333333290648</v>
      </c>
      <c r="AH919" s="83">
        <f t="shared" si="232"/>
        <v>0</v>
      </c>
      <c r="AI919" s="83">
        <f t="shared" si="233"/>
        <v>10.433333333290648</v>
      </c>
      <c r="AJ919" s="83">
        <f t="shared" si="238"/>
        <v>14.722044728494737</v>
      </c>
      <c r="AK919" s="83"/>
      <c r="AL919" s="83"/>
      <c r="AM919" s="83"/>
      <c r="AN919" s="83"/>
    </row>
    <row r="920" spans="1:40" ht="15" hidden="1" x14ac:dyDescent="0.25">
      <c r="A920" s="82">
        <v>45756</v>
      </c>
      <c r="B920" s="94" t="str">
        <f t="shared" si="225"/>
        <v>April</v>
      </c>
      <c r="C920" s="79" t="s">
        <v>2161</v>
      </c>
      <c r="D920" s="79" t="s">
        <v>1735</v>
      </c>
      <c r="E920" s="79"/>
      <c r="F920" s="79" t="s">
        <v>951</v>
      </c>
      <c r="G920" s="79" t="s">
        <v>968</v>
      </c>
      <c r="H920" s="79" t="s">
        <v>1989</v>
      </c>
      <c r="I920" s="79">
        <v>153.6</v>
      </c>
      <c r="J920" s="79" t="s">
        <v>1735</v>
      </c>
      <c r="K920" s="80" t="s">
        <v>469</v>
      </c>
      <c r="L920" s="79">
        <f>VLOOKUP(H920,Table2[#All],3,FALSE)</f>
        <v>20</v>
      </c>
      <c r="M920" s="80">
        <f t="shared" si="226"/>
        <v>19</v>
      </c>
      <c r="N920" s="81">
        <f t="shared" si="227"/>
        <v>-1</v>
      </c>
      <c r="P920" s="82">
        <f t="shared" ref="P920:P921" si="243">R920-TIME(0,26,0)</f>
        <v>45756.402083333334</v>
      </c>
      <c r="Q920" s="82">
        <v>45756.320833333331</v>
      </c>
      <c r="R920" s="82">
        <v>45756.420138888891</v>
      </c>
      <c r="S920" s="81">
        <f t="shared" si="231"/>
        <v>142.33796296806153</v>
      </c>
      <c r="T920" s="81">
        <f t="shared" si="235"/>
        <v>25.879629630556639</v>
      </c>
      <c r="U920" s="79"/>
      <c r="V920" s="82">
        <v>45756.454861111109</v>
      </c>
      <c r="W920" s="82">
        <v>45756.666666666664</v>
      </c>
      <c r="X920" s="103">
        <f t="shared" si="236"/>
        <v>298.64583333219343</v>
      </c>
      <c r="Y920" s="82" t="s">
        <v>1044</v>
      </c>
      <c r="Z920" s="82">
        <v>45756.709027777775</v>
      </c>
      <c r="AA920" s="82">
        <f>Z920+TIME(0,52,0)</f>
        <v>45756.745138888888</v>
      </c>
      <c r="AB920" s="81">
        <f t="shared" si="237"/>
        <v>50.916666668490507</v>
      </c>
      <c r="AC920" s="82" t="s">
        <v>1673</v>
      </c>
      <c r="AD920" s="83">
        <f t="shared" si="228"/>
        <v>0.288888888884685</v>
      </c>
      <c r="AE920" s="83">
        <f>VLOOKUP(H920,'LIST 2'!$A$1:$E$27,4,FALSE)</f>
        <v>1</v>
      </c>
      <c r="AF920" s="83">
        <f t="shared" si="229"/>
        <v>0.711111111115315</v>
      </c>
      <c r="AG920" s="83">
        <f t="shared" si="230"/>
        <v>6.9333333332324401</v>
      </c>
      <c r="AH920" s="83">
        <f t="shared" si="232"/>
        <v>0</v>
      </c>
      <c r="AI920" s="83">
        <f t="shared" si="233"/>
        <v>6.9333333332324401</v>
      </c>
      <c r="AJ920" s="83">
        <f t="shared" si="238"/>
        <v>22.153846154168534</v>
      </c>
      <c r="AK920" s="83"/>
      <c r="AL920" s="83"/>
      <c r="AM920" s="83"/>
      <c r="AN920" s="83"/>
    </row>
    <row r="921" spans="1:40" ht="15" hidden="1" x14ac:dyDescent="0.25">
      <c r="A921" s="82">
        <v>45756</v>
      </c>
      <c r="B921" s="94" t="str">
        <f t="shared" si="225"/>
        <v>April</v>
      </c>
      <c r="C921" s="79" t="s">
        <v>2161</v>
      </c>
      <c r="D921" s="79" t="s">
        <v>1736</v>
      </c>
      <c r="E921" s="79"/>
      <c r="F921" s="79" t="s">
        <v>965</v>
      </c>
      <c r="G921" s="79" t="s">
        <v>980</v>
      </c>
      <c r="H921" t="s">
        <v>1956</v>
      </c>
      <c r="I921" s="79">
        <v>153.6</v>
      </c>
      <c r="J921" s="79" t="s">
        <v>1736</v>
      </c>
      <c r="K921" s="80" t="s">
        <v>469</v>
      </c>
      <c r="L921" s="79">
        <f>VLOOKUP(H921,Table2[#All],3,FALSE)</f>
        <v>596</v>
      </c>
      <c r="M921" s="80">
        <f t="shared" si="226"/>
        <v>595</v>
      </c>
      <c r="N921" s="81">
        <f t="shared" si="227"/>
        <v>-1</v>
      </c>
      <c r="P921" s="82">
        <f t="shared" si="243"/>
        <v>45755.855555555558</v>
      </c>
      <c r="Q921" s="82">
        <v>45756.176388888889</v>
      </c>
      <c r="R921" s="82">
        <v>45755.873611111114</v>
      </c>
      <c r="S921" s="81">
        <f t="shared" si="231"/>
        <v>-433.98148147777346</v>
      </c>
      <c r="T921" s="81">
        <f t="shared" si="235"/>
        <v>25.879629630556639</v>
      </c>
      <c r="U921" s="79"/>
      <c r="V921" s="82">
        <v>45756.427777777775</v>
      </c>
      <c r="W921" s="82">
        <v>45756.757638888892</v>
      </c>
      <c r="X921" s="103">
        <f t="shared" si="236"/>
        <v>465.10416667464597</v>
      </c>
      <c r="Y921" s="82" t="s">
        <v>1047</v>
      </c>
      <c r="Z921" s="82">
        <v>45757.522222222222</v>
      </c>
      <c r="AA921" s="82">
        <f>Z921+TIME(0,52,0)</f>
        <v>45757.558333333334</v>
      </c>
      <c r="AB921" s="81">
        <f t="shared" si="237"/>
        <v>50.916666668490507</v>
      </c>
      <c r="AC921" s="82" t="s">
        <v>1676</v>
      </c>
      <c r="AD921" s="83">
        <f t="shared" si="228"/>
        <v>1.648611111108039</v>
      </c>
      <c r="AE921" s="83">
        <f>VLOOKUP(H921,'LIST 2'!$A$1:$E$27,4,FALSE)</f>
        <v>2</v>
      </c>
      <c r="AF921" s="83">
        <f t="shared" si="229"/>
        <v>0.35138888889196096</v>
      </c>
      <c r="AG921" s="83">
        <f t="shared" si="230"/>
        <v>39.566666666592937</v>
      </c>
      <c r="AH921" s="83">
        <f t="shared" si="232"/>
        <v>12</v>
      </c>
      <c r="AI921" s="83">
        <f t="shared" si="233"/>
        <v>27.566666666592937</v>
      </c>
      <c r="AJ921" s="83">
        <f t="shared" si="238"/>
        <v>5.5719467956618187</v>
      </c>
      <c r="AK921" s="83"/>
      <c r="AL921" s="83"/>
      <c r="AM921" s="83"/>
      <c r="AN921" s="83"/>
    </row>
    <row r="922" spans="1:40" ht="15" hidden="1" x14ac:dyDescent="0.25">
      <c r="A922" s="82">
        <v>45756</v>
      </c>
      <c r="B922" s="94" t="str">
        <f t="shared" si="225"/>
        <v>April</v>
      </c>
      <c r="C922" s="79" t="s">
        <v>2161</v>
      </c>
      <c r="D922" s="79" t="s">
        <v>1737</v>
      </c>
      <c r="E922" s="79"/>
      <c r="F922" s="79" t="s">
        <v>955</v>
      </c>
      <c r="G922" s="79" t="s">
        <v>972</v>
      </c>
      <c r="H922" t="s">
        <v>1956</v>
      </c>
      <c r="I922" s="79">
        <v>153.6</v>
      </c>
      <c r="J922" s="79" t="s">
        <v>1737</v>
      </c>
      <c r="K922" s="80" t="s">
        <v>469</v>
      </c>
      <c r="L922" s="79">
        <f>VLOOKUP(H922,Table2[#All],3,FALSE)</f>
        <v>596</v>
      </c>
      <c r="M922" s="80">
        <f t="shared" si="226"/>
        <v>595</v>
      </c>
      <c r="N922" s="81">
        <f t="shared" si="227"/>
        <v>-1</v>
      </c>
      <c r="P922" s="82">
        <f>R922-TIME(0,54,0)</f>
        <v>45755.821527777778</v>
      </c>
      <c r="Q922" s="82">
        <v>45756.176388888889</v>
      </c>
      <c r="R922" s="82">
        <v>45755.859027777777</v>
      </c>
      <c r="S922" s="81">
        <f t="shared" si="231"/>
        <v>-454.8842592611133</v>
      </c>
      <c r="T922" s="81">
        <f t="shared" si="235"/>
        <v>53.749999997914223</v>
      </c>
      <c r="U922" s="79" t="s">
        <v>2166</v>
      </c>
      <c r="V922" s="82">
        <v>45756.368750000001</v>
      </c>
      <c r="W922" s="82">
        <v>45756.627083333333</v>
      </c>
      <c r="X922" s="103">
        <f t="shared" si="236"/>
        <v>364.24999999726424</v>
      </c>
      <c r="Y922" s="82" t="s">
        <v>1049</v>
      </c>
      <c r="Z922" s="82">
        <v>45757.416666666664</v>
      </c>
      <c r="AA922" s="82">
        <f>Z922+TIME(0,38,0)</f>
        <v>45757.443055555552</v>
      </c>
      <c r="AB922" s="81">
        <f t="shared" si="237"/>
        <v>37.208333331509493</v>
      </c>
      <c r="AC922" s="82"/>
      <c r="AD922" s="83">
        <f t="shared" si="228"/>
        <v>1.5576388888875954</v>
      </c>
      <c r="AE922" s="83">
        <f>VLOOKUP(H922,'LIST 2'!$A$1:$E$27,4,FALSE)</f>
        <v>2</v>
      </c>
      <c r="AF922" s="83">
        <f t="shared" si="229"/>
        <v>0.44236111111240461</v>
      </c>
      <c r="AG922" s="83">
        <f t="shared" si="230"/>
        <v>37.383333333302289</v>
      </c>
      <c r="AH922" s="83">
        <f t="shared" si="232"/>
        <v>12</v>
      </c>
      <c r="AI922" s="83">
        <f t="shared" si="233"/>
        <v>25.383333333302289</v>
      </c>
      <c r="AJ922" s="83">
        <f t="shared" si="238"/>
        <v>6.0512147078209262</v>
      </c>
      <c r="AK922" s="83"/>
      <c r="AL922" s="83"/>
      <c r="AM922" s="83"/>
      <c r="AN922" s="83"/>
    </row>
    <row r="923" spans="1:40" ht="15" hidden="1" x14ac:dyDescent="0.25">
      <c r="A923" s="82">
        <v>45757</v>
      </c>
      <c r="B923" s="94" t="str">
        <f t="shared" si="225"/>
        <v>April</v>
      </c>
      <c r="C923" s="79" t="s">
        <v>2161</v>
      </c>
      <c r="D923" s="79" t="s">
        <v>1738</v>
      </c>
      <c r="E923" s="79"/>
      <c r="F923" s="79" t="s">
        <v>1689</v>
      </c>
      <c r="G923" s="79" t="s">
        <v>1262</v>
      </c>
      <c r="H923" s="79" t="s">
        <v>1990</v>
      </c>
      <c r="I923" s="79">
        <v>153.6</v>
      </c>
      <c r="J923" s="79" t="s">
        <v>1738</v>
      </c>
      <c r="K923" s="80" t="s">
        <v>469</v>
      </c>
      <c r="L923" s="79">
        <f>VLOOKUP(H923,Table2[#All],3,FALSE)</f>
        <v>810</v>
      </c>
      <c r="M923" s="80">
        <f t="shared" si="226"/>
        <v>809</v>
      </c>
      <c r="N923" s="81">
        <f t="shared" si="227"/>
        <v>-1</v>
      </c>
      <c r="P923" s="82">
        <f>R923-TIME(0,28,0)</f>
        <v>45758.272916666669</v>
      </c>
      <c r="Q923" s="82">
        <v>45757.694444444445</v>
      </c>
      <c r="R923" s="82">
        <v>45758.292361111111</v>
      </c>
      <c r="S923" s="81">
        <f t="shared" si="231"/>
        <v>857.01388888749841</v>
      </c>
      <c r="T923" s="81">
        <f t="shared" si="235"/>
        <v>27.870370367357584</v>
      </c>
      <c r="U923" s="79"/>
      <c r="V923" s="82">
        <v>45758.794444444444</v>
      </c>
      <c r="W923" s="82">
        <v>45759.587500000001</v>
      </c>
      <c r="X923" s="103">
        <f t="shared" si="236"/>
        <v>1118.2083333362971</v>
      </c>
      <c r="Y923" s="82" t="s">
        <v>1044</v>
      </c>
      <c r="Z923" s="82">
        <v>45760.597222222219</v>
      </c>
      <c r="AA923" s="82">
        <f>Z923+TIME(0,38,0)</f>
        <v>45760.623611111107</v>
      </c>
      <c r="AB923" s="81">
        <f t="shared" si="237"/>
        <v>37.208333331509493</v>
      </c>
      <c r="AC923" s="82"/>
      <c r="AD923" s="83">
        <f t="shared" si="228"/>
        <v>2.304861111108039</v>
      </c>
      <c r="AE923" s="83">
        <f>VLOOKUP(H923,'LIST 2'!$A$1:$E$27,4,FALSE)</f>
        <v>3</v>
      </c>
      <c r="AF923" s="83">
        <f t="shared" si="229"/>
        <v>0.69513888889196096</v>
      </c>
      <c r="AG923" s="83">
        <f t="shared" si="230"/>
        <v>55.316666666592937</v>
      </c>
      <c r="AH923" s="83">
        <f t="shared" si="232"/>
        <v>24</v>
      </c>
      <c r="AI923" s="83">
        <f t="shared" si="233"/>
        <v>31.316666666592937</v>
      </c>
      <c r="AJ923" s="83">
        <f t="shared" si="238"/>
        <v>4.9047365620126113</v>
      </c>
      <c r="AK923" s="83">
        <v>10.54</v>
      </c>
      <c r="AL923" s="83">
        <v>11.59</v>
      </c>
      <c r="AM923" s="83">
        <v>10.23</v>
      </c>
      <c r="AN923" s="83"/>
    </row>
    <row r="924" spans="1:40" ht="15" hidden="1" x14ac:dyDescent="0.25">
      <c r="A924" s="82">
        <v>45757</v>
      </c>
      <c r="B924" s="94" t="str">
        <f t="shared" si="225"/>
        <v>April</v>
      </c>
      <c r="C924" s="79" t="s">
        <v>2161</v>
      </c>
      <c r="D924" s="79" t="s">
        <v>1739</v>
      </c>
      <c r="E924" s="79"/>
      <c r="F924" s="79" t="s">
        <v>953</v>
      </c>
      <c r="G924" s="79" t="s">
        <v>970</v>
      </c>
      <c r="H924" s="79" t="s">
        <v>1989</v>
      </c>
      <c r="I924" s="79">
        <v>153.6</v>
      </c>
      <c r="J924" s="79" t="s">
        <v>1739</v>
      </c>
      <c r="K924" s="80" t="s">
        <v>469</v>
      </c>
      <c r="L924" s="79">
        <f>VLOOKUP(H924,Table2[#All],3,FALSE)</f>
        <v>20</v>
      </c>
      <c r="M924" s="80">
        <f t="shared" si="226"/>
        <v>19</v>
      </c>
      <c r="N924" s="81">
        <f t="shared" si="227"/>
        <v>-1</v>
      </c>
      <c r="P924" s="82">
        <f t="shared" ref="P924:P925" si="244">R924-TIME(0,26,0)</f>
        <v>45757.592361111114</v>
      </c>
      <c r="Q924" s="82">
        <v>45757.333333333336</v>
      </c>
      <c r="R924" s="82">
        <v>45757.61041666667</v>
      </c>
      <c r="S924" s="81">
        <f t="shared" si="231"/>
        <v>397.15277777916828</v>
      </c>
      <c r="T924" s="81">
        <f t="shared" si="235"/>
        <v>25.879629630556639</v>
      </c>
      <c r="U924" s="79"/>
      <c r="V924" s="82">
        <v>45757.799305555556</v>
      </c>
      <c r="W924" s="82">
        <v>45758.611805555556</v>
      </c>
      <c r="X924" s="103">
        <f t="shared" si="236"/>
        <v>1145.625</v>
      </c>
      <c r="Y924" s="82" t="s">
        <v>1044</v>
      </c>
      <c r="Z924" s="82">
        <v>45758.814583333333</v>
      </c>
      <c r="AA924" s="82">
        <f>Z924+TIME(0,40,0)</f>
        <v>45758.842361111114</v>
      </c>
      <c r="AB924" s="81">
        <f t="shared" si="237"/>
        <v>39.166666671226267</v>
      </c>
      <c r="AC924" s="82"/>
      <c r="AD924" s="83">
        <f t="shared" si="228"/>
        <v>1.2041666666627862</v>
      </c>
      <c r="AE924" s="83">
        <f>VLOOKUP(H924,'LIST 2'!$A$1:$E$27,4,FALSE)</f>
        <v>1</v>
      </c>
      <c r="AF924" s="83">
        <f t="shared" si="229"/>
        <v>-0.20416666666278616</v>
      </c>
      <c r="AG924" s="83">
        <f t="shared" si="230"/>
        <v>28.899999999906868</v>
      </c>
      <c r="AH924" s="83">
        <f t="shared" si="232"/>
        <v>12</v>
      </c>
      <c r="AI924" s="83">
        <f t="shared" si="233"/>
        <v>16.899999999906868</v>
      </c>
      <c r="AJ924" s="83">
        <f t="shared" si="238"/>
        <v>9.0887573964997905</v>
      </c>
      <c r="AK924" s="83"/>
      <c r="AL924" s="83"/>
      <c r="AM924" s="83"/>
      <c r="AN924" s="83"/>
    </row>
    <row r="925" spans="1:40" ht="15" hidden="1" x14ac:dyDescent="0.25">
      <c r="A925" s="82">
        <v>45757</v>
      </c>
      <c r="B925" s="94" t="str">
        <f t="shared" si="225"/>
        <v>April</v>
      </c>
      <c r="C925" s="79" t="s">
        <v>2161</v>
      </c>
      <c r="D925" s="79" t="s">
        <v>1740</v>
      </c>
      <c r="E925" s="79"/>
      <c r="F925" s="79" t="s">
        <v>958</v>
      </c>
      <c r="G925" s="79" t="s">
        <v>975</v>
      </c>
      <c r="H925" s="79" t="s">
        <v>1959</v>
      </c>
      <c r="I925" s="79">
        <v>156</v>
      </c>
      <c r="J925" s="79" t="s">
        <v>1740</v>
      </c>
      <c r="K925" s="80" t="s">
        <v>469</v>
      </c>
      <c r="L925" s="79">
        <f>VLOOKUP(H925,Table2[#All],3,FALSE)</f>
        <v>304</v>
      </c>
      <c r="M925" s="80">
        <f>L925-2</f>
        <v>302</v>
      </c>
      <c r="N925" s="81">
        <f t="shared" si="227"/>
        <v>-2</v>
      </c>
      <c r="P925" s="82">
        <f t="shared" si="244"/>
        <v>45757.504861111112</v>
      </c>
      <c r="Q925" s="82">
        <v>45757.333333333336</v>
      </c>
      <c r="R925" s="82">
        <v>45757.522916666669</v>
      </c>
      <c r="S925" s="81">
        <f t="shared" si="231"/>
        <v>271.73611111041583</v>
      </c>
      <c r="T925" s="81">
        <f t="shared" si="235"/>
        <v>25.879629630556639</v>
      </c>
      <c r="U925" s="79"/>
      <c r="V925" s="82">
        <v>45758.334027777775</v>
      </c>
      <c r="W925" s="82">
        <v>45758.518055555556</v>
      </c>
      <c r="X925" s="103">
        <f t="shared" si="236"/>
        <v>259.47916667122627</v>
      </c>
      <c r="Y925" s="82" t="s">
        <v>1046</v>
      </c>
      <c r="Z925" s="82">
        <v>45758.720138888886</v>
      </c>
      <c r="AA925" s="82">
        <f>Z925+TIME(0,49,0)</f>
        <v>45758.754166666666</v>
      </c>
      <c r="AB925" s="81">
        <f t="shared" si="237"/>
        <v>47.979166669174447</v>
      </c>
      <c r="AC925" s="82" t="s">
        <v>1674</v>
      </c>
      <c r="AD925" s="83">
        <f t="shared" si="228"/>
        <v>1.1972222222175333</v>
      </c>
      <c r="AE925" s="83">
        <f>VLOOKUP(H925,'LIST 2'!$A$1:$E$27,4,FALSE)</f>
        <v>2</v>
      </c>
      <c r="AF925" s="83">
        <f t="shared" si="229"/>
        <v>0.80277777778246673</v>
      </c>
      <c r="AG925" s="83">
        <f t="shared" si="230"/>
        <v>28.733333333220799</v>
      </c>
      <c r="AH925" s="83">
        <f t="shared" si="232"/>
        <v>12</v>
      </c>
      <c r="AI925" s="83">
        <f t="shared" si="233"/>
        <v>16.733333333220799</v>
      </c>
      <c r="AJ925" s="83">
        <f t="shared" si="238"/>
        <v>9.3227091634093107</v>
      </c>
      <c r="AK925" s="83"/>
      <c r="AL925" s="83"/>
      <c r="AM925" s="83"/>
      <c r="AN925" s="83"/>
    </row>
    <row r="926" spans="1:40" ht="15" hidden="1" x14ac:dyDescent="0.25">
      <c r="A926" s="82">
        <v>45757</v>
      </c>
      <c r="B926" s="94" t="str">
        <f t="shared" si="225"/>
        <v>April</v>
      </c>
      <c r="C926" s="79" t="s">
        <v>2161</v>
      </c>
      <c r="D926" s="79" t="s">
        <v>1741</v>
      </c>
      <c r="E926" s="79"/>
      <c r="F926" s="79" t="s">
        <v>952</v>
      </c>
      <c r="G926" s="79" t="s">
        <v>969</v>
      </c>
      <c r="H926" t="s">
        <v>1956</v>
      </c>
      <c r="I926" s="79">
        <v>153.6</v>
      </c>
      <c r="J926" s="79" t="s">
        <v>1741</v>
      </c>
      <c r="K926" s="80" t="s">
        <v>469</v>
      </c>
      <c r="L926" s="79">
        <f>VLOOKUP(H926,Table2[#All],3,FALSE)</f>
        <v>596</v>
      </c>
      <c r="M926" s="80">
        <f t="shared" si="226"/>
        <v>595</v>
      </c>
      <c r="N926" s="81">
        <f t="shared" si="227"/>
        <v>-1</v>
      </c>
      <c r="P926" s="82">
        <f>R926-TIME(0,28,0)</f>
        <v>45756.904861111114</v>
      </c>
      <c r="Q926" s="82">
        <v>45757.375</v>
      </c>
      <c r="R926" s="82">
        <v>45756.924305555556</v>
      </c>
      <c r="S926" s="81">
        <f t="shared" si="231"/>
        <v>-645.99537036944332</v>
      </c>
      <c r="T926" s="81">
        <f t="shared" si="235"/>
        <v>27.870370367357584</v>
      </c>
      <c r="U926" s="79"/>
      <c r="V926" s="82">
        <v>45757.598611111112</v>
      </c>
      <c r="W926" s="82">
        <v>45757.686111111114</v>
      </c>
      <c r="X926" s="103">
        <f t="shared" si="236"/>
        <v>123.37500000205182</v>
      </c>
      <c r="Y926" s="82"/>
      <c r="Z926" s="82">
        <v>45758.495138888888</v>
      </c>
      <c r="AA926" s="82">
        <f>Z926+TIME(0,50,0)</f>
        <v>45758.529861111107</v>
      </c>
      <c r="AB926" s="81">
        <f t="shared" si="237"/>
        <v>48.958333328773733</v>
      </c>
      <c r="AC926" s="82" t="s">
        <v>2168</v>
      </c>
      <c r="AD926" s="83">
        <f t="shared" si="228"/>
        <v>1.5708333333313931</v>
      </c>
      <c r="AE926" s="83">
        <f>VLOOKUP(H926,'LIST 2'!$A$1:$E$27,4,FALSE)</f>
        <v>2</v>
      </c>
      <c r="AF926" s="83">
        <f t="shared" si="229"/>
        <v>0.42916666666860692</v>
      </c>
      <c r="AG926" s="83">
        <f t="shared" si="230"/>
        <v>37.699999999953434</v>
      </c>
      <c r="AH926" s="83">
        <f t="shared" si="232"/>
        <v>12</v>
      </c>
      <c r="AI926" s="83">
        <f t="shared" si="233"/>
        <v>25.699999999953434</v>
      </c>
      <c r="AJ926" s="83">
        <f t="shared" si="238"/>
        <v>5.9766536965088832</v>
      </c>
      <c r="AK926" s="83"/>
      <c r="AL926" s="83"/>
      <c r="AM926" s="83"/>
      <c r="AN926" s="83"/>
    </row>
    <row r="927" spans="1:40" ht="15" hidden="1" x14ac:dyDescent="0.25">
      <c r="A927" s="82">
        <v>45757</v>
      </c>
      <c r="B927" s="94" t="str">
        <f t="shared" si="225"/>
        <v>April</v>
      </c>
      <c r="C927" s="79" t="s">
        <v>2161</v>
      </c>
      <c r="D927" s="79" t="s">
        <v>1742</v>
      </c>
      <c r="E927" s="79"/>
      <c r="F927" s="79" t="s">
        <v>966</v>
      </c>
      <c r="G927" s="79" t="s">
        <v>981</v>
      </c>
      <c r="H927" s="79" t="s">
        <v>1959</v>
      </c>
      <c r="I927" s="79">
        <v>156</v>
      </c>
      <c r="J927" s="79" t="s">
        <v>1742</v>
      </c>
      <c r="K927" s="80" t="s">
        <v>469</v>
      </c>
      <c r="L927" s="79">
        <f>VLOOKUP(H927,Table2[#All],3,FALSE)</f>
        <v>304</v>
      </c>
      <c r="M927" s="80">
        <f t="shared" si="226"/>
        <v>303</v>
      </c>
      <c r="N927" s="81">
        <f t="shared" si="227"/>
        <v>-1</v>
      </c>
      <c r="P927" s="82">
        <f t="shared" ref="P927:P928" si="245">R927-TIME(0,26,0)</f>
        <v>45756.791666666664</v>
      </c>
      <c r="Q927" s="82">
        <v>45757.333333333336</v>
      </c>
      <c r="R927" s="82">
        <v>45756.80972222222</v>
      </c>
      <c r="S927" s="81">
        <f t="shared" si="231"/>
        <v>-750.50925926528487</v>
      </c>
      <c r="T927" s="81">
        <f t="shared" si="235"/>
        <v>25.879629630556639</v>
      </c>
      <c r="U927" s="79"/>
      <c r="V927" s="82">
        <v>45757.401388888888</v>
      </c>
      <c r="W927" s="82">
        <v>45757.736805555556</v>
      </c>
      <c r="X927" s="103">
        <f t="shared" si="236"/>
        <v>472.93750000273576</v>
      </c>
      <c r="Y927" s="82" t="s">
        <v>1050</v>
      </c>
      <c r="Z927" s="82">
        <v>45757.825694444444</v>
      </c>
      <c r="AA927" s="82">
        <f>Z927+TIME(0,50,0)</f>
        <v>45757.860416666663</v>
      </c>
      <c r="AB927" s="81">
        <f t="shared" si="237"/>
        <v>48.958333328773733</v>
      </c>
      <c r="AC927" s="82" t="s">
        <v>1678</v>
      </c>
      <c r="AD927" s="83">
        <f t="shared" si="228"/>
        <v>1.015972222223354</v>
      </c>
      <c r="AE927" s="83">
        <f>VLOOKUP(H927,'LIST 2'!$A$1:$E$27,4,FALSE)</f>
        <v>2</v>
      </c>
      <c r="AF927" s="83">
        <f t="shared" si="229"/>
        <v>0.98402777777664596</v>
      </c>
      <c r="AG927" s="83">
        <f t="shared" si="230"/>
        <v>24.383333333360497</v>
      </c>
      <c r="AH927" s="83">
        <f t="shared" si="232"/>
        <v>12</v>
      </c>
      <c r="AI927" s="83">
        <f t="shared" si="233"/>
        <v>12.383333333360497</v>
      </c>
      <c r="AJ927" s="83">
        <f t="shared" si="238"/>
        <v>12.597577388936028</v>
      </c>
      <c r="AK927" s="83"/>
      <c r="AL927" s="83"/>
      <c r="AM927" s="83"/>
      <c r="AN927" s="83"/>
    </row>
    <row r="928" spans="1:40" ht="15" hidden="1" x14ac:dyDescent="0.25">
      <c r="A928" s="82">
        <v>45757</v>
      </c>
      <c r="B928" s="94" t="str">
        <f t="shared" si="225"/>
        <v>April</v>
      </c>
      <c r="C928" s="79" t="s">
        <v>2161</v>
      </c>
      <c r="D928" s="79" t="s">
        <v>1743</v>
      </c>
      <c r="E928" s="79"/>
      <c r="F928" s="79" t="s">
        <v>962</v>
      </c>
      <c r="G928" s="79" t="s">
        <v>978</v>
      </c>
      <c r="H928" t="s">
        <v>1956</v>
      </c>
      <c r="I928" s="79">
        <v>153.6</v>
      </c>
      <c r="J928" s="79" t="s">
        <v>1743</v>
      </c>
      <c r="K928" s="80" t="s">
        <v>469</v>
      </c>
      <c r="L928" s="79">
        <f>VLOOKUP(H928,Table2[#All],3,FALSE)</f>
        <v>596</v>
      </c>
      <c r="M928" s="80">
        <f t="shared" si="226"/>
        <v>595</v>
      </c>
      <c r="N928" s="81">
        <f t="shared" si="227"/>
        <v>-1</v>
      </c>
      <c r="P928" s="82">
        <f t="shared" si="245"/>
        <v>45756.814583333333</v>
      </c>
      <c r="Q928" s="82">
        <v>45757.375</v>
      </c>
      <c r="R928" s="82">
        <v>45756.832638888889</v>
      </c>
      <c r="S928" s="81">
        <f t="shared" si="231"/>
        <v>-777.38425925902754</v>
      </c>
      <c r="T928" s="81">
        <f t="shared" si="235"/>
        <v>25.879629630556639</v>
      </c>
      <c r="U928" s="79"/>
      <c r="V928" s="82">
        <v>45757.40347222222</v>
      </c>
      <c r="W928" s="82">
        <v>45757.527083333334</v>
      </c>
      <c r="X928" s="103">
        <f t="shared" si="236"/>
        <v>174.29166667054233</v>
      </c>
      <c r="Y928" s="82"/>
      <c r="Z928" s="82">
        <v>45757.796527777777</v>
      </c>
      <c r="AA928" s="82">
        <f>Z928+TIME(0,40,0)</f>
        <v>45757.824305555558</v>
      </c>
      <c r="AB928" s="81">
        <f t="shared" si="237"/>
        <v>39.166666671226267</v>
      </c>
      <c r="AC928" s="82"/>
      <c r="AD928" s="83">
        <f t="shared" si="228"/>
        <v>0.96388888888759539</v>
      </c>
      <c r="AE928" s="83">
        <f>VLOOKUP(H928,'LIST 2'!$A$1:$E$27,4,FALSE)</f>
        <v>2</v>
      </c>
      <c r="AF928" s="83">
        <f t="shared" si="229"/>
        <v>1.0361111111124046</v>
      </c>
      <c r="AG928" s="83">
        <f t="shared" si="230"/>
        <v>23.133333333302289</v>
      </c>
      <c r="AH928" s="83">
        <f t="shared" si="232"/>
        <v>0</v>
      </c>
      <c r="AI928" s="83">
        <f t="shared" si="233"/>
        <v>23.133333333302289</v>
      </c>
      <c r="AJ928" s="83">
        <f t="shared" si="238"/>
        <v>6.639769452458478</v>
      </c>
      <c r="AK928" s="83"/>
      <c r="AL928" s="83"/>
      <c r="AM928" s="83"/>
      <c r="AN928" s="83"/>
    </row>
    <row r="929" spans="1:40" ht="15" hidden="1" x14ac:dyDescent="0.25">
      <c r="A929" s="82">
        <v>45758</v>
      </c>
      <c r="B929" s="94" t="str">
        <f t="shared" si="225"/>
        <v>April</v>
      </c>
      <c r="C929" s="79" t="s">
        <v>2161</v>
      </c>
      <c r="D929" s="79" t="s">
        <v>1744</v>
      </c>
      <c r="E929" s="79"/>
      <c r="F929" s="79" t="s">
        <v>959</v>
      </c>
      <c r="G929" s="79" t="s">
        <v>976</v>
      </c>
      <c r="H929" s="79" t="s">
        <v>2194</v>
      </c>
      <c r="I929" s="79">
        <v>156</v>
      </c>
      <c r="J929" s="79" t="s">
        <v>1744</v>
      </c>
      <c r="K929" s="80" t="s">
        <v>469</v>
      </c>
      <c r="L929" s="79">
        <f>VLOOKUP(H929,Table2[#All],3,FALSE)</f>
        <v>620</v>
      </c>
      <c r="M929" s="80">
        <f>L929-3</f>
        <v>617</v>
      </c>
      <c r="N929" s="81">
        <f t="shared" si="227"/>
        <v>-3</v>
      </c>
      <c r="P929" s="82">
        <f>R929-TIME(0,28,0)</f>
        <v>45758.757638888892</v>
      </c>
      <c r="Q929" s="82">
        <v>45758.082638888889</v>
      </c>
      <c r="R929" s="82">
        <v>45758.777083333334</v>
      </c>
      <c r="S929" s="81">
        <f t="shared" si="231"/>
        <v>995.37037037152913</v>
      </c>
      <c r="T929" s="81">
        <f t="shared" si="235"/>
        <v>27.870370367357584</v>
      </c>
      <c r="U929" s="79"/>
      <c r="V929" s="82">
        <v>45760.356249999997</v>
      </c>
      <c r="W929" s="82">
        <v>45760.525000000001</v>
      </c>
      <c r="X929" s="103">
        <f t="shared" si="236"/>
        <v>237.93750000615546</v>
      </c>
      <c r="Y929" s="82" t="s">
        <v>1044</v>
      </c>
      <c r="Z929" s="82">
        <v>45762.39166666667</v>
      </c>
      <c r="AA929" s="82">
        <f>Z929+TIME(0,52,0)</f>
        <v>45762.427777777782</v>
      </c>
      <c r="AB929" s="81">
        <f t="shared" si="237"/>
        <v>50.916666668490507</v>
      </c>
      <c r="AC929" s="82" t="s">
        <v>1676</v>
      </c>
      <c r="AD929" s="83">
        <f t="shared" si="228"/>
        <v>3.6145833333357587</v>
      </c>
      <c r="AE929" s="83">
        <f>VLOOKUP(H929,'LIST 2'!$A$1:$E$27,4,FALSE)</f>
        <v>3</v>
      </c>
      <c r="AF929" s="83">
        <f t="shared" si="229"/>
        <v>-0.61458333333575865</v>
      </c>
      <c r="AG929" s="83">
        <f t="shared" si="230"/>
        <v>86.750000000058208</v>
      </c>
      <c r="AH929" s="83">
        <f t="shared" si="232"/>
        <v>36</v>
      </c>
      <c r="AI929" s="83">
        <f t="shared" si="233"/>
        <v>50.750000000058208</v>
      </c>
      <c r="AJ929" s="83">
        <f t="shared" si="238"/>
        <v>3.0738916256122382</v>
      </c>
      <c r="AK929" s="83"/>
      <c r="AL929" s="83"/>
      <c r="AM929" s="83"/>
      <c r="AN929" s="83"/>
    </row>
    <row r="930" spans="1:40" ht="15" hidden="1" x14ac:dyDescent="0.25">
      <c r="A930" s="82">
        <v>45758</v>
      </c>
      <c r="B930" s="94" t="str">
        <f t="shared" si="225"/>
        <v>April</v>
      </c>
      <c r="C930" s="79" t="s">
        <v>2161</v>
      </c>
      <c r="D930" s="79" t="s">
        <v>1745</v>
      </c>
      <c r="E930" s="79"/>
      <c r="F930" s="79" t="s">
        <v>962</v>
      </c>
      <c r="G930" s="79" t="s">
        <v>978</v>
      </c>
      <c r="H930" s="79" t="s">
        <v>2183</v>
      </c>
      <c r="I930" s="79">
        <v>156</v>
      </c>
      <c r="J930" s="79" t="s">
        <v>1745</v>
      </c>
      <c r="K930" s="80" t="s">
        <v>469</v>
      </c>
      <c r="L930" s="79">
        <f>VLOOKUP(H930,Table2[#All],3,FALSE)</f>
        <v>690</v>
      </c>
      <c r="M930" s="80">
        <f t="shared" si="226"/>
        <v>689</v>
      </c>
      <c r="N930" s="81">
        <f t="shared" si="227"/>
        <v>-1</v>
      </c>
      <c r="P930" s="82">
        <f>R930-TIME(0,54,0)</f>
        <v>45758.334722222222</v>
      </c>
      <c r="Q930" s="82">
        <v>45757.834027777775</v>
      </c>
      <c r="R930" s="82">
        <v>45758.37222222222</v>
      </c>
      <c r="S930" s="81">
        <f t="shared" si="231"/>
        <v>771.41203703819576</v>
      </c>
      <c r="T930" s="81">
        <f t="shared" si="235"/>
        <v>53.749999997914223</v>
      </c>
      <c r="U930" s="79" t="s">
        <v>562</v>
      </c>
      <c r="V930" s="82">
        <v>45758.777777777781</v>
      </c>
      <c r="W930" s="82">
        <v>45759.637499999997</v>
      </c>
      <c r="X930" s="103">
        <f t="shared" si="236"/>
        <v>1212.2083333246701</v>
      </c>
      <c r="Y930" s="82" t="s">
        <v>1044</v>
      </c>
      <c r="Z930" s="82">
        <v>45761.895833333336</v>
      </c>
      <c r="AA930" s="82">
        <f>Z930+TIME(0,40,0)</f>
        <v>45761.923611111117</v>
      </c>
      <c r="AB930" s="81">
        <f t="shared" si="237"/>
        <v>39.166666671226267</v>
      </c>
      <c r="AC930" s="82"/>
      <c r="AD930" s="83">
        <f t="shared" si="228"/>
        <v>3.523611111115315</v>
      </c>
      <c r="AE930" s="83">
        <f>VLOOKUP(H930,'LIST 2'!$A$1:$E$27,4,FALSE)</f>
        <v>3</v>
      </c>
      <c r="AF930" s="83">
        <f t="shared" si="229"/>
        <v>-0.523611111115315</v>
      </c>
      <c r="AG930" s="83">
        <f t="shared" si="230"/>
        <v>84.56666666676756</v>
      </c>
      <c r="AH930" s="83">
        <f t="shared" si="232"/>
        <v>36</v>
      </c>
      <c r="AI930" s="83">
        <f t="shared" si="233"/>
        <v>48.56666666676756</v>
      </c>
      <c r="AJ930" s="83">
        <f t="shared" ref="AJ930:AJ961" si="246">I930/AI930</f>
        <v>3.2120796156419202</v>
      </c>
      <c r="AK930" s="83"/>
      <c r="AL930" s="83"/>
      <c r="AM930" s="83"/>
      <c r="AN930" s="83"/>
    </row>
    <row r="931" spans="1:40" ht="15" hidden="1" x14ac:dyDescent="0.25">
      <c r="A931" s="82">
        <v>45758</v>
      </c>
      <c r="B931" s="94" t="str">
        <f t="shared" si="225"/>
        <v>April</v>
      </c>
      <c r="C931" s="79" t="s">
        <v>2161</v>
      </c>
      <c r="D931" s="79" t="s">
        <v>1746</v>
      </c>
      <c r="E931" s="79"/>
      <c r="F931" s="79" t="s">
        <v>952</v>
      </c>
      <c r="G931" s="79" t="s">
        <v>969</v>
      </c>
      <c r="H931" s="79" t="s">
        <v>1959</v>
      </c>
      <c r="I931" s="79">
        <v>156</v>
      </c>
      <c r="J931" s="79" t="s">
        <v>1746</v>
      </c>
      <c r="K931" s="80" t="s">
        <v>469</v>
      </c>
      <c r="L931" s="79">
        <f>VLOOKUP(H931,Table2[#All],3,FALSE)</f>
        <v>304</v>
      </c>
      <c r="M931" s="80">
        <f t="shared" si="226"/>
        <v>303</v>
      </c>
      <c r="N931" s="81">
        <f t="shared" si="227"/>
        <v>-1</v>
      </c>
      <c r="P931" s="82">
        <f>R931-TIME(0,53,0)</f>
        <v>45758.580555555549</v>
      </c>
      <c r="Q931" s="82">
        <v>45758.098611111112</v>
      </c>
      <c r="R931" s="82">
        <v>45758.617361111108</v>
      </c>
      <c r="S931" s="81">
        <f t="shared" si="231"/>
        <v>743.54166666040931</v>
      </c>
      <c r="T931" s="81">
        <f t="shared" si="235"/>
        <v>52.75462963472819</v>
      </c>
      <c r="U931" s="79" t="s">
        <v>2167</v>
      </c>
      <c r="V931" s="82">
        <v>45759.409722222219</v>
      </c>
      <c r="W931" s="82">
        <v>45759.547222222223</v>
      </c>
      <c r="X931" s="103">
        <f t="shared" si="236"/>
        <v>193.87500000615546</v>
      </c>
      <c r="Y931" s="82" t="s">
        <v>1046</v>
      </c>
      <c r="Z931" s="82">
        <v>45759.806944444441</v>
      </c>
      <c r="AA931" s="82">
        <f t="shared" si="234"/>
        <v>45759.838194444441</v>
      </c>
      <c r="AB931" s="81">
        <f t="shared" si="237"/>
        <v>44.0625</v>
      </c>
      <c r="AC931" s="82"/>
      <c r="AD931" s="83">
        <f t="shared" si="228"/>
        <v>1.1895833333328483</v>
      </c>
      <c r="AE931" s="83">
        <f>VLOOKUP(H931,'LIST 2'!$A$1:$E$27,4,FALSE)</f>
        <v>2</v>
      </c>
      <c r="AF931" s="83">
        <f t="shared" si="229"/>
        <v>0.81041666666715173</v>
      </c>
      <c r="AG931" s="83">
        <f t="shared" si="230"/>
        <v>28.549999999988358</v>
      </c>
      <c r="AH931" s="83">
        <f t="shared" si="232"/>
        <v>12</v>
      </c>
      <c r="AI931" s="83">
        <f t="shared" si="233"/>
        <v>16.549999999988358</v>
      </c>
      <c r="AJ931" s="83">
        <f t="shared" si="246"/>
        <v>9.4259818731184133</v>
      </c>
      <c r="AK931" s="83"/>
      <c r="AL931" s="83"/>
      <c r="AM931" s="83"/>
      <c r="AN931" s="83"/>
    </row>
    <row r="932" spans="1:40" ht="15" hidden="1" x14ac:dyDescent="0.25">
      <c r="A932" s="82">
        <v>45758</v>
      </c>
      <c r="B932" s="94" t="str">
        <f t="shared" si="225"/>
        <v>April</v>
      </c>
      <c r="C932" s="79" t="s">
        <v>2161</v>
      </c>
      <c r="D932" s="79" t="s">
        <v>1747</v>
      </c>
      <c r="E932" s="79"/>
      <c r="F932" s="79" t="s">
        <v>965</v>
      </c>
      <c r="G932" s="79" t="s">
        <v>980</v>
      </c>
      <c r="H932" t="s">
        <v>1957</v>
      </c>
      <c r="I932" s="79">
        <v>153.6</v>
      </c>
      <c r="J932" s="79" t="s">
        <v>1747</v>
      </c>
      <c r="K932" s="80" t="s">
        <v>469</v>
      </c>
      <c r="L932" s="79">
        <f>VLOOKUP(H932,Table2[#All],3,FALSE)</f>
        <v>288</v>
      </c>
      <c r="M932" s="80">
        <f t="shared" si="226"/>
        <v>287</v>
      </c>
      <c r="N932" s="81">
        <f t="shared" si="227"/>
        <v>-1</v>
      </c>
      <c r="P932" s="82">
        <f>R932-TIME(0,21,0)</f>
        <v>45758.277083333334</v>
      </c>
      <c r="Q932" s="82">
        <v>45758.154861111114</v>
      </c>
      <c r="R932" s="82">
        <v>45758.291666666664</v>
      </c>
      <c r="S932" s="81">
        <f t="shared" si="231"/>
        <v>196.08796295554689</v>
      </c>
      <c r="T932" s="81">
        <f t="shared" si="235"/>
        <v>20.902777772910969</v>
      </c>
      <c r="U932" s="79"/>
      <c r="V932" s="82">
        <v>45758.548611111109</v>
      </c>
      <c r="W932" s="82">
        <v>45758.756249999999</v>
      </c>
      <c r="X932" s="103">
        <f t="shared" si="236"/>
        <v>292.77083333356131</v>
      </c>
      <c r="Y932" s="82" t="s">
        <v>1049</v>
      </c>
      <c r="Z932" s="82">
        <v>45759.584722222222</v>
      </c>
      <c r="AA932" s="82">
        <f>Z932+TIME(0,38,0)</f>
        <v>45759.611111111109</v>
      </c>
      <c r="AB932" s="81">
        <f t="shared" si="237"/>
        <v>37.208333331509493</v>
      </c>
      <c r="AC932" s="82"/>
      <c r="AD932" s="83">
        <f t="shared" si="228"/>
        <v>1.2930555555576575</v>
      </c>
      <c r="AE932" s="83">
        <f>VLOOKUP(H932,'LIST 2'!$A$1:$E$27,4,FALSE)</f>
        <v>2</v>
      </c>
      <c r="AF932" s="83">
        <f t="shared" si="229"/>
        <v>0.7069444444423425</v>
      </c>
      <c r="AG932" s="83">
        <f t="shared" si="230"/>
        <v>31.03333333338378</v>
      </c>
      <c r="AH932" s="83">
        <f t="shared" si="232"/>
        <v>12</v>
      </c>
      <c r="AI932" s="83">
        <f t="shared" si="233"/>
        <v>19.03333333338378</v>
      </c>
      <c r="AJ932" s="83">
        <f t="shared" si="246"/>
        <v>8.0700525393831644</v>
      </c>
      <c r="AK932" s="83"/>
      <c r="AL932" s="83"/>
      <c r="AM932" s="83"/>
      <c r="AN932" s="83"/>
    </row>
    <row r="933" spans="1:40" ht="15" hidden="1" x14ac:dyDescent="0.25">
      <c r="A933" s="82">
        <v>45758</v>
      </c>
      <c r="B933" s="94" t="str">
        <f t="shared" si="225"/>
        <v>April</v>
      </c>
      <c r="C933" s="79" t="s">
        <v>2161</v>
      </c>
      <c r="D933" s="79" t="s">
        <v>1748</v>
      </c>
      <c r="E933" s="79"/>
      <c r="F933" s="79" t="s">
        <v>957</v>
      </c>
      <c r="G933" s="79" t="s">
        <v>974</v>
      </c>
      <c r="H933" s="79" t="s">
        <v>1989</v>
      </c>
      <c r="I933" s="79">
        <v>153.6</v>
      </c>
      <c r="J933" s="79" t="s">
        <v>1748</v>
      </c>
      <c r="K933" s="80" t="s">
        <v>469</v>
      </c>
      <c r="L933" s="79">
        <f>VLOOKUP(H933,Table2[#All],3,FALSE)</f>
        <v>20</v>
      </c>
      <c r="M933" s="80">
        <f t="shared" si="226"/>
        <v>19</v>
      </c>
      <c r="N933" s="81">
        <f t="shared" si="227"/>
        <v>-1</v>
      </c>
      <c r="P933" s="82">
        <f>R933-TIME(0,26,0)</f>
        <v>45758.326388888891</v>
      </c>
      <c r="Q933" s="82">
        <v>45758.320833333331</v>
      </c>
      <c r="R933" s="82">
        <v>45758.344444444447</v>
      </c>
      <c r="S933" s="81">
        <f t="shared" si="231"/>
        <v>33.842592598618161</v>
      </c>
      <c r="T933" s="81">
        <f t="shared" si="235"/>
        <v>25.879629630556639</v>
      </c>
      <c r="U933" s="79"/>
      <c r="V933" s="82">
        <v>45758.386111111111</v>
      </c>
      <c r="W933" s="82">
        <v>45758.469444444447</v>
      </c>
      <c r="X933" s="103">
        <f t="shared" si="236"/>
        <v>117.5000000034197</v>
      </c>
      <c r="Y933" s="82"/>
      <c r="Z933" s="82">
        <v>45758.545138888891</v>
      </c>
      <c r="AA933" s="82">
        <f t="shared" ref="AA933" si="247">Z933+TIME(0,51,0)</f>
        <v>45758.580555555556</v>
      </c>
      <c r="AB933" s="81">
        <f t="shared" si="237"/>
        <v>49.93749999863212</v>
      </c>
      <c r="AC933" s="82" t="s">
        <v>1674</v>
      </c>
      <c r="AD933" s="83">
        <f t="shared" si="228"/>
        <v>0.20069444444379769</v>
      </c>
      <c r="AE933" s="83">
        <f>VLOOKUP(H933,'LIST 2'!$A$1:$E$27,4,FALSE)</f>
        <v>1</v>
      </c>
      <c r="AF933" s="83">
        <f t="shared" si="229"/>
        <v>0.79930555555620231</v>
      </c>
      <c r="AG933" s="83">
        <f t="shared" si="230"/>
        <v>4.8166666666511446</v>
      </c>
      <c r="AH933" s="83">
        <f t="shared" si="232"/>
        <v>0</v>
      </c>
      <c r="AI933" s="83">
        <f t="shared" si="233"/>
        <v>4.8166666666511446</v>
      </c>
      <c r="AJ933" s="83">
        <f t="shared" si="246"/>
        <v>31.889273356504148</v>
      </c>
      <c r="AK933" s="83"/>
      <c r="AL933" s="83"/>
      <c r="AM933" s="83"/>
      <c r="AN933" s="83"/>
    </row>
    <row r="934" spans="1:40" ht="15" hidden="1" x14ac:dyDescent="0.25">
      <c r="A934" s="82">
        <v>45758</v>
      </c>
      <c r="B934" s="94" t="str">
        <f t="shared" si="225"/>
        <v>April</v>
      </c>
      <c r="C934" s="79" t="s">
        <v>2161</v>
      </c>
      <c r="D934" s="79" t="s">
        <v>1749</v>
      </c>
      <c r="E934" s="79"/>
      <c r="F934" s="79" t="s">
        <v>964</v>
      </c>
      <c r="G934" s="79" t="s">
        <v>979</v>
      </c>
      <c r="H934" s="82" t="s">
        <v>2191</v>
      </c>
      <c r="I934" s="79">
        <v>156</v>
      </c>
      <c r="J934" s="79" t="s">
        <v>1749</v>
      </c>
      <c r="K934" s="80" t="s">
        <v>469</v>
      </c>
      <c r="L934" s="79">
        <f>VLOOKUP(H934,Table2[#All],3,FALSE)</f>
        <v>790</v>
      </c>
      <c r="M934" s="80">
        <f t="shared" si="226"/>
        <v>789</v>
      </c>
      <c r="N934" s="81">
        <f t="shared" si="227"/>
        <v>-1</v>
      </c>
      <c r="P934" s="82">
        <f>R934-TIME(0,42,0)</f>
        <v>45757.752083333333</v>
      </c>
      <c r="Q934" s="82">
        <v>45757.833333333336</v>
      </c>
      <c r="R934" s="82">
        <v>45757.78125</v>
      </c>
      <c r="S934" s="81">
        <f t="shared" si="231"/>
        <v>-74.652777781254073</v>
      </c>
      <c r="T934" s="81">
        <f t="shared" si="235"/>
        <v>41.805555556250816</v>
      </c>
      <c r="U934" s="79" t="s">
        <v>2165</v>
      </c>
      <c r="V934" s="82">
        <v>45758.633333333331</v>
      </c>
      <c r="W934" s="82">
        <v>45759.578472222223</v>
      </c>
      <c r="X934" s="103">
        <f t="shared" si="236"/>
        <v>1332.645833337665</v>
      </c>
      <c r="Y934" s="82" t="s">
        <v>1044</v>
      </c>
      <c r="Z934" s="82">
        <v>45760.565972222219</v>
      </c>
      <c r="AA934" s="82">
        <f>Z934+TIME(0,40,0)</f>
        <v>45760.59375</v>
      </c>
      <c r="AB934" s="81">
        <f t="shared" si="237"/>
        <v>39.166666671226267</v>
      </c>
      <c r="AC934" s="82"/>
      <c r="AD934" s="83">
        <f t="shared" si="228"/>
        <v>2.7847222222189885</v>
      </c>
      <c r="AE934" s="83">
        <f>VLOOKUP(H934,'LIST 2'!$A$1:$E$27,4,FALSE)</f>
        <v>3</v>
      </c>
      <c r="AF934" s="83">
        <f t="shared" si="229"/>
        <v>0.21527777778101154</v>
      </c>
      <c r="AG934" s="83">
        <f t="shared" si="230"/>
        <v>66.833333333255723</v>
      </c>
      <c r="AH934" s="83">
        <f t="shared" si="232"/>
        <v>24</v>
      </c>
      <c r="AI934" s="83">
        <f t="shared" si="233"/>
        <v>42.833333333255723</v>
      </c>
      <c r="AJ934" s="83">
        <f t="shared" si="246"/>
        <v>3.6420233463101011</v>
      </c>
      <c r="AK934" s="83"/>
      <c r="AL934" s="83"/>
      <c r="AM934" s="83"/>
      <c r="AN934" s="83"/>
    </row>
    <row r="935" spans="1:40" ht="15" hidden="1" x14ac:dyDescent="0.25">
      <c r="A935" s="82">
        <v>45758</v>
      </c>
      <c r="B935" s="94" t="str">
        <f t="shared" si="225"/>
        <v>April</v>
      </c>
      <c r="C935" s="79" t="s">
        <v>2161</v>
      </c>
      <c r="D935" s="79" t="s">
        <v>1750</v>
      </c>
      <c r="E935" s="79"/>
      <c r="F935" s="79" t="s">
        <v>950</v>
      </c>
      <c r="G935" s="79" t="s">
        <v>967</v>
      </c>
      <c r="H935" s="82" t="s">
        <v>1956</v>
      </c>
      <c r="I935" s="79">
        <v>153.6</v>
      </c>
      <c r="J935" s="79" t="s">
        <v>1750</v>
      </c>
      <c r="K935" s="80" t="s">
        <v>469</v>
      </c>
      <c r="L935" s="79">
        <f>VLOOKUP(H935,Table2[#All],3,FALSE)</f>
        <v>596</v>
      </c>
      <c r="M935" s="80">
        <f>L935-3</f>
        <v>593</v>
      </c>
      <c r="N935" s="81">
        <f t="shared" si="227"/>
        <v>-3</v>
      </c>
      <c r="P935" s="82">
        <f>R935-TIME(0,50,0)</f>
        <v>45757.782638888893</v>
      </c>
      <c r="Q935" s="82">
        <v>45758.176388888889</v>
      </c>
      <c r="R935" s="82">
        <v>45757.817361111112</v>
      </c>
      <c r="S935" s="81">
        <f t="shared" si="231"/>
        <v>-514.60648147985921</v>
      </c>
      <c r="T935" s="81">
        <f t="shared" si="235"/>
        <v>49.768518513883464</v>
      </c>
      <c r="U935" s="79" t="s">
        <v>2166</v>
      </c>
      <c r="V935" s="82">
        <v>45758.363194444442</v>
      </c>
      <c r="W935" s="82">
        <v>45758.538194444445</v>
      </c>
      <c r="X935" s="103">
        <f t="shared" si="236"/>
        <v>246.75000000410364</v>
      </c>
      <c r="Y935" s="82" t="s">
        <v>1044</v>
      </c>
      <c r="Z935" s="82">
        <v>45759.5625</v>
      </c>
      <c r="AA935" s="82">
        <f>Z935+TIME(0,50,0)</f>
        <v>45759.597222222219</v>
      </c>
      <c r="AB935" s="81">
        <f t="shared" si="237"/>
        <v>48.958333328773733</v>
      </c>
      <c r="AC935" s="82" t="s">
        <v>2169</v>
      </c>
      <c r="AD935" s="83">
        <f t="shared" si="228"/>
        <v>1.7451388888875954</v>
      </c>
      <c r="AE935" s="83">
        <f>VLOOKUP(H935,'LIST 2'!$A$1:$E$27,4,FALSE)</f>
        <v>2</v>
      </c>
      <c r="AF935" s="83">
        <f t="shared" si="229"/>
        <v>0.25486111111240461</v>
      </c>
      <c r="AG935" s="83">
        <f t="shared" si="230"/>
        <v>41.883333333302289</v>
      </c>
      <c r="AH935" s="83">
        <f t="shared" si="232"/>
        <v>12</v>
      </c>
      <c r="AI935" s="83">
        <f t="shared" si="233"/>
        <v>29.883333333302289</v>
      </c>
      <c r="AJ935" s="83">
        <f t="shared" si="246"/>
        <v>5.1399888455156573</v>
      </c>
      <c r="AK935" s="83"/>
      <c r="AL935" s="83"/>
      <c r="AM935" s="83"/>
      <c r="AN935" s="83"/>
    </row>
    <row r="936" spans="1:40" ht="15" hidden="1" x14ac:dyDescent="0.25">
      <c r="A936" s="82">
        <v>45759</v>
      </c>
      <c r="B936" s="94" t="str">
        <f t="shared" si="225"/>
        <v>April</v>
      </c>
      <c r="C936" s="79" t="s">
        <v>2161</v>
      </c>
      <c r="D936" s="79" t="s">
        <v>1751</v>
      </c>
      <c r="E936" s="79"/>
      <c r="F936" s="79" t="s">
        <v>958</v>
      </c>
      <c r="G936" s="79" t="s">
        <v>975</v>
      </c>
      <c r="H936" s="82" t="s">
        <v>1989</v>
      </c>
      <c r="I936" s="79">
        <v>153.6</v>
      </c>
      <c r="J936" s="79" t="s">
        <v>1751</v>
      </c>
      <c r="K936" s="80" t="s">
        <v>469</v>
      </c>
      <c r="L936" s="79">
        <f>VLOOKUP(H936,Table2[#All],3,FALSE)</f>
        <v>20</v>
      </c>
      <c r="M936" s="80">
        <f t="shared" si="226"/>
        <v>19</v>
      </c>
      <c r="N936" s="81">
        <f t="shared" si="227"/>
        <v>-1</v>
      </c>
      <c r="P936" s="82">
        <f>R936-TIME(0,28,0)</f>
        <v>45759.482638888891</v>
      </c>
      <c r="Q936" s="82">
        <v>45759.320833333331</v>
      </c>
      <c r="R936" s="82">
        <v>45759.502083333333</v>
      </c>
      <c r="S936" s="81">
        <f t="shared" si="231"/>
        <v>259.79166666875244</v>
      </c>
      <c r="T936" s="81">
        <f t="shared" si="235"/>
        <v>27.870370367357584</v>
      </c>
      <c r="U936" s="79"/>
      <c r="V936" s="82">
        <v>45759.522916666669</v>
      </c>
      <c r="W936" s="82">
        <v>45759.707638888889</v>
      </c>
      <c r="X936" s="103">
        <f t="shared" si="236"/>
        <v>260.45833333082555</v>
      </c>
      <c r="Y936" s="82" t="s">
        <v>1044</v>
      </c>
      <c r="Z936" s="82">
        <v>45759.739583333336</v>
      </c>
      <c r="AA936" s="82">
        <f>Z936+TIME(0,40,0)</f>
        <v>45759.767361111117</v>
      </c>
      <c r="AB936" s="81">
        <f t="shared" si="237"/>
        <v>39.166666671226267</v>
      </c>
      <c r="AC936" s="82"/>
      <c r="AD936" s="83">
        <f t="shared" si="228"/>
        <v>0.23750000000291038</v>
      </c>
      <c r="AE936" s="83">
        <f>VLOOKUP(H936,'LIST 2'!$A$1:$E$27,4,FALSE)</f>
        <v>1</v>
      </c>
      <c r="AF936" s="83">
        <f t="shared" si="229"/>
        <v>0.76249999999708962</v>
      </c>
      <c r="AG936" s="83">
        <f t="shared" si="230"/>
        <v>5.7000000000698492</v>
      </c>
      <c r="AH936" s="83">
        <f t="shared" si="232"/>
        <v>0</v>
      </c>
      <c r="AI936" s="83">
        <f t="shared" si="233"/>
        <v>5.7000000000698492</v>
      </c>
      <c r="AJ936" s="83">
        <f t="shared" si="246"/>
        <v>26.947368420722412</v>
      </c>
      <c r="AK936" s="83"/>
      <c r="AL936" s="83"/>
      <c r="AM936" s="83"/>
      <c r="AN936" s="83"/>
    </row>
    <row r="937" spans="1:40" ht="15" hidden="1" x14ac:dyDescent="0.25">
      <c r="A937" s="82">
        <v>45759</v>
      </c>
      <c r="B937" s="94" t="str">
        <f t="shared" si="225"/>
        <v>April</v>
      </c>
      <c r="C937" s="79" t="s">
        <v>2161</v>
      </c>
      <c r="D937" s="79" t="s">
        <v>1752</v>
      </c>
      <c r="E937" s="79"/>
      <c r="F937" s="79" t="s">
        <v>957</v>
      </c>
      <c r="G937" s="79" t="s">
        <v>974</v>
      </c>
      <c r="H937" s="82" t="s">
        <v>1956</v>
      </c>
      <c r="I937" s="79">
        <v>153.6</v>
      </c>
      <c r="J937" s="79" t="s">
        <v>1752</v>
      </c>
      <c r="K937" s="80" t="s">
        <v>469</v>
      </c>
      <c r="L937" s="79">
        <f>VLOOKUP(H937,Table2[#All],3,FALSE)</f>
        <v>596</v>
      </c>
      <c r="M937" s="80">
        <f t="shared" si="226"/>
        <v>595</v>
      </c>
      <c r="N937" s="81">
        <f t="shared" si="227"/>
        <v>-1</v>
      </c>
      <c r="P937" s="82">
        <f>R937-TIME(0,54,0)</f>
        <v>45759.275000000001</v>
      </c>
      <c r="Q937" s="82">
        <v>45759.176388888889</v>
      </c>
      <c r="R937" s="82">
        <v>45759.3125</v>
      </c>
      <c r="S937" s="81">
        <f t="shared" si="231"/>
        <v>195.09259259236083</v>
      </c>
      <c r="T937" s="81">
        <f t="shared" si="235"/>
        <v>53.749999997914223</v>
      </c>
      <c r="U937" s="79" t="s">
        <v>562</v>
      </c>
      <c r="V937" s="82">
        <v>45759.537499999999</v>
      </c>
      <c r="W937" s="82">
        <v>45760.404166666667</v>
      </c>
      <c r="X937" s="103">
        <f t="shared" si="236"/>
        <v>1222.0000000027358</v>
      </c>
      <c r="Y937" s="82" t="s">
        <v>1046</v>
      </c>
      <c r="Z937" s="82">
        <v>45760.661805555559</v>
      </c>
      <c r="AA937" s="82">
        <f t="shared" si="234"/>
        <v>45760.693055555559</v>
      </c>
      <c r="AB937" s="81">
        <f t="shared" si="237"/>
        <v>44.0625</v>
      </c>
      <c r="AC937" s="82"/>
      <c r="AD937" s="83">
        <f t="shared" si="228"/>
        <v>1.3493055555591127</v>
      </c>
      <c r="AE937" s="83">
        <f>VLOOKUP(H937,'LIST 2'!$A$1:$E$27,4,FALSE)</f>
        <v>2</v>
      </c>
      <c r="AF937" s="83">
        <f t="shared" si="229"/>
        <v>0.65069444444088731</v>
      </c>
      <c r="AG937" s="83">
        <f t="shared" si="230"/>
        <v>32.383333333418705</v>
      </c>
      <c r="AH937" s="83">
        <f t="shared" si="232"/>
        <v>12</v>
      </c>
      <c r="AI937" s="83">
        <f t="shared" si="233"/>
        <v>20.383333333418705</v>
      </c>
      <c r="AJ937" s="83">
        <f t="shared" si="246"/>
        <v>7.5355682747026984</v>
      </c>
      <c r="AK937" s="83"/>
      <c r="AL937" s="83"/>
      <c r="AM937" s="83"/>
      <c r="AN937" s="83"/>
    </row>
    <row r="938" spans="1:40" ht="15" hidden="1" x14ac:dyDescent="0.25">
      <c r="A938" s="82">
        <v>45759</v>
      </c>
      <c r="B938" s="94" t="str">
        <f t="shared" si="225"/>
        <v>April</v>
      </c>
      <c r="C938" s="79" t="s">
        <v>2161</v>
      </c>
      <c r="D938" s="79" t="s">
        <v>1753</v>
      </c>
      <c r="E938" s="79"/>
      <c r="F938" s="79" t="s">
        <v>951</v>
      </c>
      <c r="G938" s="79" t="s">
        <v>968</v>
      </c>
      <c r="H938" s="82" t="s">
        <v>2194</v>
      </c>
      <c r="I938" s="79">
        <v>156</v>
      </c>
      <c r="J938" s="79" t="s">
        <v>1753</v>
      </c>
      <c r="K938" s="80" t="s">
        <v>469</v>
      </c>
      <c r="L938" s="79">
        <f>VLOOKUP(H938,Table2[#All],3,FALSE)</f>
        <v>620</v>
      </c>
      <c r="M938" s="80">
        <f t="shared" si="226"/>
        <v>619</v>
      </c>
      <c r="N938" s="81">
        <f t="shared" si="227"/>
        <v>-1</v>
      </c>
      <c r="P938" s="82">
        <f>R938-TIME(0,39,0)</f>
        <v>45758.807638888888</v>
      </c>
      <c r="Q938" s="82">
        <v>45759.082638888889</v>
      </c>
      <c r="R938" s="82">
        <v>45758.834722222222</v>
      </c>
      <c r="S938" s="81">
        <f t="shared" si="231"/>
        <v>-355.34722222291748</v>
      </c>
      <c r="T938" s="81">
        <f t="shared" si="235"/>
        <v>38.819444445834961</v>
      </c>
      <c r="U938" s="79" t="s">
        <v>550</v>
      </c>
      <c r="V938" s="82">
        <v>45759.770833333336</v>
      </c>
      <c r="W938" s="82">
        <v>45760.373611111114</v>
      </c>
      <c r="X938" s="103">
        <f t="shared" si="236"/>
        <v>849.91666666712263</v>
      </c>
      <c r="Y938" s="82" t="s">
        <v>1049</v>
      </c>
      <c r="Z938" s="82">
        <v>45761.522916666669</v>
      </c>
      <c r="AA938" s="82">
        <f>Z938+TIME(0,38,0)</f>
        <v>45761.549305555556</v>
      </c>
      <c r="AB938" s="81">
        <f t="shared" si="237"/>
        <v>37.208333331509493</v>
      </c>
      <c r="AC938" s="82"/>
      <c r="AD938" s="83">
        <f t="shared" si="228"/>
        <v>2.6881944444467081</v>
      </c>
      <c r="AE938" s="83">
        <f>VLOOKUP(H938,'LIST 2'!$A$1:$E$27,4,FALSE)</f>
        <v>3</v>
      </c>
      <c r="AF938" s="83">
        <f t="shared" si="229"/>
        <v>0.31180555555329192</v>
      </c>
      <c r="AG938" s="83">
        <f t="shared" si="230"/>
        <v>64.516666666720994</v>
      </c>
      <c r="AH938" s="83">
        <f t="shared" si="232"/>
        <v>24</v>
      </c>
      <c r="AI938" s="83">
        <f t="shared" si="233"/>
        <v>40.516666666720994</v>
      </c>
      <c r="AJ938" s="83">
        <f t="shared" si="246"/>
        <v>3.8502673796739817</v>
      </c>
      <c r="AK938" s="83"/>
      <c r="AL938" s="83"/>
      <c r="AM938" s="83"/>
      <c r="AN938" s="83"/>
    </row>
    <row r="939" spans="1:40" ht="15" hidden="1" x14ac:dyDescent="0.25">
      <c r="A939" s="82">
        <v>45759</v>
      </c>
      <c r="B939" s="94" t="str">
        <f t="shared" si="225"/>
        <v>April</v>
      </c>
      <c r="C939" s="79" t="s">
        <v>2161</v>
      </c>
      <c r="D939" s="79" t="s">
        <v>1754</v>
      </c>
      <c r="E939" s="79"/>
      <c r="F939" s="79" t="s">
        <v>955</v>
      </c>
      <c r="G939" s="79" t="s">
        <v>972</v>
      </c>
      <c r="H939" s="82" t="s">
        <v>2179</v>
      </c>
      <c r="I939" s="79">
        <v>156</v>
      </c>
      <c r="J939" s="79" t="s">
        <v>1754</v>
      </c>
      <c r="K939" s="80" t="s">
        <v>469</v>
      </c>
      <c r="L939" s="79">
        <f>VLOOKUP(H939,Table2[#All],3,FALSE)</f>
        <v>560</v>
      </c>
      <c r="M939" s="80">
        <f t="shared" si="226"/>
        <v>559</v>
      </c>
      <c r="N939" s="81">
        <f t="shared" si="227"/>
        <v>-1</v>
      </c>
      <c r="P939" s="82">
        <f>R939-TIME(0,28,0)</f>
        <v>45758.806944444448</v>
      </c>
      <c r="Q939" s="82">
        <v>45759.104166666664</v>
      </c>
      <c r="R939" s="82">
        <v>45758.826388888891</v>
      </c>
      <c r="S939" s="81">
        <f t="shared" si="231"/>
        <v>-398.14814814235433</v>
      </c>
      <c r="T939" s="81">
        <f t="shared" si="235"/>
        <v>27.870370367357584</v>
      </c>
      <c r="U939" s="79"/>
      <c r="V939" s="82">
        <v>45759.571527777778</v>
      </c>
      <c r="W939" s="82">
        <v>45759.727777777778</v>
      </c>
      <c r="X939" s="103">
        <f t="shared" si="236"/>
        <v>220.3125</v>
      </c>
      <c r="Y939" s="82" t="s">
        <v>1044</v>
      </c>
      <c r="Z939" s="82">
        <v>45760.765972222223</v>
      </c>
      <c r="AA939" s="82">
        <f t="shared" ref="AA939:AA940" si="248">Z939+TIME(0,51,0)</f>
        <v>45760.801388888889</v>
      </c>
      <c r="AB939" s="81">
        <f t="shared" si="237"/>
        <v>49.93749999863212</v>
      </c>
      <c r="AC939" s="82" t="s">
        <v>2168</v>
      </c>
      <c r="AD939" s="83">
        <f t="shared" si="228"/>
        <v>1.9395833333328483</v>
      </c>
      <c r="AE939" s="83">
        <f>VLOOKUP(H939,'LIST 2'!$A$1:$E$27,4,FALSE)</f>
        <v>2</v>
      </c>
      <c r="AF939" s="83">
        <f t="shared" si="229"/>
        <v>6.0416666667151731E-2</v>
      </c>
      <c r="AG939" s="83">
        <f t="shared" si="230"/>
        <v>46.549999999988358</v>
      </c>
      <c r="AH939" s="83">
        <f t="shared" si="232"/>
        <v>12</v>
      </c>
      <c r="AI939" s="83">
        <f t="shared" si="233"/>
        <v>34.549999999988358</v>
      </c>
      <c r="AJ939" s="83">
        <f t="shared" si="246"/>
        <v>4.515195369031912</v>
      </c>
      <c r="AK939" s="83"/>
      <c r="AL939" s="83"/>
      <c r="AM939" s="83"/>
      <c r="AN939" s="83"/>
    </row>
    <row r="940" spans="1:40" ht="15" hidden="1" x14ac:dyDescent="0.25">
      <c r="A940" s="82">
        <v>45760</v>
      </c>
      <c r="B940" s="94" t="str">
        <f t="shared" si="225"/>
        <v>April</v>
      </c>
      <c r="C940" s="79" t="s">
        <v>2161</v>
      </c>
      <c r="D940" s="79" t="s">
        <v>1755</v>
      </c>
      <c r="E940" s="80" t="s">
        <v>1016</v>
      </c>
      <c r="F940" s="79" t="s">
        <v>954</v>
      </c>
      <c r="G940" s="79" t="s">
        <v>971</v>
      </c>
      <c r="H940" s="82" t="s">
        <v>1989</v>
      </c>
      <c r="I940" s="79">
        <v>153.6</v>
      </c>
      <c r="J940" s="79" t="s">
        <v>1755</v>
      </c>
      <c r="K940" s="80" t="s">
        <v>469</v>
      </c>
      <c r="L940" s="79">
        <f>VLOOKUP(H940,Table2[#All],3,FALSE)</f>
        <v>20</v>
      </c>
      <c r="M940" s="80">
        <f>L940+1</f>
        <v>21</v>
      </c>
      <c r="N940" s="81">
        <f t="shared" si="227"/>
        <v>1</v>
      </c>
      <c r="P940" s="82">
        <f>R940-TIME(0,26,0)</f>
        <v>45760.294444444444</v>
      </c>
      <c r="Q940" s="82">
        <v>45760.320833333331</v>
      </c>
      <c r="R940" s="82">
        <v>45760.3125</v>
      </c>
      <c r="S940" s="81">
        <f t="shared" si="231"/>
        <v>-11.944444441663412</v>
      </c>
      <c r="T940" s="81">
        <f t="shared" si="235"/>
        <v>25.879629630556639</v>
      </c>
      <c r="U940" s="79"/>
      <c r="V940" s="82">
        <v>45760.650694444441</v>
      </c>
      <c r="W940" s="82">
        <v>45760.775000000001</v>
      </c>
      <c r="X940" s="103">
        <f t="shared" si="236"/>
        <v>175.27083334040071</v>
      </c>
      <c r="Y940" s="82"/>
      <c r="Z940" s="82">
        <v>45761.356944444444</v>
      </c>
      <c r="AA940" s="82">
        <f t="shared" si="248"/>
        <v>45761.392361111109</v>
      </c>
      <c r="AB940" s="81">
        <f t="shared" si="237"/>
        <v>49.93749999863212</v>
      </c>
      <c r="AC940" s="82" t="s">
        <v>1678</v>
      </c>
      <c r="AD940" s="83">
        <f t="shared" si="228"/>
        <v>1.0444444444437977</v>
      </c>
      <c r="AE940" s="83">
        <f>VLOOKUP(H940,'LIST 2'!$A$1:$E$27,4,FALSE)</f>
        <v>1</v>
      </c>
      <c r="AF940" s="83">
        <f t="shared" si="229"/>
        <v>-4.4444444443797693E-2</v>
      </c>
      <c r="AG940" s="83">
        <f t="shared" si="230"/>
        <v>25.066666666651145</v>
      </c>
      <c r="AH940" s="83">
        <f t="shared" si="232"/>
        <v>12</v>
      </c>
      <c r="AI940" s="83">
        <f t="shared" si="233"/>
        <v>13.066666666651145</v>
      </c>
      <c r="AJ940" s="83">
        <f t="shared" si="246"/>
        <v>11.755102040830289</v>
      </c>
      <c r="AK940" s="83">
        <v>11.55</v>
      </c>
      <c r="AL940" s="83">
        <v>11.59</v>
      </c>
      <c r="AM940" s="83"/>
      <c r="AN940" s="83"/>
    </row>
    <row r="941" spans="1:40" ht="15" hidden="1" x14ac:dyDescent="0.25">
      <c r="A941" s="82">
        <v>45760</v>
      </c>
      <c r="B941" s="94" t="str">
        <f t="shared" si="225"/>
        <v>April</v>
      </c>
      <c r="C941" s="79" t="s">
        <v>2161</v>
      </c>
      <c r="D941" s="79" t="s">
        <v>1756</v>
      </c>
      <c r="E941" s="79"/>
      <c r="F941" s="79" t="s">
        <v>953</v>
      </c>
      <c r="G941" s="79" t="s">
        <v>970</v>
      </c>
      <c r="H941" s="82" t="s">
        <v>1958</v>
      </c>
      <c r="I941" s="79">
        <v>156</v>
      </c>
      <c r="J941" s="79" t="s">
        <v>1756</v>
      </c>
      <c r="K941" s="80" t="s">
        <v>469</v>
      </c>
      <c r="L941" s="79">
        <f>VLOOKUP(H941,Table2[#All],3,FALSE)</f>
        <v>304</v>
      </c>
      <c r="M941" s="80">
        <f t="shared" si="226"/>
        <v>303</v>
      </c>
      <c r="N941" s="81">
        <f t="shared" si="227"/>
        <v>-1</v>
      </c>
      <c r="P941" s="82">
        <f t="shared" ref="P941:P942" si="249">R941-TIME(0,28,0)</f>
        <v>45759.764583333337</v>
      </c>
      <c r="Q941" s="82">
        <v>45759.850694444445</v>
      </c>
      <c r="R941" s="82">
        <v>45759.78402777778</v>
      </c>
      <c r="S941" s="81">
        <f t="shared" si="231"/>
        <v>-95.555555554165039</v>
      </c>
      <c r="T941" s="81">
        <f t="shared" si="235"/>
        <v>27.870370367357584</v>
      </c>
      <c r="U941" s="79"/>
      <c r="V941" s="82">
        <v>45760.493750000001</v>
      </c>
      <c r="W941" s="82">
        <v>45761.65347222222</v>
      </c>
      <c r="X941" s="103">
        <f t="shared" si="236"/>
        <v>1635.2083333287737</v>
      </c>
      <c r="Y941" s="82" t="s">
        <v>1046</v>
      </c>
      <c r="Z941" s="82">
        <v>45762.445138888892</v>
      </c>
      <c r="AA941" s="82">
        <f>Z941+TIME(0,42,0)</f>
        <v>45762.474305555559</v>
      </c>
      <c r="AB941" s="81">
        <f t="shared" si="237"/>
        <v>41.12500000068394</v>
      </c>
      <c r="AC941" s="82"/>
      <c r="AD941" s="83">
        <f t="shared" si="228"/>
        <v>2.6611111111124046</v>
      </c>
      <c r="AE941" s="83">
        <f>VLOOKUP(H941,'LIST 2'!$A$1:$E$27,4,FALSE)</f>
        <v>2</v>
      </c>
      <c r="AF941" s="83">
        <f t="shared" si="229"/>
        <v>-0.66111111111240461</v>
      </c>
      <c r="AG941" s="83">
        <f t="shared" si="230"/>
        <v>63.866666666697711</v>
      </c>
      <c r="AH941" s="83">
        <f t="shared" si="232"/>
        <v>24</v>
      </c>
      <c r="AI941" s="83">
        <f t="shared" si="233"/>
        <v>39.866666666697711</v>
      </c>
      <c r="AJ941" s="83">
        <f t="shared" si="246"/>
        <v>3.9130434782578223</v>
      </c>
      <c r="AK941" s="83"/>
      <c r="AL941" s="83"/>
      <c r="AM941" s="83"/>
      <c r="AN941" s="83"/>
    </row>
    <row r="942" spans="1:40" ht="15" hidden="1" x14ac:dyDescent="0.25">
      <c r="A942" s="82">
        <v>45760</v>
      </c>
      <c r="B942" s="94" t="str">
        <f t="shared" si="225"/>
        <v>April</v>
      </c>
      <c r="C942" s="79" t="s">
        <v>2161</v>
      </c>
      <c r="D942" s="79" t="s">
        <v>1757</v>
      </c>
      <c r="E942" s="79"/>
      <c r="F942" s="79" t="s">
        <v>965</v>
      </c>
      <c r="G942" s="79" t="s">
        <v>980</v>
      </c>
      <c r="H942" s="82" t="s">
        <v>1959</v>
      </c>
      <c r="I942" s="79">
        <v>156</v>
      </c>
      <c r="J942" s="79" t="s">
        <v>1757</v>
      </c>
      <c r="K942" s="80" t="s">
        <v>469</v>
      </c>
      <c r="L942" s="79">
        <f>VLOOKUP(H942,Table2[#All],3,FALSE)</f>
        <v>304</v>
      </c>
      <c r="M942" s="80">
        <f>L942-3</f>
        <v>301</v>
      </c>
      <c r="N942" s="81">
        <f t="shared" si="227"/>
        <v>-3</v>
      </c>
      <c r="P942" s="82">
        <f t="shared" si="249"/>
        <v>45759.740277777782</v>
      </c>
      <c r="Q942" s="82">
        <v>45760.098611111112</v>
      </c>
      <c r="R942" s="82">
        <v>45759.759722222225</v>
      </c>
      <c r="S942" s="81">
        <f t="shared" si="231"/>
        <v>-485.7407407388867</v>
      </c>
      <c r="T942" s="81">
        <f t="shared" si="235"/>
        <v>27.870370367357584</v>
      </c>
      <c r="U942" s="79"/>
      <c r="V942" s="82">
        <v>45760.438888888886</v>
      </c>
      <c r="W942" s="82">
        <v>45760.677083333336</v>
      </c>
      <c r="X942" s="103">
        <f t="shared" si="236"/>
        <v>335.85416667396203</v>
      </c>
      <c r="Y942" s="82" t="s">
        <v>1049</v>
      </c>
      <c r="Z942" s="82">
        <v>45761.513888888891</v>
      </c>
      <c r="AA942" s="82">
        <f>Z942+TIME(0,41,0)</f>
        <v>45761.542361111111</v>
      </c>
      <c r="AB942" s="81">
        <f t="shared" si="237"/>
        <v>40.145833330825553</v>
      </c>
      <c r="AC942" s="82"/>
      <c r="AD942" s="83">
        <f t="shared" si="228"/>
        <v>1.7541666666656965</v>
      </c>
      <c r="AE942" s="83">
        <f>VLOOKUP(H942,'LIST 2'!$A$1:$E$27,4,FALSE)</f>
        <v>2</v>
      </c>
      <c r="AF942" s="83">
        <f t="shared" si="229"/>
        <v>0.24583333333430346</v>
      </c>
      <c r="AG942" s="83">
        <f t="shared" si="230"/>
        <v>42.099999999976717</v>
      </c>
      <c r="AH942" s="83">
        <f t="shared" si="232"/>
        <v>12</v>
      </c>
      <c r="AI942" s="83">
        <f t="shared" si="233"/>
        <v>30.099999999976717</v>
      </c>
      <c r="AJ942" s="83">
        <f t="shared" si="246"/>
        <v>5.1827242524957029</v>
      </c>
      <c r="AK942" s="83"/>
      <c r="AL942" s="83"/>
      <c r="AM942" s="83"/>
      <c r="AN942" s="83"/>
    </row>
    <row r="943" spans="1:40" ht="15" hidden="1" x14ac:dyDescent="0.25">
      <c r="A943" s="82">
        <v>45761</v>
      </c>
      <c r="B943" s="94" t="str">
        <f t="shared" si="225"/>
        <v>April</v>
      </c>
      <c r="C943" s="79" t="s">
        <v>2161</v>
      </c>
      <c r="D943" s="79" t="s">
        <v>1758</v>
      </c>
      <c r="E943" s="79"/>
      <c r="F943" s="79" t="s">
        <v>1689</v>
      </c>
      <c r="G943" s="79" t="s">
        <v>1262</v>
      </c>
      <c r="H943" s="82" t="s">
        <v>2183</v>
      </c>
      <c r="I943" s="79">
        <v>156</v>
      </c>
      <c r="J943" s="79" t="s">
        <v>1758</v>
      </c>
      <c r="K943" s="80" t="s">
        <v>469</v>
      </c>
      <c r="L943" s="79">
        <f>VLOOKUP(H943,Table2[#All],3,FALSE)</f>
        <v>690</v>
      </c>
      <c r="M943" s="80">
        <f t="shared" ref="M943:M1001" si="250">L943-1</f>
        <v>689</v>
      </c>
      <c r="N943" s="81">
        <f t="shared" ref="N943:N1002" si="251">M943-L943</f>
        <v>-1</v>
      </c>
      <c r="P943" s="82">
        <f>R943-TIME(0,28,0)</f>
        <v>45761.632638888892</v>
      </c>
      <c r="Q943" s="82">
        <v>45761.815972222219</v>
      </c>
      <c r="R943" s="82">
        <v>45761.652083333334</v>
      </c>
      <c r="S943" s="81">
        <f t="shared" ref="S943:S1002" si="252">(R943-Q943)*86000/60</f>
        <v>-234.90740740138185</v>
      </c>
      <c r="T943" s="81">
        <f t="shared" si="235"/>
        <v>27.870370367357584</v>
      </c>
      <c r="U943" s="79"/>
      <c r="V943" s="82">
        <v>45762.354861111111</v>
      </c>
      <c r="W943" s="82">
        <v>45762.63958333333</v>
      </c>
      <c r="X943" s="103">
        <f t="shared" si="236"/>
        <v>401.45833332877373</v>
      </c>
      <c r="Y943" s="82" t="s">
        <v>1044</v>
      </c>
      <c r="Z943" s="82">
        <v>45763.655555555553</v>
      </c>
      <c r="AA943" s="82">
        <f>Z943+TIME(0,42,0)</f>
        <v>45763.68472222222</v>
      </c>
      <c r="AB943" s="81">
        <f t="shared" si="237"/>
        <v>41.12500000068394</v>
      </c>
      <c r="AC943" s="82"/>
      <c r="AD943" s="83">
        <f t="shared" ref="AD943:AD1002" si="253">Z943-R943</f>
        <v>2.0034722222189885</v>
      </c>
      <c r="AE943" s="83">
        <f>VLOOKUP(H943,'LIST 2'!$A$1:$E$27,4,FALSE)</f>
        <v>3</v>
      </c>
      <c r="AF943" s="83">
        <f t="shared" ref="AF943:AF1002" si="254">AE943-AD943</f>
        <v>0.99652777778101154</v>
      </c>
      <c r="AG943" s="83">
        <f t="shared" ref="AG943:AG1002" si="255">AD943*24</f>
        <v>48.083333333255723</v>
      </c>
      <c r="AH943" s="83">
        <f t="shared" ref="AH943:AH1002" si="256">AG943-AI943</f>
        <v>24</v>
      </c>
      <c r="AI943" s="83">
        <f t="shared" ref="AI943:AI1002" si="257" xml:space="preserve"> ((Z943 - R943) * 24) - (INT(Z943 - R943) * 12)</f>
        <v>24.083333333255723</v>
      </c>
      <c r="AJ943" s="83">
        <f t="shared" si="246"/>
        <v>6.4775086505399058</v>
      </c>
      <c r="AK943" s="83">
        <v>12</v>
      </c>
      <c r="AL943" s="83">
        <v>11.58</v>
      </c>
      <c r="AM943" s="83">
        <v>10.37</v>
      </c>
      <c r="AN943" s="83"/>
    </row>
    <row r="944" spans="1:40" ht="15" hidden="1" x14ac:dyDescent="0.25">
      <c r="A944" s="82">
        <v>45761</v>
      </c>
      <c r="B944" s="94" t="str">
        <f t="shared" si="225"/>
        <v>April</v>
      </c>
      <c r="C944" s="79" t="s">
        <v>2161</v>
      </c>
      <c r="D944" s="79" t="s">
        <v>1759</v>
      </c>
      <c r="E944" s="79"/>
      <c r="F944" s="79" t="s">
        <v>964</v>
      </c>
      <c r="G944" s="79" t="s">
        <v>979</v>
      </c>
      <c r="H944" s="82" t="s">
        <v>1990</v>
      </c>
      <c r="I944" s="79">
        <v>153.6</v>
      </c>
      <c r="J944" s="79" t="s">
        <v>1759</v>
      </c>
      <c r="K944" s="80" t="s">
        <v>469</v>
      </c>
      <c r="L944" s="79">
        <f>VLOOKUP(H944,Table2[#All],3,FALSE)</f>
        <v>810</v>
      </c>
      <c r="M944" s="80">
        <f t="shared" si="250"/>
        <v>809</v>
      </c>
      <c r="N944" s="81">
        <f t="shared" si="251"/>
        <v>-1</v>
      </c>
      <c r="P944" s="82">
        <f t="shared" ref="P944:P945" si="258">R944-TIME(0,26,0)</f>
        <v>45761.368055555555</v>
      </c>
      <c r="Q944" s="82">
        <v>45761.694444444445</v>
      </c>
      <c r="R944" s="82">
        <v>45761.386111111111</v>
      </c>
      <c r="S944" s="81">
        <f t="shared" si="252"/>
        <v>-441.94444444583496</v>
      </c>
      <c r="T944" s="81">
        <f t="shared" si="235"/>
        <v>25.879629630556639</v>
      </c>
      <c r="U944" s="79"/>
      <c r="V944" s="82">
        <v>45761.822222222225</v>
      </c>
      <c r="W944" s="82">
        <v>45762.734027777777</v>
      </c>
      <c r="X944" s="103">
        <f t="shared" si="236"/>
        <v>1285.6458333280898</v>
      </c>
      <c r="Y944" s="82" t="s">
        <v>1044</v>
      </c>
      <c r="Z944" s="82">
        <v>45763.793055555558</v>
      </c>
      <c r="AA944" s="82">
        <f>Z944+TIME(0,50,0)</f>
        <v>45763.827777777777</v>
      </c>
      <c r="AB944" s="81">
        <f t="shared" si="237"/>
        <v>48.958333328773733</v>
      </c>
      <c r="AC944" s="82" t="s">
        <v>1678</v>
      </c>
      <c r="AD944" s="83">
        <f t="shared" si="253"/>
        <v>2.4069444444467081</v>
      </c>
      <c r="AE944" s="83">
        <f>VLOOKUP(H944,'LIST 2'!$A$1:$E$27,4,FALSE)</f>
        <v>3</v>
      </c>
      <c r="AF944" s="83">
        <f t="shared" si="254"/>
        <v>0.59305555555329192</v>
      </c>
      <c r="AG944" s="83">
        <f t="shared" si="255"/>
        <v>57.766666666720994</v>
      </c>
      <c r="AH944" s="83">
        <f t="shared" si="256"/>
        <v>24</v>
      </c>
      <c r="AI944" s="83">
        <f t="shared" si="257"/>
        <v>33.766666666720994</v>
      </c>
      <c r="AJ944" s="83">
        <f t="shared" si="246"/>
        <v>4.5488647581368076</v>
      </c>
      <c r="AK944" s="83"/>
      <c r="AL944" s="83"/>
      <c r="AM944" s="83"/>
      <c r="AN944" s="83"/>
    </row>
    <row r="945" spans="1:40" ht="15" hidden="1" x14ac:dyDescent="0.25">
      <c r="A945" s="82">
        <v>45761</v>
      </c>
      <c r="B945" s="94" t="str">
        <f t="shared" si="225"/>
        <v>April</v>
      </c>
      <c r="C945" s="79" t="s">
        <v>2161</v>
      </c>
      <c r="D945" s="79" t="s">
        <v>1760</v>
      </c>
      <c r="E945" s="79"/>
      <c r="F945" s="79" t="s">
        <v>956</v>
      </c>
      <c r="G945" s="79" t="s">
        <v>973</v>
      </c>
      <c r="H945" s="82" t="s">
        <v>1959</v>
      </c>
      <c r="I945" s="79">
        <v>156</v>
      </c>
      <c r="J945" s="79" t="s">
        <v>1760</v>
      </c>
      <c r="K945" s="80" t="s">
        <v>469</v>
      </c>
      <c r="L945" s="79">
        <f>VLOOKUP(H945,Table2[#All],3,FALSE)</f>
        <v>304</v>
      </c>
      <c r="M945" s="80">
        <f t="shared" si="250"/>
        <v>303</v>
      </c>
      <c r="N945" s="81">
        <f t="shared" si="251"/>
        <v>-1</v>
      </c>
      <c r="P945" s="82">
        <f t="shared" si="258"/>
        <v>45760.788888888885</v>
      </c>
      <c r="Q945" s="82">
        <v>45761.333333333336</v>
      </c>
      <c r="R945" s="82">
        <v>45760.806944444441</v>
      </c>
      <c r="S945" s="81">
        <f t="shared" si="252"/>
        <v>-754.49074074931559</v>
      </c>
      <c r="T945" s="81">
        <f t="shared" si="235"/>
        <v>25.879629630556639</v>
      </c>
      <c r="U945" s="79"/>
      <c r="V945" s="82">
        <v>45761.46875</v>
      </c>
      <c r="W945" s="82">
        <v>45761.63958333333</v>
      </c>
      <c r="X945" s="103">
        <f t="shared" si="236"/>
        <v>240.87499999521242</v>
      </c>
      <c r="Y945" s="82" t="s">
        <v>1044</v>
      </c>
      <c r="Z945" s="82">
        <v>45762.426388888889</v>
      </c>
      <c r="AA945" s="82">
        <f>Z945+TIME(0,41,0)</f>
        <v>45762.454861111109</v>
      </c>
      <c r="AB945" s="81">
        <f t="shared" si="237"/>
        <v>40.145833330825553</v>
      </c>
      <c r="AC945" s="82"/>
      <c r="AD945" s="83">
        <f t="shared" si="253"/>
        <v>1.6194444444481633</v>
      </c>
      <c r="AE945" s="83">
        <f>VLOOKUP(H945,'LIST 2'!$A$1:$E$27,4,FALSE)</f>
        <v>2</v>
      </c>
      <c r="AF945" s="83">
        <f t="shared" si="254"/>
        <v>0.38055555555183673</v>
      </c>
      <c r="AG945" s="83">
        <f t="shared" si="255"/>
        <v>38.866666666755918</v>
      </c>
      <c r="AH945" s="83">
        <f t="shared" si="256"/>
        <v>12</v>
      </c>
      <c r="AI945" s="83">
        <f t="shared" si="257"/>
        <v>26.866666666755918</v>
      </c>
      <c r="AJ945" s="83">
        <f t="shared" si="246"/>
        <v>5.8064516128839365</v>
      </c>
      <c r="AK945" s="83"/>
      <c r="AL945" s="83"/>
      <c r="AM945" s="83"/>
      <c r="AN945" s="83"/>
    </row>
    <row r="946" spans="1:40" ht="15" hidden="1" x14ac:dyDescent="0.25">
      <c r="A946" s="82">
        <v>45761</v>
      </c>
      <c r="B946" s="94" t="str">
        <f t="shared" si="225"/>
        <v>April</v>
      </c>
      <c r="C946" s="79" t="s">
        <v>2161</v>
      </c>
      <c r="D946" s="79" t="s">
        <v>1761</v>
      </c>
      <c r="E946" s="79"/>
      <c r="F946" s="79" t="s">
        <v>950</v>
      </c>
      <c r="G946" s="79" t="s">
        <v>967</v>
      </c>
      <c r="H946" s="82" t="s">
        <v>2180</v>
      </c>
      <c r="I946" s="79">
        <v>156</v>
      </c>
      <c r="J946" s="79" t="s">
        <v>1761</v>
      </c>
      <c r="K946" s="80" t="s">
        <v>469</v>
      </c>
      <c r="L946" s="79">
        <f>VLOOKUP(H946,Table2[#All],3,FALSE)</f>
        <v>256</v>
      </c>
      <c r="M946" s="80">
        <f t="shared" si="250"/>
        <v>255</v>
      </c>
      <c r="N946" s="81">
        <f t="shared" si="251"/>
        <v>-1</v>
      </c>
      <c r="P946" s="82">
        <f>R946-TIME(0,54,0)</f>
        <v>45760.751388888893</v>
      </c>
      <c r="Q946" s="82">
        <v>45761.333333333336</v>
      </c>
      <c r="R946" s="82">
        <v>45760.788888888892</v>
      </c>
      <c r="S946" s="81">
        <f t="shared" si="252"/>
        <v>-780.37037036944332</v>
      </c>
      <c r="T946" s="81">
        <f t="shared" si="235"/>
        <v>53.749999997914223</v>
      </c>
      <c r="U946" s="79" t="s">
        <v>2165</v>
      </c>
      <c r="V946" s="82">
        <v>45761.398611111108</v>
      </c>
      <c r="W946" s="82">
        <v>45761.612500000003</v>
      </c>
      <c r="X946" s="103">
        <f t="shared" si="236"/>
        <v>301.58333334176859</v>
      </c>
      <c r="Y946" s="82" t="s">
        <v>1046</v>
      </c>
      <c r="Z946" s="82">
        <v>45761.788194444445</v>
      </c>
      <c r="AA946" s="82">
        <f>Z946+TIME(0,42,0)</f>
        <v>45761.817361111112</v>
      </c>
      <c r="AB946" s="81">
        <f t="shared" si="237"/>
        <v>41.12500000068394</v>
      </c>
      <c r="AC946" s="82"/>
      <c r="AD946" s="83">
        <f t="shared" si="253"/>
        <v>0.99930555555329192</v>
      </c>
      <c r="AE946" s="83">
        <f>VLOOKUP(H946,'LIST 2'!$A$1:$E$27,4,FALSE)</f>
        <v>2</v>
      </c>
      <c r="AF946" s="83">
        <f t="shared" si="254"/>
        <v>1.0006944444467081</v>
      </c>
      <c r="AG946" s="83">
        <f t="shared" si="255"/>
        <v>23.983333333279006</v>
      </c>
      <c r="AH946" s="83">
        <f t="shared" si="256"/>
        <v>0</v>
      </c>
      <c r="AI946" s="83">
        <f t="shared" si="257"/>
        <v>23.983333333279006</v>
      </c>
      <c r="AJ946" s="83">
        <f t="shared" si="246"/>
        <v>6.5045170257270346</v>
      </c>
      <c r="AK946" s="83"/>
      <c r="AL946" s="83"/>
      <c r="AM946" s="83"/>
      <c r="AN946" s="83"/>
    </row>
    <row r="947" spans="1:40" ht="15" hidden="1" x14ac:dyDescent="0.25">
      <c r="A947" s="82">
        <v>45761</v>
      </c>
      <c r="B947" s="94" t="str">
        <f t="shared" si="225"/>
        <v>April</v>
      </c>
      <c r="C947" s="79" t="s">
        <v>2161</v>
      </c>
      <c r="D947" s="79" t="s">
        <v>1762</v>
      </c>
      <c r="E947" s="79"/>
      <c r="F947" s="79" t="s">
        <v>958</v>
      </c>
      <c r="G947" s="79" t="s">
        <v>975</v>
      </c>
      <c r="H947" s="82" t="s">
        <v>1990</v>
      </c>
      <c r="I947" s="79">
        <v>153.6</v>
      </c>
      <c r="J947" s="79" t="s">
        <v>1762</v>
      </c>
      <c r="K947" s="80" t="s">
        <v>469</v>
      </c>
      <c r="L947" s="79">
        <f>VLOOKUP(H947,Table2[#All],3,FALSE)</f>
        <v>810</v>
      </c>
      <c r="M947" s="80">
        <f t="shared" si="250"/>
        <v>809</v>
      </c>
      <c r="N947" s="81">
        <f t="shared" si="251"/>
        <v>-1</v>
      </c>
      <c r="P947" s="82">
        <f>R947-TIME(0,24,0)</f>
        <v>45760.787499999999</v>
      </c>
      <c r="Q947" s="82">
        <v>45761.694444444445</v>
      </c>
      <c r="R947" s="82">
        <v>45760.804166666669</v>
      </c>
      <c r="S947" s="81">
        <f t="shared" si="252"/>
        <v>-1276.0648148131925</v>
      </c>
      <c r="T947" s="81">
        <f t="shared" si="235"/>
        <v>23.888888893755695</v>
      </c>
      <c r="U947" s="79"/>
      <c r="V947" s="82">
        <v>45761.745138888888</v>
      </c>
      <c r="W947" s="82">
        <v>45762.541666666664</v>
      </c>
      <c r="X947" s="103">
        <f t="shared" si="236"/>
        <v>1123.1041666650708</v>
      </c>
      <c r="Y947" s="82" t="s">
        <v>1049</v>
      </c>
      <c r="Z947" s="82">
        <v>45763.597916666666</v>
      </c>
      <c r="AA947" s="82">
        <f t="shared" si="234"/>
        <v>45763.629166666666</v>
      </c>
      <c r="AB947" s="81">
        <f t="shared" si="237"/>
        <v>44.0625</v>
      </c>
      <c r="AC947" s="82"/>
      <c r="AD947" s="83">
        <f t="shared" si="253"/>
        <v>2.7937499999970896</v>
      </c>
      <c r="AE947" s="83">
        <f>VLOOKUP(H947,'LIST 2'!$A$1:$E$27,4,FALSE)</f>
        <v>3</v>
      </c>
      <c r="AF947" s="83">
        <f t="shared" si="254"/>
        <v>0.20625000000291038</v>
      </c>
      <c r="AG947" s="83">
        <f t="shared" si="255"/>
        <v>67.049999999930151</v>
      </c>
      <c r="AH947" s="83">
        <f t="shared" si="256"/>
        <v>24</v>
      </c>
      <c r="AI947" s="83">
        <f t="shared" si="257"/>
        <v>43.049999999930151</v>
      </c>
      <c r="AJ947" s="83">
        <f t="shared" si="246"/>
        <v>3.5679442508768688</v>
      </c>
      <c r="AK947" s="83"/>
      <c r="AL947" s="83"/>
      <c r="AM947" s="83"/>
      <c r="AN947" s="83"/>
    </row>
    <row r="948" spans="1:40" ht="15" hidden="1" x14ac:dyDescent="0.25">
      <c r="A948" s="82">
        <v>45761</v>
      </c>
      <c r="B948" s="94" t="str">
        <f t="shared" ref="B948:B1010" si="259">TEXT(A948, "MMMM")</f>
        <v>April</v>
      </c>
      <c r="C948" s="79" t="s">
        <v>2161</v>
      </c>
      <c r="D948" s="79" t="s">
        <v>1763</v>
      </c>
      <c r="E948" s="79"/>
      <c r="F948" s="79" t="s">
        <v>952</v>
      </c>
      <c r="G948" s="79" t="s">
        <v>969</v>
      </c>
      <c r="H948" s="82" t="s">
        <v>1958</v>
      </c>
      <c r="I948" s="79">
        <v>156</v>
      </c>
      <c r="J948" s="79" t="s">
        <v>1763</v>
      </c>
      <c r="K948" s="80" t="s">
        <v>469</v>
      </c>
      <c r="L948" s="79">
        <f>VLOOKUP(H948,Table2[#All],3,FALSE)</f>
        <v>304</v>
      </c>
      <c r="M948" s="80">
        <f>L948+3</f>
        <v>307</v>
      </c>
      <c r="N948" s="81">
        <f t="shared" si="251"/>
        <v>3</v>
      </c>
      <c r="P948" s="82">
        <f>R948-TIME(0,42,0)</f>
        <v>45760.761111111111</v>
      </c>
      <c r="Q948" s="82">
        <v>45761.850694444445</v>
      </c>
      <c r="R948" s="82">
        <v>45760.790277777778</v>
      </c>
      <c r="S948" s="81">
        <f t="shared" si="252"/>
        <v>-1519.9305555562507</v>
      </c>
      <c r="T948" s="81">
        <f t="shared" si="235"/>
        <v>41.805555556250816</v>
      </c>
      <c r="U948" s="79" t="s">
        <v>1671</v>
      </c>
      <c r="V948" s="82">
        <v>45761.661805555559</v>
      </c>
      <c r="W948" s="82">
        <v>45762.477777777778</v>
      </c>
      <c r="X948" s="103">
        <f t="shared" si="236"/>
        <v>1150.5208333287737</v>
      </c>
      <c r="Y948" s="82" t="s">
        <v>1051</v>
      </c>
      <c r="Z948" s="82">
        <v>45763.463194444441</v>
      </c>
      <c r="AA948" s="82">
        <f>Z948+TIME(0,41,0)</f>
        <v>45763.491666666661</v>
      </c>
      <c r="AB948" s="81">
        <f t="shared" si="237"/>
        <v>40.145833330825553</v>
      </c>
      <c r="AC948" s="82"/>
      <c r="AD948" s="83">
        <f t="shared" si="253"/>
        <v>2.6729166666627862</v>
      </c>
      <c r="AE948" s="83">
        <f>VLOOKUP(H948,'LIST 2'!$A$1:$E$27,4,FALSE)</f>
        <v>2</v>
      </c>
      <c r="AF948" s="83">
        <f t="shared" si="254"/>
        <v>-0.67291666666278616</v>
      </c>
      <c r="AG948" s="83">
        <f t="shared" si="255"/>
        <v>64.149999999906868</v>
      </c>
      <c r="AH948" s="83">
        <f t="shared" si="256"/>
        <v>24</v>
      </c>
      <c r="AI948" s="83">
        <f t="shared" si="257"/>
        <v>40.149999999906868</v>
      </c>
      <c r="AJ948" s="83">
        <f t="shared" si="246"/>
        <v>3.8854296388633092</v>
      </c>
      <c r="AK948" s="83"/>
      <c r="AL948" s="83"/>
      <c r="AM948" s="83"/>
      <c r="AN948" s="83"/>
    </row>
    <row r="949" spans="1:40" ht="15" hidden="1" x14ac:dyDescent="0.25">
      <c r="A949" s="82">
        <v>45762</v>
      </c>
      <c r="B949" s="94" t="str">
        <f t="shared" si="259"/>
        <v>April</v>
      </c>
      <c r="C949" s="79" t="s">
        <v>2161</v>
      </c>
      <c r="D949" s="79" t="s">
        <v>1764</v>
      </c>
      <c r="E949" s="79"/>
      <c r="F949" s="79" t="s">
        <v>956</v>
      </c>
      <c r="G949" s="79" t="s">
        <v>973</v>
      </c>
      <c r="H949" s="82" t="s">
        <v>1957</v>
      </c>
      <c r="I949" s="79">
        <v>153.6</v>
      </c>
      <c r="J949" s="79" t="s">
        <v>1764</v>
      </c>
      <c r="K949" s="80" t="s">
        <v>469</v>
      </c>
      <c r="L949" s="79">
        <f>VLOOKUP(H949,Table2[#All],3,FALSE)</f>
        <v>288</v>
      </c>
      <c r="M949" s="80">
        <f t="shared" si="250"/>
        <v>287</v>
      </c>
      <c r="N949" s="81">
        <f t="shared" si="251"/>
        <v>-1</v>
      </c>
      <c r="P949" s="82">
        <f>R949-TIME(0,26,0)</f>
        <v>45763.815972222219</v>
      </c>
      <c r="Q949" s="82">
        <v>45762.154861111114</v>
      </c>
      <c r="R949" s="82">
        <v>45763.834027777775</v>
      </c>
      <c r="S949" s="81">
        <f t="shared" si="252"/>
        <v>2406.8055555479077</v>
      </c>
      <c r="T949" s="81">
        <f t="shared" si="235"/>
        <v>25.879629630556639</v>
      </c>
      <c r="U949" s="79"/>
      <c r="V949" s="82">
        <v>45764.491666666669</v>
      </c>
      <c r="W949" s="82">
        <v>45764.727083333331</v>
      </c>
      <c r="X949" s="103">
        <f t="shared" si="236"/>
        <v>331.93749999452848</v>
      </c>
      <c r="Y949" s="82" t="s">
        <v>1050</v>
      </c>
      <c r="Z949" s="82">
        <v>45765.548611111109</v>
      </c>
      <c r="AA949" s="82">
        <f>Z949+TIME(0,52,0)</f>
        <v>45765.584722222222</v>
      </c>
      <c r="AB949" s="81">
        <f t="shared" si="237"/>
        <v>50.916666668490507</v>
      </c>
      <c r="AC949" s="82" t="s">
        <v>2168</v>
      </c>
      <c r="AD949" s="83">
        <f t="shared" si="253"/>
        <v>1.7145833333343035</v>
      </c>
      <c r="AE949" s="83">
        <f>VLOOKUP(H949,'LIST 2'!$A$1:$E$27,4,FALSE)</f>
        <v>2</v>
      </c>
      <c r="AF949" s="83">
        <f t="shared" si="254"/>
        <v>0.28541666666569654</v>
      </c>
      <c r="AG949" s="83">
        <f t="shared" si="255"/>
        <v>41.150000000023283</v>
      </c>
      <c r="AH949" s="83">
        <f t="shared" si="256"/>
        <v>12</v>
      </c>
      <c r="AI949" s="83">
        <f t="shared" si="257"/>
        <v>29.150000000023283</v>
      </c>
      <c r="AJ949" s="83">
        <f t="shared" si="246"/>
        <v>5.2692967409906455</v>
      </c>
      <c r="AK949" s="83"/>
      <c r="AL949" s="83"/>
      <c r="AM949" s="83"/>
      <c r="AN949" s="83"/>
    </row>
    <row r="950" spans="1:40" ht="15" hidden="1" x14ac:dyDescent="0.25">
      <c r="A950" s="82">
        <v>45762</v>
      </c>
      <c r="B950" s="94" t="str">
        <f t="shared" si="259"/>
        <v>April</v>
      </c>
      <c r="C950" s="79" t="s">
        <v>2161</v>
      </c>
      <c r="D950" s="79" t="s">
        <v>1765</v>
      </c>
      <c r="E950" s="79"/>
      <c r="F950" s="79" t="s">
        <v>959</v>
      </c>
      <c r="G950" s="79" t="s">
        <v>976</v>
      </c>
      <c r="H950" s="82" t="s">
        <v>1991</v>
      </c>
      <c r="I950" s="79">
        <v>153.6</v>
      </c>
      <c r="J950" s="79" t="s">
        <v>1765</v>
      </c>
      <c r="K950" s="80" t="s">
        <v>469</v>
      </c>
      <c r="L950" s="79">
        <f>VLOOKUP(H950,Table2[#All],3,FALSE)</f>
        <v>272</v>
      </c>
      <c r="M950" s="80">
        <f t="shared" si="250"/>
        <v>271</v>
      </c>
      <c r="N950" s="81">
        <f t="shared" si="251"/>
        <v>-1</v>
      </c>
      <c r="P950" s="82">
        <f>R950-TIME(0,26,0)</f>
        <v>45764.393750000003</v>
      </c>
      <c r="Q950" s="82">
        <v>45763.082638888889</v>
      </c>
      <c r="R950" s="82">
        <v>45764.411805555559</v>
      </c>
      <c r="S950" s="81">
        <f t="shared" si="252"/>
        <v>1905.1388888937556</v>
      </c>
      <c r="T950" s="81">
        <f t="shared" si="235"/>
        <v>25.879629630556639</v>
      </c>
      <c r="U950" s="79"/>
      <c r="V950" s="82">
        <v>45764.813888888886</v>
      </c>
      <c r="W950" s="82">
        <v>45765.554861111108</v>
      </c>
      <c r="X950" s="103">
        <f t="shared" si="236"/>
        <v>1044.7708333328774</v>
      </c>
      <c r="Y950" s="82" t="s">
        <v>1044</v>
      </c>
      <c r="Z950" s="82">
        <v>45765.807638888888</v>
      </c>
      <c r="AA950" s="82">
        <f>Z950+TIME(0,38,0)</f>
        <v>45765.834027777775</v>
      </c>
      <c r="AB950" s="81">
        <f t="shared" si="237"/>
        <v>37.208333331509493</v>
      </c>
      <c r="AC950" s="82"/>
      <c r="AD950" s="83">
        <f t="shared" si="253"/>
        <v>1.3958333333284827</v>
      </c>
      <c r="AE950" s="83">
        <f>VLOOKUP(H950,'LIST 2'!$A$1:$E$27,4,FALSE)</f>
        <v>2</v>
      </c>
      <c r="AF950" s="83">
        <f t="shared" si="254"/>
        <v>0.60416666667151731</v>
      </c>
      <c r="AG950" s="83">
        <f t="shared" si="255"/>
        <v>33.499999999883585</v>
      </c>
      <c r="AH950" s="83">
        <f t="shared" si="256"/>
        <v>12</v>
      </c>
      <c r="AI950" s="83">
        <f t="shared" si="257"/>
        <v>21.499999999883585</v>
      </c>
      <c r="AJ950" s="83">
        <f t="shared" si="246"/>
        <v>7.1441860465503106</v>
      </c>
      <c r="AK950" s="83"/>
      <c r="AL950" s="83"/>
      <c r="AM950" s="83"/>
      <c r="AN950" s="83"/>
    </row>
    <row r="951" spans="1:40" ht="15" hidden="1" x14ac:dyDescent="0.25">
      <c r="A951" s="82">
        <v>45762</v>
      </c>
      <c r="B951" s="94" t="str">
        <f t="shared" si="259"/>
        <v>April</v>
      </c>
      <c r="C951" s="79" t="s">
        <v>2161</v>
      </c>
      <c r="D951" s="79" t="s">
        <v>1766</v>
      </c>
      <c r="E951" s="79"/>
      <c r="F951" s="79" t="s">
        <v>953</v>
      </c>
      <c r="G951" s="79" t="s">
        <v>970</v>
      </c>
      <c r="H951" s="82" t="s">
        <v>1990</v>
      </c>
      <c r="I951" s="79">
        <v>153.6</v>
      </c>
      <c r="J951" s="79" t="s">
        <v>1766</v>
      </c>
      <c r="K951" s="80" t="s">
        <v>469</v>
      </c>
      <c r="L951" s="79">
        <f>VLOOKUP(H951,Table2[#All],3,FALSE)</f>
        <v>810</v>
      </c>
      <c r="M951" s="80">
        <f>L951-3</f>
        <v>807</v>
      </c>
      <c r="N951" s="81">
        <f t="shared" si="251"/>
        <v>-3</v>
      </c>
      <c r="P951" s="82">
        <f>R951-TIME(0,24,0)</f>
        <v>45762.798611111109</v>
      </c>
      <c r="Q951" s="82">
        <v>45761.875</v>
      </c>
      <c r="R951" s="82">
        <v>45762.81527777778</v>
      </c>
      <c r="S951" s="81">
        <f t="shared" si="252"/>
        <v>1347.7314814840308</v>
      </c>
      <c r="T951" s="81">
        <f t="shared" si="235"/>
        <v>23.888888893755695</v>
      </c>
      <c r="U951" s="79"/>
      <c r="V951" s="82">
        <v>45763.78125</v>
      </c>
      <c r="W951" s="82">
        <v>45764.668055555558</v>
      </c>
      <c r="X951" s="103">
        <f t="shared" si="236"/>
        <v>1250.3958333362971</v>
      </c>
      <c r="Y951" s="82" t="s">
        <v>1044</v>
      </c>
      <c r="Z951" s="82">
        <v>45765.744444444441</v>
      </c>
      <c r="AA951" s="82">
        <f>Z951+TIME(0,49,0)</f>
        <v>45765.77847222222</v>
      </c>
      <c r="AB951" s="81">
        <f t="shared" si="237"/>
        <v>47.979166669174447</v>
      </c>
      <c r="AC951" s="82" t="s">
        <v>1673</v>
      </c>
      <c r="AD951" s="83">
        <f t="shared" si="253"/>
        <v>2.929166666661331</v>
      </c>
      <c r="AE951" s="83">
        <f>VLOOKUP(H951,'LIST 2'!$A$1:$E$27,4,FALSE)</f>
        <v>3</v>
      </c>
      <c r="AF951" s="83">
        <f t="shared" si="254"/>
        <v>7.0833333338669036E-2</v>
      </c>
      <c r="AG951" s="83">
        <f t="shared" si="255"/>
        <v>70.299999999871943</v>
      </c>
      <c r="AH951" s="83">
        <f t="shared" si="256"/>
        <v>24</v>
      </c>
      <c r="AI951" s="83">
        <f t="shared" si="257"/>
        <v>46.299999999871943</v>
      </c>
      <c r="AJ951" s="83">
        <f t="shared" si="246"/>
        <v>3.3174946004411408</v>
      </c>
      <c r="AK951" s="83"/>
      <c r="AL951" s="83"/>
      <c r="AM951" s="83"/>
      <c r="AN951" s="83"/>
    </row>
    <row r="952" spans="1:40" ht="15" hidden="1" x14ac:dyDescent="0.25">
      <c r="A952" s="82">
        <v>45762</v>
      </c>
      <c r="B952" s="94" t="str">
        <f t="shared" si="259"/>
        <v>April</v>
      </c>
      <c r="C952" s="79" t="s">
        <v>2161</v>
      </c>
      <c r="D952" s="79" t="s">
        <v>1767</v>
      </c>
      <c r="E952" s="79"/>
      <c r="F952" s="79" t="s">
        <v>952</v>
      </c>
      <c r="G952" s="79" t="s">
        <v>969</v>
      </c>
      <c r="H952" s="82" t="s">
        <v>1991</v>
      </c>
      <c r="I952" s="79">
        <v>153.6</v>
      </c>
      <c r="J952" s="79" t="s">
        <v>1767</v>
      </c>
      <c r="K952" s="80" t="s">
        <v>469</v>
      </c>
      <c r="L952" s="79">
        <f>VLOOKUP(H952,Table2[#All],3,FALSE)</f>
        <v>272</v>
      </c>
      <c r="M952" s="80">
        <f t="shared" si="250"/>
        <v>271</v>
      </c>
      <c r="N952" s="81">
        <f t="shared" si="251"/>
        <v>-1</v>
      </c>
      <c r="P952" s="82">
        <f>R952-TIME(0,50,0)</f>
        <v>45763.645138888889</v>
      </c>
      <c r="Q952" s="82">
        <v>45763.082638888889</v>
      </c>
      <c r="R952" s="82">
        <v>45763.679861111108</v>
      </c>
      <c r="S952" s="81">
        <f t="shared" si="252"/>
        <v>856.01851851388346</v>
      </c>
      <c r="T952" s="81">
        <f t="shared" si="235"/>
        <v>49.768518513883464</v>
      </c>
      <c r="U952" s="79" t="s">
        <v>562</v>
      </c>
      <c r="V952" s="82">
        <v>45764.425000000003</v>
      </c>
      <c r="W952" s="82">
        <v>45764.621527777781</v>
      </c>
      <c r="X952" s="103">
        <f t="shared" si="236"/>
        <v>277.10416666712263</v>
      </c>
      <c r="Y952" s="82" t="s">
        <v>1047</v>
      </c>
      <c r="Z952" s="82">
        <v>45765.384027777778</v>
      </c>
      <c r="AA952" s="82">
        <f>Z952+TIME(0,41,0)</f>
        <v>45765.412499999999</v>
      </c>
      <c r="AB952" s="81">
        <f t="shared" si="237"/>
        <v>40.145833330825553</v>
      </c>
      <c r="AC952" s="82"/>
      <c r="AD952" s="83">
        <f t="shared" si="253"/>
        <v>1.7041666666700621</v>
      </c>
      <c r="AE952" s="83">
        <f>VLOOKUP(H952,'LIST 2'!$A$1:$E$27,4,FALSE)</f>
        <v>2</v>
      </c>
      <c r="AF952" s="83">
        <f t="shared" si="254"/>
        <v>0.29583333332993789</v>
      </c>
      <c r="AG952" s="83">
        <f t="shared" si="255"/>
        <v>40.900000000081491</v>
      </c>
      <c r="AH952" s="83">
        <f t="shared" si="256"/>
        <v>12</v>
      </c>
      <c r="AI952" s="83">
        <f t="shared" si="257"/>
        <v>28.900000000081491</v>
      </c>
      <c r="AJ952" s="83">
        <f t="shared" si="246"/>
        <v>5.3148788927185775</v>
      </c>
      <c r="AK952" s="83"/>
      <c r="AL952" s="83"/>
      <c r="AM952" s="83"/>
      <c r="AN952" s="83"/>
    </row>
    <row r="953" spans="1:40" ht="15" hidden="1" x14ac:dyDescent="0.25">
      <c r="A953" s="82">
        <v>45762</v>
      </c>
      <c r="B953" s="94" t="str">
        <f t="shared" si="259"/>
        <v>April</v>
      </c>
      <c r="C953" s="79" t="s">
        <v>2161</v>
      </c>
      <c r="D953" s="79" t="s">
        <v>1768</v>
      </c>
      <c r="E953" s="80" t="s">
        <v>1016</v>
      </c>
      <c r="F953" s="79" t="s">
        <v>954</v>
      </c>
      <c r="G953" s="79" t="s">
        <v>971</v>
      </c>
      <c r="H953" s="82" t="s">
        <v>1957</v>
      </c>
      <c r="I953" s="79">
        <v>153.6</v>
      </c>
      <c r="J953" s="79" t="s">
        <v>1768</v>
      </c>
      <c r="K953" s="80" t="s">
        <v>469</v>
      </c>
      <c r="L953" s="79">
        <f>VLOOKUP(H953,Table2[#All],3,FALSE)</f>
        <v>288</v>
      </c>
      <c r="M953" s="80">
        <f>L953-2</f>
        <v>286</v>
      </c>
      <c r="N953" s="81">
        <f t="shared" si="251"/>
        <v>-2</v>
      </c>
      <c r="P953" s="82">
        <f t="shared" ref="P953:P954" si="260">R953-TIME(0,24,0)</f>
        <v>45762.484027777777</v>
      </c>
      <c r="Q953" s="82">
        <v>45762.154861111114</v>
      </c>
      <c r="R953" s="82">
        <v>45762.500694444447</v>
      </c>
      <c r="S953" s="81">
        <f t="shared" si="252"/>
        <v>495.69444444374921</v>
      </c>
      <c r="T953" s="81">
        <f t="shared" si="235"/>
        <v>23.888888893755695</v>
      </c>
      <c r="U953" s="79"/>
      <c r="V953" s="82">
        <v>45763.540972222225</v>
      </c>
      <c r="W953" s="82">
        <v>45763.630555555559</v>
      </c>
      <c r="X953" s="103">
        <f t="shared" si="236"/>
        <v>126.31250000136788</v>
      </c>
      <c r="Y953" s="82"/>
      <c r="Z953" s="82">
        <v>45763.758333333331</v>
      </c>
      <c r="AA953" s="82">
        <f>Z953+TIME(0,42,0)</f>
        <v>45763.787499999999</v>
      </c>
      <c r="AB953" s="81">
        <f t="shared" si="237"/>
        <v>41.12500000068394</v>
      </c>
      <c r="AC953" s="82"/>
      <c r="AD953" s="83">
        <f t="shared" si="253"/>
        <v>1.257638888884685</v>
      </c>
      <c r="AE953" s="83">
        <f>VLOOKUP(H953,'LIST 2'!$A$1:$E$27,4,FALSE)</f>
        <v>2</v>
      </c>
      <c r="AF953" s="83">
        <f t="shared" si="254"/>
        <v>0.742361111115315</v>
      </c>
      <c r="AG953" s="83">
        <f t="shared" si="255"/>
        <v>30.18333333323244</v>
      </c>
      <c r="AH953" s="83">
        <f t="shared" si="256"/>
        <v>12</v>
      </c>
      <c r="AI953" s="83">
        <f t="shared" si="257"/>
        <v>18.18333333323244</v>
      </c>
      <c r="AJ953" s="83">
        <f t="shared" si="246"/>
        <v>8.4472960587086483</v>
      </c>
      <c r="AK953" s="83">
        <v>11.54</v>
      </c>
      <c r="AL953" s="83">
        <v>11.59</v>
      </c>
      <c r="AM953" s="83"/>
      <c r="AN953" s="83"/>
    </row>
    <row r="954" spans="1:40" ht="15" hidden="1" x14ac:dyDescent="0.25">
      <c r="A954" s="82">
        <v>45762</v>
      </c>
      <c r="B954" s="94" t="str">
        <f t="shared" si="259"/>
        <v>April</v>
      </c>
      <c r="C954" s="79" t="s">
        <v>2161</v>
      </c>
      <c r="D954" s="79" t="s">
        <v>1769</v>
      </c>
      <c r="E954" s="79"/>
      <c r="F954" s="79" t="s">
        <v>950</v>
      </c>
      <c r="G954" s="79" t="s">
        <v>967</v>
      </c>
      <c r="H954" s="82" t="s">
        <v>1956</v>
      </c>
      <c r="I954" s="79">
        <v>153.6</v>
      </c>
      <c r="J954" s="79" t="s">
        <v>1769</v>
      </c>
      <c r="K954" s="80" t="s">
        <v>469</v>
      </c>
      <c r="L954" s="79">
        <f>VLOOKUP(H954,Table2[#All],3,FALSE)</f>
        <v>596</v>
      </c>
      <c r="M954" s="80">
        <f t="shared" si="250"/>
        <v>595</v>
      </c>
      <c r="N954" s="81">
        <f t="shared" si="251"/>
        <v>-1</v>
      </c>
      <c r="P954" s="82">
        <f t="shared" si="260"/>
        <v>45762.484722222216</v>
      </c>
      <c r="Q954" s="82">
        <v>45762.176388888889</v>
      </c>
      <c r="R954" s="82">
        <v>45762.501388888886</v>
      </c>
      <c r="S954" s="81">
        <f t="shared" si="252"/>
        <v>465.8333333291618</v>
      </c>
      <c r="T954" s="81">
        <f t="shared" si="235"/>
        <v>23.888888893755695</v>
      </c>
      <c r="U954" s="79"/>
      <c r="V954" s="82">
        <v>45762.804861111108</v>
      </c>
      <c r="W954" s="82">
        <v>45763.556944444441</v>
      </c>
      <c r="X954" s="103">
        <f t="shared" si="236"/>
        <v>1060.4374999993161</v>
      </c>
      <c r="Y954" s="82" t="s">
        <v>1049</v>
      </c>
      <c r="Z954" s="82">
        <v>45763.80972222222</v>
      </c>
      <c r="AA954" s="82">
        <f>Z954+TIME(0,52,0)</f>
        <v>45763.845833333333</v>
      </c>
      <c r="AB954" s="81">
        <f t="shared" si="237"/>
        <v>50.916666668490507</v>
      </c>
      <c r="AC954" s="82" t="s">
        <v>2168</v>
      </c>
      <c r="AD954" s="83">
        <f t="shared" si="253"/>
        <v>1.3083333333343035</v>
      </c>
      <c r="AE954" s="83">
        <f>VLOOKUP(H954,'LIST 2'!$A$1:$E$27,4,FALSE)</f>
        <v>2</v>
      </c>
      <c r="AF954" s="83">
        <f t="shared" si="254"/>
        <v>0.69166666666569654</v>
      </c>
      <c r="AG954" s="83">
        <f t="shared" si="255"/>
        <v>31.400000000023283</v>
      </c>
      <c r="AH954" s="83">
        <f t="shared" si="256"/>
        <v>12</v>
      </c>
      <c r="AI954" s="83">
        <f t="shared" si="257"/>
        <v>19.400000000023283</v>
      </c>
      <c r="AJ954" s="83">
        <f t="shared" si="246"/>
        <v>7.917525773186374</v>
      </c>
      <c r="AK954" s="83"/>
      <c r="AL954" s="83"/>
      <c r="AM954" s="83"/>
      <c r="AN954" s="83"/>
    </row>
    <row r="955" spans="1:40" ht="15" hidden="1" x14ac:dyDescent="0.25">
      <c r="A955" s="82">
        <v>45762</v>
      </c>
      <c r="B955" s="94" t="str">
        <f t="shared" si="259"/>
        <v>April</v>
      </c>
      <c r="C955" s="79" t="s">
        <v>2161</v>
      </c>
      <c r="D955" s="79" t="s">
        <v>1770</v>
      </c>
      <c r="E955" s="79"/>
      <c r="F955" s="79" t="s">
        <v>962</v>
      </c>
      <c r="G955" s="79" t="s">
        <v>978</v>
      </c>
      <c r="H955" s="82" t="s">
        <v>1956</v>
      </c>
      <c r="I955" s="79">
        <v>153.6</v>
      </c>
      <c r="J955" s="79" t="s">
        <v>1770</v>
      </c>
      <c r="K955" s="80" t="s">
        <v>469</v>
      </c>
      <c r="L955" s="79">
        <f>VLOOKUP(H955,Table2[#All],3,FALSE)</f>
        <v>596</v>
      </c>
      <c r="M955" s="80">
        <f t="shared" si="250"/>
        <v>595</v>
      </c>
      <c r="N955" s="81">
        <f t="shared" si="251"/>
        <v>-1</v>
      </c>
      <c r="P955" s="82">
        <f>R955-TIME(0,26,0)</f>
        <v>45762.4375</v>
      </c>
      <c r="Q955" s="82">
        <v>45762.320833333331</v>
      </c>
      <c r="R955" s="82">
        <v>45762.455555555556</v>
      </c>
      <c r="S955" s="81">
        <f t="shared" si="252"/>
        <v>193.10185185555989</v>
      </c>
      <c r="T955" s="81">
        <f t="shared" si="235"/>
        <v>25.879629630556639</v>
      </c>
      <c r="U955" s="79"/>
      <c r="V955" s="82">
        <v>45762.9</v>
      </c>
      <c r="W955" s="82">
        <v>45763.481944444444</v>
      </c>
      <c r="X955" s="103">
        <f t="shared" si="236"/>
        <v>820.54166666370293</v>
      </c>
      <c r="Y955" s="82" t="s">
        <v>1044</v>
      </c>
      <c r="Z955" s="82">
        <v>45763.667361111111</v>
      </c>
      <c r="AA955" s="82">
        <f t="shared" ref="AA955:AA1008" si="261">Z955+TIME(0,45,0)</f>
        <v>45763.698611111111</v>
      </c>
      <c r="AB955" s="81">
        <f t="shared" si="237"/>
        <v>44.0625</v>
      </c>
      <c r="AC955" s="82"/>
      <c r="AD955" s="83">
        <f t="shared" si="253"/>
        <v>1.2118055555547471</v>
      </c>
      <c r="AE955" s="83">
        <f>VLOOKUP(H955,'LIST 2'!$A$1:$E$27,4,FALSE)</f>
        <v>2</v>
      </c>
      <c r="AF955" s="83">
        <f t="shared" si="254"/>
        <v>0.78819444444525288</v>
      </c>
      <c r="AG955" s="83">
        <f t="shared" si="255"/>
        <v>29.083333333313931</v>
      </c>
      <c r="AH955" s="83">
        <f t="shared" si="256"/>
        <v>12</v>
      </c>
      <c r="AI955" s="83">
        <f t="shared" si="257"/>
        <v>17.083333333313931</v>
      </c>
      <c r="AJ955" s="83">
        <f t="shared" si="246"/>
        <v>8.9912195122053333</v>
      </c>
      <c r="AK955" s="83"/>
      <c r="AL955" s="83"/>
      <c r="AM955" s="83"/>
      <c r="AN955" s="83"/>
    </row>
    <row r="956" spans="1:40" ht="15" hidden="1" x14ac:dyDescent="0.25">
      <c r="A956" s="82">
        <v>45762</v>
      </c>
      <c r="B956" s="94" t="str">
        <f t="shared" si="259"/>
        <v>April</v>
      </c>
      <c r="C956" s="79" t="s">
        <v>2161</v>
      </c>
      <c r="D956" s="79" t="s">
        <v>1771</v>
      </c>
      <c r="E956" s="79"/>
      <c r="F956" s="79" t="s">
        <v>966</v>
      </c>
      <c r="G956" s="79" t="s">
        <v>981</v>
      </c>
      <c r="H956" s="82" t="s">
        <v>1956</v>
      </c>
      <c r="I956" s="79">
        <v>153.6</v>
      </c>
      <c r="J956" s="79" t="s">
        <v>1771</v>
      </c>
      <c r="K956" s="80" t="s">
        <v>469</v>
      </c>
      <c r="L956" s="79">
        <f>VLOOKUP(H956,Table2[#All],3,FALSE)</f>
        <v>596</v>
      </c>
      <c r="M956" s="80">
        <f t="shared" si="250"/>
        <v>595</v>
      </c>
      <c r="N956" s="81">
        <f t="shared" si="251"/>
        <v>-1</v>
      </c>
      <c r="P956" s="82">
        <f>R956-TIME(0,54,0)</f>
        <v>45761.59652777778</v>
      </c>
      <c r="Q956" s="82">
        <v>45761.625</v>
      </c>
      <c r="R956" s="82">
        <v>45761.634027777778</v>
      </c>
      <c r="S956" s="81">
        <f t="shared" si="252"/>
        <v>12.93981481527832</v>
      </c>
      <c r="T956" s="81">
        <f t="shared" si="235"/>
        <v>53.749999997914223</v>
      </c>
      <c r="U956" s="79" t="s">
        <v>562</v>
      </c>
      <c r="V956" s="82">
        <v>45762.418749999997</v>
      </c>
      <c r="W956" s="82">
        <v>45762.672222222223</v>
      </c>
      <c r="X956" s="103">
        <f t="shared" si="236"/>
        <v>357.39583333903283</v>
      </c>
      <c r="Y956" s="82" t="s">
        <v>1044</v>
      </c>
      <c r="Z956" s="82">
        <v>45763.527083333334</v>
      </c>
      <c r="AA956" s="82">
        <f>Z956+TIME(0,42,0)</f>
        <v>45763.556250000001</v>
      </c>
      <c r="AB956" s="81">
        <f t="shared" si="237"/>
        <v>41.12500000068394</v>
      </c>
      <c r="AC956" s="82"/>
      <c r="AD956" s="83">
        <f t="shared" si="253"/>
        <v>1.8930555555562023</v>
      </c>
      <c r="AE956" s="83">
        <f>VLOOKUP(H956,'LIST 2'!$A$1:$E$27,4,FALSE)</f>
        <v>2</v>
      </c>
      <c r="AF956" s="83">
        <f t="shared" si="254"/>
        <v>0.10694444444379769</v>
      </c>
      <c r="AG956" s="83">
        <f t="shared" si="255"/>
        <v>45.433333333348855</v>
      </c>
      <c r="AH956" s="83">
        <f t="shared" si="256"/>
        <v>12</v>
      </c>
      <c r="AI956" s="83">
        <f t="shared" si="257"/>
        <v>33.433333333348855</v>
      </c>
      <c r="AJ956" s="83">
        <f t="shared" si="246"/>
        <v>4.5942173479539985</v>
      </c>
      <c r="AK956" s="83"/>
      <c r="AL956" s="83"/>
      <c r="AM956" s="83"/>
      <c r="AN956" s="83"/>
    </row>
    <row r="957" spans="1:40" ht="15" hidden="1" x14ac:dyDescent="0.25">
      <c r="A957" s="82">
        <v>45762</v>
      </c>
      <c r="B957" s="94" t="str">
        <f t="shared" si="259"/>
        <v>April</v>
      </c>
      <c r="C957" s="79" t="s">
        <v>2161</v>
      </c>
      <c r="D957" s="79" t="s">
        <v>1772</v>
      </c>
      <c r="E957" s="79"/>
      <c r="F957" s="79" t="s">
        <v>951</v>
      </c>
      <c r="G957" s="79" t="s">
        <v>968</v>
      </c>
      <c r="H957" s="82" t="s">
        <v>2187</v>
      </c>
      <c r="I957" s="79">
        <v>156</v>
      </c>
      <c r="J957" s="79" t="s">
        <v>1772</v>
      </c>
      <c r="K957" s="80" t="s">
        <v>469</v>
      </c>
      <c r="L957" s="79">
        <f>VLOOKUP(H957,Table2[#All],3,FALSE)</f>
        <v>670</v>
      </c>
      <c r="M957" s="80">
        <f t="shared" si="250"/>
        <v>669</v>
      </c>
      <c r="N957" s="81">
        <f>M957-L957</f>
        <v>-1</v>
      </c>
      <c r="P957" s="82">
        <f>R957-TIME(0,50,0)</f>
        <v>45761.683333333334</v>
      </c>
      <c r="Q957" s="82">
        <v>45761.740277777775</v>
      </c>
      <c r="R957" s="82">
        <v>45761.718055555553</v>
      </c>
      <c r="S957" s="81">
        <f t="shared" si="252"/>
        <v>-31.851851851388346</v>
      </c>
      <c r="T957" s="81">
        <f t="shared" si="235"/>
        <v>49.768518513883464</v>
      </c>
      <c r="U957" s="79" t="s">
        <v>2167</v>
      </c>
      <c r="V957" s="82">
        <v>45762.502083333333</v>
      </c>
      <c r="W957" s="82">
        <v>45762.724305555559</v>
      </c>
      <c r="X957" s="103">
        <f t="shared" si="236"/>
        <v>313.33333333903283</v>
      </c>
      <c r="Y957" s="82" t="s">
        <v>1046</v>
      </c>
      <c r="Z957" s="82">
        <v>45763.777083333334</v>
      </c>
      <c r="AA957" s="82">
        <f>Z957+TIME(0,42,0)</f>
        <v>45763.806250000001</v>
      </c>
      <c r="AB957" s="81">
        <f t="shared" si="237"/>
        <v>41.12500000068394</v>
      </c>
      <c r="AC957" s="82"/>
      <c r="AD957" s="83">
        <f t="shared" si="253"/>
        <v>2.0590277777810115</v>
      </c>
      <c r="AE957" s="83">
        <f>VLOOKUP(H957,'LIST 2'!$A$1:$E$27,4,FALSE)</f>
        <v>2</v>
      </c>
      <c r="AF957" s="83">
        <f t="shared" si="254"/>
        <v>-5.9027777781011537E-2</v>
      </c>
      <c r="AG957" s="83">
        <f t="shared" si="255"/>
        <v>49.416666666744277</v>
      </c>
      <c r="AH957" s="83">
        <f t="shared" si="256"/>
        <v>24</v>
      </c>
      <c r="AI957" s="83">
        <f t="shared" si="257"/>
        <v>25.416666666744277</v>
      </c>
      <c r="AJ957" s="83">
        <f t="shared" si="246"/>
        <v>6.1377049180140455</v>
      </c>
      <c r="AK957" s="83"/>
      <c r="AL957" s="83"/>
      <c r="AM957" s="83"/>
      <c r="AN957" s="83"/>
    </row>
    <row r="958" spans="1:40" ht="15" hidden="1" x14ac:dyDescent="0.25">
      <c r="A958" s="82">
        <v>45762</v>
      </c>
      <c r="B958" s="94" t="str">
        <f t="shared" si="259"/>
        <v>April</v>
      </c>
      <c r="C958" s="79" t="s">
        <v>2162</v>
      </c>
      <c r="D958" s="79" t="s">
        <v>1773</v>
      </c>
      <c r="E958" s="79" t="s">
        <v>1016</v>
      </c>
      <c r="F958" s="79" t="s">
        <v>961</v>
      </c>
      <c r="G958" s="79" t="s">
        <v>977</v>
      </c>
      <c r="H958" s="82" t="s">
        <v>2181</v>
      </c>
      <c r="I958" s="79">
        <v>156</v>
      </c>
      <c r="J958" s="79" t="s">
        <v>1773</v>
      </c>
      <c r="K958" s="80" t="s">
        <v>469</v>
      </c>
      <c r="L958" s="79">
        <f>VLOOKUP(H958,Table2[#All],3,FALSE)</f>
        <v>580</v>
      </c>
      <c r="M958" s="80">
        <f t="shared" si="250"/>
        <v>579</v>
      </c>
      <c r="N958" s="81">
        <f t="shared" si="251"/>
        <v>-1</v>
      </c>
      <c r="P958" s="82">
        <f t="shared" ref="P958:P959" si="262">R958-TIME(0,24,0)</f>
        <v>45761.923611111109</v>
      </c>
      <c r="Q958" s="82">
        <v>45762.136805555558</v>
      </c>
      <c r="R958" s="82">
        <v>45761.94027777778</v>
      </c>
      <c r="S958" s="81">
        <f t="shared" si="252"/>
        <v>-281.68981481527834</v>
      </c>
      <c r="T958" s="81">
        <f t="shared" si="235"/>
        <v>23.888888893755695</v>
      </c>
      <c r="U958" s="79"/>
      <c r="V958" s="82">
        <v>45762.428472222222</v>
      </c>
      <c r="W958" s="82">
        <v>45762.665277777778</v>
      </c>
      <c r="X958" s="103">
        <f t="shared" si="236"/>
        <v>333.89583333424525</v>
      </c>
      <c r="Y958" s="82" t="s">
        <v>1049</v>
      </c>
      <c r="Z958" s="82">
        <v>45762.930555555555</v>
      </c>
      <c r="AA958" s="82">
        <f>Z958+TIME(0,41,0)</f>
        <v>45762.959027777775</v>
      </c>
      <c r="AB958" s="81">
        <f t="shared" si="237"/>
        <v>40.145833330825553</v>
      </c>
      <c r="AC958" s="82"/>
      <c r="AD958" s="83">
        <f t="shared" si="253"/>
        <v>0.99027777777519077</v>
      </c>
      <c r="AE958" s="83">
        <f>VLOOKUP(H958,'LIST 2'!$A$1:$E$27,4,FALSE)</f>
        <v>2</v>
      </c>
      <c r="AF958" s="83">
        <f t="shared" si="254"/>
        <v>1.0097222222248092</v>
      </c>
      <c r="AG958" s="83">
        <f t="shared" si="255"/>
        <v>23.766666666604578</v>
      </c>
      <c r="AH958" s="83">
        <f t="shared" si="256"/>
        <v>0</v>
      </c>
      <c r="AI958" s="83">
        <f t="shared" si="257"/>
        <v>23.766666666604578</v>
      </c>
      <c r="AJ958" s="83">
        <f t="shared" si="246"/>
        <v>6.5638148667773155</v>
      </c>
      <c r="AK958" s="83"/>
      <c r="AL958" s="83"/>
      <c r="AM958" s="83"/>
      <c r="AN958" s="83"/>
    </row>
    <row r="959" spans="1:40" ht="15" hidden="1" x14ac:dyDescent="0.25">
      <c r="A959" s="82">
        <v>45762</v>
      </c>
      <c r="B959" s="94" t="str">
        <f t="shared" si="259"/>
        <v>April</v>
      </c>
      <c r="C959" s="79" t="s">
        <v>2161</v>
      </c>
      <c r="D959" s="79" t="s">
        <v>1774</v>
      </c>
      <c r="E959" s="79"/>
      <c r="F959" s="79" t="s">
        <v>955</v>
      </c>
      <c r="G959" s="79" t="s">
        <v>972</v>
      </c>
      <c r="H959" s="82" t="s">
        <v>2184</v>
      </c>
      <c r="I959" s="79">
        <v>156</v>
      </c>
      <c r="J959" s="79" t="s">
        <v>1774</v>
      </c>
      <c r="K959" s="80" t="s">
        <v>469</v>
      </c>
      <c r="L959" s="79">
        <f>VLOOKUP(H959,Table2[#All],3,FALSE)</f>
        <v>600</v>
      </c>
      <c r="M959" s="80">
        <f t="shared" si="250"/>
        <v>599</v>
      </c>
      <c r="N959" s="81">
        <f t="shared" si="251"/>
        <v>-1</v>
      </c>
      <c r="P959" s="82">
        <f t="shared" si="262"/>
        <v>45761.522222222222</v>
      </c>
      <c r="Q959" s="82">
        <v>45761.85</v>
      </c>
      <c r="R959" s="82">
        <v>45761.538888888892</v>
      </c>
      <c r="S959" s="81">
        <f t="shared" si="252"/>
        <v>-445.92592591943685</v>
      </c>
      <c r="T959" s="81">
        <f t="shared" si="235"/>
        <v>23.888888893755695</v>
      </c>
      <c r="U959" s="79"/>
      <c r="V959" s="82">
        <v>45762.313888888886</v>
      </c>
      <c r="W959" s="82">
        <v>45762.488888888889</v>
      </c>
      <c r="X959" s="103">
        <f t="shared" si="236"/>
        <v>246.75000000410364</v>
      </c>
      <c r="Y959" s="82" t="s">
        <v>1050</v>
      </c>
      <c r="Z959" s="82">
        <v>45763.352777777778</v>
      </c>
      <c r="AA959" s="82">
        <f t="shared" si="261"/>
        <v>45763.384027777778</v>
      </c>
      <c r="AB959" s="81">
        <f t="shared" si="237"/>
        <v>44.0625</v>
      </c>
      <c r="AC959" s="82"/>
      <c r="AD959" s="83">
        <f t="shared" si="253"/>
        <v>1.8138888888861402</v>
      </c>
      <c r="AE959" s="83">
        <f>VLOOKUP(H959,'LIST 2'!$A$1:$E$27,4,FALSE)</f>
        <v>2</v>
      </c>
      <c r="AF959" s="83">
        <f t="shared" si="254"/>
        <v>0.18611111111385981</v>
      </c>
      <c r="AG959" s="83">
        <f t="shared" si="255"/>
        <v>43.533333333267365</v>
      </c>
      <c r="AH959" s="83">
        <f t="shared" si="256"/>
        <v>12</v>
      </c>
      <c r="AI959" s="83">
        <f t="shared" si="257"/>
        <v>31.533333333267365</v>
      </c>
      <c r="AJ959" s="83">
        <f t="shared" si="246"/>
        <v>4.9471458773887855</v>
      </c>
      <c r="AK959" s="83"/>
      <c r="AL959" s="83"/>
      <c r="AM959" s="83"/>
      <c r="AN959" s="83"/>
    </row>
    <row r="960" spans="1:40" ht="15" hidden="1" x14ac:dyDescent="0.25">
      <c r="A960" s="82">
        <v>45762</v>
      </c>
      <c r="B960" s="94" t="str">
        <f t="shared" si="259"/>
        <v>April</v>
      </c>
      <c r="C960" s="79" t="s">
        <v>2161</v>
      </c>
      <c r="D960" s="79" t="s">
        <v>1775</v>
      </c>
      <c r="E960" s="79"/>
      <c r="F960" s="79" t="s">
        <v>962</v>
      </c>
      <c r="G960" s="79" t="s">
        <v>978</v>
      </c>
      <c r="H960" s="82" t="s">
        <v>1989</v>
      </c>
      <c r="I960" s="79">
        <v>153.6</v>
      </c>
      <c r="J960" s="79" t="s">
        <v>1775</v>
      </c>
      <c r="K960" s="80" t="s">
        <v>469</v>
      </c>
      <c r="L960" s="79">
        <f>VLOOKUP(H960,Table2[#All],3,FALSE)</f>
        <v>20</v>
      </c>
      <c r="M960" s="80">
        <f>L960-2</f>
        <v>18</v>
      </c>
      <c r="N960" s="81">
        <f t="shared" si="251"/>
        <v>-2</v>
      </c>
      <c r="P960" s="82">
        <f>R960-TIME(0,53,0)</f>
        <v>45762.772916666661</v>
      </c>
      <c r="Q960" s="82">
        <v>45763.176388888889</v>
      </c>
      <c r="R960" s="82">
        <v>45762.80972222222</v>
      </c>
      <c r="S960" s="81">
        <f t="shared" si="252"/>
        <v>-525.55555555833655</v>
      </c>
      <c r="T960" s="81">
        <f t="shared" ref="T960:T1022" si="263">(R960-P960)*86000/60</f>
        <v>52.75462963472819</v>
      </c>
      <c r="U960" s="79" t="s">
        <v>2165</v>
      </c>
      <c r="V960" s="82">
        <v>45762.518750000003</v>
      </c>
      <c r="W960" s="82">
        <v>45762.68472222222</v>
      </c>
      <c r="X960" s="103">
        <f t="shared" ref="X960:X1022" si="264">(W960-V960)*84600/60</f>
        <v>234.02083332672191</v>
      </c>
      <c r="Y960" s="82" t="s">
        <v>1044</v>
      </c>
      <c r="Z960" s="82">
        <v>45762.708333333336</v>
      </c>
      <c r="AA960" s="82">
        <f>Z960+TIME(0,50,0)</f>
        <v>45762.743055555555</v>
      </c>
      <c r="AB960" s="81">
        <f t="shared" ref="AB960:AB1022" si="265">(AA960-Z960)*84600/60</f>
        <v>48.958333328773733</v>
      </c>
      <c r="AC960" s="82" t="s">
        <v>1678</v>
      </c>
      <c r="AD960" s="83">
        <f t="shared" si="253"/>
        <v>-0.101388888884685</v>
      </c>
      <c r="AE960" s="83">
        <f>VLOOKUP(H960,'LIST 2'!$A$1:$E$27,4,FALSE)</f>
        <v>1</v>
      </c>
      <c r="AF960" s="83">
        <f t="shared" si="254"/>
        <v>1.101388888884685</v>
      </c>
      <c r="AG960" s="83">
        <f t="shared" si="255"/>
        <v>-2.4333333332324401</v>
      </c>
      <c r="AH960" s="83">
        <f t="shared" si="256"/>
        <v>-12</v>
      </c>
      <c r="AI960" s="83">
        <f t="shared" si="257"/>
        <v>9.5666666667675599</v>
      </c>
      <c r="AJ960" s="83">
        <f t="shared" si="246"/>
        <v>16.055749128750531</v>
      </c>
      <c r="AK960" s="83"/>
      <c r="AL960" s="83"/>
      <c r="AM960" s="83"/>
      <c r="AN960" s="83"/>
    </row>
    <row r="961" spans="1:40" ht="15" hidden="1" x14ac:dyDescent="0.25">
      <c r="A961" s="82">
        <v>45762</v>
      </c>
      <c r="B961" s="94" t="str">
        <f t="shared" si="259"/>
        <v>April</v>
      </c>
      <c r="C961" s="79" t="s">
        <v>2161</v>
      </c>
      <c r="D961" s="79" t="s">
        <v>1776</v>
      </c>
      <c r="E961" s="79"/>
      <c r="F961" s="79" t="s">
        <v>965</v>
      </c>
      <c r="G961" s="79" t="s">
        <v>980</v>
      </c>
      <c r="H961" s="82" t="s">
        <v>2185</v>
      </c>
      <c r="I961" s="79">
        <v>156</v>
      </c>
      <c r="J961" s="79" t="s">
        <v>1776</v>
      </c>
      <c r="K961" s="80" t="s">
        <v>469</v>
      </c>
      <c r="L961" s="79">
        <f>VLOOKUP(H961,Table2[#All],3,FALSE)</f>
        <v>382</v>
      </c>
      <c r="M961" s="80">
        <f t="shared" si="250"/>
        <v>381</v>
      </c>
      <c r="N961" s="81">
        <f t="shared" si="251"/>
        <v>-1</v>
      </c>
      <c r="P961" s="82">
        <f>R961-TIME(0,26,0)</f>
        <v>45761.69027777778</v>
      </c>
      <c r="Q961" s="82">
        <v>45762.179861111108</v>
      </c>
      <c r="R961" s="82">
        <v>45761.708333333336</v>
      </c>
      <c r="S961" s="81">
        <f t="shared" si="252"/>
        <v>-675.85648147360189</v>
      </c>
      <c r="T961" s="81">
        <f t="shared" si="263"/>
        <v>25.879629630556639</v>
      </c>
      <c r="U961" s="79"/>
      <c r="V961" s="82">
        <v>45762.44027777778</v>
      </c>
      <c r="W961" s="82">
        <v>45762.525000000001</v>
      </c>
      <c r="X961" s="103">
        <f t="shared" si="264"/>
        <v>119.45833333287737</v>
      </c>
      <c r="Y961" s="82"/>
      <c r="Z961" s="82">
        <v>45763.460416666669</v>
      </c>
      <c r="AA961" s="82">
        <f t="shared" si="261"/>
        <v>45763.491666666669</v>
      </c>
      <c r="AB961" s="81">
        <f t="shared" si="265"/>
        <v>44.0625</v>
      </c>
      <c r="AC961" s="82"/>
      <c r="AD961" s="83">
        <f t="shared" si="253"/>
        <v>1.7520833333328483</v>
      </c>
      <c r="AE961" s="83">
        <f>VLOOKUP(H961,'LIST 2'!$A$1:$E$27,4,FALSE)</f>
        <v>2</v>
      </c>
      <c r="AF961" s="83">
        <f t="shared" si="254"/>
        <v>0.24791666666715173</v>
      </c>
      <c r="AG961" s="83">
        <f t="shared" si="255"/>
        <v>42.049999999988358</v>
      </c>
      <c r="AH961" s="83">
        <f t="shared" si="256"/>
        <v>12</v>
      </c>
      <c r="AI961" s="83">
        <f t="shared" si="257"/>
        <v>30.049999999988358</v>
      </c>
      <c r="AJ961" s="83">
        <f t="shared" si="246"/>
        <v>5.191347753745772</v>
      </c>
      <c r="AK961" s="83"/>
      <c r="AL961" s="83"/>
      <c r="AM961" s="83"/>
      <c r="AN961" s="83"/>
    </row>
    <row r="962" spans="1:40" ht="15" hidden="1" x14ac:dyDescent="0.25">
      <c r="A962" s="82">
        <v>45762</v>
      </c>
      <c r="B962" s="94" t="str">
        <f t="shared" si="259"/>
        <v>April</v>
      </c>
      <c r="C962" s="79" t="s">
        <v>2161</v>
      </c>
      <c r="D962" s="79" t="s">
        <v>1777</v>
      </c>
      <c r="E962" s="79"/>
      <c r="F962" s="79" t="s">
        <v>956</v>
      </c>
      <c r="G962" s="79" t="s">
        <v>973</v>
      </c>
      <c r="H962" s="82" t="s">
        <v>2022</v>
      </c>
      <c r="I962" s="79">
        <v>153.6</v>
      </c>
      <c r="J962" s="79" t="s">
        <v>1777</v>
      </c>
      <c r="K962" s="80" t="s">
        <v>469</v>
      </c>
      <c r="L962" s="79">
        <f>VLOOKUP(H962,Table2[#All],3,FALSE)</f>
        <v>150</v>
      </c>
      <c r="M962" s="80">
        <f t="shared" si="250"/>
        <v>149</v>
      </c>
      <c r="N962" s="81">
        <f t="shared" si="251"/>
        <v>-1</v>
      </c>
      <c r="P962" s="82">
        <f>R962-TIME(0,24,0)</f>
        <v>45762.736111111109</v>
      </c>
      <c r="Q962" s="82">
        <v>45763.260416666664</v>
      </c>
      <c r="R962" s="82">
        <v>45762.75277777778</v>
      </c>
      <c r="S962" s="81">
        <f t="shared" si="252"/>
        <v>-727.61574073471513</v>
      </c>
      <c r="T962" s="81">
        <f t="shared" si="263"/>
        <v>23.888888893755695</v>
      </c>
      <c r="U962" s="79"/>
      <c r="V962" s="82">
        <v>45763.404861111114</v>
      </c>
      <c r="W962" s="82">
        <v>45763.598611111112</v>
      </c>
      <c r="X962" s="103">
        <f t="shared" si="264"/>
        <v>273.18749999794818</v>
      </c>
      <c r="Y962" s="82" t="s">
        <v>1044</v>
      </c>
      <c r="Z962" s="82">
        <v>45763.700694444444</v>
      </c>
      <c r="AA962" s="82">
        <f>Z962+TIME(0,41,0)</f>
        <v>45763.729166666664</v>
      </c>
      <c r="AB962" s="81">
        <f t="shared" si="265"/>
        <v>40.145833330825553</v>
      </c>
      <c r="AC962" s="82"/>
      <c r="AD962" s="83">
        <f t="shared" si="253"/>
        <v>0.94791666666424135</v>
      </c>
      <c r="AE962" s="83">
        <f>VLOOKUP(H962,'LIST 2'!$A$1:$E$27,4,FALSE)</f>
        <v>1</v>
      </c>
      <c r="AF962" s="83">
        <f t="shared" si="254"/>
        <v>5.2083333335758653E-2</v>
      </c>
      <c r="AG962" s="83">
        <f t="shared" si="255"/>
        <v>22.749999999941792</v>
      </c>
      <c r="AH962" s="83">
        <f t="shared" si="256"/>
        <v>0</v>
      </c>
      <c r="AI962" s="83">
        <f t="shared" si="257"/>
        <v>22.749999999941792</v>
      </c>
      <c r="AJ962" s="83">
        <f t="shared" ref="AJ962:AJ993" si="266">I962/AI962</f>
        <v>6.7516483516656258</v>
      </c>
      <c r="AK962" s="83"/>
      <c r="AL962" s="83"/>
      <c r="AM962" s="83"/>
      <c r="AN962" s="83"/>
    </row>
    <row r="963" spans="1:40" ht="15" hidden="1" x14ac:dyDescent="0.25">
      <c r="A963" s="82">
        <v>45763</v>
      </c>
      <c r="B963" s="94" t="str">
        <f t="shared" si="259"/>
        <v>April</v>
      </c>
      <c r="C963" s="79" t="s">
        <v>2161</v>
      </c>
      <c r="D963" s="79" t="s">
        <v>1778</v>
      </c>
      <c r="E963" s="79"/>
      <c r="F963" s="79" t="s">
        <v>966</v>
      </c>
      <c r="G963" s="79" t="s">
        <v>981</v>
      </c>
      <c r="H963" s="82" t="s">
        <v>1959</v>
      </c>
      <c r="I963" s="79">
        <v>156</v>
      </c>
      <c r="J963" s="79" t="s">
        <v>1778</v>
      </c>
      <c r="K963" s="80" t="s">
        <v>469</v>
      </c>
      <c r="L963" s="79">
        <f>VLOOKUP(H963,Table2[#All],3,FALSE)</f>
        <v>304</v>
      </c>
      <c r="M963" s="80">
        <f>L963-3</f>
        <v>301</v>
      </c>
      <c r="N963" s="81">
        <f t="shared" si="251"/>
        <v>-3</v>
      </c>
      <c r="P963" s="82">
        <f>R963-TIME(0,27,0)</f>
        <v>45763.711805555555</v>
      </c>
      <c r="Q963" s="82">
        <v>45763.098611111112</v>
      </c>
      <c r="R963" s="82">
        <v>45763.730555555558</v>
      </c>
      <c r="S963" s="81">
        <f t="shared" si="252"/>
        <v>905.78703703819576</v>
      </c>
      <c r="T963" s="81">
        <f t="shared" si="263"/>
        <v>26.87500000417155</v>
      </c>
      <c r="U963" s="79"/>
      <c r="V963" s="82">
        <v>45764.504166666666</v>
      </c>
      <c r="W963" s="82">
        <v>45764.702777777777</v>
      </c>
      <c r="X963" s="103">
        <f t="shared" si="264"/>
        <v>280.04166666643869</v>
      </c>
      <c r="Y963" s="82" t="s">
        <v>1046</v>
      </c>
      <c r="Z963" s="82">
        <v>45765.491666666669</v>
      </c>
      <c r="AA963" s="82">
        <f t="shared" ref="AA963:AA964" si="267">Z963+TIME(0,42,0)</f>
        <v>45765.520833333336</v>
      </c>
      <c r="AB963" s="81">
        <f t="shared" si="265"/>
        <v>41.12500000068394</v>
      </c>
      <c r="AC963" s="82"/>
      <c r="AD963" s="83">
        <f t="shared" si="253"/>
        <v>1.7611111111109494</v>
      </c>
      <c r="AE963" s="83">
        <f>VLOOKUP(H963,'LIST 2'!$A$1:$E$27,4,FALSE)</f>
        <v>2</v>
      </c>
      <c r="AF963" s="83">
        <f t="shared" si="254"/>
        <v>0.23888888888905058</v>
      </c>
      <c r="AG963" s="83">
        <f t="shared" si="255"/>
        <v>42.266666666662786</v>
      </c>
      <c r="AH963" s="83">
        <f t="shared" si="256"/>
        <v>12</v>
      </c>
      <c r="AI963" s="83">
        <f t="shared" si="257"/>
        <v>30.266666666662786</v>
      </c>
      <c r="AJ963" s="83">
        <f t="shared" si="266"/>
        <v>5.1541850220270922</v>
      </c>
      <c r="AK963" s="83"/>
      <c r="AL963" s="83"/>
      <c r="AM963" s="83"/>
      <c r="AN963" s="83"/>
    </row>
    <row r="964" spans="1:40" ht="15" hidden="1" x14ac:dyDescent="0.25">
      <c r="A964" s="82">
        <v>45763</v>
      </c>
      <c r="B964" s="94" t="str">
        <f t="shared" si="259"/>
        <v>April</v>
      </c>
      <c r="C964" s="79" t="s">
        <v>2161</v>
      </c>
      <c r="D964" s="79" t="s">
        <v>1779</v>
      </c>
      <c r="E964" s="79"/>
      <c r="F964" s="79" t="s">
        <v>965</v>
      </c>
      <c r="G964" s="79" t="s">
        <v>980</v>
      </c>
      <c r="H964" s="82" t="s">
        <v>1956</v>
      </c>
      <c r="I964" s="79">
        <v>153.6</v>
      </c>
      <c r="J964" s="79" t="s">
        <v>1779</v>
      </c>
      <c r="K964" s="80" t="s">
        <v>469</v>
      </c>
      <c r="L964" s="79">
        <f>VLOOKUP(H964,Table2[#All],3,FALSE)</f>
        <v>596</v>
      </c>
      <c r="M964" s="80">
        <f t="shared" si="250"/>
        <v>595</v>
      </c>
      <c r="N964" s="81">
        <f t="shared" si="251"/>
        <v>-1</v>
      </c>
      <c r="P964" s="82">
        <f>R964-TIME(0,26,0)</f>
        <v>45764.7</v>
      </c>
      <c r="Q964" s="82">
        <v>45764.176388888889</v>
      </c>
      <c r="R964" s="82">
        <v>45764.718055555553</v>
      </c>
      <c r="S964" s="81">
        <f t="shared" si="252"/>
        <v>776.3888888854126</v>
      </c>
      <c r="T964" s="81">
        <f t="shared" si="263"/>
        <v>25.879629630556639</v>
      </c>
      <c r="U964" s="79"/>
      <c r="V964" s="82">
        <v>45764.90625</v>
      </c>
      <c r="W964" s="82">
        <v>45765.573611111111</v>
      </c>
      <c r="X964" s="103">
        <f t="shared" si="264"/>
        <v>940.97916666643869</v>
      </c>
      <c r="Y964" s="82" t="s">
        <v>1049</v>
      </c>
      <c r="Z964" s="82">
        <v>45765.770138888889</v>
      </c>
      <c r="AA964" s="82">
        <f t="shared" si="267"/>
        <v>45765.799305555556</v>
      </c>
      <c r="AB964" s="81">
        <f t="shared" si="265"/>
        <v>41.12500000068394</v>
      </c>
      <c r="AC964" s="82"/>
      <c r="AD964" s="83">
        <f t="shared" si="253"/>
        <v>1.0520833333357587</v>
      </c>
      <c r="AE964" s="83">
        <f>VLOOKUP(H964,'LIST 2'!$A$1:$E$27,4,FALSE)</f>
        <v>2</v>
      </c>
      <c r="AF964" s="83">
        <f t="shared" si="254"/>
        <v>0.94791666666424135</v>
      </c>
      <c r="AG964" s="83">
        <f t="shared" si="255"/>
        <v>25.250000000058208</v>
      </c>
      <c r="AH964" s="83">
        <f t="shared" si="256"/>
        <v>12</v>
      </c>
      <c r="AI964" s="83">
        <f t="shared" si="257"/>
        <v>13.250000000058208</v>
      </c>
      <c r="AJ964" s="83">
        <f t="shared" si="266"/>
        <v>11.592452830137752</v>
      </c>
      <c r="AK964" s="83"/>
      <c r="AL964" s="83"/>
      <c r="AM964" s="83"/>
      <c r="AN964" s="83"/>
    </row>
    <row r="965" spans="1:40" ht="15" hidden="1" x14ac:dyDescent="0.25">
      <c r="A965" s="82">
        <v>45763</v>
      </c>
      <c r="B965" s="94" t="str">
        <f t="shared" si="259"/>
        <v>April</v>
      </c>
      <c r="C965" s="79" t="s">
        <v>2161</v>
      </c>
      <c r="D965" s="79" t="s">
        <v>1780</v>
      </c>
      <c r="E965" s="79"/>
      <c r="F965" s="79" t="s">
        <v>955</v>
      </c>
      <c r="G965" s="79" t="s">
        <v>972</v>
      </c>
      <c r="H965" s="82" t="s">
        <v>1956</v>
      </c>
      <c r="I965" s="79">
        <v>153.6</v>
      </c>
      <c r="J965" s="79" t="s">
        <v>1780</v>
      </c>
      <c r="K965" s="80" t="s">
        <v>469</v>
      </c>
      <c r="L965" s="79">
        <f>VLOOKUP(H965,Table2[#All],3,FALSE)</f>
        <v>596</v>
      </c>
      <c r="M965" s="80">
        <f t="shared" si="250"/>
        <v>595</v>
      </c>
      <c r="N965" s="81">
        <f t="shared" si="251"/>
        <v>-1</v>
      </c>
      <c r="P965" s="82">
        <f>R965-TIME(0,54,0)</f>
        <v>45763.667361111111</v>
      </c>
      <c r="Q965" s="82">
        <v>45763.176388888889</v>
      </c>
      <c r="R965" s="82">
        <v>45763.704861111109</v>
      </c>
      <c r="S965" s="81">
        <f t="shared" si="252"/>
        <v>757.47685184930253</v>
      </c>
      <c r="T965" s="81">
        <f t="shared" si="263"/>
        <v>53.749999997914223</v>
      </c>
      <c r="U965" s="79" t="s">
        <v>2163</v>
      </c>
      <c r="V965" s="82">
        <v>45764.481944444444</v>
      </c>
      <c r="W965" s="82">
        <v>45764.57916666667</v>
      </c>
      <c r="X965" s="103">
        <f t="shared" si="264"/>
        <v>137.08333333903283</v>
      </c>
      <c r="Y965" s="82"/>
      <c r="Z965" s="82">
        <v>45765.38958333333</v>
      </c>
      <c r="AA965" s="82">
        <f>Z965+TIME(0,42,0)</f>
        <v>45765.418749999997</v>
      </c>
      <c r="AB965" s="81">
        <f t="shared" si="265"/>
        <v>41.12500000068394</v>
      </c>
      <c r="AC965" s="82"/>
      <c r="AD965" s="83">
        <f t="shared" si="253"/>
        <v>1.6847222222204437</v>
      </c>
      <c r="AE965" s="83">
        <f>VLOOKUP(H965,'LIST 2'!$A$1:$E$27,4,FALSE)</f>
        <v>2</v>
      </c>
      <c r="AF965" s="83">
        <f t="shared" si="254"/>
        <v>0.31527777777955635</v>
      </c>
      <c r="AG965" s="83">
        <f t="shared" si="255"/>
        <v>40.433333333290648</v>
      </c>
      <c r="AH965" s="83">
        <f t="shared" si="256"/>
        <v>12</v>
      </c>
      <c r="AI965" s="83">
        <f t="shared" si="257"/>
        <v>28.433333333290648</v>
      </c>
      <c r="AJ965" s="83">
        <f t="shared" si="266"/>
        <v>5.40211019930471</v>
      </c>
      <c r="AK965" s="83"/>
      <c r="AL965" s="83"/>
      <c r="AM965" s="83"/>
      <c r="AN965" s="83"/>
    </row>
    <row r="966" spans="1:40" ht="15" hidden="1" x14ac:dyDescent="0.25">
      <c r="A966" s="82">
        <v>45763</v>
      </c>
      <c r="B966" s="94" t="str">
        <f t="shared" si="259"/>
        <v>April</v>
      </c>
      <c r="C966" s="79" t="s">
        <v>2161</v>
      </c>
      <c r="D966" s="79" t="s">
        <v>1781</v>
      </c>
      <c r="E966" s="79"/>
      <c r="F966" s="79" t="s">
        <v>958</v>
      </c>
      <c r="G966" s="79" t="s">
        <v>975</v>
      </c>
      <c r="H966" s="82" t="s">
        <v>2022</v>
      </c>
      <c r="I966" s="79">
        <v>153.6</v>
      </c>
      <c r="J966" s="79" t="s">
        <v>1781</v>
      </c>
      <c r="K966" s="80" t="s">
        <v>469</v>
      </c>
      <c r="L966" s="79">
        <f>VLOOKUP(H966,Table2[#All],3,FALSE)</f>
        <v>150</v>
      </c>
      <c r="M966" s="80">
        <f t="shared" si="250"/>
        <v>149</v>
      </c>
      <c r="N966" s="81">
        <f t="shared" si="251"/>
        <v>-1</v>
      </c>
      <c r="P966" s="82">
        <f>R966-TIME(0,24,0)</f>
        <v>45763.770138888889</v>
      </c>
      <c r="Q966" s="82">
        <v>45763.260416666664</v>
      </c>
      <c r="R966" s="82">
        <v>45763.786805555559</v>
      </c>
      <c r="S966" s="81">
        <f t="shared" si="252"/>
        <v>754.49074074931559</v>
      </c>
      <c r="T966" s="81">
        <f t="shared" si="263"/>
        <v>23.888888893755695</v>
      </c>
      <c r="U966" s="79"/>
      <c r="V966" s="82">
        <v>45764.399305555555</v>
      </c>
      <c r="W966" s="82">
        <v>45764.632638888892</v>
      </c>
      <c r="X966" s="103">
        <f t="shared" si="264"/>
        <v>329.00000000547152</v>
      </c>
      <c r="Y966" s="82" t="s">
        <v>1050</v>
      </c>
      <c r="Z966" s="82">
        <v>45764.729166666664</v>
      </c>
      <c r="AA966" s="82">
        <f>Z966+TIME(0,52,0)</f>
        <v>45764.765277777777</v>
      </c>
      <c r="AB966" s="81">
        <f t="shared" si="265"/>
        <v>50.916666668490507</v>
      </c>
      <c r="AC966" s="82" t="s">
        <v>2170</v>
      </c>
      <c r="AD966" s="83">
        <f t="shared" si="253"/>
        <v>0.94236111110512866</v>
      </c>
      <c r="AE966" s="83">
        <f>VLOOKUP(H966,'LIST 2'!$A$1:$E$27,4,FALSE)</f>
        <v>1</v>
      </c>
      <c r="AF966" s="83">
        <f t="shared" si="254"/>
        <v>5.7638888894871343E-2</v>
      </c>
      <c r="AG966" s="83">
        <f t="shared" si="255"/>
        <v>22.616666666523088</v>
      </c>
      <c r="AH966" s="83">
        <f t="shared" si="256"/>
        <v>0</v>
      </c>
      <c r="AI966" s="83">
        <f t="shared" si="257"/>
        <v>22.616666666523088</v>
      </c>
      <c r="AJ966" s="83">
        <f t="shared" si="266"/>
        <v>6.7914517318043526</v>
      </c>
      <c r="AK966" s="83"/>
      <c r="AL966" s="83"/>
      <c r="AM966" s="83"/>
      <c r="AN966" s="83"/>
    </row>
    <row r="967" spans="1:40" ht="15" hidden="1" x14ac:dyDescent="0.25">
      <c r="A967" s="82">
        <v>45763</v>
      </c>
      <c r="B967" s="94" t="str">
        <f t="shared" si="259"/>
        <v>April</v>
      </c>
      <c r="C967" s="79" t="s">
        <v>2161</v>
      </c>
      <c r="D967" s="79" t="s">
        <v>1782</v>
      </c>
      <c r="E967" s="79"/>
      <c r="F967" s="79" t="s">
        <v>965</v>
      </c>
      <c r="G967" s="79" t="s">
        <v>980</v>
      </c>
      <c r="H967" s="82" t="s">
        <v>1989</v>
      </c>
      <c r="I967" s="79">
        <v>153.6</v>
      </c>
      <c r="J967" s="79" t="s">
        <v>1782</v>
      </c>
      <c r="K967" s="80" t="s">
        <v>469</v>
      </c>
      <c r="L967" s="79">
        <f>VLOOKUP(H967,Table2[#All],3,FALSE)</f>
        <v>20</v>
      </c>
      <c r="M967" s="80">
        <f>L967+1</f>
        <v>21</v>
      </c>
      <c r="N967" s="81">
        <f t="shared" si="251"/>
        <v>1</v>
      </c>
      <c r="P967" s="82">
        <f>R967-TIME(0,50,0)</f>
        <v>45763.709722222222</v>
      </c>
      <c r="Q967" s="82">
        <v>45763.320833333331</v>
      </c>
      <c r="R967" s="82">
        <v>45763.744444444441</v>
      </c>
      <c r="S967" s="81">
        <f t="shared" si="252"/>
        <v>607.17592592360836</v>
      </c>
      <c r="T967" s="81">
        <f t="shared" si="263"/>
        <v>49.768518513883464</v>
      </c>
      <c r="U967" s="79" t="s">
        <v>2164</v>
      </c>
      <c r="V967" s="82">
        <v>45763.777083333334</v>
      </c>
      <c r="W967" s="82">
        <v>45764.515972222223</v>
      </c>
      <c r="X967" s="103">
        <f t="shared" si="264"/>
        <v>1041.8333333335613</v>
      </c>
      <c r="Y967" s="82" t="s">
        <v>1044</v>
      </c>
      <c r="Z967" s="82">
        <v>45764.544444444444</v>
      </c>
      <c r="AA967" s="82">
        <f>Z967+TIME(0,49,0)</f>
        <v>45764.578472222223</v>
      </c>
      <c r="AB967" s="81">
        <f t="shared" si="265"/>
        <v>47.979166669174447</v>
      </c>
      <c r="AC967" s="82" t="s">
        <v>2168</v>
      </c>
      <c r="AD967" s="83">
        <f t="shared" si="253"/>
        <v>0.80000000000291038</v>
      </c>
      <c r="AE967" s="83">
        <f>VLOOKUP(H967,'LIST 2'!$A$1:$E$27,4,FALSE)</f>
        <v>1</v>
      </c>
      <c r="AF967" s="83">
        <f t="shared" si="254"/>
        <v>0.19999999999708962</v>
      </c>
      <c r="AG967" s="83">
        <f t="shared" si="255"/>
        <v>19.200000000069849</v>
      </c>
      <c r="AH967" s="83">
        <f t="shared" si="256"/>
        <v>0</v>
      </c>
      <c r="AI967" s="83">
        <f t="shared" si="257"/>
        <v>19.200000000069849</v>
      </c>
      <c r="AJ967" s="83">
        <f t="shared" si="266"/>
        <v>7.9999999999708962</v>
      </c>
      <c r="AK967" s="83"/>
      <c r="AL967" s="83"/>
      <c r="AM967" s="83"/>
      <c r="AN967" s="83"/>
    </row>
    <row r="968" spans="1:40" ht="15" hidden="1" x14ac:dyDescent="0.25">
      <c r="A968" s="82">
        <v>45763</v>
      </c>
      <c r="B968" s="94" t="str">
        <f t="shared" si="259"/>
        <v>April</v>
      </c>
      <c r="C968" s="79" t="s">
        <v>2162</v>
      </c>
      <c r="D968" s="79" t="s">
        <v>1783</v>
      </c>
      <c r="E968" s="79" t="s">
        <v>1016</v>
      </c>
      <c r="F968" s="79" t="s">
        <v>1690</v>
      </c>
      <c r="G968" s="79" t="s">
        <v>45</v>
      </c>
      <c r="H968" s="82" t="s">
        <v>2190</v>
      </c>
      <c r="I968" s="79">
        <v>156</v>
      </c>
      <c r="J968" s="79" t="s">
        <v>1783</v>
      </c>
      <c r="K968" s="80" t="s">
        <v>469</v>
      </c>
      <c r="L968" s="79">
        <f>VLOOKUP(H968,Table2[#All],3,FALSE)</f>
        <v>680</v>
      </c>
      <c r="M968" s="80">
        <f>L968-3</f>
        <v>677</v>
      </c>
      <c r="N968" s="81">
        <f t="shared" si="251"/>
        <v>-3</v>
      </c>
      <c r="P968" s="82">
        <f>R968-TIME(0,26,0)</f>
        <v>45763.26458333333</v>
      </c>
      <c r="Q968" s="82">
        <v>45762.916666666664</v>
      </c>
      <c r="R968" s="82">
        <v>45763.282638888886</v>
      </c>
      <c r="S968" s="81">
        <f t="shared" si="252"/>
        <v>524.56018518472172</v>
      </c>
      <c r="T968" s="81">
        <f t="shared" si="263"/>
        <v>25.879629630556639</v>
      </c>
      <c r="U968" s="79"/>
      <c r="V968" s="82">
        <v>45763.820833333331</v>
      </c>
      <c r="W968" s="82">
        <v>45764.526388888888</v>
      </c>
      <c r="X968" s="103">
        <f t="shared" si="264"/>
        <v>994.83333333424525</v>
      </c>
      <c r="Y968" s="82" t="s">
        <v>1044</v>
      </c>
      <c r="Z968" s="82">
        <v>45765.255555555559</v>
      </c>
      <c r="AA968" s="82">
        <f t="shared" si="261"/>
        <v>45765.286805555559</v>
      </c>
      <c r="AB968" s="81">
        <f t="shared" si="265"/>
        <v>44.0625</v>
      </c>
      <c r="AC968" s="82"/>
      <c r="AD968" s="83">
        <f t="shared" si="253"/>
        <v>1.9729166666729725</v>
      </c>
      <c r="AE968" s="83">
        <f>VLOOKUP(H968,'LIST 2'!$A$1:$E$27,4,FALSE)</f>
        <v>3</v>
      </c>
      <c r="AF968" s="83">
        <f t="shared" si="254"/>
        <v>1.0270833333270275</v>
      </c>
      <c r="AG968" s="83">
        <f t="shared" si="255"/>
        <v>47.35000000015134</v>
      </c>
      <c r="AH968" s="83">
        <f t="shared" si="256"/>
        <v>12</v>
      </c>
      <c r="AI968" s="83">
        <f t="shared" si="257"/>
        <v>35.35000000015134</v>
      </c>
      <c r="AJ968" s="83">
        <f t="shared" si="266"/>
        <v>4.4130127298255202</v>
      </c>
      <c r="AK968" s="83"/>
      <c r="AL968" s="83"/>
      <c r="AM968" s="83"/>
      <c r="AN968" s="83"/>
    </row>
    <row r="969" spans="1:40" ht="15" hidden="1" x14ac:dyDescent="0.25">
      <c r="A969" s="82">
        <v>45763</v>
      </c>
      <c r="B969" s="94" t="str">
        <f t="shared" si="259"/>
        <v>April</v>
      </c>
      <c r="C969" s="79" t="s">
        <v>2162</v>
      </c>
      <c r="D969" s="79" t="s">
        <v>1784</v>
      </c>
      <c r="E969" s="79" t="s">
        <v>1016</v>
      </c>
      <c r="F969" s="79" t="s">
        <v>963</v>
      </c>
      <c r="G969" s="79" t="s">
        <v>60</v>
      </c>
      <c r="H969" s="82" t="s">
        <v>2177</v>
      </c>
      <c r="I969" s="79">
        <v>156</v>
      </c>
      <c r="J969" s="79" t="s">
        <v>1784</v>
      </c>
      <c r="K969" s="80" t="s">
        <v>469</v>
      </c>
      <c r="L969" s="79">
        <f>VLOOKUP(H969,Table2[#All],3,FALSE)</f>
        <v>448</v>
      </c>
      <c r="M969" s="80">
        <f t="shared" si="250"/>
        <v>447</v>
      </c>
      <c r="N969" s="81">
        <f t="shared" si="251"/>
        <v>-1</v>
      </c>
      <c r="P969" s="82">
        <f>R969-TIME(0,24,0)</f>
        <v>45762.51180555555</v>
      </c>
      <c r="Q969" s="82">
        <v>45763.0625</v>
      </c>
      <c r="R969" s="82">
        <v>45762.52847222222</v>
      </c>
      <c r="S969" s="81">
        <f t="shared" si="252"/>
        <v>-765.43981481736409</v>
      </c>
      <c r="T969" s="81">
        <f t="shared" si="263"/>
        <v>23.888888893755695</v>
      </c>
      <c r="U969" s="79"/>
      <c r="V969" s="82">
        <v>45763.355555555558</v>
      </c>
      <c r="W969" s="82">
        <v>45763.726388888892</v>
      </c>
      <c r="X969" s="103">
        <f t="shared" si="264"/>
        <v>522.87500000136788</v>
      </c>
      <c r="Y969" s="82" t="s">
        <v>1047</v>
      </c>
      <c r="Z969" s="82">
        <v>45764.347222222219</v>
      </c>
      <c r="AA969" s="82">
        <f>Z969+TIME(0,42,0)</f>
        <v>45764.376388888886</v>
      </c>
      <c r="AB969" s="81">
        <f t="shared" si="265"/>
        <v>41.12500000068394</v>
      </c>
      <c r="AC969" s="82"/>
      <c r="AD969" s="83">
        <f t="shared" si="253"/>
        <v>1.8187499999985448</v>
      </c>
      <c r="AE969" s="83">
        <f>VLOOKUP(H969,'LIST 2'!$A$1:$E$27,4,FALSE)</f>
        <v>2</v>
      </c>
      <c r="AF969" s="83">
        <f t="shared" si="254"/>
        <v>0.18125000000145519</v>
      </c>
      <c r="AG969" s="83">
        <f t="shared" si="255"/>
        <v>43.649999999965075</v>
      </c>
      <c r="AH969" s="83">
        <f t="shared" si="256"/>
        <v>12</v>
      </c>
      <c r="AI969" s="83">
        <f t="shared" si="257"/>
        <v>31.649999999965075</v>
      </c>
      <c r="AJ969" s="83">
        <f t="shared" si="266"/>
        <v>4.9289099526120737</v>
      </c>
      <c r="AK969" s="83"/>
      <c r="AL969" s="83"/>
      <c r="AM969" s="83"/>
      <c r="AN969" s="83"/>
    </row>
    <row r="970" spans="1:40" ht="15" hidden="1" x14ac:dyDescent="0.25">
      <c r="A970" s="82">
        <v>45764</v>
      </c>
      <c r="B970" s="94" t="str">
        <f t="shared" si="259"/>
        <v>April</v>
      </c>
      <c r="C970" s="79" t="s">
        <v>2161</v>
      </c>
      <c r="D970" s="79" t="s">
        <v>1785</v>
      </c>
      <c r="E970" s="79"/>
      <c r="F970" s="79" t="s">
        <v>951</v>
      </c>
      <c r="G970" s="79" t="s">
        <v>968</v>
      </c>
      <c r="H970" s="82" t="s">
        <v>2187</v>
      </c>
      <c r="I970" s="79">
        <v>156</v>
      </c>
      <c r="J970" s="79" t="s">
        <v>1785</v>
      </c>
      <c r="K970" s="80" t="s">
        <v>469</v>
      </c>
      <c r="L970" s="79">
        <f>VLOOKUP(H970,Table2[#All],3,FALSE)</f>
        <v>670</v>
      </c>
      <c r="M970" s="80">
        <f>L970+1</f>
        <v>671</v>
      </c>
      <c r="N970" s="81">
        <f t="shared" si="251"/>
        <v>1</v>
      </c>
      <c r="P970" s="82">
        <f>R970-TIME(0,26,0)</f>
        <v>45764.590277777774</v>
      </c>
      <c r="Q970" s="82">
        <v>45763.875</v>
      </c>
      <c r="R970" s="82">
        <v>45764.60833333333</v>
      </c>
      <c r="S970" s="81">
        <f t="shared" si="252"/>
        <v>1051.1111111062444</v>
      </c>
      <c r="T970" s="81">
        <f t="shared" si="263"/>
        <v>25.879629630556639</v>
      </c>
      <c r="U970" s="79"/>
      <c r="V970" s="82">
        <v>45765.502083333333</v>
      </c>
      <c r="W970" s="82">
        <v>45765.740972222222</v>
      </c>
      <c r="X970" s="103">
        <f t="shared" si="264"/>
        <v>336.83333333356131</v>
      </c>
      <c r="Y970" s="82" t="s">
        <v>1049</v>
      </c>
      <c r="Z970" s="82">
        <v>45768.380555555559</v>
      </c>
      <c r="AA970" s="82">
        <f>Z970+TIME(0,42,0)</f>
        <v>45768.409722222226</v>
      </c>
      <c r="AB970" s="81">
        <f t="shared" si="265"/>
        <v>41.12500000068394</v>
      </c>
      <c r="AC970" s="82"/>
      <c r="AD970" s="83">
        <f t="shared" si="253"/>
        <v>3.7722222222291748</v>
      </c>
      <c r="AE970" s="83">
        <f>VLOOKUP(H970,'LIST 2'!$A$1:$E$27,4,FALSE)</f>
        <v>2</v>
      </c>
      <c r="AF970" s="83">
        <f t="shared" si="254"/>
        <v>-1.7722222222291748</v>
      </c>
      <c r="AG970" s="83">
        <f t="shared" si="255"/>
        <v>90.533333333500195</v>
      </c>
      <c r="AH970" s="83">
        <f t="shared" si="256"/>
        <v>36</v>
      </c>
      <c r="AI970" s="83">
        <f t="shared" si="257"/>
        <v>54.533333333500195</v>
      </c>
      <c r="AJ970" s="83">
        <f t="shared" si="266"/>
        <v>2.8606356968127629</v>
      </c>
      <c r="AK970" s="83"/>
      <c r="AL970" s="83"/>
      <c r="AM970" s="83"/>
      <c r="AN970" s="83"/>
    </row>
    <row r="971" spans="1:40" ht="15" hidden="1" x14ac:dyDescent="0.25">
      <c r="A971" s="82">
        <v>45764</v>
      </c>
      <c r="B971" s="94" t="str">
        <f t="shared" si="259"/>
        <v>April</v>
      </c>
      <c r="C971" s="79" t="s">
        <v>2161</v>
      </c>
      <c r="D971" s="79" t="s">
        <v>1786</v>
      </c>
      <c r="E971" s="79"/>
      <c r="F971" s="79" t="s">
        <v>964</v>
      </c>
      <c r="G971" s="79" t="s">
        <v>979</v>
      </c>
      <c r="H971" s="82" t="s">
        <v>1991</v>
      </c>
      <c r="I971" s="79">
        <v>153.6</v>
      </c>
      <c r="J971" s="79" t="s">
        <v>1786</v>
      </c>
      <c r="K971" s="80" t="s">
        <v>469</v>
      </c>
      <c r="L971" s="79">
        <f>VLOOKUP(H971,Table2[#All],3,FALSE)</f>
        <v>272</v>
      </c>
      <c r="M971" s="80">
        <f t="shared" si="250"/>
        <v>271</v>
      </c>
      <c r="N971" s="81">
        <f t="shared" si="251"/>
        <v>-1</v>
      </c>
      <c r="P971" s="82">
        <f>R971-TIME(0,39,0)</f>
        <v>45764.717361111107</v>
      </c>
      <c r="Q971" s="82">
        <v>45764.082638888889</v>
      </c>
      <c r="R971" s="82">
        <v>45764.744444444441</v>
      </c>
      <c r="S971" s="81">
        <f t="shared" si="252"/>
        <v>948.58796295763261</v>
      </c>
      <c r="T971" s="81">
        <f t="shared" si="263"/>
        <v>38.819444445834961</v>
      </c>
      <c r="U971" s="79" t="s">
        <v>2165</v>
      </c>
      <c r="V971" s="82">
        <v>45765.456250000003</v>
      </c>
      <c r="W971" s="82">
        <v>45765.741666666669</v>
      </c>
      <c r="X971" s="103">
        <f t="shared" si="264"/>
        <v>402.43749999863212</v>
      </c>
      <c r="Y971" s="82" t="s">
        <v>1044</v>
      </c>
      <c r="Z971" s="82">
        <v>45766.452777777777</v>
      </c>
      <c r="AA971" s="82">
        <f>Z971+TIME(0,42,0)</f>
        <v>45766.481944444444</v>
      </c>
      <c r="AB971" s="81">
        <f t="shared" si="265"/>
        <v>41.12500000068394</v>
      </c>
      <c r="AC971" s="82"/>
      <c r="AD971" s="83">
        <f t="shared" si="253"/>
        <v>1.7083333333357587</v>
      </c>
      <c r="AE971" s="83">
        <f>VLOOKUP(H971,'LIST 2'!$A$1:$E$27,4,FALSE)</f>
        <v>2</v>
      </c>
      <c r="AF971" s="83">
        <f t="shared" si="254"/>
        <v>0.29166666666424135</v>
      </c>
      <c r="AG971" s="83">
        <f t="shared" si="255"/>
        <v>41.000000000058208</v>
      </c>
      <c r="AH971" s="83">
        <f t="shared" si="256"/>
        <v>12</v>
      </c>
      <c r="AI971" s="83">
        <f t="shared" si="257"/>
        <v>29.000000000058208</v>
      </c>
      <c r="AJ971" s="83">
        <f t="shared" si="266"/>
        <v>5.2965517241272995</v>
      </c>
      <c r="AK971" s="83"/>
      <c r="AL971" s="83"/>
      <c r="AM971" s="83"/>
      <c r="AN971" s="83"/>
    </row>
    <row r="972" spans="1:40" ht="15" hidden="1" x14ac:dyDescent="0.25">
      <c r="A972" s="82">
        <v>45764</v>
      </c>
      <c r="B972" s="94" t="str">
        <f t="shared" si="259"/>
        <v>April</v>
      </c>
      <c r="C972" s="79" t="s">
        <v>2161</v>
      </c>
      <c r="D972" s="79" t="s">
        <v>1787</v>
      </c>
      <c r="E972" s="79"/>
      <c r="F972" s="79" t="s">
        <v>950</v>
      </c>
      <c r="G972" s="79" t="s">
        <v>967</v>
      </c>
      <c r="H972" s="82" t="s">
        <v>1957</v>
      </c>
      <c r="I972" s="79">
        <v>153.6</v>
      </c>
      <c r="J972" s="79" t="s">
        <v>1787</v>
      </c>
      <c r="K972" s="80" t="s">
        <v>469</v>
      </c>
      <c r="L972" s="79">
        <f>VLOOKUP(H972,Table2[#All],3,FALSE)</f>
        <v>288</v>
      </c>
      <c r="M972" s="80">
        <f>L972-2</f>
        <v>286</v>
      </c>
      <c r="N972" s="81">
        <f t="shared" si="251"/>
        <v>-2</v>
      </c>
      <c r="P972" s="82">
        <f>R972-TIME(0,24,0)</f>
        <v>45764.397916666661</v>
      </c>
      <c r="Q972" s="82">
        <v>45764.154861111114</v>
      </c>
      <c r="R972" s="82">
        <v>45764.414583333331</v>
      </c>
      <c r="S972" s="81">
        <f t="shared" si="252"/>
        <v>372.26851851179771</v>
      </c>
      <c r="T972" s="81">
        <f t="shared" si="263"/>
        <v>23.888888893755695</v>
      </c>
      <c r="U972" s="79"/>
      <c r="V972" s="82">
        <v>45764.615277777775</v>
      </c>
      <c r="W972" s="82">
        <v>45764.897916666669</v>
      </c>
      <c r="X972" s="103">
        <f t="shared" si="264"/>
        <v>398.52083333971677</v>
      </c>
      <c r="Y972" s="82" t="s">
        <v>1044</v>
      </c>
      <c r="Z972" s="82">
        <v>45765.558333333334</v>
      </c>
      <c r="AA972" s="82">
        <f>Z972+TIME(0,38,0)</f>
        <v>45765.584722222222</v>
      </c>
      <c r="AB972" s="81">
        <f t="shared" si="265"/>
        <v>37.208333331509493</v>
      </c>
      <c r="AC972" s="82"/>
      <c r="AD972" s="83">
        <f t="shared" si="253"/>
        <v>1.1437500000029104</v>
      </c>
      <c r="AE972" s="83">
        <f>VLOOKUP(H972,'LIST 2'!$A$1:$E$27,4,FALSE)</f>
        <v>2</v>
      </c>
      <c r="AF972" s="83">
        <f t="shared" si="254"/>
        <v>0.85624999999708962</v>
      </c>
      <c r="AG972" s="83">
        <f t="shared" si="255"/>
        <v>27.450000000069849</v>
      </c>
      <c r="AH972" s="83">
        <f t="shared" si="256"/>
        <v>12</v>
      </c>
      <c r="AI972" s="83">
        <f t="shared" si="257"/>
        <v>15.450000000069849</v>
      </c>
      <c r="AJ972" s="83">
        <f t="shared" si="266"/>
        <v>9.9417475727705877</v>
      </c>
      <c r="AK972" s="83"/>
      <c r="AL972" s="83"/>
      <c r="AM972" s="83"/>
      <c r="AN972" s="83"/>
    </row>
    <row r="973" spans="1:40" ht="15" hidden="1" x14ac:dyDescent="0.25">
      <c r="A973" s="82">
        <v>45764</v>
      </c>
      <c r="B973" s="94" t="str">
        <f t="shared" si="259"/>
        <v>April</v>
      </c>
      <c r="C973" s="79" t="s">
        <v>2161</v>
      </c>
      <c r="D973" s="79" t="s">
        <v>1788</v>
      </c>
      <c r="E973" s="79"/>
      <c r="F973" s="79" t="s">
        <v>957</v>
      </c>
      <c r="G973" s="79" t="s">
        <v>974</v>
      </c>
      <c r="H973" s="82" t="s">
        <v>2022</v>
      </c>
      <c r="I973" s="79">
        <v>153.6</v>
      </c>
      <c r="J973" s="79" t="s">
        <v>1788</v>
      </c>
      <c r="K973" s="80" t="s">
        <v>469</v>
      </c>
      <c r="L973" s="79">
        <f>VLOOKUP(H973,Table2[#All],3,FALSE)</f>
        <v>150</v>
      </c>
      <c r="M973" s="80">
        <f>L973-2</f>
        <v>148</v>
      </c>
      <c r="N973" s="81">
        <f t="shared" si="251"/>
        <v>-2</v>
      </c>
      <c r="P973" s="82">
        <f t="shared" ref="P973:P974" si="268">R973-TIME(0,24,0)</f>
        <v>45764.477777777771</v>
      </c>
      <c r="Q973" s="82">
        <v>45764.260416666664</v>
      </c>
      <c r="R973" s="82">
        <v>45764.494444444441</v>
      </c>
      <c r="S973" s="81">
        <f t="shared" si="252"/>
        <v>335.43981481319253</v>
      </c>
      <c r="T973" s="81">
        <f t="shared" si="263"/>
        <v>23.888888893755695</v>
      </c>
      <c r="U973" s="79"/>
      <c r="V973" s="82">
        <v>45764.584027777775</v>
      </c>
      <c r="W973" s="82">
        <v>45764.839583333334</v>
      </c>
      <c r="X973" s="103">
        <f t="shared" si="264"/>
        <v>360.33333333834889</v>
      </c>
      <c r="Y973" s="82" t="s">
        <v>1046</v>
      </c>
      <c r="Z973" s="82">
        <v>45765.438888888886</v>
      </c>
      <c r="AA973" s="82">
        <f>Z973+TIME(0,42,0)</f>
        <v>45765.468055555553</v>
      </c>
      <c r="AB973" s="81">
        <f t="shared" si="265"/>
        <v>41.12500000068394</v>
      </c>
      <c r="AC973" s="82"/>
      <c r="AD973" s="83">
        <f t="shared" si="253"/>
        <v>0.94444444444525288</v>
      </c>
      <c r="AE973" s="83">
        <f>VLOOKUP(H973,'LIST 2'!$A$1:$E$27,4,FALSE)</f>
        <v>1</v>
      </c>
      <c r="AF973" s="83">
        <f t="shared" si="254"/>
        <v>5.5555555554747116E-2</v>
      </c>
      <c r="AG973" s="83">
        <f t="shared" si="255"/>
        <v>22.666666666686069</v>
      </c>
      <c r="AH973" s="83">
        <f t="shared" si="256"/>
        <v>0</v>
      </c>
      <c r="AI973" s="83">
        <f t="shared" si="257"/>
        <v>22.666666666686069</v>
      </c>
      <c r="AJ973" s="83">
        <f t="shared" si="266"/>
        <v>6.7764705882294933</v>
      </c>
      <c r="AK973" s="83"/>
      <c r="AL973" s="83"/>
      <c r="AM973" s="83"/>
      <c r="AN973" s="83"/>
    </row>
    <row r="974" spans="1:40" ht="15" hidden="1" x14ac:dyDescent="0.25">
      <c r="A974" s="82">
        <v>45764</v>
      </c>
      <c r="B974" s="94" t="str">
        <f t="shared" si="259"/>
        <v>April</v>
      </c>
      <c r="C974" s="79" t="s">
        <v>2162</v>
      </c>
      <c r="D974" s="79" t="s">
        <v>1789</v>
      </c>
      <c r="E974" s="79" t="s">
        <v>1016</v>
      </c>
      <c r="F974" s="79" t="s">
        <v>961</v>
      </c>
      <c r="G974" s="79" t="s">
        <v>977</v>
      </c>
      <c r="H974" s="82" t="s">
        <v>2177</v>
      </c>
      <c r="I974" s="79">
        <v>156</v>
      </c>
      <c r="J974" s="79" t="s">
        <v>1789</v>
      </c>
      <c r="K974" s="80" t="s">
        <v>469</v>
      </c>
      <c r="L974" s="79">
        <f>VLOOKUP(H974,Table2[#All],3,FALSE)</f>
        <v>448</v>
      </c>
      <c r="M974" s="80">
        <f t="shared" si="250"/>
        <v>447</v>
      </c>
      <c r="N974" s="81">
        <f t="shared" si="251"/>
        <v>-1</v>
      </c>
      <c r="P974" s="82">
        <f t="shared" si="268"/>
        <v>45763.925694444442</v>
      </c>
      <c r="Q974" s="82">
        <v>45764.0625</v>
      </c>
      <c r="R974" s="82">
        <v>45763.942361111112</v>
      </c>
      <c r="S974" s="81">
        <f t="shared" si="252"/>
        <v>-172.19907407222004</v>
      </c>
      <c r="T974" s="81">
        <f t="shared" si="263"/>
        <v>23.888888893755695</v>
      </c>
      <c r="U974" s="79"/>
      <c r="V974" s="82">
        <v>45764.711111111108</v>
      </c>
      <c r="W974" s="82">
        <v>45765.536805555559</v>
      </c>
      <c r="X974" s="103">
        <f t="shared" si="264"/>
        <v>1164.2291666760138</v>
      </c>
      <c r="Y974" s="82" t="s">
        <v>1049</v>
      </c>
      <c r="Z974" s="82">
        <v>45765.856249999997</v>
      </c>
      <c r="AA974" s="82">
        <f>Z974+TIME(0,52,0)</f>
        <v>45765.892361111109</v>
      </c>
      <c r="AB974" s="81">
        <f t="shared" si="265"/>
        <v>50.916666668490507</v>
      </c>
      <c r="AC974" s="82" t="s">
        <v>1674</v>
      </c>
      <c r="AD974" s="83">
        <f t="shared" si="253"/>
        <v>1.913888888884685</v>
      </c>
      <c r="AE974" s="83">
        <f>VLOOKUP(H974,'LIST 2'!$A$1:$E$27,4,FALSE)</f>
        <v>2</v>
      </c>
      <c r="AF974" s="83">
        <f t="shared" si="254"/>
        <v>8.6111111115314998E-2</v>
      </c>
      <c r="AG974" s="83">
        <f t="shared" si="255"/>
        <v>45.93333333323244</v>
      </c>
      <c r="AH974" s="83">
        <f t="shared" si="256"/>
        <v>12</v>
      </c>
      <c r="AI974" s="83">
        <f t="shared" si="257"/>
        <v>33.93333333323244</v>
      </c>
      <c r="AJ974" s="83">
        <f t="shared" si="266"/>
        <v>4.5972495088545333</v>
      </c>
      <c r="AK974" s="83"/>
      <c r="AL974" s="83"/>
      <c r="AM974" s="83"/>
      <c r="AN974" s="83"/>
    </row>
    <row r="975" spans="1:40" ht="15" hidden="1" x14ac:dyDescent="0.25">
      <c r="A975" s="82">
        <v>45764</v>
      </c>
      <c r="B975" s="94" t="str">
        <f t="shared" si="259"/>
        <v>April</v>
      </c>
      <c r="C975" s="79" t="s">
        <v>2161</v>
      </c>
      <c r="D975" s="79" t="s">
        <v>1790</v>
      </c>
      <c r="E975" s="80" t="s">
        <v>1016</v>
      </c>
      <c r="F975" s="79" t="s">
        <v>954</v>
      </c>
      <c r="G975" s="79" t="s">
        <v>971</v>
      </c>
      <c r="H975" s="82" t="s">
        <v>1956</v>
      </c>
      <c r="I975" s="79">
        <v>153.6</v>
      </c>
      <c r="J975" s="79" t="s">
        <v>1790</v>
      </c>
      <c r="K975" s="80" t="s">
        <v>469</v>
      </c>
      <c r="L975" s="79">
        <f>VLOOKUP(H975,Table2[#All],3,FALSE)</f>
        <v>596</v>
      </c>
      <c r="M975" s="80">
        <f>L975-3</f>
        <v>593</v>
      </c>
      <c r="N975" s="81">
        <f t="shared" si="251"/>
        <v>-3</v>
      </c>
      <c r="P975" s="82">
        <f>R975-TIME(0,26,0)</f>
        <v>45763.886805555558</v>
      </c>
      <c r="Q975" s="82">
        <v>45764.176388888889</v>
      </c>
      <c r="R975" s="82">
        <v>45763.904861111114</v>
      </c>
      <c r="S975" s="81">
        <f t="shared" si="252"/>
        <v>-389.18981481110677</v>
      </c>
      <c r="T975" s="81">
        <f t="shared" si="263"/>
        <v>25.879629630556639</v>
      </c>
      <c r="U975" s="79"/>
      <c r="V975" s="82">
        <v>45764.593055555553</v>
      </c>
      <c r="W975" s="82">
        <v>45764.695138888892</v>
      </c>
      <c r="X975" s="103">
        <f t="shared" si="264"/>
        <v>143.93750000752334</v>
      </c>
      <c r="Y975" s="82"/>
      <c r="Z975" s="82">
        <v>45765.311111111114</v>
      </c>
      <c r="AA975" s="82">
        <f>Z975+TIME(0,38,0)</f>
        <v>45765.337500000001</v>
      </c>
      <c r="AB975" s="81">
        <f t="shared" si="265"/>
        <v>37.208333331509493</v>
      </c>
      <c r="AC975" s="82"/>
      <c r="AD975" s="83">
        <f t="shared" si="253"/>
        <v>1.40625</v>
      </c>
      <c r="AE975" s="83">
        <f>VLOOKUP(H975,'LIST 2'!$A$1:$E$27,4,FALSE)</f>
        <v>2</v>
      </c>
      <c r="AF975" s="83">
        <f t="shared" si="254"/>
        <v>0.59375</v>
      </c>
      <c r="AG975" s="83">
        <f t="shared" si="255"/>
        <v>33.75</v>
      </c>
      <c r="AH975" s="83">
        <f t="shared" si="256"/>
        <v>12</v>
      </c>
      <c r="AI975" s="83">
        <f t="shared" si="257"/>
        <v>21.75</v>
      </c>
      <c r="AJ975" s="83">
        <f t="shared" si="266"/>
        <v>7.0620689655172413</v>
      </c>
      <c r="AK975" s="83">
        <v>11.59</v>
      </c>
      <c r="AL975" s="83">
        <v>11.54</v>
      </c>
      <c r="AM975" s="83"/>
      <c r="AN975" s="83"/>
    </row>
    <row r="976" spans="1:40" ht="15" hidden="1" x14ac:dyDescent="0.25">
      <c r="A976" s="82">
        <v>45765</v>
      </c>
      <c r="B976" s="94" t="str">
        <f t="shared" si="259"/>
        <v>April</v>
      </c>
      <c r="C976" s="79" t="s">
        <v>2161</v>
      </c>
      <c r="D976" s="79" t="s">
        <v>1791</v>
      </c>
      <c r="E976" s="79"/>
      <c r="F976" s="79" t="s">
        <v>1689</v>
      </c>
      <c r="G976" s="79" t="s">
        <v>1262</v>
      </c>
      <c r="H976" s="82" t="s">
        <v>1957</v>
      </c>
      <c r="I976" s="79">
        <v>153.6</v>
      </c>
      <c r="J976" s="79" t="s">
        <v>1791</v>
      </c>
      <c r="K976" s="80" t="s">
        <v>469</v>
      </c>
      <c r="L976" s="79">
        <f>VLOOKUP(H976,Table2[#All],3,FALSE)</f>
        <v>288</v>
      </c>
      <c r="M976" s="80">
        <f t="shared" si="250"/>
        <v>287</v>
      </c>
      <c r="N976" s="81">
        <f t="shared" si="251"/>
        <v>-1</v>
      </c>
      <c r="P976" s="82">
        <f>R976-TIME(0,28,0)</f>
        <v>45766.427083333336</v>
      </c>
      <c r="Q976" s="82">
        <v>45765.154861111114</v>
      </c>
      <c r="R976" s="82">
        <v>45766.446527777778</v>
      </c>
      <c r="S976" s="81">
        <f t="shared" si="252"/>
        <v>1851.3888888854126</v>
      </c>
      <c r="T976" s="81">
        <f t="shared" si="263"/>
        <v>27.870370367357584</v>
      </c>
      <c r="U976" s="79"/>
      <c r="V976" s="82">
        <v>45766.828472222223</v>
      </c>
      <c r="W976" s="82">
        <v>45767.506944444445</v>
      </c>
      <c r="X976" s="103">
        <f t="shared" si="264"/>
        <v>956.64583333287737</v>
      </c>
      <c r="Y976" s="82" t="s">
        <v>1044</v>
      </c>
      <c r="Z976" s="82">
        <v>45767.718055555553</v>
      </c>
      <c r="AA976" s="82">
        <f>Z976+TIME(0,50,0)</f>
        <v>45767.752777777772</v>
      </c>
      <c r="AB976" s="81">
        <f t="shared" si="265"/>
        <v>48.958333328773733</v>
      </c>
      <c r="AC976" s="82" t="s">
        <v>2169</v>
      </c>
      <c r="AD976" s="83">
        <f t="shared" si="253"/>
        <v>1.2715277777751908</v>
      </c>
      <c r="AE976" s="83">
        <f>VLOOKUP(H976,'LIST 2'!$A$1:$E$27,4,FALSE)</f>
        <v>2</v>
      </c>
      <c r="AF976" s="83">
        <f t="shared" si="254"/>
        <v>0.72847222222480923</v>
      </c>
      <c r="AG976" s="83">
        <f t="shared" si="255"/>
        <v>30.516666666604578</v>
      </c>
      <c r="AH976" s="83">
        <f t="shared" si="256"/>
        <v>12</v>
      </c>
      <c r="AI976" s="83">
        <f t="shared" si="257"/>
        <v>18.516666666604578</v>
      </c>
      <c r="AJ976" s="83">
        <f t="shared" si="266"/>
        <v>8.2952295229801098</v>
      </c>
      <c r="AK976" s="83">
        <v>10.4</v>
      </c>
      <c r="AL976" s="83">
        <v>11.42</v>
      </c>
      <c r="AM976" s="83"/>
      <c r="AN976" s="83"/>
    </row>
    <row r="977" spans="1:40" ht="15" hidden="1" x14ac:dyDescent="0.25">
      <c r="A977" s="82">
        <v>45765</v>
      </c>
      <c r="B977" s="94" t="str">
        <f t="shared" si="259"/>
        <v>April</v>
      </c>
      <c r="C977" s="79" t="s">
        <v>2161</v>
      </c>
      <c r="D977" s="79" t="s">
        <v>1792</v>
      </c>
      <c r="E977" s="79"/>
      <c r="F977" s="79" t="s">
        <v>950</v>
      </c>
      <c r="G977" s="79" t="s">
        <v>967</v>
      </c>
      <c r="H977" s="82" t="s">
        <v>2179</v>
      </c>
      <c r="I977" s="79">
        <v>156</v>
      </c>
      <c r="J977" s="79" t="s">
        <v>1792</v>
      </c>
      <c r="K977" s="80" t="s">
        <v>469</v>
      </c>
      <c r="L977" s="79">
        <f>VLOOKUP(H977,Table2[#All],3,FALSE)</f>
        <v>560</v>
      </c>
      <c r="M977" s="80">
        <f t="shared" si="250"/>
        <v>559</v>
      </c>
      <c r="N977" s="81">
        <f t="shared" si="251"/>
        <v>-1</v>
      </c>
      <c r="P977" s="82">
        <f>R977-TIME(0,25,0)</f>
        <v>45766.375694444447</v>
      </c>
      <c r="Q977" s="82">
        <v>45765.104166666664</v>
      </c>
      <c r="R977" s="82">
        <v>45766.393055555556</v>
      </c>
      <c r="S977" s="81">
        <f t="shared" si="252"/>
        <v>1847.4074074118107</v>
      </c>
      <c r="T977" s="81">
        <f t="shared" si="263"/>
        <v>24.884259256941732</v>
      </c>
      <c r="U977" s="79"/>
      <c r="V977" s="82">
        <v>45765.729166666664</v>
      </c>
      <c r="W977" s="82">
        <v>45765.853472222225</v>
      </c>
      <c r="X977" s="103">
        <f t="shared" si="264"/>
        <v>175.27083334040071</v>
      </c>
      <c r="Y977" s="82"/>
      <c r="Z977" s="82">
        <v>45768.761805555558</v>
      </c>
      <c r="AA977" s="82">
        <f t="shared" ref="AA977:AA978" si="269">Z977+TIME(0,42,0)</f>
        <v>45768.790972222225</v>
      </c>
      <c r="AB977" s="81">
        <f t="shared" si="265"/>
        <v>41.12500000068394</v>
      </c>
      <c r="AC977" s="82"/>
      <c r="AD977" s="83">
        <f t="shared" si="253"/>
        <v>2.3687500000014552</v>
      </c>
      <c r="AE977" s="83">
        <f>VLOOKUP(H977,'LIST 2'!$A$1:$E$27,4,FALSE)</f>
        <v>2</v>
      </c>
      <c r="AF977" s="83">
        <f t="shared" si="254"/>
        <v>-0.36875000000145519</v>
      </c>
      <c r="AG977" s="83">
        <f t="shared" si="255"/>
        <v>56.850000000034925</v>
      </c>
      <c r="AH977" s="83">
        <f t="shared" si="256"/>
        <v>24</v>
      </c>
      <c r="AI977" s="83">
        <f t="shared" si="257"/>
        <v>32.850000000034925</v>
      </c>
      <c r="AJ977" s="83">
        <f t="shared" si="266"/>
        <v>4.7488584474835358</v>
      </c>
      <c r="AK977" s="83"/>
      <c r="AL977" s="83"/>
      <c r="AM977" s="83"/>
      <c r="AN977" s="83"/>
    </row>
    <row r="978" spans="1:40" ht="15" hidden="1" x14ac:dyDescent="0.25">
      <c r="A978" s="82">
        <v>45765</v>
      </c>
      <c r="B978" s="94" t="str">
        <f t="shared" si="259"/>
        <v>April</v>
      </c>
      <c r="C978" s="79" t="s">
        <v>2161</v>
      </c>
      <c r="D978" s="79" t="s">
        <v>1793</v>
      </c>
      <c r="E978" s="79"/>
      <c r="F978" s="79" t="s">
        <v>956</v>
      </c>
      <c r="G978" s="79" t="s">
        <v>973</v>
      </c>
      <c r="H978" s="82" t="s">
        <v>2194</v>
      </c>
      <c r="I978" s="79">
        <v>156</v>
      </c>
      <c r="J978" s="79" t="s">
        <v>1793</v>
      </c>
      <c r="K978" s="80" t="s">
        <v>469</v>
      </c>
      <c r="L978" s="79">
        <f>VLOOKUP(H978,Table2[#All],3,FALSE)</f>
        <v>620</v>
      </c>
      <c r="M978" s="80">
        <f>L978-3</f>
        <v>617</v>
      </c>
      <c r="N978" s="81">
        <f t="shared" si="251"/>
        <v>-3</v>
      </c>
      <c r="P978" s="82">
        <f>R978-TIME(0,42,0)</f>
        <v>45766.257638888892</v>
      </c>
      <c r="Q978" s="82">
        <v>45765.082638888889</v>
      </c>
      <c r="R978" s="82">
        <v>45766.286805555559</v>
      </c>
      <c r="S978" s="81">
        <f t="shared" si="252"/>
        <v>1725.9722222270891</v>
      </c>
      <c r="T978" s="81">
        <f t="shared" si="263"/>
        <v>41.805555556250816</v>
      </c>
      <c r="U978" s="79" t="s">
        <v>2164</v>
      </c>
      <c r="V978" s="82">
        <v>45766.645833333336</v>
      </c>
      <c r="W978" s="82">
        <v>45766.87222222222</v>
      </c>
      <c r="X978" s="103">
        <f t="shared" si="264"/>
        <v>319.20833332740585</v>
      </c>
      <c r="Y978" s="82" t="s">
        <v>1049</v>
      </c>
      <c r="Z978" s="82">
        <v>45768.836111111108</v>
      </c>
      <c r="AA978" s="82">
        <f t="shared" si="269"/>
        <v>45768.865277777775</v>
      </c>
      <c r="AB978" s="81">
        <f t="shared" si="265"/>
        <v>41.12500000068394</v>
      </c>
      <c r="AC978" s="82"/>
      <c r="AD978" s="83">
        <f t="shared" si="253"/>
        <v>2.5493055555489263</v>
      </c>
      <c r="AE978" s="83">
        <f>VLOOKUP(H978,'LIST 2'!$A$1:$E$27,4,FALSE)</f>
        <v>3</v>
      </c>
      <c r="AF978" s="83">
        <f t="shared" si="254"/>
        <v>0.45069444445107365</v>
      </c>
      <c r="AG978" s="83">
        <f t="shared" si="255"/>
        <v>61.183333333174232</v>
      </c>
      <c r="AH978" s="83">
        <f t="shared" si="256"/>
        <v>24</v>
      </c>
      <c r="AI978" s="83">
        <f t="shared" si="257"/>
        <v>37.183333333174232</v>
      </c>
      <c r="AJ978" s="83">
        <f t="shared" si="266"/>
        <v>4.1954280591842448</v>
      </c>
      <c r="AK978" s="83"/>
      <c r="AL978" s="83"/>
      <c r="AM978" s="83"/>
      <c r="AN978" s="83"/>
    </row>
    <row r="979" spans="1:40" ht="15" hidden="1" x14ac:dyDescent="0.25">
      <c r="A979" s="82">
        <v>45765</v>
      </c>
      <c r="B979" s="94" t="str">
        <f t="shared" si="259"/>
        <v>April</v>
      </c>
      <c r="C979" s="79" t="s">
        <v>2162</v>
      </c>
      <c r="D979" s="79" t="s">
        <v>1794</v>
      </c>
      <c r="E979" s="79" t="s">
        <v>1016</v>
      </c>
      <c r="F979" s="79" t="s">
        <v>1690</v>
      </c>
      <c r="G979" s="79" t="s">
        <v>45</v>
      </c>
      <c r="H979" s="82" t="s">
        <v>2183</v>
      </c>
      <c r="I979" s="79">
        <v>156</v>
      </c>
      <c r="J979" s="79" t="s">
        <v>1794</v>
      </c>
      <c r="K979" s="80" t="s">
        <v>469</v>
      </c>
      <c r="L979" s="79">
        <f>VLOOKUP(H979,Table2[#All],3,FALSE)</f>
        <v>690</v>
      </c>
      <c r="M979" s="80">
        <f>L979-2</f>
        <v>688</v>
      </c>
      <c r="N979" s="81">
        <f t="shared" si="251"/>
        <v>-2</v>
      </c>
      <c r="P979" s="82">
        <f>R979-TIME(0,54,0)</f>
        <v>45765.387500000004</v>
      </c>
      <c r="Q979" s="82">
        <v>45764.875</v>
      </c>
      <c r="R979" s="82">
        <v>45765.425000000003</v>
      </c>
      <c r="S979" s="81">
        <f t="shared" si="252"/>
        <v>788.33333333750488</v>
      </c>
      <c r="T979" s="81">
        <f t="shared" si="263"/>
        <v>53.749999997914223</v>
      </c>
      <c r="U979" s="79" t="s">
        <v>2167</v>
      </c>
      <c r="V979" s="82">
        <v>45766.40902777778</v>
      </c>
      <c r="W979" s="82">
        <v>45766.734722222223</v>
      </c>
      <c r="X979" s="103">
        <f t="shared" si="264"/>
        <v>459.22916666575475</v>
      </c>
      <c r="Y979" s="82" t="s">
        <v>1050</v>
      </c>
      <c r="Z979" s="82">
        <v>45767.740277777775</v>
      </c>
      <c r="AA979" s="82">
        <f>Z979+TIME(0,52,0)</f>
        <v>45767.776388888888</v>
      </c>
      <c r="AB979" s="81">
        <f t="shared" si="265"/>
        <v>50.916666668490507</v>
      </c>
      <c r="AC979" s="82" t="s">
        <v>2168</v>
      </c>
      <c r="AD979" s="83">
        <f t="shared" si="253"/>
        <v>2.3152777777722804</v>
      </c>
      <c r="AE979" s="83">
        <f>VLOOKUP(H979,'LIST 2'!$A$1:$E$27,4,FALSE)</f>
        <v>3</v>
      </c>
      <c r="AF979" s="83">
        <f t="shared" si="254"/>
        <v>0.68472222222771961</v>
      </c>
      <c r="AG979" s="83">
        <f t="shared" si="255"/>
        <v>55.566666666534729</v>
      </c>
      <c r="AH979" s="83">
        <f t="shared" si="256"/>
        <v>24</v>
      </c>
      <c r="AI979" s="83">
        <f t="shared" si="257"/>
        <v>31.566666666534729</v>
      </c>
      <c r="AJ979" s="83">
        <f t="shared" si="266"/>
        <v>4.9419218585211837</v>
      </c>
      <c r="AK979" s="83"/>
      <c r="AL979" s="83"/>
      <c r="AM979" s="83"/>
      <c r="AN979" s="83"/>
    </row>
    <row r="980" spans="1:40" ht="15" hidden="1" x14ac:dyDescent="0.25">
      <c r="A980" s="82">
        <v>45765</v>
      </c>
      <c r="B980" s="94" t="str">
        <f t="shared" si="259"/>
        <v>April</v>
      </c>
      <c r="C980" s="79" t="s">
        <v>2161</v>
      </c>
      <c r="D980" s="79" t="s">
        <v>1795</v>
      </c>
      <c r="E980" s="79"/>
      <c r="F980" s="79" t="s">
        <v>952</v>
      </c>
      <c r="G980" s="79" t="s">
        <v>969</v>
      </c>
      <c r="H980" s="82" t="s">
        <v>1957</v>
      </c>
      <c r="I980" s="79">
        <v>153.6</v>
      </c>
      <c r="J980" s="79" t="s">
        <v>1795</v>
      </c>
      <c r="K980" s="80" t="s">
        <v>469</v>
      </c>
      <c r="L980" s="79">
        <f>VLOOKUP(H980,Table2[#All],3,FALSE)</f>
        <v>288</v>
      </c>
      <c r="M980" s="80">
        <f>L980-2</f>
        <v>286</v>
      </c>
      <c r="N980" s="81">
        <f t="shared" si="251"/>
        <v>-2</v>
      </c>
      <c r="P980" s="82">
        <f>R980-TIME(0,28,0)</f>
        <v>45765.656944444447</v>
      </c>
      <c r="Q980" s="82">
        <v>45765.154861111114</v>
      </c>
      <c r="R980" s="82">
        <v>45765.676388888889</v>
      </c>
      <c r="S980" s="81">
        <f t="shared" si="252"/>
        <v>747.52314814444014</v>
      </c>
      <c r="T980" s="81">
        <f t="shared" si="263"/>
        <v>27.870370367357584</v>
      </c>
      <c r="U980" s="79"/>
      <c r="V980" s="82">
        <v>45766.415277777778</v>
      </c>
      <c r="W980" s="82">
        <v>45766.560416666667</v>
      </c>
      <c r="X980" s="103">
        <f t="shared" si="264"/>
        <v>204.64583333356131</v>
      </c>
      <c r="Y980" s="82" t="s">
        <v>1044</v>
      </c>
      <c r="Z980" s="82">
        <v>45767.428472222222</v>
      </c>
      <c r="AA980" s="82">
        <f>Z980+TIME(0,38,0)</f>
        <v>45767.454861111109</v>
      </c>
      <c r="AB980" s="81">
        <f t="shared" si="265"/>
        <v>37.208333331509493</v>
      </c>
      <c r="AC980" s="82"/>
      <c r="AD980" s="83">
        <f t="shared" si="253"/>
        <v>1.7520833333328483</v>
      </c>
      <c r="AE980" s="83">
        <f>VLOOKUP(H980,'LIST 2'!$A$1:$E$27,4,FALSE)</f>
        <v>2</v>
      </c>
      <c r="AF980" s="83">
        <f t="shared" si="254"/>
        <v>0.24791666666715173</v>
      </c>
      <c r="AG980" s="83">
        <f t="shared" si="255"/>
        <v>42.049999999988358</v>
      </c>
      <c r="AH980" s="83">
        <f t="shared" si="256"/>
        <v>12</v>
      </c>
      <c r="AI980" s="83">
        <f t="shared" si="257"/>
        <v>30.049999999988358</v>
      </c>
      <c r="AJ980" s="83">
        <f t="shared" si="266"/>
        <v>5.1114808652266053</v>
      </c>
      <c r="AK980" s="83"/>
      <c r="AL980" s="83"/>
      <c r="AM980" s="83"/>
      <c r="AN980" s="83"/>
    </row>
    <row r="981" spans="1:40" ht="15" hidden="1" x14ac:dyDescent="0.25">
      <c r="A981" s="82">
        <v>45765</v>
      </c>
      <c r="B981" s="94" t="str">
        <f t="shared" si="259"/>
        <v>April</v>
      </c>
      <c r="C981" s="79" t="s">
        <v>2161</v>
      </c>
      <c r="D981" s="79" t="s">
        <v>1796</v>
      </c>
      <c r="E981" s="80" t="s">
        <v>1016</v>
      </c>
      <c r="F981" s="79" t="s">
        <v>954</v>
      </c>
      <c r="G981" s="79" t="s">
        <v>971</v>
      </c>
      <c r="H981" s="82" t="s">
        <v>1959</v>
      </c>
      <c r="I981" s="79">
        <v>156</v>
      </c>
      <c r="J981" s="79" t="s">
        <v>1796</v>
      </c>
      <c r="K981" s="80" t="s">
        <v>469</v>
      </c>
      <c r="L981" s="79">
        <f>VLOOKUP(H981,Table2[#All],3,FALSE)</f>
        <v>304</v>
      </c>
      <c r="M981" s="80">
        <f>L981-2</f>
        <v>302</v>
      </c>
      <c r="N981" s="81">
        <f t="shared" si="251"/>
        <v>-2</v>
      </c>
      <c r="P981" s="82">
        <f t="shared" ref="P981:P982" si="270">R981-TIME(0,28,0)</f>
        <v>45765.540972222225</v>
      </c>
      <c r="Q981" s="82">
        <v>45765.098611111112</v>
      </c>
      <c r="R981" s="82">
        <v>45765.560416666667</v>
      </c>
      <c r="S981" s="81">
        <f t="shared" si="252"/>
        <v>661.92129629513749</v>
      </c>
      <c r="T981" s="81">
        <f t="shared" si="263"/>
        <v>27.870370367357584</v>
      </c>
      <c r="U981" s="79"/>
      <c r="V981" s="82">
        <v>45766.34097222222</v>
      </c>
      <c r="W981" s="82">
        <v>45766.456944444442</v>
      </c>
      <c r="X981" s="103">
        <f t="shared" si="264"/>
        <v>163.52083333287737</v>
      </c>
      <c r="Y981" s="82"/>
      <c r="Z981" s="82">
        <v>45766.479861111111</v>
      </c>
      <c r="AA981" s="82">
        <f>Z981+TIME(0,49,0)</f>
        <v>45766.513888888891</v>
      </c>
      <c r="AB981" s="81">
        <f t="shared" si="265"/>
        <v>47.979166669174447</v>
      </c>
      <c r="AC981" s="82" t="s">
        <v>1673</v>
      </c>
      <c r="AD981" s="83">
        <f t="shared" si="253"/>
        <v>0.91944444444379769</v>
      </c>
      <c r="AE981" s="83">
        <f>VLOOKUP(H981,'LIST 2'!$A$1:$E$27,4,FALSE)</f>
        <v>2</v>
      </c>
      <c r="AF981" s="83">
        <f t="shared" si="254"/>
        <v>1.0805555555562023</v>
      </c>
      <c r="AG981" s="83">
        <f t="shared" si="255"/>
        <v>22.066666666651145</v>
      </c>
      <c r="AH981" s="83">
        <f t="shared" si="256"/>
        <v>0</v>
      </c>
      <c r="AI981" s="83">
        <f t="shared" si="257"/>
        <v>22.066666666651145</v>
      </c>
      <c r="AJ981" s="83">
        <f t="shared" si="266"/>
        <v>7.06948640483881</v>
      </c>
      <c r="AK981" s="83">
        <v>10.51</v>
      </c>
      <c r="AL981" s="83">
        <v>11.52</v>
      </c>
      <c r="AM981" s="83"/>
      <c r="AN981" s="83"/>
    </row>
    <row r="982" spans="1:40" ht="15" hidden="1" x14ac:dyDescent="0.25">
      <c r="A982" s="82">
        <v>45765</v>
      </c>
      <c r="B982" s="94" t="str">
        <f t="shared" si="259"/>
        <v>April</v>
      </c>
      <c r="C982" s="79" t="s">
        <v>2161</v>
      </c>
      <c r="D982" s="79" t="s">
        <v>1797</v>
      </c>
      <c r="E982" s="79"/>
      <c r="F982" s="79" t="s">
        <v>955</v>
      </c>
      <c r="G982" s="79" t="s">
        <v>972</v>
      </c>
      <c r="H982" s="82" t="s">
        <v>1956</v>
      </c>
      <c r="I982" s="79">
        <v>153.6</v>
      </c>
      <c r="J982" s="79" t="s">
        <v>1797</v>
      </c>
      <c r="K982" s="80" t="s">
        <v>469</v>
      </c>
      <c r="L982" s="79">
        <f>VLOOKUP(H982,Table2[#All],3,FALSE)</f>
        <v>596</v>
      </c>
      <c r="M982" s="80">
        <f t="shared" si="250"/>
        <v>595</v>
      </c>
      <c r="N982" s="81">
        <f t="shared" si="251"/>
        <v>-1</v>
      </c>
      <c r="P982" s="82">
        <f t="shared" si="270"/>
        <v>45765.604166666672</v>
      </c>
      <c r="Q982" s="82">
        <v>45765.176388888889</v>
      </c>
      <c r="R982" s="82">
        <v>45765.623611111114</v>
      </c>
      <c r="S982" s="81">
        <f t="shared" si="252"/>
        <v>641.0185185222266</v>
      </c>
      <c r="T982" s="81">
        <f t="shared" si="263"/>
        <v>27.870370367357584</v>
      </c>
      <c r="U982" s="79"/>
      <c r="V982" s="82">
        <v>45765.864583333336</v>
      </c>
      <c r="W982" s="82">
        <v>45765.957638888889</v>
      </c>
      <c r="X982" s="103">
        <f t="shared" si="264"/>
        <v>131.20833333014161</v>
      </c>
      <c r="Y982" s="82"/>
      <c r="Z982" s="82">
        <v>45766.328472222223</v>
      </c>
      <c r="AA982" s="82">
        <f>Z982+TIME(0,42,0)</f>
        <v>45766.357638888891</v>
      </c>
      <c r="AB982" s="81">
        <f t="shared" si="265"/>
        <v>41.12500000068394</v>
      </c>
      <c r="AC982" s="82"/>
      <c r="AD982" s="83">
        <f t="shared" si="253"/>
        <v>0.70486111110949423</v>
      </c>
      <c r="AE982" s="83">
        <f>VLOOKUP(H982,'LIST 2'!$A$1:$E$27,4,FALSE)</f>
        <v>2</v>
      </c>
      <c r="AF982" s="83">
        <f t="shared" si="254"/>
        <v>1.2951388888905058</v>
      </c>
      <c r="AG982" s="83">
        <f t="shared" si="255"/>
        <v>16.916666666627862</v>
      </c>
      <c r="AH982" s="83">
        <f t="shared" si="256"/>
        <v>0</v>
      </c>
      <c r="AI982" s="83">
        <f t="shared" si="257"/>
        <v>16.916666666627862</v>
      </c>
      <c r="AJ982" s="83">
        <f t="shared" si="266"/>
        <v>9.079802955685853</v>
      </c>
      <c r="AK982" s="83"/>
      <c r="AL982" s="83"/>
      <c r="AM982" s="83"/>
      <c r="AN982" s="83"/>
    </row>
    <row r="983" spans="1:40" ht="15" hidden="1" x14ac:dyDescent="0.25">
      <c r="A983" s="82">
        <v>45765</v>
      </c>
      <c r="B983" s="94" t="str">
        <f t="shared" si="259"/>
        <v>April</v>
      </c>
      <c r="C983" s="79" t="s">
        <v>2161</v>
      </c>
      <c r="D983" s="79" t="s">
        <v>1798</v>
      </c>
      <c r="E983" s="79"/>
      <c r="F983" s="79" t="s">
        <v>957</v>
      </c>
      <c r="G983" s="79" t="s">
        <v>974</v>
      </c>
      <c r="H983" s="82" t="s">
        <v>1989</v>
      </c>
      <c r="I983" s="79">
        <v>153.6</v>
      </c>
      <c r="J983" s="79" t="s">
        <v>1798</v>
      </c>
      <c r="K983" s="80" t="s">
        <v>469</v>
      </c>
      <c r="L983" s="79">
        <f>VLOOKUP(H983,Table2[#All],3,FALSE)</f>
        <v>20</v>
      </c>
      <c r="M983" s="80">
        <f t="shared" si="250"/>
        <v>19</v>
      </c>
      <c r="N983" s="81">
        <f t="shared" si="251"/>
        <v>-1</v>
      </c>
      <c r="P983" s="82">
        <f>R983-TIME(0,26,0)</f>
        <v>45765.62222222222</v>
      </c>
      <c r="Q983" s="82">
        <v>45765.320833333331</v>
      </c>
      <c r="R983" s="82">
        <v>45765.640277777777</v>
      </c>
      <c r="S983" s="81">
        <f t="shared" si="252"/>
        <v>457.87037037152913</v>
      </c>
      <c r="T983" s="81">
        <f t="shared" si="263"/>
        <v>25.879629630556639</v>
      </c>
      <c r="U983" s="79"/>
      <c r="V983" s="82">
        <v>45766.81527777778</v>
      </c>
      <c r="W983" s="82">
        <v>45767.568749999999</v>
      </c>
      <c r="X983" s="103">
        <f t="shared" si="264"/>
        <v>1062.3958333287737</v>
      </c>
      <c r="Y983" s="82" t="s">
        <v>1046</v>
      </c>
      <c r="Z983" s="82">
        <v>45768.413194444445</v>
      </c>
      <c r="AA983" s="82">
        <f>Z983+TIME(0,49,0)</f>
        <v>45768.447222222225</v>
      </c>
      <c r="AB983" s="81">
        <f t="shared" si="265"/>
        <v>47.979166669174447</v>
      </c>
      <c r="AC983" s="82" t="s">
        <v>1677</v>
      </c>
      <c r="AD983" s="83">
        <f t="shared" si="253"/>
        <v>2.7729166666686069</v>
      </c>
      <c r="AE983" s="83">
        <f>VLOOKUP(H983,'LIST 2'!$A$1:$E$27,4,FALSE)</f>
        <v>1</v>
      </c>
      <c r="AF983" s="83">
        <f t="shared" si="254"/>
        <v>-1.7729166666686069</v>
      </c>
      <c r="AG983" s="83">
        <f t="shared" si="255"/>
        <v>66.550000000046566</v>
      </c>
      <c r="AH983" s="83">
        <f t="shared" si="256"/>
        <v>24</v>
      </c>
      <c r="AI983" s="83">
        <f t="shared" si="257"/>
        <v>42.550000000046566</v>
      </c>
      <c r="AJ983" s="83">
        <f t="shared" si="266"/>
        <v>3.6098707403015724</v>
      </c>
      <c r="AK983" s="83"/>
      <c r="AL983" s="83"/>
      <c r="AM983" s="83"/>
      <c r="AN983" s="83"/>
    </row>
    <row r="984" spans="1:40" ht="15" hidden="1" x14ac:dyDescent="0.25">
      <c r="A984" s="82">
        <v>45765</v>
      </c>
      <c r="B984" s="94" t="str">
        <f t="shared" si="259"/>
        <v>April</v>
      </c>
      <c r="C984" s="79" t="s">
        <v>2161</v>
      </c>
      <c r="D984" s="79" t="s">
        <v>1799</v>
      </c>
      <c r="E984" s="79"/>
      <c r="F984" s="79" t="s">
        <v>958</v>
      </c>
      <c r="G984" s="79" t="s">
        <v>975</v>
      </c>
      <c r="H984" s="82" t="s">
        <v>2022</v>
      </c>
      <c r="I984" s="79">
        <v>153.6</v>
      </c>
      <c r="J984" s="79" t="s">
        <v>1799</v>
      </c>
      <c r="K984" s="80" t="s">
        <v>469</v>
      </c>
      <c r="L984" s="79">
        <f>VLOOKUP(H984,Table2[#All],3,FALSE)</f>
        <v>150</v>
      </c>
      <c r="M984" s="80">
        <f t="shared" si="250"/>
        <v>149</v>
      </c>
      <c r="N984" s="81">
        <f t="shared" si="251"/>
        <v>-1</v>
      </c>
      <c r="P984" s="82">
        <f>R984-TIME(0,26,0)</f>
        <v>45765.394444444442</v>
      </c>
      <c r="Q984" s="82">
        <v>45765.176388888889</v>
      </c>
      <c r="R984" s="82">
        <v>45765.412499999999</v>
      </c>
      <c r="S984" s="81">
        <f t="shared" si="252"/>
        <v>338.42592592360842</v>
      </c>
      <c r="T984" s="81">
        <f t="shared" si="263"/>
        <v>25.879629630556639</v>
      </c>
      <c r="U984" s="79"/>
      <c r="V984" s="82">
        <v>45767.453472222223</v>
      </c>
      <c r="W984" s="82">
        <v>45767.624305555553</v>
      </c>
      <c r="X984" s="103">
        <f t="shared" si="264"/>
        <v>240.87499999521242</v>
      </c>
      <c r="Y984" s="82" t="s">
        <v>1049</v>
      </c>
      <c r="Z984" s="82">
        <v>45766.51458333333</v>
      </c>
      <c r="AA984" s="82">
        <f>Z984+TIME(0,42,0)</f>
        <v>45766.543749999997</v>
      </c>
      <c r="AB984" s="81">
        <f t="shared" si="265"/>
        <v>41.12500000068394</v>
      </c>
      <c r="AC984" s="82"/>
      <c r="AD984" s="83">
        <f t="shared" si="253"/>
        <v>1.1020833333313931</v>
      </c>
      <c r="AE984" s="83">
        <f>VLOOKUP(H984,'LIST 2'!$A$1:$E$27,4,FALSE)</f>
        <v>1</v>
      </c>
      <c r="AF984" s="83">
        <f t="shared" si="254"/>
        <v>-0.10208333333139308</v>
      </c>
      <c r="AG984" s="83">
        <f t="shared" si="255"/>
        <v>26.449999999953434</v>
      </c>
      <c r="AH984" s="83">
        <f t="shared" si="256"/>
        <v>12</v>
      </c>
      <c r="AI984" s="83">
        <f t="shared" si="257"/>
        <v>14.449999999953434</v>
      </c>
      <c r="AJ984" s="83">
        <f t="shared" si="266"/>
        <v>10.629757785501383</v>
      </c>
      <c r="AK984" s="83"/>
      <c r="AL984" s="83"/>
      <c r="AM984" s="83"/>
      <c r="AN984" s="83"/>
    </row>
    <row r="985" spans="1:40" ht="15" hidden="1" x14ac:dyDescent="0.25">
      <c r="A985" s="82">
        <v>45765</v>
      </c>
      <c r="B985" s="94" t="str">
        <f t="shared" si="259"/>
        <v>April</v>
      </c>
      <c r="C985" s="79" t="s">
        <v>2162</v>
      </c>
      <c r="D985" s="79" t="s">
        <v>1800</v>
      </c>
      <c r="E985" s="79" t="s">
        <v>1016</v>
      </c>
      <c r="F985" s="79" t="s">
        <v>963</v>
      </c>
      <c r="G985" s="79" t="s">
        <v>60</v>
      </c>
      <c r="H985" s="82" t="s">
        <v>1959</v>
      </c>
      <c r="I985" s="79">
        <v>156</v>
      </c>
      <c r="J985" s="79" t="s">
        <v>1800</v>
      </c>
      <c r="K985" s="80" t="s">
        <v>469</v>
      </c>
      <c r="L985" s="79">
        <f>VLOOKUP(H985,Table2[#All],3,FALSE)</f>
        <v>304</v>
      </c>
      <c r="M985" s="80">
        <f t="shared" si="250"/>
        <v>303</v>
      </c>
      <c r="N985" s="81">
        <f t="shared" si="251"/>
        <v>-1</v>
      </c>
      <c r="P985" s="82">
        <f>R985-TIME(0,28,0)</f>
        <v>45764.893750000003</v>
      </c>
      <c r="Q985" s="82">
        <v>45765.098611111112</v>
      </c>
      <c r="R985" s="82">
        <v>45764.913194444445</v>
      </c>
      <c r="S985" s="81">
        <f t="shared" si="252"/>
        <v>-265.76388888958417</v>
      </c>
      <c r="T985" s="81">
        <f t="shared" si="263"/>
        <v>27.870370367357584</v>
      </c>
      <c r="U985" s="79"/>
      <c r="V985" s="82">
        <v>45765.331944444442</v>
      </c>
      <c r="W985" s="82">
        <v>45765.70416666667</v>
      </c>
      <c r="X985" s="103">
        <f t="shared" si="264"/>
        <v>524.83333334108465</v>
      </c>
      <c r="Y985" s="82" t="s">
        <v>1051</v>
      </c>
      <c r="Z985" s="82">
        <v>45766.431250000001</v>
      </c>
      <c r="AA985" s="82">
        <f>Z985+TIME(0,38,0)</f>
        <v>45766.457638888889</v>
      </c>
      <c r="AB985" s="81">
        <f t="shared" si="265"/>
        <v>37.208333331509493</v>
      </c>
      <c r="AC985" s="82"/>
      <c r="AD985" s="83">
        <f t="shared" si="253"/>
        <v>1.5180555555562023</v>
      </c>
      <c r="AE985" s="83">
        <f>VLOOKUP(H985,'LIST 2'!$A$1:$E$27,4,FALSE)</f>
        <v>2</v>
      </c>
      <c r="AF985" s="83">
        <f t="shared" si="254"/>
        <v>0.48194444444379769</v>
      </c>
      <c r="AG985" s="83">
        <f t="shared" si="255"/>
        <v>36.433333333348855</v>
      </c>
      <c r="AH985" s="83">
        <f t="shared" si="256"/>
        <v>12</v>
      </c>
      <c r="AI985" s="83">
        <f t="shared" si="257"/>
        <v>24.433333333348855</v>
      </c>
      <c r="AJ985" s="83">
        <f t="shared" si="266"/>
        <v>6.3847203274174991</v>
      </c>
      <c r="AK985" s="83"/>
      <c r="AL985" s="83"/>
      <c r="AM985" s="83"/>
      <c r="AN985" s="83"/>
    </row>
    <row r="986" spans="1:40" ht="15" hidden="1" x14ac:dyDescent="0.25">
      <c r="A986" s="82">
        <v>45765</v>
      </c>
      <c r="B986" s="94" t="str">
        <f t="shared" si="259"/>
        <v>April</v>
      </c>
      <c r="C986" s="79" t="s">
        <v>2161</v>
      </c>
      <c r="D986" s="79" t="s">
        <v>1801</v>
      </c>
      <c r="E986" s="79"/>
      <c r="F986" s="79" t="s">
        <v>950</v>
      </c>
      <c r="G986" s="79" t="s">
        <v>967</v>
      </c>
      <c r="H986" s="82" t="s">
        <v>1989</v>
      </c>
      <c r="I986" s="79">
        <v>153.6</v>
      </c>
      <c r="J986" s="79" t="s">
        <v>1801</v>
      </c>
      <c r="K986" s="80" t="s">
        <v>469</v>
      </c>
      <c r="L986" s="79">
        <f>VLOOKUP(H986,Table2[#All],3,FALSE)</f>
        <v>20</v>
      </c>
      <c r="M986" s="80">
        <f>L986+1</f>
        <v>21</v>
      </c>
      <c r="N986" s="81">
        <f t="shared" si="251"/>
        <v>1</v>
      </c>
      <c r="P986" s="82">
        <f>R986-TIME(0,39,0)</f>
        <v>45765.681944444441</v>
      </c>
      <c r="Q986" s="82">
        <v>45766.320833333331</v>
      </c>
      <c r="R986" s="82">
        <v>45765.709027777775</v>
      </c>
      <c r="S986" s="81">
        <f t="shared" si="252"/>
        <v>-876.92129629722331</v>
      </c>
      <c r="T986" s="81">
        <f t="shared" si="263"/>
        <v>38.819444445834961</v>
      </c>
      <c r="U986" s="79" t="s">
        <v>550</v>
      </c>
      <c r="V986" s="82">
        <v>45766.690972222219</v>
      </c>
      <c r="W986" s="82">
        <v>45766.831250000003</v>
      </c>
      <c r="X986" s="103">
        <f t="shared" si="264"/>
        <v>197.79166667532991</v>
      </c>
      <c r="Y986" s="82" t="s">
        <v>1050</v>
      </c>
      <c r="Z986" s="82">
        <v>45765.873611111114</v>
      </c>
      <c r="AA986" s="82">
        <f>Z986+TIME(0,49,0)</f>
        <v>45765.907638888893</v>
      </c>
      <c r="AB986" s="81">
        <f t="shared" si="265"/>
        <v>47.979166669174447</v>
      </c>
      <c r="AC986" s="82" t="s">
        <v>2168</v>
      </c>
      <c r="AD986" s="83">
        <f t="shared" si="253"/>
        <v>0.16458333333866904</v>
      </c>
      <c r="AE986" s="83">
        <f>VLOOKUP(H986,'LIST 2'!$A$1:$E$27,4,FALSE)</f>
        <v>1</v>
      </c>
      <c r="AF986" s="83">
        <f t="shared" si="254"/>
        <v>0.83541666666133096</v>
      </c>
      <c r="AG986" s="83">
        <f t="shared" si="255"/>
        <v>3.9500000001280569</v>
      </c>
      <c r="AH986" s="83">
        <f t="shared" si="256"/>
        <v>0</v>
      </c>
      <c r="AI986" s="83">
        <f t="shared" si="257"/>
        <v>3.9500000001280569</v>
      </c>
      <c r="AJ986" s="83">
        <f t="shared" si="266"/>
        <v>38.886075948106424</v>
      </c>
      <c r="AK986" s="83"/>
      <c r="AL986" s="83"/>
      <c r="AM986" s="83"/>
      <c r="AN986" s="83"/>
    </row>
    <row r="987" spans="1:40" ht="15" hidden="1" x14ac:dyDescent="0.25">
      <c r="A987" s="82">
        <v>45765</v>
      </c>
      <c r="B987" s="94" t="str">
        <f t="shared" si="259"/>
        <v>April</v>
      </c>
      <c r="C987" s="79" t="s">
        <v>2161</v>
      </c>
      <c r="D987" s="79" t="s">
        <v>1802</v>
      </c>
      <c r="E987" s="79"/>
      <c r="F987" s="79" t="s">
        <v>956</v>
      </c>
      <c r="G987" s="79" t="s">
        <v>973</v>
      </c>
      <c r="H987" s="82" t="s">
        <v>1989</v>
      </c>
      <c r="I987" s="79">
        <v>153.6</v>
      </c>
      <c r="J987" s="79" t="s">
        <v>1802</v>
      </c>
      <c r="K987" s="80" t="s">
        <v>469</v>
      </c>
      <c r="L987" s="79">
        <f>VLOOKUP(H987,Table2[#All],3,FALSE)</f>
        <v>20</v>
      </c>
      <c r="M987" s="80">
        <f>L987-2</f>
        <v>18</v>
      </c>
      <c r="N987" s="81">
        <f t="shared" si="251"/>
        <v>-2</v>
      </c>
      <c r="P987" s="82">
        <f>R987-TIME(0,26,0)</f>
        <v>45765.664583333331</v>
      </c>
      <c r="Q987" s="82">
        <v>45766.320833333331</v>
      </c>
      <c r="R987" s="82">
        <v>45765.682638888888</v>
      </c>
      <c r="S987" s="81">
        <f t="shared" si="252"/>
        <v>-914.74537036944332</v>
      </c>
      <c r="T987" s="81">
        <f t="shared" si="263"/>
        <v>25.879629630556639</v>
      </c>
      <c r="U987" s="79"/>
      <c r="V987" s="82">
        <v>45765.70416666667</v>
      </c>
      <c r="W987" s="82">
        <v>45765.782638888886</v>
      </c>
      <c r="X987" s="103">
        <f t="shared" si="264"/>
        <v>110.64583332467009</v>
      </c>
      <c r="Y987" s="82"/>
      <c r="Z987" s="82">
        <v>45765.801388888889</v>
      </c>
      <c r="AA987" s="82">
        <f t="shared" si="261"/>
        <v>45765.832638888889</v>
      </c>
      <c r="AB987" s="81">
        <f t="shared" si="265"/>
        <v>44.0625</v>
      </c>
      <c r="AC987" s="82"/>
      <c r="AD987" s="83">
        <f t="shared" si="253"/>
        <v>0.11875000000145519</v>
      </c>
      <c r="AE987" s="83">
        <f>VLOOKUP(H987,'LIST 2'!$A$1:$E$27,4,FALSE)</f>
        <v>1</v>
      </c>
      <c r="AF987" s="83">
        <f t="shared" si="254"/>
        <v>0.88124999999854481</v>
      </c>
      <c r="AG987" s="83">
        <f t="shared" si="255"/>
        <v>2.8500000000349246</v>
      </c>
      <c r="AH987" s="83">
        <f t="shared" si="256"/>
        <v>0</v>
      </c>
      <c r="AI987" s="83">
        <f t="shared" si="257"/>
        <v>2.8500000000349246</v>
      </c>
      <c r="AJ987" s="83">
        <f t="shared" si="266"/>
        <v>53.894736841444825</v>
      </c>
      <c r="AK987" s="83"/>
      <c r="AL987" s="83"/>
      <c r="AM987" s="83"/>
      <c r="AN987" s="83"/>
    </row>
    <row r="988" spans="1:40" ht="15" hidden="1" x14ac:dyDescent="0.25">
      <c r="A988" s="82">
        <v>45766</v>
      </c>
      <c r="B988" s="94" t="str">
        <f t="shared" si="259"/>
        <v>April</v>
      </c>
      <c r="C988" s="79" t="s">
        <v>2161</v>
      </c>
      <c r="D988" s="79" t="s">
        <v>1803</v>
      </c>
      <c r="E988" s="79"/>
      <c r="F988" s="79" t="s">
        <v>958</v>
      </c>
      <c r="G988" s="79" t="s">
        <v>975</v>
      </c>
      <c r="H988" s="82" t="s">
        <v>1956</v>
      </c>
      <c r="I988" s="79">
        <v>153.6</v>
      </c>
      <c r="J988" s="79" t="s">
        <v>1803</v>
      </c>
      <c r="K988" s="80" t="s">
        <v>469</v>
      </c>
      <c r="L988" s="79">
        <f>VLOOKUP(H988,Table2[#All],3,FALSE)</f>
        <v>596</v>
      </c>
      <c r="M988" s="80">
        <f t="shared" si="250"/>
        <v>595</v>
      </c>
      <c r="N988" s="81">
        <f t="shared" si="251"/>
        <v>-1</v>
      </c>
      <c r="P988" s="82">
        <f>R988-TIME(0,38,0)</f>
        <v>45766.75277777778</v>
      </c>
      <c r="Q988" s="82">
        <v>45766.416666666664</v>
      </c>
      <c r="R988" s="82">
        <v>45766.779166666667</v>
      </c>
      <c r="S988" s="81">
        <f t="shared" si="252"/>
        <v>519.58333333750488</v>
      </c>
      <c r="T988" s="81">
        <f t="shared" si="263"/>
        <v>37.82407407222005</v>
      </c>
      <c r="U988" s="79" t="s">
        <v>2164</v>
      </c>
      <c r="V988" s="82">
        <v>45765.617361111108</v>
      </c>
      <c r="W988" s="82">
        <v>45765.782638888886</v>
      </c>
      <c r="X988" s="103">
        <f t="shared" si="264"/>
        <v>233.04166666712263</v>
      </c>
      <c r="Y988" s="82" t="s">
        <v>1044</v>
      </c>
      <c r="Z988" s="82">
        <v>45767.716666666667</v>
      </c>
      <c r="AA988" s="82">
        <f>Z988+TIME(0,42,0)</f>
        <v>45767.745833333334</v>
      </c>
      <c r="AB988" s="81">
        <f t="shared" si="265"/>
        <v>41.12500000068394</v>
      </c>
      <c r="AC988" s="82"/>
      <c r="AD988" s="83">
        <f t="shared" si="253"/>
        <v>0.9375</v>
      </c>
      <c r="AE988" s="83">
        <f>VLOOKUP(H988,'LIST 2'!$A$1:$E$27,4,FALSE)</f>
        <v>2</v>
      </c>
      <c r="AF988" s="83">
        <f t="shared" si="254"/>
        <v>1.0625</v>
      </c>
      <c r="AG988" s="83">
        <f t="shared" si="255"/>
        <v>22.5</v>
      </c>
      <c r="AH988" s="83">
        <f t="shared" si="256"/>
        <v>0</v>
      </c>
      <c r="AI988" s="83">
        <f t="shared" si="257"/>
        <v>22.5</v>
      </c>
      <c r="AJ988" s="83">
        <f t="shared" si="266"/>
        <v>6.8266666666666662</v>
      </c>
      <c r="AK988" s="83"/>
      <c r="AL988" s="83"/>
      <c r="AM988" s="83"/>
      <c r="AN988" s="83"/>
    </row>
    <row r="989" spans="1:40" ht="15" hidden="1" x14ac:dyDescent="0.25">
      <c r="A989" s="82">
        <v>45766</v>
      </c>
      <c r="B989" s="94" t="str">
        <f t="shared" si="259"/>
        <v>April</v>
      </c>
      <c r="C989" s="79" t="s">
        <v>2161</v>
      </c>
      <c r="D989" s="79" t="s">
        <v>1804</v>
      </c>
      <c r="E989" s="79"/>
      <c r="F989" s="79" t="s">
        <v>959</v>
      </c>
      <c r="G989" s="79" t="s">
        <v>976</v>
      </c>
      <c r="H989" s="82" t="s">
        <v>1956</v>
      </c>
      <c r="I989" s="79">
        <v>153.6</v>
      </c>
      <c r="J989" s="79" t="s">
        <v>1804</v>
      </c>
      <c r="K989" s="80" t="s">
        <v>469</v>
      </c>
      <c r="L989" s="79">
        <f>VLOOKUP(H989,Table2[#All],3,FALSE)</f>
        <v>596</v>
      </c>
      <c r="M989" s="80">
        <f>L989-3</f>
        <v>593</v>
      </c>
      <c r="N989" s="81">
        <f t="shared" si="251"/>
        <v>-3</v>
      </c>
      <c r="P989" s="82">
        <f>R989-TIME(0,39,0)</f>
        <v>45766.262499999997</v>
      </c>
      <c r="Q989" s="82">
        <v>45766.416666666664</v>
      </c>
      <c r="R989" s="82">
        <v>45766.289583333331</v>
      </c>
      <c r="S989" s="81">
        <f t="shared" si="252"/>
        <v>-182.15277777708252</v>
      </c>
      <c r="T989" s="81">
        <f t="shared" si="263"/>
        <v>38.819444445834961</v>
      </c>
      <c r="U989" s="79" t="s">
        <v>2164</v>
      </c>
      <c r="V989" s="82">
        <v>45766.670138888891</v>
      </c>
      <c r="W989" s="82">
        <v>45767.493750000001</v>
      </c>
      <c r="X989" s="103">
        <f t="shared" si="264"/>
        <v>1161.2916666664387</v>
      </c>
      <c r="Y989" s="82" t="s">
        <v>1047</v>
      </c>
      <c r="Z989" s="82">
        <v>45768.690972222219</v>
      </c>
      <c r="AA989" s="82">
        <f>Z989+TIME(0,41,0)</f>
        <v>45768.719444444439</v>
      </c>
      <c r="AB989" s="81">
        <f t="shared" si="265"/>
        <v>40.145833330825553</v>
      </c>
      <c r="AC989" s="82"/>
      <c r="AD989" s="83">
        <f t="shared" si="253"/>
        <v>2.4013888888875954</v>
      </c>
      <c r="AE989" s="83">
        <f>VLOOKUP(H989,'LIST 2'!$A$1:$E$27,4,FALSE)</f>
        <v>2</v>
      </c>
      <c r="AF989" s="83">
        <f t="shared" si="254"/>
        <v>-0.40138888888759539</v>
      </c>
      <c r="AG989" s="83">
        <f t="shared" si="255"/>
        <v>57.633333333302289</v>
      </c>
      <c r="AH989" s="83">
        <f t="shared" si="256"/>
        <v>24</v>
      </c>
      <c r="AI989" s="83">
        <f t="shared" si="257"/>
        <v>33.633333333302289</v>
      </c>
      <c r="AJ989" s="83">
        <f t="shared" si="266"/>
        <v>4.5668979187356324</v>
      </c>
      <c r="AK989" s="83"/>
      <c r="AL989" s="83"/>
      <c r="AM989" s="83"/>
      <c r="AN989" s="83"/>
    </row>
    <row r="990" spans="1:40" ht="15" hidden="1" x14ac:dyDescent="0.25">
      <c r="A990" s="82">
        <v>45766</v>
      </c>
      <c r="B990" s="94" t="str">
        <f t="shared" si="259"/>
        <v>April</v>
      </c>
      <c r="C990" s="79" t="s">
        <v>2162</v>
      </c>
      <c r="D990" s="79" t="s">
        <v>1805</v>
      </c>
      <c r="E990" s="79" t="s">
        <v>1016</v>
      </c>
      <c r="F990" s="79" t="s">
        <v>960</v>
      </c>
      <c r="G990" s="79" t="s">
        <v>62</v>
      </c>
      <c r="H990" s="82" t="s">
        <v>2187</v>
      </c>
      <c r="I990" s="79">
        <v>156</v>
      </c>
      <c r="J990" s="79" t="s">
        <v>1805</v>
      </c>
      <c r="K990" s="80" t="s">
        <v>469</v>
      </c>
      <c r="L990" s="79">
        <f>VLOOKUP(H990,Table2[#All],3,FALSE)</f>
        <v>670</v>
      </c>
      <c r="M990" s="80">
        <f t="shared" si="250"/>
        <v>669</v>
      </c>
      <c r="N990" s="81">
        <f t="shared" si="251"/>
        <v>-1</v>
      </c>
      <c r="P990" s="82">
        <f>R990-TIME(0,38,0)</f>
        <v>45765.700694444444</v>
      </c>
      <c r="Q990" s="82">
        <v>45765.916666666664</v>
      </c>
      <c r="R990" s="82">
        <v>45765.727083333331</v>
      </c>
      <c r="S990" s="81">
        <f t="shared" si="252"/>
        <v>-271.73611111041583</v>
      </c>
      <c r="T990" s="81">
        <f t="shared" si="263"/>
        <v>37.82407407222005</v>
      </c>
      <c r="U990" s="79" t="s">
        <v>2167</v>
      </c>
      <c r="V990" s="82">
        <v>45766.620138888888</v>
      </c>
      <c r="W990" s="82">
        <v>45766.836805555555</v>
      </c>
      <c r="X990" s="103">
        <f t="shared" si="264"/>
        <v>305.50000000068394</v>
      </c>
      <c r="Y990" s="82" t="s">
        <v>1049</v>
      </c>
      <c r="Z990" s="82">
        <v>45767.729861111111</v>
      </c>
      <c r="AA990" s="82">
        <f t="shared" si="261"/>
        <v>45767.761111111111</v>
      </c>
      <c r="AB990" s="81">
        <f t="shared" si="265"/>
        <v>44.0625</v>
      </c>
      <c r="AC990" s="82"/>
      <c r="AD990" s="83">
        <f t="shared" si="253"/>
        <v>2.0027777777795563</v>
      </c>
      <c r="AE990" s="83">
        <f>VLOOKUP(H990,'LIST 2'!$A$1:$E$27,4,FALSE)</f>
        <v>2</v>
      </c>
      <c r="AF990" s="83">
        <f t="shared" si="254"/>
        <v>-2.7777777795563452E-3</v>
      </c>
      <c r="AG990" s="83">
        <f t="shared" si="255"/>
        <v>48.066666666709352</v>
      </c>
      <c r="AH990" s="83">
        <f t="shared" si="256"/>
        <v>24</v>
      </c>
      <c r="AI990" s="83">
        <f t="shared" si="257"/>
        <v>24.066666666709352</v>
      </c>
      <c r="AJ990" s="83">
        <f t="shared" si="266"/>
        <v>6.4819944598222987</v>
      </c>
      <c r="AK990" s="83"/>
      <c r="AL990" s="83"/>
      <c r="AM990" s="83"/>
      <c r="AN990" s="83"/>
    </row>
    <row r="991" spans="1:40" ht="15" hidden="1" x14ac:dyDescent="0.25">
      <c r="A991" s="82">
        <v>45766</v>
      </c>
      <c r="B991" s="94" t="str">
        <f t="shared" si="259"/>
        <v>April</v>
      </c>
      <c r="C991" s="79" t="s">
        <v>2161</v>
      </c>
      <c r="D991" s="79" t="s">
        <v>1806</v>
      </c>
      <c r="E991" s="79"/>
      <c r="F991" s="79" t="s">
        <v>964</v>
      </c>
      <c r="G991" s="79" t="s">
        <v>979</v>
      </c>
      <c r="H991" s="82" t="s">
        <v>2177</v>
      </c>
      <c r="I991" s="79">
        <v>156</v>
      </c>
      <c r="J991" s="79" t="s">
        <v>1806</v>
      </c>
      <c r="K991" s="80" t="s">
        <v>469</v>
      </c>
      <c r="L991" s="79">
        <f>VLOOKUP(H991,Table2[#All],3,FALSE)</f>
        <v>448</v>
      </c>
      <c r="M991" s="80">
        <f>L991-2</f>
        <v>446</v>
      </c>
      <c r="N991" s="81">
        <f t="shared" si="251"/>
        <v>-2</v>
      </c>
      <c r="P991" s="82">
        <f>R991-TIME(0,28,0)</f>
        <v>45766.746527777781</v>
      </c>
      <c r="Q991" s="82">
        <v>45767.0625</v>
      </c>
      <c r="R991" s="82">
        <v>45766.765972222223</v>
      </c>
      <c r="S991" s="81">
        <f t="shared" si="252"/>
        <v>-425.0231481465259</v>
      </c>
      <c r="T991" s="81">
        <f t="shared" si="263"/>
        <v>27.870370367357584</v>
      </c>
      <c r="U991" s="79"/>
      <c r="V991" s="82">
        <v>45771.640972222223</v>
      </c>
      <c r="W991" s="82">
        <v>45772.694444444445</v>
      </c>
      <c r="X991" s="103">
        <f t="shared" si="264"/>
        <v>1485.3958333328774</v>
      </c>
      <c r="Y991" s="82" t="s">
        <v>1044</v>
      </c>
      <c r="Z991" s="82">
        <v>45773.433333333334</v>
      </c>
      <c r="AA991" s="82">
        <f>Z991+TIME(0,50,0)</f>
        <v>45773.468055555553</v>
      </c>
      <c r="AB991" s="81">
        <f t="shared" si="265"/>
        <v>48.958333328773733</v>
      </c>
      <c r="AC991" s="82" t="s">
        <v>1678</v>
      </c>
      <c r="AD991" s="83">
        <f t="shared" si="253"/>
        <v>6.6673611111109494</v>
      </c>
      <c r="AE991" s="83">
        <f>VLOOKUP(H991,'LIST 2'!$A$1:$E$27,4,FALSE)</f>
        <v>2</v>
      </c>
      <c r="AF991" s="83">
        <f t="shared" si="254"/>
        <v>-4.6673611111109494</v>
      </c>
      <c r="AG991" s="83">
        <f t="shared" si="255"/>
        <v>160.01666666666279</v>
      </c>
      <c r="AH991" s="83">
        <f t="shared" si="256"/>
        <v>72</v>
      </c>
      <c r="AI991" s="83">
        <f t="shared" si="257"/>
        <v>88.016666666662786</v>
      </c>
      <c r="AJ991" s="83">
        <f t="shared" si="266"/>
        <v>1.7723915925014984</v>
      </c>
      <c r="AK991" s="83"/>
      <c r="AL991" s="83"/>
      <c r="AM991" s="83"/>
      <c r="AN991" s="83"/>
    </row>
    <row r="992" spans="1:40" ht="15" hidden="1" x14ac:dyDescent="0.25">
      <c r="A992" s="82">
        <v>45766</v>
      </c>
      <c r="B992" s="94" t="str">
        <f t="shared" si="259"/>
        <v>April</v>
      </c>
      <c r="C992" s="79" t="s">
        <v>2161</v>
      </c>
      <c r="D992" s="79" t="s">
        <v>1807</v>
      </c>
      <c r="E992" s="79"/>
      <c r="F992" s="79" t="s">
        <v>953</v>
      </c>
      <c r="G992" s="79" t="s">
        <v>970</v>
      </c>
      <c r="H992" s="82" t="s">
        <v>1991</v>
      </c>
      <c r="I992" s="79">
        <v>153.6</v>
      </c>
      <c r="J992" s="79" t="s">
        <v>1807</v>
      </c>
      <c r="K992" s="80" t="s">
        <v>469</v>
      </c>
      <c r="L992" s="79">
        <f>VLOOKUP(H992,Table2[#All],3,FALSE)</f>
        <v>272</v>
      </c>
      <c r="M992" s="80">
        <f>L992-2</f>
        <v>270</v>
      </c>
      <c r="N992" s="81">
        <f t="shared" si="251"/>
        <v>-2</v>
      </c>
      <c r="P992" s="82">
        <f>R992-TIME(0,28,0)</f>
        <v>45766.347222222226</v>
      </c>
      <c r="Q992" s="82">
        <v>45767.082638888889</v>
      </c>
      <c r="R992" s="82">
        <v>45766.366666666669</v>
      </c>
      <c r="S992" s="81">
        <f t="shared" si="252"/>
        <v>-1026.2268518493026</v>
      </c>
      <c r="T992" s="81">
        <f t="shared" si="263"/>
        <v>27.870370367357584</v>
      </c>
      <c r="U992" s="79"/>
      <c r="V992" s="82">
        <v>45766.718055555553</v>
      </c>
      <c r="W992" s="82">
        <v>45767.556944444441</v>
      </c>
      <c r="X992" s="103">
        <f t="shared" si="264"/>
        <v>1182.8333333315095</v>
      </c>
      <c r="Y992" s="82" t="s">
        <v>1049</v>
      </c>
      <c r="Z992" s="82">
        <v>45767.780555555553</v>
      </c>
      <c r="AA992" s="82">
        <f>Z992+TIME(0,38,0)</f>
        <v>45767.806944444441</v>
      </c>
      <c r="AB992" s="81">
        <f t="shared" si="265"/>
        <v>37.208333331509493</v>
      </c>
      <c r="AC992" s="82"/>
      <c r="AD992" s="83">
        <f t="shared" si="253"/>
        <v>1.413888888884685</v>
      </c>
      <c r="AE992" s="83">
        <f>VLOOKUP(H992,'LIST 2'!$A$1:$E$27,4,FALSE)</f>
        <v>2</v>
      </c>
      <c r="AF992" s="83">
        <f t="shared" si="254"/>
        <v>0.586111111115315</v>
      </c>
      <c r="AG992" s="83">
        <f t="shared" si="255"/>
        <v>33.93333333323244</v>
      </c>
      <c r="AH992" s="83">
        <f t="shared" si="256"/>
        <v>12</v>
      </c>
      <c r="AI992" s="83">
        <f t="shared" si="257"/>
        <v>21.93333333323244</v>
      </c>
      <c r="AJ992" s="83">
        <f t="shared" si="266"/>
        <v>7.003039513710025</v>
      </c>
      <c r="AK992" s="83"/>
      <c r="AL992" s="83"/>
      <c r="AM992" s="83"/>
      <c r="AN992" s="83"/>
    </row>
    <row r="993" spans="1:40" ht="15" hidden="1" x14ac:dyDescent="0.25">
      <c r="A993" s="82">
        <v>45767</v>
      </c>
      <c r="B993" s="94" t="str">
        <f t="shared" si="259"/>
        <v>April</v>
      </c>
      <c r="C993" s="79" t="s">
        <v>2161</v>
      </c>
      <c r="D993" s="79" t="s">
        <v>1808</v>
      </c>
      <c r="E993" s="79"/>
      <c r="F993" s="79" t="s">
        <v>959</v>
      </c>
      <c r="G993" s="79" t="s">
        <v>976</v>
      </c>
      <c r="H993" s="82" t="s">
        <v>2054</v>
      </c>
      <c r="I993" s="79">
        <v>156</v>
      </c>
      <c r="J993" s="79" t="s">
        <v>1808</v>
      </c>
      <c r="K993" s="80" t="s">
        <v>469</v>
      </c>
      <c r="L993" s="79">
        <f>VLOOKUP(H993,Table2[#All],3,FALSE)</f>
        <v>514</v>
      </c>
      <c r="M993" s="80">
        <f t="shared" si="250"/>
        <v>513</v>
      </c>
      <c r="N993" s="81">
        <f t="shared" si="251"/>
        <v>-1</v>
      </c>
      <c r="P993" s="82">
        <f>R993-TIME(0,28,0)</f>
        <v>45769.288194444445</v>
      </c>
      <c r="Q993" s="82">
        <v>45767.842361111114</v>
      </c>
      <c r="R993" s="82">
        <v>45769.307638888888</v>
      </c>
      <c r="S993" s="81">
        <f t="shared" si="252"/>
        <v>2100.2314814756878</v>
      </c>
      <c r="T993" s="81">
        <f t="shared" si="263"/>
        <v>27.870370367357584</v>
      </c>
      <c r="U993" s="79"/>
      <c r="V993" s="82">
        <v>45769.736111111109</v>
      </c>
      <c r="W993" s="82">
        <v>45770.630555555559</v>
      </c>
      <c r="X993" s="103">
        <f t="shared" si="264"/>
        <v>1261.166666673962</v>
      </c>
      <c r="Y993" s="82" t="s">
        <v>1044</v>
      </c>
      <c r="Z993" s="82">
        <v>45771.441666666666</v>
      </c>
      <c r="AA993" s="82">
        <f>Z993+TIME(0,41,0)</f>
        <v>45771.470138888886</v>
      </c>
      <c r="AB993" s="81">
        <f t="shared" si="265"/>
        <v>40.145833330825553</v>
      </c>
      <c r="AC993" s="82"/>
      <c r="AD993" s="83">
        <f t="shared" si="253"/>
        <v>2.1340277777781012</v>
      </c>
      <c r="AE993" s="83">
        <f>VLOOKUP(H993,'LIST 2'!$A$1:$E$27,4,FALSE)</f>
        <v>3</v>
      </c>
      <c r="AF993" s="83">
        <f t="shared" si="254"/>
        <v>0.86597222222189885</v>
      </c>
      <c r="AG993" s="83">
        <f t="shared" si="255"/>
        <v>51.216666666674428</v>
      </c>
      <c r="AH993" s="83">
        <f t="shared" si="256"/>
        <v>24</v>
      </c>
      <c r="AI993" s="83">
        <f t="shared" si="257"/>
        <v>27.216666666674428</v>
      </c>
      <c r="AJ993" s="83">
        <f t="shared" si="266"/>
        <v>5.7317819963241465</v>
      </c>
      <c r="AK993" s="83"/>
      <c r="AL993" s="83"/>
      <c r="AM993" s="83"/>
      <c r="AN993" s="83"/>
    </row>
    <row r="994" spans="1:40" ht="15" hidden="1" x14ac:dyDescent="0.25">
      <c r="A994" s="82">
        <v>45767</v>
      </c>
      <c r="B994" s="94" t="str">
        <f t="shared" si="259"/>
        <v>April</v>
      </c>
      <c r="C994" s="79" t="s">
        <v>2161</v>
      </c>
      <c r="D994" s="79" t="s">
        <v>1809</v>
      </c>
      <c r="E994" s="79"/>
      <c r="F994" s="79" t="s">
        <v>952</v>
      </c>
      <c r="G994" s="79" t="s">
        <v>969</v>
      </c>
      <c r="H994" s="82" t="s">
        <v>1956</v>
      </c>
      <c r="I994" s="79">
        <v>153.6</v>
      </c>
      <c r="J994" s="79" t="s">
        <v>1809</v>
      </c>
      <c r="K994" s="80" t="s">
        <v>469</v>
      </c>
      <c r="L994" s="79">
        <f>VLOOKUP(H994,Table2[#All],3,FALSE)</f>
        <v>596</v>
      </c>
      <c r="M994" s="80">
        <f>L994-3</f>
        <v>593</v>
      </c>
      <c r="N994" s="81">
        <f t="shared" si="251"/>
        <v>-3</v>
      </c>
      <c r="P994" s="82">
        <f t="shared" ref="P994:P995" si="271">R994-TIME(0,42,0)</f>
        <v>45767.647916666669</v>
      </c>
      <c r="Q994" s="82">
        <v>45767.416666666664</v>
      </c>
      <c r="R994" s="82">
        <v>45767.677083333336</v>
      </c>
      <c r="S994" s="81">
        <f t="shared" si="252"/>
        <v>373.26388889584149</v>
      </c>
      <c r="T994" s="81">
        <f t="shared" si="263"/>
        <v>41.805555556250816</v>
      </c>
      <c r="U994" s="79" t="s">
        <v>2166</v>
      </c>
      <c r="V994" s="82">
        <v>45768.529166666667</v>
      </c>
      <c r="W994" s="82">
        <v>45768.664583333331</v>
      </c>
      <c r="X994" s="103">
        <f t="shared" si="264"/>
        <v>190.9374999965803</v>
      </c>
      <c r="Y994" s="82" t="s">
        <v>1044</v>
      </c>
      <c r="Z994" s="82">
        <v>45769.428472222222</v>
      </c>
      <c r="AA994" s="82">
        <f>Z994+TIME(0,42,0)</f>
        <v>45769.457638888889</v>
      </c>
      <c r="AB994" s="81">
        <f t="shared" si="265"/>
        <v>41.12500000068394</v>
      </c>
      <c r="AC994" s="82"/>
      <c r="AD994" s="83">
        <f t="shared" si="253"/>
        <v>1.7513888888861402</v>
      </c>
      <c r="AE994" s="83">
        <f>VLOOKUP(H994,'LIST 2'!$A$1:$E$27,4,FALSE)</f>
        <v>2</v>
      </c>
      <c r="AF994" s="83">
        <f t="shared" si="254"/>
        <v>0.24861111111385981</v>
      </c>
      <c r="AG994" s="83">
        <f t="shared" si="255"/>
        <v>42.033333333267365</v>
      </c>
      <c r="AH994" s="83">
        <f t="shared" si="256"/>
        <v>12</v>
      </c>
      <c r="AI994" s="83">
        <f t="shared" si="257"/>
        <v>30.033333333267365</v>
      </c>
      <c r="AJ994" s="83">
        <f t="shared" ref="AJ994:AJ1022" si="272">I994/AI994</f>
        <v>5.1143174250944741</v>
      </c>
      <c r="AK994" s="83"/>
      <c r="AL994" s="83"/>
      <c r="AM994" s="83"/>
      <c r="AN994" s="83"/>
    </row>
    <row r="995" spans="1:40" ht="15" hidden="1" x14ac:dyDescent="0.25">
      <c r="A995" s="82">
        <v>45767</v>
      </c>
      <c r="B995" s="94" t="str">
        <f t="shared" si="259"/>
        <v>April</v>
      </c>
      <c r="C995" s="79" t="s">
        <v>2161</v>
      </c>
      <c r="D995" s="79" t="s">
        <v>1810</v>
      </c>
      <c r="E995" s="79"/>
      <c r="F995" s="79" t="s">
        <v>955</v>
      </c>
      <c r="G995" s="79" t="s">
        <v>972</v>
      </c>
      <c r="H995" s="82" t="s">
        <v>1989</v>
      </c>
      <c r="I995" s="79">
        <v>153.6</v>
      </c>
      <c r="J995" s="79" t="s">
        <v>1810</v>
      </c>
      <c r="K995" s="80" t="s">
        <v>469</v>
      </c>
      <c r="L995" s="79">
        <f>VLOOKUP(H995,Table2[#All],3,FALSE)</f>
        <v>20</v>
      </c>
      <c r="M995" s="80">
        <f t="shared" si="250"/>
        <v>19</v>
      </c>
      <c r="N995" s="81">
        <f t="shared" si="251"/>
        <v>-1</v>
      </c>
      <c r="P995" s="82">
        <f t="shared" si="271"/>
        <v>45767.43472222222</v>
      </c>
      <c r="Q995" s="82">
        <v>45767.333333333336</v>
      </c>
      <c r="R995" s="82">
        <v>45767.463888888888</v>
      </c>
      <c r="S995" s="81">
        <f t="shared" si="252"/>
        <v>187.12962962429933</v>
      </c>
      <c r="T995" s="81">
        <f t="shared" si="263"/>
        <v>41.805555556250816</v>
      </c>
      <c r="U995" s="79" t="s">
        <v>1671</v>
      </c>
      <c r="V995" s="82">
        <v>45767.482638888891</v>
      </c>
      <c r="W995" s="82">
        <v>45767.563194444447</v>
      </c>
      <c r="X995" s="103">
        <f t="shared" si="264"/>
        <v>113.58333333424525</v>
      </c>
      <c r="Y995" s="82"/>
      <c r="Z995" s="82">
        <v>45767.586805555555</v>
      </c>
      <c r="AA995" s="82">
        <f>Z995+TIME(0,42,0)</f>
        <v>45767.615972222222</v>
      </c>
      <c r="AB995" s="81">
        <f t="shared" si="265"/>
        <v>41.12500000068394</v>
      </c>
      <c r="AC995" s="82"/>
      <c r="AD995" s="83">
        <f t="shared" si="253"/>
        <v>0.12291666666715173</v>
      </c>
      <c r="AE995" s="83">
        <f>VLOOKUP(H995,'LIST 2'!$A$1:$E$27,4,FALSE)</f>
        <v>1</v>
      </c>
      <c r="AF995" s="83">
        <f t="shared" si="254"/>
        <v>0.87708333333284827</v>
      </c>
      <c r="AG995" s="83">
        <f t="shared" si="255"/>
        <v>2.9500000000116415</v>
      </c>
      <c r="AH995" s="83">
        <f t="shared" si="256"/>
        <v>0</v>
      </c>
      <c r="AI995" s="83">
        <f t="shared" si="257"/>
        <v>2.9500000000116415</v>
      </c>
      <c r="AJ995" s="83">
        <f t="shared" si="272"/>
        <v>52.067796609964013</v>
      </c>
      <c r="AK995" s="83"/>
      <c r="AL995" s="83"/>
      <c r="AM995" s="83"/>
      <c r="AN995" s="83"/>
    </row>
    <row r="996" spans="1:40" ht="15" hidden="1" x14ac:dyDescent="0.25">
      <c r="A996" s="82">
        <v>45767</v>
      </c>
      <c r="B996" s="94" t="str">
        <f t="shared" si="259"/>
        <v>April</v>
      </c>
      <c r="C996" s="79" t="s">
        <v>2161</v>
      </c>
      <c r="D996" s="79" t="s">
        <v>1811</v>
      </c>
      <c r="E996" s="79"/>
      <c r="F996" s="79" t="s">
        <v>955</v>
      </c>
      <c r="G996" s="79" t="s">
        <v>972</v>
      </c>
      <c r="H996" s="82" t="s">
        <v>1990</v>
      </c>
      <c r="I996" s="79">
        <v>153.6</v>
      </c>
      <c r="J996" s="79" t="s">
        <v>1811</v>
      </c>
      <c r="K996" s="80" t="s">
        <v>469</v>
      </c>
      <c r="L996" s="79">
        <f>VLOOKUP(H996,Table2[#All],3,FALSE)</f>
        <v>810</v>
      </c>
      <c r="M996" s="80">
        <f t="shared" si="250"/>
        <v>809</v>
      </c>
      <c r="N996" s="81">
        <f t="shared" si="251"/>
        <v>-1</v>
      </c>
      <c r="P996" s="82">
        <f>R996-TIME(0,27,0)</f>
        <v>45767.728472222218</v>
      </c>
      <c r="Q996" s="82">
        <v>45767.694444444445</v>
      </c>
      <c r="R996" s="82">
        <v>45767.74722222222</v>
      </c>
      <c r="S996" s="81">
        <f t="shared" si="252"/>
        <v>75.6481481444401</v>
      </c>
      <c r="T996" s="81">
        <f t="shared" si="263"/>
        <v>26.87500000417155</v>
      </c>
      <c r="U996" s="79"/>
      <c r="V996" s="82">
        <v>45769.394444444442</v>
      </c>
      <c r="W996" s="82">
        <v>45769.76666666667</v>
      </c>
      <c r="X996" s="103">
        <f t="shared" si="264"/>
        <v>524.83333334108465</v>
      </c>
      <c r="Y996" s="82" t="s">
        <v>1049</v>
      </c>
      <c r="Z996" s="82">
        <v>45772.303472222222</v>
      </c>
      <c r="AA996" s="82">
        <f>Z996+TIME(0,50,0)</f>
        <v>45772.338194444441</v>
      </c>
      <c r="AB996" s="81">
        <f t="shared" si="265"/>
        <v>48.958333328773733</v>
      </c>
      <c r="AC996" s="82" t="s">
        <v>549</v>
      </c>
      <c r="AD996" s="83">
        <f t="shared" si="253"/>
        <v>4.5562500000014552</v>
      </c>
      <c r="AE996" s="83">
        <f>VLOOKUP(H996,'LIST 2'!$A$1:$E$27,4,FALSE)</f>
        <v>3</v>
      </c>
      <c r="AF996" s="83">
        <f t="shared" si="254"/>
        <v>-1.5562500000014552</v>
      </c>
      <c r="AG996" s="83">
        <f t="shared" si="255"/>
        <v>109.35000000003492</v>
      </c>
      <c r="AH996" s="83">
        <f t="shared" si="256"/>
        <v>48</v>
      </c>
      <c r="AI996" s="83">
        <f t="shared" si="257"/>
        <v>61.350000000034925</v>
      </c>
      <c r="AJ996" s="83">
        <f t="shared" si="272"/>
        <v>2.5036674816611661</v>
      </c>
      <c r="AK996" s="83"/>
      <c r="AL996" s="83"/>
      <c r="AM996" s="83"/>
      <c r="AN996" s="83"/>
    </row>
    <row r="997" spans="1:40" ht="15" hidden="1" x14ac:dyDescent="0.25">
      <c r="A997" s="82">
        <v>45767</v>
      </c>
      <c r="B997" s="94" t="str">
        <f t="shared" si="259"/>
        <v>April</v>
      </c>
      <c r="C997" s="79" t="s">
        <v>2162</v>
      </c>
      <c r="D997" s="79" t="s">
        <v>1812</v>
      </c>
      <c r="E997" s="79" t="s">
        <v>1016</v>
      </c>
      <c r="F997" s="79" t="s">
        <v>961</v>
      </c>
      <c r="G997" s="79" t="s">
        <v>977</v>
      </c>
      <c r="H997" s="82" t="s">
        <v>2183</v>
      </c>
      <c r="I997" s="79">
        <v>156</v>
      </c>
      <c r="J997" s="79" t="s">
        <v>1812</v>
      </c>
      <c r="K997" s="80" t="s">
        <v>469</v>
      </c>
      <c r="L997" s="79">
        <f>VLOOKUP(H997,Table2[#All],3,FALSE)</f>
        <v>690</v>
      </c>
      <c r="M997" s="80">
        <f t="shared" si="250"/>
        <v>689</v>
      </c>
      <c r="N997" s="81">
        <f t="shared" si="251"/>
        <v>-1</v>
      </c>
      <c r="P997" s="82">
        <f>R997-TIME(0,28,0)</f>
        <v>45766.668750000004</v>
      </c>
      <c r="Q997" s="82">
        <v>45766.815972222219</v>
      </c>
      <c r="R997" s="82">
        <v>45766.688194444447</v>
      </c>
      <c r="S997" s="81">
        <f t="shared" si="252"/>
        <v>-183.14814814026855</v>
      </c>
      <c r="T997" s="81">
        <f t="shared" si="263"/>
        <v>27.870370367357584</v>
      </c>
      <c r="U997" s="79"/>
      <c r="V997" s="82">
        <v>45767.49722222222</v>
      </c>
      <c r="W997" s="82">
        <v>45767.738194444442</v>
      </c>
      <c r="X997" s="103">
        <f t="shared" si="264"/>
        <v>339.77083333287737</v>
      </c>
      <c r="Y997" s="82" t="s">
        <v>1050</v>
      </c>
      <c r="Z997" s="82">
        <v>45768.722222222219</v>
      </c>
      <c r="AA997" s="82">
        <f t="shared" ref="AA997:AA998" si="273">Z997+TIME(0,41,0)</f>
        <v>45768.750694444439</v>
      </c>
      <c r="AB997" s="81">
        <f t="shared" si="265"/>
        <v>40.145833330825553</v>
      </c>
      <c r="AC997" s="82"/>
      <c r="AD997" s="83">
        <f t="shared" si="253"/>
        <v>2.0340277777722804</v>
      </c>
      <c r="AE997" s="83">
        <f>VLOOKUP(H997,'LIST 2'!$A$1:$E$27,4,FALSE)</f>
        <v>3</v>
      </c>
      <c r="AF997" s="83">
        <f t="shared" si="254"/>
        <v>0.96597222222771961</v>
      </c>
      <c r="AG997" s="83">
        <f t="shared" si="255"/>
        <v>48.816666666534729</v>
      </c>
      <c r="AH997" s="83">
        <f t="shared" si="256"/>
        <v>24</v>
      </c>
      <c r="AI997" s="83">
        <f t="shared" si="257"/>
        <v>24.816666666534729</v>
      </c>
      <c r="AJ997" s="83">
        <f t="shared" si="272"/>
        <v>6.2860980524175707</v>
      </c>
      <c r="AK997" s="83"/>
      <c r="AL997" s="83"/>
      <c r="AM997" s="83"/>
      <c r="AN997" s="83"/>
    </row>
    <row r="998" spans="1:40" ht="15" hidden="1" x14ac:dyDescent="0.25">
      <c r="A998" s="82">
        <v>45767</v>
      </c>
      <c r="B998" s="94" t="str">
        <f t="shared" si="259"/>
        <v>April</v>
      </c>
      <c r="C998" s="79" t="s">
        <v>2161</v>
      </c>
      <c r="D998" s="79" t="s">
        <v>1813</v>
      </c>
      <c r="E998" s="79"/>
      <c r="F998" s="79" t="s">
        <v>965</v>
      </c>
      <c r="G998" s="79" t="s">
        <v>980</v>
      </c>
      <c r="H998" s="82" t="s">
        <v>1990</v>
      </c>
      <c r="I998" s="79">
        <v>153.6</v>
      </c>
      <c r="J998" s="79" t="s">
        <v>1813</v>
      </c>
      <c r="K998" s="80" t="s">
        <v>469</v>
      </c>
      <c r="L998" s="79">
        <f>VLOOKUP(H998,Table2[#All],3,FALSE)</f>
        <v>810</v>
      </c>
      <c r="M998" s="80">
        <f t="shared" si="250"/>
        <v>809</v>
      </c>
      <c r="N998" s="81">
        <f t="shared" si="251"/>
        <v>-1</v>
      </c>
      <c r="P998" s="82">
        <f>R998-TIME(0,26,0)</f>
        <v>45766.503472222219</v>
      </c>
      <c r="Q998" s="82">
        <v>45766.694444444445</v>
      </c>
      <c r="R998" s="82">
        <v>45766.521527777775</v>
      </c>
      <c r="S998" s="81">
        <f t="shared" si="252"/>
        <v>-247.84722222708902</v>
      </c>
      <c r="T998" s="81">
        <f t="shared" si="263"/>
        <v>25.879629630556639</v>
      </c>
      <c r="U998" s="79"/>
      <c r="V998" s="82">
        <v>45767.37222222222</v>
      </c>
      <c r="W998" s="82">
        <v>45767.643750000003</v>
      </c>
      <c r="X998" s="103">
        <f t="shared" si="264"/>
        <v>382.85416667327809</v>
      </c>
      <c r="Y998" s="82" t="s">
        <v>1044</v>
      </c>
      <c r="Z998" s="82">
        <v>45768.757638888892</v>
      </c>
      <c r="AA998" s="82">
        <f t="shared" si="273"/>
        <v>45768.786111111112</v>
      </c>
      <c r="AB998" s="81">
        <f t="shared" si="265"/>
        <v>40.145833330825553</v>
      </c>
      <c r="AC998" s="82"/>
      <c r="AD998" s="83">
        <f t="shared" si="253"/>
        <v>2.2361111111167702</v>
      </c>
      <c r="AE998" s="83">
        <f>VLOOKUP(H998,'LIST 2'!$A$1:$E$27,4,FALSE)</f>
        <v>3</v>
      </c>
      <c r="AF998" s="83">
        <f t="shared" si="254"/>
        <v>0.76388888888322981</v>
      </c>
      <c r="AG998" s="83">
        <f t="shared" si="255"/>
        <v>53.666666666802485</v>
      </c>
      <c r="AH998" s="83">
        <f t="shared" si="256"/>
        <v>24</v>
      </c>
      <c r="AI998" s="83">
        <f t="shared" si="257"/>
        <v>29.666666666802485</v>
      </c>
      <c r="AJ998" s="83">
        <f t="shared" si="272"/>
        <v>5.1775280898639364</v>
      </c>
      <c r="AK998" s="83"/>
      <c r="AL998" s="83"/>
      <c r="AM998" s="83"/>
      <c r="AN998" s="83"/>
    </row>
    <row r="999" spans="1:40" ht="15" hidden="1" x14ac:dyDescent="0.25">
      <c r="A999" s="82">
        <v>45767</v>
      </c>
      <c r="B999" s="94" t="str">
        <f t="shared" si="259"/>
        <v>April</v>
      </c>
      <c r="C999" s="79" t="s">
        <v>2161</v>
      </c>
      <c r="D999" s="79" t="s">
        <v>1814</v>
      </c>
      <c r="E999" s="80" t="s">
        <v>1016</v>
      </c>
      <c r="F999" s="79" t="s">
        <v>954</v>
      </c>
      <c r="G999" s="79" t="s">
        <v>971</v>
      </c>
      <c r="H999" s="82" t="s">
        <v>1956</v>
      </c>
      <c r="I999" s="79">
        <v>153.6</v>
      </c>
      <c r="J999" s="79" t="s">
        <v>1814</v>
      </c>
      <c r="K999" s="80" t="s">
        <v>469</v>
      </c>
      <c r="L999" s="79">
        <f>VLOOKUP(H999,Table2[#All],3,FALSE)</f>
        <v>596</v>
      </c>
      <c r="M999" s="80">
        <f t="shared" si="250"/>
        <v>595</v>
      </c>
      <c r="N999" s="81">
        <f t="shared" si="251"/>
        <v>-1</v>
      </c>
      <c r="P999" s="82">
        <f>R999-TIME(0,50,0)</f>
        <v>45766.772222222222</v>
      </c>
      <c r="Q999" s="82">
        <v>45767.416666666664</v>
      </c>
      <c r="R999" s="82">
        <v>45766.806944444441</v>
      </c>
      <c r="S999" s="81">
        <f t="shared" si="252"/>
        <v>-873.93518518680742</v>
      </c>
      <c r="T999" s="81">
        <f t="shared" si="263"/>
        <v>49.768518513883464</v>
      </c>
      <c r="U999" s="79" t="s">
        <v>2164</v>
      </c>
      <c r="V999" s="82">
        <v>45767.568749999999</v>
      </c>
      <c r="W999" s="82">
        <v>45767.713194444441</v>
      </c>
      <c r="X999" s="103">
        <f t="shared" si="264"/>
        <v>203.66666666370293</v>
      </c>
      <c r="Y999" s="82"/>
      <c r="Z999" s="82">
        <v>45769.559027777781</v>
      </c>
      <c r="AA999" s="82">
        <f>Z999+TIME(0,38,0)</f>
        <v>45769.585416666669</v>
      </c>
      <c r="AB999" s="81">
        <f t="shared" si="265"/>
        <v>37.208333331509493</v>
      </c>
      <c r="AC999" s="82"/>
      <c r="AD999" s="83">
        <f t="shared" si="253"/>
        <v>2.7520833333401242</v>
      </c>
      <c r="AE999" s="83">
        <f>VLOOKUP(H999,'LIST 2'!$A$1:$E$27,4,FALSE)</f>
        <v>2</v>
      </c>
      <c r="AF999" s="83">
        <f t="shared" si="254"/>
        <v>-0.75208333334012423</v>
      </c>
      <c r="AG999" s="83">
        <f t="shared" si="255"/>
        <v>66.050000000162981</v>
      </c>
      <c r="AH999" s="83">
        <f t="shared" si="256"/>
        <v>24</v>
      </c>
      <c r="AI999" s="83">
        <f t="shared" si="257"/>
        <v>42.050000000162981</v>
      </c>
      <c r="AJ999" s="83">
        <f t="shared" si="272"/>
        <v>3.6527942924947601</v>
      </c>
      <c r="AK999" s="83"/>
      <c r="AL999" s="83"/>
      <c r="AM999" s="83"/>
      <c r="AN999" s="83"/>
    </row>
    <row r="1000" spans="1:40" ht="15" hidden="1" x14ac:dyDescent="0.25">
      <c r="A1000" s="82">
        <v>45768</v>
      </c>
      <c r="B1000" s="94" t="str">
        <f t="shared" si="259"/>
        <v>April</v>
      </c>
      <c r="C1000" s="79" t="s">
        <v>2161</v>
      </c>
      <c r="D1000" s="79" t="s">
        <v>1815</v>
      </c>
      <c r="E1000" s="79"/>
      <c r="F1000" s="79" t="s">
        <v>1689</v>
      </c>
      <c r="G1000" s="79" t="s">
        <v>1262</v>
      </c>
      <c r="H1000" s="82" t="s">
        <v>1990</v>
      </c>
      <c r="I1000" s="79">
        <v>153.6</v>
      </c>
      <c r="J1000" s="79" t="s">
        <v>1815</v>
      </c>
      <c r="K1000" s="80" t="s">
        <v>469</v>
      </c>
      <c r="L1000" s="79">
        <f>VLOOKUP(H1000,Table2[#All],3,FALSE)</f>
        <v>810</v>
      </c>
      <c r="M1000" s="80">
        <f>L1000-3</f>
        <v>807</v>
      </c>
      <c r="N1000" s="81">
        <f t="shared" si="251"/>
        <v>-3</v>
      </c>
      <c r="P1000" s="82">
        <f>R1000-TIME(0,39,0)</f>
        <v>45768.854861111111</v>
      </c>
      <c r="Q1000" s="82">
        <v>45767.833333333336</v>
      </c>
      <c r="R1000" s="82">
        <v>45768.881944444445</v>
      </c>
      <c r="S1000" s="81">
        <f t="shared" si="252"/>
        <v>1503.0092592569417</v>
      </c>
      <c r="T1000" s="81">
        <f t="shared" si="263"/>
        <v>38.819444445834961</v>
      </c>
      <c r="U1000" s="79" t="s">
        <v>2164</v>
      </c>
      <c r="V1000" s="82">
        <v>45769.794444444444</v>
      </c>
      <c r="W1000" s="82">
        <v>45770.632638888892</v>
      </c>
      <c r="X1000" s="103">
        <f t="shared" si="264"/>
        <v>1181.8541666719102</v>
      </c>
      <c r="Y1000" s="82" t="s">
        <v>1046</v>
      </c>
      <c r="Z1000" s="82">
        <v>45771.632638888892</v>
      </c>
      <c r="AA1000" s="82">
        <f t="shared" ref="AA1000" si="274">Z1000+TIME(0,42,0)</f>
        <v>45771.661805555559</v>
      </c>
      <c r="AB1000" s="81">
        <f t="shared" si="265"/>
        <v>41.12500000068394</v>
      </c>
      <c r="AC1000" s="82"/>
      <c r="AD1000" s="83">
        <f t="shared" si="253"/>
        <v>2.7506944444467081</v>
      </c>
      <c r="AE1000" s="83">
        <f>VLOOKUP(H1000,'LIST 2'!$A$1:$E$27,4,FALSE)</f>
        <v>3</v>
      </c>
      <c r="AF1000" s="83">
        <f t="shared" si="254"/>
        <v>0.24930555555329192</v>
      </c>
      <c r="AG1000" s="83">
        <f t="shared" si="255"/>
        <v>66.016666666720994</v>
      </c>
      <c r="AH1000" s="83">
        <f t="shared" si="256"/>
        <v>24</v>
      </c>
      <c r="AI1000" s="83">
        <f t="shared" si="257"/>
        <v>42.016666666720994</v>
      </c>
      <c r="AJ1000" s="83">
        <f t="shared" si="272"/>
        <v>3.6556921856358917</v>
      </c>
      <c r="AK1000" s="83">
        <v>1.59</v>
      </c>
      <c r="AL1000" s="83">
        <v>10.57</v>
      </c>
      <c r="AM1000" s="83">
        <v>11.2</v>
      </c>
      <c r="AN1000" s="83">
        <v>9.6</v>
      </c>
    </row>
    <row r="1001" spans="1:40" ht="15" hidden="1" x14ac:dyDescent="0.25">
      <c r="A1001" s="82">
        <v>45768</v>
      </c>
      <c r="B1001" s="94" t="str">
        <f t="shared" si="259"/>
        <v>April</v>
      </c>
      <c r="C1001" s="79" t="s">
        <v>2161</v>
      </c>
      <c r="D1001" s="79" t="s">
        <v>1816</v>
      </c>
      <c r="E1001" s="79"/>
      <c r="F1001" s="79" t="s">
        <v>958</v>
      </c>
      <c r="G1001" s="79" t="s">
        <v>975</v>
      </c>
      <c r="H1001" s="82" t="s">
        <v>1957</v>
      </c>
      <c r="I1001" s="79">
        <v>153.6</v>
      </c>
      <c r="J1001" s="79" t="s">
        <v>1816</v>
      </c>
      <c r="K1001" s="80" t="s">
        <v>469</v>
      </c>
      <c r="L1001" s="79">
        <f>VLOOKUP(H1001,Table2[#All],3,FALSE)</f>
        <v>288</v>
      </c>
      <c r="M1001" s="80">
        <f t="shared" si="250"/>
        <v>287</v>
      </c>
      <c r="N1001" s="81">
        <f t="shared" si="251"/>
        <v>-1</v>
      </c>
      <c r="P1001" s="82">
        <f>R1001-TIME(0,38,0)</f>
        <v>45768.626388888893</v>
      </c>
      <c r="Q1001" s="82">
        <v>45769.154861111114</v>
      </c>
      <c r="R1001" s="82">
        <v>45768.652777777781</v>
      </c>
      <c r="S1001" s="81">
        <f t="shared" si="252"/>
        <v>-719.65277777708252</v>
      </c>
      <c r="T1001" s="81">
        <f t="shared" si="263"/>
        <v>37.82407407222005</v>
      </c>
      <c r="U1001" s="79" t="s">
        <v>2167</v>
      </c>
      <c r="V1001" s="82">
        <v>45769.449305555558</v>
      </c>
      <c r="W1001" s="82">
        <v>45769.686111111114</v>
      </c>
      <c r="X1001" s="103">
        <f t="shared" si="264"/>
        <v>333.89583333424525</v>
      </c>
      <c r="Y1001" s="82" t="s">
        <v>1049</v>
      </c>
      <c r="Z1001" s="82">
        <v>45770.469444444447</v>
      </c>
      <c r="AA1001" s="82">
        <f>Z1001+TIME(0,38,0)</f>
        <v>45770.495833333334</v>
      </c>
      <c r="AB1001" s="81">
        <f t="shared" si="265"/>
        <v>37.208333331509493</v>
      </c>
      <c r="AC1001" s="82"/>
      <c r="AD1001" s="83">
        <f t="shared" si="253"/>
        <v>1.8166666666656965</v>
      </c>
      <c r="AE1001" s="83">
        <f>VLOOKUP(H1001,'LIST 2'!$A$1:$E$27,4,FALSE)</f>
        <v>2</v>
      </c>
      <c r="AF1001" s="83">
        <f t="shared" si="254"/>
        <v>0.18333333333430346</v>
      </c>
      <c r="AG1001" s="83">
        <f t="shared" si="255"/>
        <v>43.599999999976717</v>
      </c>
      <c r="AH1001" s="83">
        <f t="shared" si="256"/>
        <v>12</v>
      </c>
      <c r="AI1001" s="83">
        <f t="shared" si="257"/>
        <v>31.599999999976717</v>
      </c>
      <c r="AJ1001" s="83">
        <f t="shared" si="272"/>
        <v>4.8607594936744674</v>
      </c>
      <c r="AK1001" s="83"/>
      <c r="AL1001" s="83"/>
      <c r="AM1001" s="83"/>
      <c r="AN1001" s="83"/>
    </row>
    <row r="1002" spans="1:40" ht="15" hidden="1" x14ac:dyDescent="0.25">
      <c r="A1002" s="82">
        <v>45768</v>
      </c>
      <c r="B1002" s="94" t="str">
        <f t="shared" si="259"/>
        <v>April</v>
      </c>
      <c r="C1002" s="79" t="s">
        <v>2161</v>
      </c>
      <c r="D1002" s="79" t="s">
        <v>1817</v>
      </c>
      <c r="E1002" s="79"/>
      <c r="F1002" s="79" t="s">
        <v>958</v>
      </c>
      <c r="G1002" s="79" t="s">
        <v>975</v>
      </c>
      <c r="H1002" s="82" t="s">
        <v>1989</v>
      </c>
      <c r="I1002" s="79">
        <v>153.6</v>
      </c>
      <c r="J1002" s="79" t="s">
        <v>1817</v>
      </c>
      <c r="K1002" s="80" t="s">
        <v>469</v>
      </c>
      <c r="L1002" s="79">
        <f>VLOOKUP(H1002,Table2[#All],3,FALSE)</f>
        <v>20</v>
      </c>
      <c r="M1002" s="80">
        <f>L1002+1</f>
        <v>21</v>
      </c>
      <c r="N1002" s="81">
        <f t="shared" si="251"/>
        <v>1</v>
      </c>
      <c r="P1002" s="82">
        <f t="shared" ref="P1002:P1003" si="275">R1002-TIME(0,28,0)</f>
        <v>45767.774305555555</v>
      </c>
      <c r="Q1002" s="82">
        <v>45768.320833333331</v>
      </c>
      <c r="R1002" s="82">
        <v>45767.793749999997</v>
      </c>
      <c r="S1002" s="81">
        <f t="shared" si="252"/>
        <v>-755.48611111250159</v>
      </c>
      <c r="T1002" s="81">
        <f t="shared" si="263"/>
        <v>27.870370367357584</v>
      </c>
      <c r="U1002" s="79"/>
      <c r="V1002" s="82">
        <v>45767.822916666664</v>
      </c>
      <c r="W1002" s="82">
        <v>45768.501388888886</v>
      </c>
      <c r="X1002" s="103">
        <f t="shared" si="264"/>
        <v>956.64583333287737</v>
      </c>
      <c r="Y1002" s="82" t="s">
        <v>1051</v>
      </c>
      <c r="Z1002" s="82">
        <v>45768.536805555559</v>
      </c>
      <c r="AA1002" s="82">
        <f>Z1002+TIME(0,42,0)</f>
        <v>45768.565972222226</v>
      </c>
      <c r="AB1002" s="81">
        <f t="shared" si="265"/>
        <v>41.12500000068394</v>
      </c>
      <c r="AC1002" s="82"/>
      <c r="AD1002" s="83">
        <f t="shared" si="253"/>
        <v>0.74305555556202307</v>
      </c>
      <c r="AE1002" s="83">
        <f>VLOOKUP(H1002,'LIST 2'!$A$1:$E$27,4,FALSE)</f>
        <v>1</v>
      </c>
      <c r="AF1002" s="83">
        <f t="shared" si="254"/>
        <v>0.25694444443797693</v>
      </c>
      <c r="AG1002" s="83">
        <f t="shared" si="255"/>
        <v>17.833333333488554</v>
      </c>
      <c r="AH1002" s="83">
        <f t="shared" si="256"/>
        <v>0</v>
      </c>
      <c r="AI1002" s="83">
        <f t="shared" si="257"/>
        <v>17.833333333488554</v>
      </c>
      <c r="AJ1002" s="83">
        <f t="shared" si="272"/>
        <v>8.6130841120745654</v>
      </c>
      <c r="AK1002" s="83"/>
      <c r="AL1002" s="83"/>
      <c r="AM1002" s="83"/>
      <c r="AN1002" s="83"/>
    </row>
    <row r="1003" spans="1:40" ht="15" hidden="1" x14ac:dyDescent="0.25">
      <c r="A1003" s="82">
        <v>45769</v>
      </c>
      <c r="B1003" s="94" t="str">
        <f t="shared" si="259"/>
        <v>April</v>
      </c>
      <c r="C1003" s="79" t="s">
        <v>2161</v>
      </c>
      <c r="D1003" s="79" t="s">
        <v>1818</v>
      </c>
      <c r="E1003" s="80" t="s">
        <v>1016</v>
      </c>
      <c r="F1003" s="79" t="s">
        <v>954</v>
      </c>
      <c r="G1003" s="79" t="s">
        <v>971</v>
      </c>
      <c r="H1003" s="82" t="s">
        <v>1956</v>
      </c>
      <c r="I1003" s="79">
        <v>153.6</v>
      </c>
      <c r="J1003" s="79" t="s">
        <v>1818</v>
      </c>
      <c r="K1003" s="80" t="s">
        <v>469</v>
      </c>
      <c r="L1003" s="79">
        <f>VLOOKUP(H1003,Table2[#All],3,FALSE)</f>
        <v>596</v>
      </c>
      <c r="M1003" s="80">
        <f t="shared" ref="M1003:M1011" si="276">L1003-1</f>
        <v>595</v>
      </c>
      <c r="N1003" s="81">
        <f t="shared" ref="N1003:N1065" si="277">M1003-L1003</f>
        <v>-1</v>
      </c>
      <c r="P1003" s="82">
        <f t="shared" si="275"/>
        <v>45769.825694444444</v>
      </c>
      <c r="Q1003" s="82">
        <v>45769.176388888889</v>
      </c>
      <c r="R1003" s="82">
        <v>45769.845138888886</v>
      </c>
      <c r="S1003" s="81">
        <f t="shared" ref="S1003:S1065" si="278">(R1003-Q1003)*86000/60</f>
        <v>958.54166666249512</v>
      </c>
      <c r="T1003" s="81">
        <f t="shared" si="263"/>
        <v>27.870370367357584</v>
      </c>
      <c r="U1003" s="79"/>
      <c r="V1003" s="82">
        <v>45770.47152777778</v>
      </c>
      <c r="W1003" s="82">
        <v>45770.581944444442</v>
      </c>
      <c r="X1003" s="103">
        <f t="shared" si="264"/>
        <v>155.68749999452848</v>
      </c>
      <c r="Y1003" s="82"/>
      <c r="Z1003" s="82">
        <v>45771.419444444444</v>
      </c>
      <c r="AA1003" s="82">
        <f>Z1003+TIME(0,41,0)</f>
        <v>45771.447916666664</v>
      </c>
      <c r="AB1003" s="81">
        <f t="shared" si="265"/>
        <v>40.145833330825553</v>
      </c>
      <c r="AC1003" s="82"/>
      <c r="AD1003" s="83">
        <f t="shared" ref="AD1003:AD1065" si="279">Z1003-R1003</f>
        <v>1.5743055555576575</v>
      </c>
      <c r="AE1003" s="83">
        <f>VLOOKUP(H1003,'LIST 2'!$A$1:$E$27,4,FALSE)</f>
        <v>2</v>
      </c>
      <c r="AF1003" s="83">
        <f t="shared" ref="AF1003:AF1065" si="280">AE1003-AD1003</f>
        <v>0.4256944444423425</v>
      </c>
      <c r="AG1003" s="83">
        <f t="shared" ref="AG1003:AG1065" si="281">AD1003*24</f>
        <v>37.78333333338378</v>
      </c>
      <c r="AH1003" s="83">
        <f t="shared" ref="AH1003:AH1065" si="282">AG1003-AI1003</f>
        <v>12</v>
      </c>
      <c r="AI1003" s="83">
        <f t="shared" ref="AI1003:AI1065" si="283" xml:space="preserve"> ((Z1003 - R1003) * 24) - (INT(Z1003 - R1003) * 12)</f>
        <v>25.78333333338378</v>
      </c>
      <c r="AJ1003" s="83">
        <f t="shared" si="272"/>
        <v>5.9573367808545363</v>
      </c>
      <c r="AK1003" s="83"/>
      <c r="AL1003" s="83"/>
      <c r="AM1003" s="83"/>
      <c r="AN1003" s="83"/>
    </row>
    <row r="1004" spans="1:40" ht="15" hidden="1" x14ac:dyDescent="0.25">
      <c r="A1004" s="82">
        <v>45769</v>
      </c>
      <c r="B1004" s="94" t="str">
        <f t="shared" si="259"/>
        <v>April</v>
      </c>
      <c r="C1004" s="79" t="s">
        <v>2161</v>
      </c>
      <c r="D1004" s="79" t="s">
        <v>1819</v>
      </c>
      <c r="E1004" s="79"/>
      <c r="F1004" s="79" t="s">
        <v>965</v>
      </c>
      <c r="G1004" s="79" t="s">
        <v>980</v>
      </c>
      <c r="H1004" s="82" t="s">
        <v>1989</v>
      </c>
      <c r="I1004" s="79">
        <v>153.6</v>
      </c>
      <c r="J1004" s="79" t="s">
        <v>1819</v>
      </c>
      <c r="K1004" s="80" t="s">
        <v>469</v>
      </c>
      <c r="L1004" s="79">
        <f>VLOOKUP(H1004,Table2[#All],3,FALSE)</f>
        <v>20</v>
      </c>
      <c r="M1004" s="80">
        <f t="shared" si="276"/>
        <v>19</v>
      </c>
      <c r="N1004" s="81">
        <f t="shared" si="277"/>
        <v>-1</v>
      </c>
      <c r="P1004" s="82">
        <f>R1004-TIME(0,26,0)</f>
        <v>45769.506944444445</v>
      </c>
      <c r="Q1004" s="82">
        <v>45769.333333333336</v>
      </c>
      <c r="R1004" s="82">
        <v>45769.525000000001</v>
      </c>
      <c r="S1004" s="81">
        <f t="shared" si="278"/>
        <v>274.72222222083172</v>
      </c>
      <c r="T1004" s="81">
        <f t="shared" si="263"/>
        <v>25.879629630556639</v>
      </c>
      <c r="U1004" s="79"/>
      <c r="V1004" s="82">
        <v>45769.67083333333</v>
      </c>
      <c r="W1004" s="82">
        <v>45769.759722222225</v>
      </c>
      <c r="X1004" s="103">
        <f t="shared" si="264"/>
        <v>125.33333334176859</v>
      </c>
      <c r="Y1004" s="82"/>
      <c r="Z1004" s="82">
        <v>45769.701388888891</v>
      </c>
      <c r="AA1004" s="82">
        <f t="shared" ref="AA1004:AA1005" si="284">Z1004+TIME(0,38,0)</f>
        <v>45769.727777777778</v>
      </c>
      <c r="AB1004" s="81">
        <f t="shared" si="265"/>
        <v>37.208333331509493</v>
      </c>
      <c r="AC1004" s="82"/>
      <c r="AD1004" s="83">
        <f t="shared" si="279"/>
        <v>0.17638888888905058</v>
      </c>
      <c r="AE1004" s="83">
        <f>VLOOKUP(H1004,'LIST 2'!$A$1:$E$27,4,FALSE)</f>
        <v>1</v>
      </c>
      <c r="AF1004" s="83">
        <f t="shared" si="280"/>
        <v>0.82361111111094942</v>
      </c>
      <c r="AG1004" s="83">
        <f t="shared" si="281"/>
        <v>4.2333333333372138</v>
      </c>
      <c r="AH1004" s="83">
        <f t="shared" si="282"/>
        <v>0</v>
      </c>
      <c r="AI1004" s="83">
        <f t="shared" si="283"/>
        <v>4.2333333333372138</v>
      </c>
      <c r="AJ1004" s="83">
        <f t="shared" si="272"/>
        <v>36.283464566895873</v>
      </c>
      <c r="AK1004" s="83"/>
      <c r="AL1004" s="83"/>
      <c r="AM1004" s="83"/>
      <c r="AN1004" s="83"/>
    </row>
    <row r="1005" spans="1:40" ht="15" hidden="1" x14ac:dyDescent="0.25">
      <c r="A1005" s="82">
        <v>45769</v>
      </c>
      <c r="B1005" s="94" t="str">
        <f t="shared" si="259"/>
        <v>April</v>
      </c>
      <c r="C1005" s="79" t="s">
        <v>2161</v>
      </c>
      <c r="D1005" s="79" t="s">
        <v>1820</v>
      </c>
      <c r="E1005" s="79"/>
      <c r="F1005" s="79" t="s">
        <v>950</v>
      </c>
      <c r="G1005" s="79" t="s">
        <v>967</v>
      </c>
      <c r="H1005" s="82" t="s">
        <v>1956</v>
      </c>
      <c r="I1005" s="79">
        <v>153.6</v>
      </c>
      <c r="J1005" s="79" t="s">
        <v>1820</v>
      </c>
      <c r="K1005" s="80" t="s">
        <v>469</v>
      </c>
      <c r="L1005" s="79">
        <f>VLOOKUP(H1005,Table2[#All],3,FALSE)</f>
        <v>596</v>
      </c>
      <c r="M1005" s="80">
        <f t="shared" si="276"/>
        <v>595</v>
      </c>
      <c r="N1005" s="81">
        <f t="shared" si="277"/>
        <v>-1</v>
      </c>
      <c r="P1005" s="82">
        <f>R1005-TIME(0,54,0)</f>
        <v>45769.277777777781</v>
      </c>
      <c r="Q1005" s="82">
        <v>45769.176388888889</v>
      </c>
      <c r="R1005" s="82">
        <v>45769.31527777778</v>
      </c>
      <c r="S1005" s="81">
        <f t="shared" si="278"/>
        <v>199.07407407639161</v>
      </c>
      <c r="T1005" s="81">
        <f t="shared" si="263"/>
        <v>53.749999997914223</v>
      </c>
      <c r="U1005" s="79" t="s">
        <v>2166</v>
      </c>
      <c r="V1005" s="82">
        <v>45769.509027777778</v>
      </c>
      <c r="W1005" s="82">
        <v>45769.700694444444</v>
      </c>
      <c r="X1005" s="103">
        <f t="shared" si="264"/>
        <v>270.24999999863212</v>
      </c>
      <c r="Y1005" s="82" t="s">
        <v>1044</v>
      </c>
      <c r="Z1005" s="82">
        <v>45770.449305555558</v>
      </c>
      <c r="AA1005" s="82">
        <f t="shared" si="284"/>
        <v>45770.475694444445</v>
      </c>
      <c r="AB1005" s="81">
        <f t="shared" si="265"/>
        <v>37.208333331509493</v>
      </c>
      <c r="AC1005" s="82"/>
      <c r="AD1005" s="83">
        <f t="shared" si="279"/>
        <v>1.1340277777781012</v>
      </c>
      <c r="AE1005" s="83">
        <f>VLOOKUP(H1005,'LIST 2'!$A$1:$E$27,4,FALSE)</f>
        <v>2</v>
      </c>
      <c r="AF1005" s="83">
        <f t="shared" si="280"/>
        <v>0.86597222222189885</v>
      </c>
      <c r="AG1005" s="83">
        <f t="shared" si="281"/>
        <v>27.216666666674428</v>
      </c>
      <c r="AH1005" s="83">
        <f t="shared" si="282"/>
        <v>12</v>
      </c>
      <c r="AI1005" s="83">
        <f t="shared" si="283"/>
        <v>15.216666666674428</v>
      </c>
      <c r="AJ1005" s="83">
        <f t="shared" si="272"/>
        <v>10.094194961659692</v>
      </c>
      <c r="AK1005" s="83"/>
      <c r="AL1005" s="83"/>
      <c r="AM1005" s="83"/>
      <c r="AN1005" s="83"/>
    </row>
    <row r="1006" spans="1:40" ht="15" hidden="1" x14ac:dyDescent="0.25">
      <c r="A1006" s="82">
        <v>45769</v>
      </c>
      <c r="B1006" s="94" t="str">
        <f t="shared" si="259"/>
        <v>April</v>
      </c>
      <c r="C1006" s="79" t="s">
        <v>2161</v>
      </c>
      <c r="D1006" s="79" t="s">
        <v>1821</v>
      </c>
      <c r="E1006" s="79"/>
      <c r="F1006" s="79" t="s">
        <v>962</v>
      </c>
      <c r="G1006" s="79" t="s">
        <v>978</v>
      </c>
      <c r="H1006" s="82" t="s">
        <v>1989</v>
      </c>
      <c r="I1006" s="79">
        <v>153.6</v>
      </c>
      <c r="J1006" s="79" t="s">
        <v>1821</v>
      </c>
      <c r="K1006" s="80" t="s">
        <v>469</v>
      </c>
      <c r="L1006" s="79">
        <f>VLOOKUP(H1006,Table2[#All],3,FALSE)</f>
        <v>20</v>
      </c>
      <c r="M1006" s="80">
        <f t="shared" si="276"/>
        <v>19</v>
      </c>
      <c r="N1006" s="81">
        <f t="shared" si="277"/>
        <v>-1</v>
      </c>
      <c r="P1006" s="82">
        <f>R1006-TIME(0,42,0)</f>
        <v>45768.582638888889</v>
      </c>
      <c r="Q1006" s="82">
        <v>45768.625</v>
      </c>
      <c r="R1006" s="82">
        <v>45768.611805555556</v>
      </c>
      <c r="S1006" s="81">
        <f t="shared" si="278"/>
        <v>-18.912037036110025</v>
      </c>
      <c r="T1006" s="81">
        <f t="shared" si="263"/>
        <v>41.805555556250816</v>
      </c>
      <c r="U1006" s="79" t="s">
        <v>1671</v>
      </c>
      <c r="V1006" s="82">
        <v>45769.489583333336</v>
      </c>
      <c r="W1006" s="82">
        <v>45769.561805555553</v>
      </c>
      <c r="X1006" s="103">
        <f t="shared" si="264"/>
        <v>101.83333332672191</v>
      </c>
      <c r="Y1006" s="82"/>
      <c r="Z1006" s="82">
        <v>45769.740972222222</v>
      </c>
      <c r="AA1006" s="82">
        <f>Z1006+TIME(0,42,0)</f>
        <v>45769.770138888889</v>
      </c>
      <c r="AB1006" s="81">
        <f t="shared" si="265"/>
        <v>41.12500000068394</v>
      </c>
      <c r="AC1006" s="82"/>
      <c r="AD1006" s="83">
        <f t="shared" si="279"/>
        <v>1.1291666666656965</v>
      </c>
      <c r="AE1006" s="83">
        <f>VLOOKUP(H1006,'LIST 2'!$A$1:$E$27,4,FALSE)</f>
        <v>1</v>
      </c>
      <c r="AF1006" s="83">
        <f t="shared" si="280"/>
        <v>-0.12916666666569654</v>
      </c>
      <c r="AG1006" s="83">
        <f t="shared" si="281"/>
        <v>27.099999999976717</v>
      </c>
      <c r="AH1006" s="83">
        <f t="shared" si="282"/>
        <v>12</v>
      </c>
      <c r="AI1006" s="83">
        <f t="shared" si="283"/>
        <v>15.099999999976717</v>
      </c>
      <c r="AJ1006" s="83">
        <f t="shared" si="272"/>
        <v>10.17218543047926</v>
      </c>
      <c r="AK1006" s="83"/>
      <c r="AL1006" s="83"/>
      <c r="AM1006" s="83"/>
      <c r="AN1006" s="83"/>
    </row>
    <row r="1007" spans="1:40" ht="15" hidden="1" x14ac:dyDescent="0.25">
      <c r="A1007" s="82">
        <v>45769</v>
      </c>
      <c r="B1007" s="94" t="str">
        <f t="shared" si="259"/>
        <v>April</v>
      </c>
      <c r="C1007" s="79" t="s">
        <v>2162</v>
      </c>
      <c r="D1007" s="79" t="s">
        <v>1822</v>
      </c>
      <c r="E1007" s="79" t="s">
        <v>1016</v>
      </c>
      <c r="F1007" s="79" t="s">
        <v>963</v>
      </c>
      <c r="G1007" s="79" t="s">
        <v>60</v>
      </c>
      <c r="H1007" s="82" t="s">
        <v>1958</v>
      </c>
      <c r="I1007" s="79">
        <v>156</v>
      </c>
      <c r="J1007" s="79" t="s">
        <v>1822</v>
      </c>
      <c r="K1007" s="80" t="s">
        <v>469</v>
      </c>
      <c r="L1007" s="79">
        <f>VLOOKUP(H1007,Table2[#All],3,FALSE)</f>
        <v>304</v>
      </c>
      <c r="M1007" s="80">
        <f t="shared" si="276"/>
        <v>303</v>
      </c>
      <c r="N1007" s="81">
        <f t="shared" si="277"/>
        <v>-1</v>
      </c>
      <c r="P1007" s="82">
        <f>R1007-TIME(0,53,0)</f>
        <v>45769.795138888883</v>
      </c>
      <c r="Q1007" s="82">
        <v>45769.850694444445</v>
      </c>
      <c r="R1007" s="82">
        <v>45769.831944444442</v>
      </c>
      <c r="S1007" s="81">
        <f t="shared" si="278"/>
        <v>-26.87500000417155</v>
      </c>
      <c r="T1007" s="81">
        <f t="shared" si="263"/>
        <v>52.75462963472819</v>
      </c>
      <c r="U1007" s="79" t="s">
        <v>562</v>
      </c>
      <c r="V1007" s="82">
        <v>45770.674305555556</v>
      </c>
      <c r="W1007" s="82">
        <v>45771.682638888888</v>
      </c>
      <c r="X1007" s="103">
        <f t="shared" si="264"/>
        <v>1421.7499999972642</v>
      </c>
      <c r="Y1007" s="82" t="s">
        <v>1049</v>
      </c>
      <c r="Z1007" s="82">
        <v>45772.324305555558</v>
      </c>
      <c r="AA1007" s="82">
        <f>Z1007+TIME(0,41,0)</f>
        <v>45772.352777777778</v>
      </c>
      <c r="AB1007" s="81">
        <f t="shared" si="265"/>
        <v>40.145833330825553</v>
      </c>
      <c r="AC1007" s="82"/>
      <c r="AD1007" s="83">
        <f t="shared" si="279"/>
        <v>2.492361111115315</v>
      </c>
      <c r="AE1007" s="83">
        <f>VLOOKUP(H1007,'LIST 2'!$A$1:$E$27,4,FALSE)</f>
        <v>2</v>
      </c>
      <c r="AF1007" s="83">
        <f t="shared" si="280"/>
        <v>-0.492361111115315</v>
      </c>
      <c r="AG1007" s="83">
        <f t="shared" si="281"/>
        <v>59.81666666676756</v>
      </c>
      <c r="AH1007" s="83">
        <f t="shared" si="282"/>
        <v>24</v>
      </c>
      <c r="AI1007" s="83">
        <f t="shared" si="283"/>
        <v>35.81666666676756</v>
      </c>
      <c r="AJ1007" s="83">
        <f t="shared" si="272"/>
        <v>4.3555141926354741</v>
      </c>
      <c r="AK1007" s="83"/>
      <c r="AL1007" s="83"/>
      <c r="AM1007" s="83"/>
      <c r="AN1007" s="83"/>
    </row>
    <row r="1008" spans="1:40" ht="15" hidden="1" x14ac:dyDescent="0.25">
      <c r="A1008" s="82">
        <v>45769</v>
      </c>
      <c r="B1008" s="94" t="str">
        <f t="shared" si="259"/>
        <v>April</v>
      </c>
      <c r="C1008" s="79" t="s">
        <v>2162</v>
      </c>
      <c r="D1008" s="79" t="s">
        <v>1823</v>
      </c>
      <c r="E1008" s="79" t="s">
        <v>1016</v>
      </c>
      <c r="F1008" s="79" t="s">
        <v>961</v>
      </c>
      <c r="G1008" s="79" t="s">
        <v>977</v>
      </c>
      <c r="H1008" s="82" t="s">
        <v>2181</v>
      </c>
      <c r="I1008" s="79">
        <v>156</v>
      </c>
      <c r="J1008" s="79" t="s">
        <v>1823</v>
      </c>
      <c r="K1008" s="80" t="s">
        <v>469</v>
      </c>
      <c r="L1008" s="79">
        <f>VLOOKUP(H1008,Table2[#All],3,FALSE)</f>
        <v>580</v>
      </c>
      <c r="M1008" s="80">
        <f>L1008-3</f>
        <v>577</v>
      </c>
      <c r="N1008" s="81">
        <f t="shared" si="277"/>
        <v>-3</v>
      </c>
      <c r="P1008" s="82">
        <f>R1008-TIME(0,39,0)</f>
        <v>45768.839583333334</v>
      </c>
      <c r="Q1008" s="82">
        <v>45769.136805555558</v>
      </c>
      <c r="R1008" s="82">
        <v>45768.866666666669</v>
      </c>
      <c r="S1008" s="81">
        <f t="shared" si="278"/>
        <v>-387.19907407430583</v>
      </c>
      <c r="T1008" s="81">
        <f t="shared" si="263"/>
        <v>38.819444445834961</v>
      </c>
      <c r="U1008" s="79" t="s">
        <v>550</v>
      </c>
      <c r="V1008" s="82">
        <v>45769.515972222223</v>
      </c>
      <c r="W1008" s="82">
        <v>45769.738888888889</v>
      </c>
      <c r="X1008" s="103">
        <f t="shared" si="264"/>
        <v>314.31249999863212</v>
      </c>
      <c r="Y1008" s="82" t="s">
        <v>1044</v>
      </c>
      <c r="Z1008" s="82">
        <v>45770.356944444444</v>
      </c>
      <c r="AA1008" s="82">
        <f t="shared" si="261"/>
        <v>45770.388194444444</v>
      </c>
      <c r="AB1008" s="81">
        <f t="shared" si="265"/>
        <v>44.0625</v>
      </c>
      <c r="AC1008" s="82"/>
      <c r="AD1008" s="83">
        <f t="shared" si="279"/>
        <v>1.4902777777751908</v>
      </c>
      <c r="AE1008" s="83">
        <f>VLOOKUP(H1008,'LIST 2'!$A$1:$E$27,4,FALSE)</f>
        <v>2</v>
      </c>
      <c r="AF1008" s="83">
        <f t="shared" si="280"/>
        <v>0.50972222222480923</v>
      </c>
      <c r="AG1008" s="83">
        <f t="shared" si="281"/>
        <v>35.766666666604578</v>
      </c>
      <c r="AH1008" s="83">
        <f t="shared" si="282"/>
        <v>12</v>
      </c>
      <c r="AI1008" s="83">
        <f t="shared" si="283"/>
        <v>23.766666666604578</v>
      </c>
      <c r="AJ1008" s="83">
        <f t="shared" si="272"/>
        <v>6.5638148667773155</v>
      </c>
      <c r="AK1008" s="83"/>
      <c r="AL1008" s="83"/>
      <c r="AM1008" s="83"/>
      <c r="AN1008" s="83"/>
    </row>
    <row r="1009" spans="1:42" ht="15" hidden="1" x14ac:dyDescent="0.25">
      <c r="A1009" s="82">
        <v>45769</v>
      </c>
      <c r="B1009" s="94" t="str">
        <f t="shared" si="259"/>
        <v>April</v>
      </c>
      <c r="C1009" s="79" t="s">
        <v>2162</v>
      </c>
      <c r="D1009" s="79" t="s">
        <v>1824</v>
      </c>
      <c r="E1009" s="79" t="s">
        <v>1016</v>
      </c>
      <c r="F1009" s="79" t="s">
        <v>1690</v>
      </c>
      <c r="G1009" s="79" t="s">
        <v>45</v>
      </c>
      <c r="H1009" s="82" t="s">
        <v>2186</v>
      </c>
      <c r="I1009" s="79">
        <v>156</v>
      </c>
      <c r="J1009" s="79" t="s">
        <v>1824</v>
      </c>
      <c r="K1009" s="80" t="s">
        <v>469</v>
      </c>
      <c r="L1009" s="79">
        <f>VLOOKUP(H1009,Table2[#All],3,FALSE)</f>
        <v>228</v>
      </c>
      <c r="M1009" s="80">
        <f>L1009-1</f>
        <v>227</v>
      </c>
      <c r="N1009" s="81">
        <f t="shared" si="277"/>
        <v>-1</v>
      </c>
      <c r="P1009" s="82">
        <f>R1009-TIME(0,26,0)</f>
        <v>45768.848611111112</v>
      </c>
      <c r="Q1009" s="82">
        <v>45769.136805555558</v>
      </c>
      <c r="R1009" s="82">
        <v>45768.866666666669</v>
      </c>
      <c r="S1009" s="81">
        <f t="shared" si="278"/>
        <v>-387.19907407430583</v>
      </c>
      <c r="T1009" s="81">
        <f t="shared" si="263"/>
        <v>25.879629630556639</v>
      </c>
      <c r="U1009" s="79"/>
      <c r="V1009" s="82">
        <v>45769.555555555555</v>
      </c>
      <c r="W1009" s="82">
        <v>45769.746527777781</v>
      </c>
      <c r="X1009" s="103">
        <f t="shared" si="264"/>
        <v>269.27083333903283</v>
      </c>
      <c r="Y1009" s="82"/>
      <c r="Z1009" s="82">
        <v>45769.785416666666</v>
      </c>
      <c r="AA1009" s="82">
        <f>Z1009+TIME(0,38,0)</f>
        <v>45769.811805555553</v>
      </c>
      <c r="AB1009" s="81">
        <f t="shared" si="265"/>
        <v>37.208333331509493</v>
      </c>
      <c r="AC1009" s="82"/>
      <c r="AD1009" s="83">
        <f t="shared" si="279"/>
        <v>0.91874999999708962</v>
      </c>
      <c r="AE1009" s="83">
        <f>VLOOKUP(H1009,'LIST 2'!$A$1:$E$27,4,FALSE)</f>
        <v>2</v>
      </c>
      <c r="AF1009" s="83">
        <f t="shared" si="280"/>
        <v>1.0812500000029104</v>
      </c>
      <c r="AG1009" s="83">
        <f t="shared" si="281"/>
        <v>22.049999999930151</v>
      </c>
      <c r="AH1009" s="83">
        <f t="shared" si="282"/>
        <v>0</v>
      </c>
      <c r="AI1009" s="83">
        <f t="shared" si="283"/>
        <v>22.049999999930151</v>
      </c>
      <c r="AJ1009" s="83">
        <f t="shared" si="272"/>
        <v>7.0748299319952004</v>
      </c>
      <c r="AK1009" s="83"/>
      <c r="AL1009" s="83"/>
      <c r="AM1009" s="83"/>
      <c r="AN1009" s="83"/>
    </row>
    <row r="1010" spans="1:42" ht="15" hidden="1" x14ac:dyDescent="0.25">
      <c r="A1010" s="82">
        <v>45769</v>
      </c>
      <c r="B1010" s="94" t="str">
        <f t="shared" si="259"/>
        <v>April</v>
      </c>
      <c r="C1010" s="79" t="s">
        <v>2161</v>
      </c>
      <c r="D1010" s="79" t="s">
        <v>1825</v>
      </c>
      <c r="E1010" s="79"/>
      <c r="F1010" s="79" t="s">
        <v>951</v>
      </c>
      <c r="G1010" s="79" t="s">
        <v>968</v>
      </c>
      <c r="H1010" s="82" t="s">
        <v>1957</v>
      </c>
      <c r="I1010" s="79">
        <v>153.6</v>
      </c>
      <c r="J1010" s="79" t="s">
        <v>1825</v>
      </c>
      <c r="K1010" s="80" t="s">
        <v>469</v>
      </c>
      <c r="L1010" s="79">
        <f>VLOOKUP(H1010,Table2[#All],3,FALSE)</f>
        <v>288</v>
      </c>
      <c r="M1010" s="80">
        <f t="shared" si="276"/>
        <v>287</v>
      </c>
      <c r="N1010" s="81">
        <f t="shared" si="277"/>
        <v>-1</v>
      </c>
      <c r="P1010" s="82">
        <f>R1010-TIME(0,54,0)</f>
        <v>45768.643055555556</v>
      </c>
      <c r="Q1010" s="82">
        <v>45769.154861111114</v>
      </c>
      <c r="R1010" s="82">
        <v>45768.680555555555</v>
      </c>
      <c r="S1010" s="81">
        <f t="shared" si="278"/>
        <v>-679.83796296806156</v>
      </c>
      <c r="T1010" s="81">
        <f t="shared" si="263"/>
        <v>53.749999997914223</v>
      </c>
      <c r="U1010" s="79" t="s">
        <v>2164</v>
      </c>
      <c r="V1010" s="82">
        <v>45769.34375</v>
      </c>
      <c r="W1010" s="82">
        <v>45769.515972222223</v>
      </c>
      <c r="X1010" s="103">
        <f t="shared" si="264"/>
        <v>242.83333333492919</v>
      </c>
      <c r="Y1010" s="82" t="s">
        <v>1044</v>
      </c>
      <c r="Z1010" s="82">
        <v>45770.404166666667</v>
      </c>
      <c r="AA1010" s="82">
        <f t="shared" ref="AA1010" si="285">Z1010+TIME(0,50,0)</f>
        <v>45770.438888888886</v>
      </c>
      <c r="AB1010" s="81">
        <f t="shared" si="265"/>
        <v>48.958333328773733</v>
      </c>
      <c r="AC1010" s="82" t="s">
        <v>2168</v>
      </c>
      <c r="AD1010" s="83">
        <f t="shared" si="279"/>
        <v>1.7236111111124046</v>
      </c>
      <c r="AE1010" s="83">
        <f>VLOOKUP(H1010,'LIST 2'!$A$1:$E$27,4,FALSE)</f>
        <v>2</v>
      </c>
      <c r="AF1010" s="83">
        <f t="shared" si="280"/>
        <v>0.27638888888759539</v>
      </c>
      <c r="AG1010" s="83">
        <f t="shared" si="281"/>
        <v>41.366666666697711</v>
      </c>
      <c r="AH1010" s="83">
        <f t="shared" si="282"/>
        <v>12</v>
      </c>
      <c r="AI1010" s="83">
        <f t="shared" si="283"/>
        <v>29.366666666697711</v>
      </c>
      <c r="AJ1010" s="83">
        <f t="shared" si="272"/>
        <v>5.2304199772929953</v>
      </c>
      <c r="AK1010" s="83"/>
      <c r="AL1010" s="83"/>
      <c r="AM1010" s="83"/>
      <c r="AN1010" s="83"/>
    </row>
    <row r="1011" spans="1:42" ht="15" hidden="1" x14ac:dyDescent="0.25">
      <c r="A1011" s="82">
        <v>45770</v>
      </c>
      <c r="B1011" s="94" t="str">
        <f t="shared" ref="B1011:B1073" si="286">TEXT(A1011, "MMMM")</f>
        <v>April</v>
      </c>
      <c r="C1011" s="79" t="s">
        <v>2161</v>
      </c>
      <c r="D1011" s="79" t="s">
        <v>1826</v>
      </c>
      <c r="E1011" s="79"/>
      <c r="F1011" s="79" t="s">
        <v>966</v>
      </c>
      <c r="G1011" s="79" t="s">
        <v>981</v>
      </c>
      <c r="H1011" s="82" t="s">
        <v>1956</v>
      </c>
      <c r="I1011" s="79">
        <v>153.6</v>
      </c>
      <c r="J1011" s="79" t="s">
        <v>1826</v>
      </c>
      <c r="K1011" s="80" t="s">
        <v>469</v>
      </c>
      <c r="L1011" s="79">
        <f>VLOOKUP(H1011,Table2[#All],3,FALSE)</f>
        <v>596</v>
      </c>
      <c r="M1011" s="80">
        <f t="shared" si="276"/>
        <v>595</v>
      </c>
      <c r="N1011" s="81">
        <f t="shared" si="277"/>
        <v>-1</v>
      </c>
      <c r="P1011" s="82">
        <f>R1011-TIME(0,39,0)</f>
        <v>45771.432638888888</v>
      </c>
      <c r="Q1011" s="82">
        <v>45770.176388888889</v>
      </c>
      <c r="R1011" s="82">
        <v>45771.459722222222</v>
      </c>
      <c r="S1011" s="81">
        <f t="shared" si="278"/>
        <v>1839.4444444437493</v>
      </c>
      <c r="T1011" s="81">
        <f t="shared" si="263"/>
        <v>38.819444445834961</v>
      </c>
      <c r="U1011" s="79" t="s">
        <v>2164</v>
      </c>
      <c r="V1011" s="82">
        <v>45772.34097222222</v>
      </c>
      <c r="W1011" s="82">
        <v>45772.493750000001</v>
      </c>
      <c r="X1011" s="103">
        <f t="shared" si="264"/>
        <v>215.41666667122627</v>
      </c>
      <c r="Y1011" s="82" t="s">
        <v>1044</v>
      </c>
      <c r="Z1011" s="82">
        <v>45772.669444444444</v>
      </c>
      <c r="AA1011" s="82">
        <f>Z1011+TIME(0,40,0)</f>
        <v>45772.697222222225</v>
      </c>
      <c r="AB1011" s="81">
        <f t="shared" si="265"/>
        <v>39.166666671226267</v>
      </c>
      <c r="AC1011" s="82"/>
      <c r="AD1011" s="83">
        <f t="shared" si="279"/>
        <v>1.2097222222218988</v>
      </c>
      <c r="AE1011" s="83">
        <f>VLOOKUP(H1011,'LIST 2'!$A$1:$E$27,4,FALSE)</f>
        <v>2</v>
      </c>
      <c r="AF1011" s="83">
        <f t="shared" si="280"/>
        <v>0.79027777777810115</v>
      </c>
      <c r="AG1011" s="83">
        <f t="shared" si="281"/>
        <v>29.033333333325572</v>
      </c>
      <c r="AH1011" s="83">
        <f t="shared" si="282"/>
        <v>12</v>
      </c>
      <c r="AI1011" s="83">
        <f t="shared" si="283"/>
        <v>17.033333333325572</v>
      </c>
      <c r="AJ1011" s="83">
        <f t="shared" si="272"/>
        <v>9.0176125244659477</v>
      </c>
      <c r="AK1011" s="83"/>
      <c r="AL1011" s="83"/>
      <c r="AM1011" s="83"/>
      <c r="AN1011" s="83"/>
    </row>
    <row r="1012" spans="1:42" ht="15" hidden="1" x14ac:dyDescent="0.25">
      <c r="A1012" s="82">
        <v>45770</v>
      </c>
      <c r="B1012" s="94" t="str">
        <f t="shared" si="286"/>
        <v>April</v>
      </c>
      <c r="C1012" s="79" t="s">
        <v>2161</v>
      </c>
      <c r="D1012" s="79" t="s">
        <v>1827</v>
      </c>
      <c r="E1012" s="79"/>
      <c r="F1012" s="79" t="s">
        <v>952</v>
      </c>
      <c r="G1012" s="79" t="s">
        <v>969</v>
      </c>
      <c r="H1012" s="82" t="s">
        <v>1957</v>
      </c>
      <c r="I1012" s="79">
        <v>153.6</v>
      </c>
      <c r="J1012" s="79" t="s">
        <v>1827</v>
      </c>
      <c r="K1012" s="80" t="s">
        <v>469</v>
      </c>
      <c r="L1012" s="79">
        <f>VLOOKUP(H1012,Table2[#All],3,FALSE)</f>
        <v>288</v>
      </c>
      <c r="M1012" s="80">
        <f t="shared" ref="M1012:M1075" si="287">L1012-2</f>
        <v>286</v>
      </c>
      <c r="N1012" s="81">
        <f t="shared" si="277"/>
        <v>-2</v>
      </c>
      <c r="P1012" s="82">
        <f>R1012-TIME(0,42,0)</f>
        <v>45770.804861111108</v>
      </c>
      <c r="Q1012" s="82">
        <v>45770.154861111114</v>
      </c>
      <c r="R1012" s="82">
        <v>45770.834027777775</v>
      </c>
      <c r="S1012" s="81">
        <f t="shared" si="278"/>
        <v>973.47222221457434</v>
      </c>
      <c r="T1012" s="81">
        <f t="shared" si="263"/>
        <v>41.805555556250816</v>
      </c>
      <c r="U1012" s="79" t="s">
        <v>2164</v>
      </c>
      <c r="V1012" s="82">
        <v>45771.457638888889</v>
      </c>
      <c r="W1012" s="82">
        <v>45771.550694444442</v>
      </c>
      <c r="X1012" s="103">
        <f t="shared" si="264"/>
        <v>131.20833333014161</v>
      </c>
      <c r="Y1012" s="82"/>
      <c r="Z1012" s="82">
        <v>45772.338194444441</v>
      </c>
      <c r="AA1012" s="82">
        <f>Z1012+TIME(0,52,0)</f>
        <v>45772.374305555553</v>
      </c>
      <c r="AB1012" s="81">
        <f t="shared" si="265"/>
        <v>50.916666668490507</v>
      </c>
      <c r="AC1012" s="82" t="s">
        <v>1673</v>
      </c>
      <c r="AD1012" s="83">
        <f t="shared" si="279"/>
        <v>1.5041666666656965</v>
      </c>
      <c r="AE1012" s="83">
        <f>VLOOKUP(H1012,'LIST 2'!$A$1:$E$27,4,FALSE)</f>
        <v>2</v>
      </c>
      <c r="AF1012" s="83">
        <f t="shared" si="280"/>
        <v>0.49583333333430346</v>
      </c>
      <c r="AG1012" s="83">
        <f t="shared" si="281"/>
        <v>36.099999999976717</v>
      </c>
      <c r="AH1012" s="83">
        <f t="shared" si="282"/>
        <v>12</v>
      </c>
      <c r="AI1012" s="83">
        <f t="shared" si="283"/>
        <v>24.099999999976717</v>
      </c>
      <c r="AJ1012" s="83">
        <f t="shared" si="272"/>
        <v>6.3734439834086469</v>
      </c>
      <c r="AK1012" s="83"/>
      <c r="AL1012" s="83"/>
      <c r="AM1012" s="83"/>
      <c r="AN1012" s="83"/>
    </row>
    <row r="1013" spans="1:42" ht="15" hidden="1" x14ac:dyDescent="0.25">
      <c r="A1013" s="82">
        <v>45770</v>
      </c>
      <c r="B1013" s="94" t="str">
        <f t="shared" si="286"/>
        <v>April</v>
      </c>
      <c r="C1013" s="79" t="s">
        <v>2161</v>
      </c>
      <c r="D1013" s="79" t="s">
        <v>1828</v>
      </c>
      <c r="E1013" s="79"/>
      <c r="F1013" s="79" t="s">
        <v>952</v>
      </c>
      <c r="G1013" s="79" t="s">
        <v>969</v>
      </c>
      <c r="H1013" s="82" t="s">
        <v>2022</v>
      </c>
      <c r="I1013" s="79">
        <v>153.6</v>
      </c>
      <c r="J1013" s="79" t="s">
        <v>1828</v>
      </c>
      <c r="K1013" s="80" t="s">
        <v>469</v>
      </c>
      <c r="L1013" s="79">
        <f>VLOOKUP(H1013,Table2[#All],3,FALSE)</f>
        <v>150</v>
      </c>
      <c r="M1013" s="80">
        <f t="shared" si="287"/>
        <v>148</v>
      </c>
      <c r="N1013" s="81">
        <f t="shared" si="277"/>
        <v>-2</v>
      </c>
      <c r="P1013" s="82">
        <f>R1013-TIME(0,27,0)</f>
        <v>45769.601388888885</v>
      </c>
      <c r="Q1013" s="82">
        <v>45769.5</v>
      </c>
      <c r="R1013" s="82">
        <v>45769.620138888888</v>
      </c>
      <c r="S1013" s="81">
        <f t="shared" si="278"/>
        <v>172.19907407222004</v>
      </c>
      <c r="T1013" s="81">
        <f t="shared" si="263"/>
        <v>26.87500000417155</v>
      </c>
      <c r="U1013" s="79"/>
      <c r="V1013" s="82">
        <v>45769.749305555553</v>
      </c>
      <c r="W1013" s="82">
        <v>45770.557638888888</v>
      </c>
      <c r="X1013" s="103">
        <f t="shared" si="264"/>
        <v>1139.7500000013679</v>
      </c>
      <c r="Y1013" s="82" t="s">
        <v>1049</v>
      </c>
      <c r="Z1013" s="82">
        <v>45770.708333333336</v>
      </c>
      <c r="AA1013" s="82">
        <f t="shared" ref="AA1013:AA1054" si="288">Z1013+TIME(0,45,0)</f>
        <v>45770.739583333336</v>
      </c>
      <c r="AB1013" s="81">
        <f t="shared" si="265"/>
        <v>44.0625</v>
      </c>
      <c r="AC1013" s="82"/>
      <c r="AD1013" s="83">
        <f t="shared" si="279"/>
        <v>1.0881944444481633</v>
      </c>
      <c r="AE1013" s="83">
        <f>VLOOKUP(H1013,'LIST 2'!$A$1:$E$27,4,FALSE)</f>
        <v>1</v>
      </c>
      <c r="AF1013" s="83">
        <f t="shared" si="280"/>
        <v>-8.8194444448163267E-2</v>
      </c>
      <c r="AG1013" s="83">
        <f t="shared" si="281"/>
        <v>26.116666666755918</v>
      </c>
      <c r="AH1013" s="83">
        <f t="shared" si="282"/>
        <v>12</v>
      </c>
      <c r="AI1013" s="83">
        <f t="shared" si="283"/>
        <v>14.116666666755918</v>
      </c>
      <c r="AJ1013" s="83">
        <f t="shared" si="272"/>
        <v>10.880755607959543</v>
      </c>
      <c r="AK1013" s="83"/>
      <c r="AL1013" s="83"/>
      <c r="AM1013" s="83"/>
      <c r="AN1013" s="83"/>
    </row>
    <row r="1014" spans="1:42" ht="15" hidden="1" x14ac:dyDescent="0.25">
      <c r="A1014" s="82">
        <v>45770</v>
      </c>
      <c r="B1014" s="94" t="str">
        <f t="shared" si="286"/>
        <v>April</v>
      </c>
      <c r="C1014" s="79" t="s">
        <v>2161</v>
      </c>
      <c r="D1014" s="79" t="s">
        <v>1829</v>
      </c>
      <c r="E1014" s="79"/>
      <c r="F1014" s="79" t="s">
        <v>965</v>
      </c>
      <c r="G1014" s="79" t="s">
        <v>980</v>
      </c>
      <c r="H1014" s="82" t="s">
        <v>2183</v>
      </c>
      <c r="I1014" s="79">
        <v>156</v>
      </c>
      <c r="J1014" s="79" t="s">
        <v>1829</v>
      </c>
      <c r="K1014" s="80" t="s">
        <v>469</v>
      </c>
      <c r="L1014" s="79">
        <f>VLOOKUP(H1014,Table2[#All],3,FALSE)</f>
        <v>690</v>
      </c>
      <c r="M1014" s="80">
        <f t="shared" si="287"/>
        <v>688</v>
      </c>
      <c r="N1014" s="81">
        <f t="shared" si="277"/>
        <v>-2</v>
      </c>
      <c r="P1014" s="82">
        <f t="shared" ref="P1014:P1015" si="289">R1014-TIME(0,26,0)</f>
        <v>45769.852083333331</v>
      </c>
      <c r="Q1014" s="82">
        <v>45769.833333333336</v>
      </c>
      <c r="R1014" s="82">
        <v>45769.870138888888</v>
      </c>
      <c r="S1014" s="81">
        <f t="shared" si="278"/>
        <v>52.754629624299319</v>
      </c>
      <c r="T1014" s="81">
        <f t="shared" si="263"/>
        <v>25.879629630556639</v>
      </c>
      <c r="U1014" s="79"/>
      <c r="V1014" s="82">
        <v>45770.643055555556</v>
      </c>
      <c r="W1014" s="82">
        <v>45771.54583333333</v>
      </c>
      <c r="X1014" s="103">
        <f t="shared" si="264"/>
        <v>1272.9166666609672</v>
      </c>
      <c r="Y1014" s="82" t="s">
        <v>1050</v>
      </c>
      <c r="Z1014" s="82">
        <v>45772.456944444442</v>
      </c>
      <c r="AA1014" s="82">
        <f>Z1014+TIME(0,52,0)</f>
        <v>45772.493055555555</v>
      </c>
      <c r="AB1014" s="81">
        <f t="shared" si="265"/>
        <v>50.916666668490507</v>
      </c>
      <c r="AC1014" s="82" t="s">
        <v>1677</v>
      </c>
      <c r="AD1014" s="83">
        <f t="shared" si="279"/>
        <v>2.5868055555547471</v>
      </c>
      <c r="AE1014" s="83">
        <f>VLOOKUP(H1014,'LIST 2'!$A$1:$E$27,4,FALSE)</f>
        <v>3</v>
      </c>
      <c r="AF1014" s="83">
        <f t="shared" si="280"/>
        <v>0.41319444444525288</v>
      </c>
      <c r="AG1014" s="83">
        <f t="shared" si="281"/>
        <v>62.083333333313931</v>
      </c>
      <c r="AH1014" s="83">
        <f t="shared" si="282"/>
        <v>24</v>
      </c>
      <c r="AI1014" s="83">
        <f t="shared" si="283"/>
        <v>38.083333333313931</v>
      </c>
      <c r="AJ1014" s="83">
        <f t="shared" si="272"/>
        <v>4.096280087529439</v>
      </c>
      <c r="AK1014" s="83"/>
      <c r="AL1014" s="83"/>
      <c r="AM1014" s="83"/>
      <c r="AN1014" s="83"/>
    </row>
    <row r="1015" spans="1:42" ht="15" hidden="1" x14ac:dyDescent="0.25">
      <c r="A1015" s="82">
        <v>45770</v>
      </c>
      <c r="B1015" s="94" t="str">
        <f t="shared" si="286"/>
        <v>April</v>
      </c>
      <c r="C1015" s="79" t="s">
        <v>2161</v>
      </c>
      <c r="D1015" s="79" t="s">
        <v>1830</v>
      </c>
      <c r="E1015" s="79"/>
      <c r="F1015" s="79" t="s">
        <v>953</v>
      </c>
      <c r="G1015" s="79" t="s">
        <v>970</v>
      </c>
      <c r="H1015" s="82" t="s">
        <v>1956</v>
      </c>
      <c r="I1015" s="79">
        <v>153.6</v>
      </c>
      <c r="J1015" s="79" t="s">
        <v>1830</v>
      </c>
      <c r="K1015" s="80" t="s">
        <v>469</v>
      </c>
      <c r="L1015" s="79">
        <f>VLOOKUP(H1015,Table2[#All],3,FALSE)</f>
        <v>596</v>
      </c>
      <c r="M1015" s="80">
        <f>L1015-1</f>
        <v>595</v>
      </c>
      <c r="N1015" s="81">
        <f t="shared" si="277"/>
        <v>-1</v>
      </c>
      <c r="P1015" s="82">
        <f t="shared" si="289"/>
        <v>45769.802083333336</v>
      </c>
      <c r="Q1015" s="82">
        <v>45770.176388888889</v>
      </c>
      <c r="R1015" s="82">
        <v>45769.820138888892</v>
      </c>
      <c r="S1015" s="81">
        <f t="shared" si="278"/>
        <v>-510.62499999582843</v>
      </c>
      <c r="T1015" s="81">
        <f t="shared" si="263"/>
        <v>25.879629630556639</v>
      </c>
      <c r="U1015" s="79"/>
      <c r="V1015" s="82">
        <v>45770.556944444441</v>
      </c>
      <c r="W1015" s="82">
        <v>45770.798611111109</v>
      </c>
      <c r="X1015" s="103">
        <f t="shared" si="264"/>
        <v>340.75000000273576</v>
      </c>
      <c r="Y1015" s="82" t="s">
        <v>1044</v>
      </c>
      <c r="Z1015" s="82">
        <v>45771.581944444442</v>
      </c>
      <c r="AA1015" s="82">
        <f>Z1015+TIME(0,42,0)</f>
        <v>45771.611111111109</v>
      </c>
      <c r="AB1015" s="81">
        <f t="shared" si="265"/>
        <v>41.12500000068394</v>
      </c>
      <c r="AC1015" s="82"/>
      <c r="AD1015" s="83">
        <f t="shared" si="279"/>
        <v>1.7618055555503815</v>
      </c>
      <c r="AE1015" s="83">
        <f>VLOOKUP(H1015,'LIST 2'!$A$1:$E$27,4,FALSE)</f>
        <v>2</v>
      </c>
      <c r="AF1015" s="83">
        <f t="shared" si="280"/>
        <v>0.23819444444961846</v>
      </c>
      <c r="AG1015" s="83">
        <f t="shared" si="281"/>
        <v>42.283333333209157</v>
      </c>
      <c r="AH1015" s="83">
        <f t="shared" si="282"/>
        <v>12</v>
      </c>
      <c r="AI1015" s="83">
        <f t="shared" si="283"/>
        <v>30.283333333209157</v>
      </c>
      <c r="AJ1015" s="83">
        <f t="shared" si="272"/>
        <v>5.0720968629817227</v>
      </c>
      <c r="AK1015" s="83"/>
      <c r="AL1015" s="83"/>
      <c r="AM1015" s="83"/>
      <c r="AN1015" s="83"/>
    </row>
    <row r="1016" spans="1:42" ht="15" hidden="1" x14ac:dyDescent="0.25">
      <c r="A1016" s="82">
        <v>45770</v>
      </c>
      <c r="B1016" s="94" t="str">
        <f t="shared" si="286"/>
        <v>April</v>
      </c>
      <c r="C1016" s="79" t="s">
        <v>2161</v>
      </c>
      <c r="D1016" s="79" t="s">
        <v>1831</v>
      </c>
      <c r="E1016" s="79"/>
      <c r="F1016" s="79" t="s">
        <v>956</v>
      </c>
      <c r="G1016" s="79" t="s">
        <v>973</v>
      </c>
      <c r="H1016" s="82" t="s">
        <v>1956</v>
      </c>
      <c r="I1016" s="79">
        <v>153.6</v>
      </c>
      <c r="J1016" s="79" t="s">
        <v>1831</v>
      </c>
      <c r="K1016" s="80" t="s">
        <v>469</v>
      </c>
      <c r="L1016" s="79">
        <f>VLOOKUP(H1016,Table2[#All],3,FALSE)</f>
        <v>596</v>
      </c>
      <c r="M1016" s="80">
        <f t="shared" si="287"/>
        <v>594</v>
      </c>
      <c r="N1016" s="81">
        <f t="shared" si="277"/>
        <v>-2</v>
      </c>
      <c r="P1016" s="82">
        <f>R1016-TIME(0,39,0)</f>
        <v>45769.43472222222</v>
      </c>
      <c r="Q1016" s="82">
        <v>45770.176388888889</v>
      </c>
      <c r="R1016" s="82">
        <v>45769.461805555555</v>
      </c>
      <c r="S1016" s="81">
        <f t="shared" si="278"/>
        <v>-1024.2361111125017</v>
      </c>
      <c r="T1016" s="81">
        <f t="shared" si="263"/>
        <v>38.819444445834961</v>
      </c>
      <c r="U1016" s="79" t="s">
        <v>2165</v>
      </c>
      <c r="V1016" s="82">
        <v>45769.54583333333</v>
      </c>
      <c r="W1016" s="82">
        <v>45769.756249999999</v>
      </c>
      <c r="X1016" s="103">
        <f t="shared" si="264"/>
        <v>296.68750000273576</v>
      </c>
      <c r="Y1016" s="82" t="s">
        <v>1044</v>
      </c>
      <c r="Z1016" s="82">
        <v>45770.459722222222</v>
      </c>
      <c r="AA1016" s="82">
        <f>Z1016+TIME(0,52,0)</f>
        <v>45770.495833333334</v>
      </c>
      <c r="AB1016" s="81">
        <f t="shared" si="265"/>
        <v>50.916666668490507</v>
      </c>
      <c r="AC1016" s="82" t="s">
        <v>1678</v>
      </c>
      <c r="AD1016" s="83">
        <f t="shared" si="279"/>
        <v>0.99791666666715173</v>
      </c>
      <c r="AE1016" s="83">
        <f>VLOOKUP(H1016,'LIST 2'!$A$1:$E$27,4,FALSE)</f>
        <v>2</v>
      </c>
      <c r="AF1016" s="83">
        <f t="shared" si="280"/>
        <v>1.0020833333328483</v>
      </c>
      <c r="AG1016" s="83">
        <f t="shared" si="281"/>
        <v>23.950000000011642</v>
      </c>
      <c r="AH1016" s="83">
        <f t="shared" si="282"/>
        <v>0</v>
      </c>
      <c r="AI1016" s="83">
        <f t="shared" si="283"/>
        <v>23.950000000011642</v>
      </c>
      <c r="AJ1016" s="83">
        <f t="shared" si="272"/>
        <v>6.4133611690991792</v>
      </c>
      <c r="AK1016" s="83"/>
      <c r="AL1016" s="83"/>
      <c r="AM1016" s="83"/>
      <c r="AN1016" s="83"/>
      <c r="AP1016" s="80"/>
    </row>
    <row r="1017" spans="1:42" ht="15" hidden="1" x14ac:dyDescent="0.25">
      <c r="A1017" s="82">
        <v>45771</v>
      </c>
      <c r="B1017" s="94" t="str">
        <f t="shared" si="286"/>
        <v>April</v>
      </c>
      <c r="C1017" s="79" t="s">
        <v>2161</v>
      </c>
      <c r="D1017" s="79" t="s">
        <v>1832</v>
      </c>
      <c r="E1017" s="80" t="s">
        <v>1016</v>
      </c>
      <c r="F1017" s="79" t="s">
        <v>954</v>
      </c>
      <c r="G1017" s="79" t="s">
        <v>971</v>
      </c>
      <c r="H1017" s="82" t="s">
        <v>1991</v>
      </c>
      <c r="I1017" s="79">
        <v>153.6</v>
      </c>
      <c r="J1017" s="79" t="s">
        <v>1832</v>
      </c>
      <c r="K1017" s="80" t="s">
        <v>469</v>
      </c>
      <c r="L1017" s="79">
        <f>VLOOKUP(H1017,Table2[#All],3,FALSE)</f>
        <v>272</v>
      </c>
      <c r="M1017" s="80">
        <f t="shared" si="287"/>
        <v>270</v>
      </c>
      <c r="N1017" s="81">
        <f t="shared" si="277"/>
        <v>-2</v>
      </c>
      <c r="P1017" s="82">
        <f>R1017-TIME(0,26,0)</f>
        <v>45771.711805555555</v>
      </c>
      <c r="Q1017" s="82">
        <v>45771.082638888889</v>
      </c>
      <c r="R1017" s="82">
        <v>45771.729861111111</v>
      </c>
      <c r="S1017" s="81">
        <f t="shared" si="278"/>
        <v>927.68518518472172</v>
      </c>
      <c r="T1017" s="81">
        <f t="shared" si="263"/>
        <v>25.879629630556639</v>
      </c>
      <c r="U1017" s="79"/>
      <c r="V1017" s="82">
        <v>45772.570138888892</v>
      </c>
      <c r="W1017" s="82">
        <v>45772.656944444447</v>
      </c>
      <c r="X1017" s="103">
        <f t="shared" si="264"/>
        <v>122.39583333219343</v>
      </c>
      <c r="Y1017" s="82"/>
      <c r="Z1017" s="82">
        <v>45773.450694444444</v>
      </c>
      <c r="AA1017" s="82">
        <f t="shared" si="288"/>
        <v>45773.481944444444</v>
      </c>
      <c r="AB1017" s="81">
        <f t="shared" si="265"/>
        <v>44.0625</v>
      </c>
      <c r="AC1017" s="82"/>
      <c r="AD1017" s="83">
        <f t="shared" si="279"/>
        <v>1.7208333333328483</v>
      </c>
      <c r="AE1017" s="83">
        <f>VLOOKUP(H1017,'LIST 2'!$A$1:$E$27,4,FALSE)</f>
        <v>2</v>
      </c>
      <c r="AF1017" s="83">
        <f t="shared" si="280"/>
        <v>0.27916666666715173</v>
      </c>
      <c r="AG1017" s="83">
        <f t="shared" si="281"/>
        <v>41.299999999988358</v>
      </c>
      <c r="AH1017" s="83">
        <f t="shared" si="282"/>
        <v>12</v>
      </c>
      <c r="AI1017" s="83">
        <f t="shared" si="283"/>
        <v>29.299999999988358</v>
      </c>
      <c r="AJ1017" s="83">
        <f t="shared" si="272"/>
        <v>5.2423208191147106</v>
      </c>
      <c r="AK1017" s="83"/>
      <c r="AL1017" s="83"/>
      <c r="AM1017" s="83"/>
      <c r="AN1017" s="83"/>
      <c r="AP1017" s="80"/>
    </row>
    <row r="1018" spans="1:42" ht="15" hidden="1" x14ac:dyDescent="0.25">
      <c r="A1018" s="82">
        <v>45771</v>
      </c>
      <c r="B1018" s="94" t="str">
        <f t="shared" si="286"/>
        <v>April</v>
      </c>
      <c r="C1018" s="79" t="s">
        <v>2162</v>
      </c>
      <c r="D1018" s="79" t="s">
        <v>1833</v>
      </c>
      <c r="E1018" s="79" t="s">
        <v>1016</v>
      </c>
      <c r="F1018" s="79" t="s">
        <v>1690</v>
      </c>
      <c r="G1018" s="79" t="s">
        <v>45</v>
      </c>
      <c r="H1018" s="82" t="s">
        <v>2187</v>
      </c>
      <c r="I1018" s="79">
        <v>156</v>
      </c>
      <c r="J1018" s="79" t="s">
        <v>1833</v>
      </c>
      <c r="K1018" s="80" t="s">
        <v>469</v>
      </c>
      <c r="L1018" s="79">
        <f>VLOOKUP(H1018,Table2[#All],3,FALSE)</f>
        <v>670</v>
      </c>
      <c r="M1018" s="80">
        <f t="shared" si="287"/>
        <v>668</v>
      </c>
      <c r="N1018" s="81">
        <f t="shared" si="277"/>
        <v>-2</v>
      </c>
      <c r="P1018" s="82">
        <f>R1018-TIME(0,38,0)</f>
        <v>45770.879861111112</v>
      </c>
      <c r="Q1018" s="82">
        <v>45770.875</v>
      </c>
      <c r="R1018" s="82">
        <v>45770.90625</v>
      </c>
      <c r="S1018" s="81">
        <f t="shared" si="278"/>
        <v>44.791666666666664</v>
      </c>
      <c r="T1018" s="81">
        <f t="shared" si="263"/>
        <v>37.82407407222005</v>
      </c>
      <c r="U1018" s="79" t="s">
        <v>1671</v>
      </c>
      <c r="V1018" s="82">
        <v>45771.663888888892</v>
      </c>
      <c r="W1018" s="82">
        <v>45771.827777777777</v>
      </c>
      <c r="X1018" s="103">
        <f t="shared" si="264"/>
        <v>231.08333332740585</v>
      </c>
      <c r="Y1018" s="82" t="s">
        <v>1046</v>
      </c>
      <c r="Z1018" s="82">
        <v>45772.628472222219</v>
      </c>
      <c r="AA1018" s="82">
        <f>Z1018+TIME(0,51,0)</f>
        <v>45772.663888888885</v>
      </c>
      <c r="AB1018" s="81">
        <f t="shared" si="265"/>
        <v>49.93749999863212</v>
      </c>
      <c r="AC1018" s="82" t="s">
        <v>1673</v>
      </c>
      <c r="AD1018" s="83">
        <f t="shared" si="279"/>
        <v>1.7222222222189885</v>
      </c>
      <c r="AE1018" s="83">
        <f>VLOOKUP(H1018,'LIST 2'!$A$1:$E$27,4,FALSE)</f>
        <v>2</v>
      </c>
      <c r="AF1018" s="83">
        <f t="shared" si="280"/>
        <v>0.27777777778101154</v>
      </c>
      <c r="AG1018" s="83">
        <f t="shared" si="281"/>
        <v>41.333333333255723</v>
      </c>
      <c r="AH1018" s="83">
        <f t="shared" si="282"/>
        <v>12</v>
      </c>
      <c r="AI1018" s="83">
        <f t="shared" si="283"/>
        <v>29.333333333255723</v>
      </c>
      <c r="AJ1018" s="83">
        <f t="shared" si="272"/>
        <v>5.3181818181958889</v>
      </c>
      <c r="AK1018" s="83"/>
      <c r="AL1018" s="83"/>
      <c r="AM1018" s="83"/>
      <c r="AN1018" s="83"/>
      <c r="AP1018" s="80"/>
    </row>
    <row r="1019" spans="1:42" ht="15" hidden="1" x14ac:dyDescent="0.25">
      <c r="A1019" s="82">
        <v>45771</v>
      </c>
      <c r="B1019" s="94" t="str">
        <f t="shared" si="286"/>
        <v>April</v>
      </c>
      <c r="C1019" s="79" t="s">
        <v>2161</v>
      </c>
      <c r="D1019" s="79" t="s">
        <v>1834</v>
      </c>
      <c r="E1019" s="79"/>
      <c r="F1019" s="79" t="s">
        <v>956</v>
      </c>
      <c r="G1019" s="79" t="s">
        <v>973</v>
      </c>
      <c r="H1019" s="82" t="s">
        <v>1957</v>
      </c>
      <c r="I1019" s="79">
        <v>153.6</v>
      </c>
      <c r="J1019" s="79" t="s">
        <v>1834</v>
      </c>
      <c r="K1019" s="80" t="s">
        <v>469</v>
      </c>
      <c r="L1019" s="79">
        <f>VLOOKUP(H1019,Table2[#All],3,FALSE)</f>
        <v>288</v>
      </c>
      <c r="M1019" s="80">
        <f t="shared" si="287"/>
        <v>286</v>
      </c>
      <c r="N1019" s="81">
        <f t="shared" si="277"/>
        <v>-2</v>
      </c>
      <c r="P1019" s="82">
        <f>R1019-TIME(0,24,0)</f>
        <v>45770.811805555553</v>
      </c>
      <c r="Q1019" s="82">
        <v>45771.154861111114</v>
      </c>
      <c r="R1019" s="82">
        <v>45770.828472222223</v>
      </c>
      <c r="S1019" s="81">
        <f t="shared" si="278"/>
        <v>-467.82407407639158</v>
      </c>
      <c r="T1019" s="81">
        <f t="shared" si="263"/>
        <v>23.888888893755695</v>
      </c>
      <c r="U1019" s="79"/>
      <c r="V1019" s="82">
        <v>45771.53402777778</v>
      </c>
      <c r="W1019" s="82">
        <v>45771.701388888891</v>
      </c>
      <c r="X1019" s="103">
        <f t="shared" si="264"/>
        <v>235.97916666643869</v>
      </c>
      <c r="Y1019" s="82" t="s">
        <v>1049</v>
      </c>
      <c r="Z1019" s="82">
        <v>45772.447916666664</v>
      </c>
      <c r="AA1019" s="82">
        <f>Z1019+TIME(0,50,0)</f>
        <v>45772.482638888883</v>
      </c>
      <c r="AB1019" s="81">
        <f t="shared" si="265"/>
        <v>48.958333328773733</v>
      </c>
      <c r="AC1019" s="82" t="s">
        <v>2169</v>
      </c>
      <c r="AD1019" s="83">
        <f t="shared" si="279"/>
        <v>1.6194444444408873</v>
      </c>
      <c r="AE1019" s="83">
        <f>VLOOKUP(H1019,'LIST 2'!$A$1:$E$27,4,FALSE)</f>
        <v>2</v>
      </c>
      <c r="AF1019" s="83">
        <f t="shared" si="280"/>
        <v>0.38055555555911269</v>
      </c>
      <c r="AG1019" s="83">
        <f t="shared" si="281"/>
        <v>38.866666666581295</v>
      </c>
      <c r="AH1019" s="83">
        <f t="shared" si="282"/>
        <v>12</v>
      </c>
      <c r="AI1019" s="83">
        <f t="shared" si="283"/>
        <v>26.866666666581295</v>
      </c>
      <c r="AJ1019" s="83">
        <f t="shared" si="272"/>
        <v>5.7171215881074966</v>
      </c>
      <c r="AK1019" s="83"/>
      <c r="AL1019" s="83"/>
      <c r="AM1019" s="83"/>
      <c r="AN1019" s="83"/>
      <c r="AP1019" s="80"/>
    </row>
    <row r="1020" spans="1:42" ht="15" hidden="1" x14ac:dyDescent="0.25">
      <c r="A1020" s="82">
        <v>45771</v>
      </c>
      <c r="B1020" s="94" t="str">
        <f t="shared" si="286"/>
        <v>April</v>
      </c>
      <c r="C1020" s="79" t="s">
        <v>2161</v>
      </c>
      <c r="D1020" s="79" t="s">
        <v>1835</v>
      </c>
      <c r="E1020" s="79"/>
      <c r="F1020" s="79" t="s">
        <v>950</v>
      </c>
      <c r="G1020" s="79" t="s">
        <v>967</v>
      </c>
      <c r="H1020" s="82" t="s">
        <v>1957</v>
      </c>
      <c r="I1020" s="79">
        <v>153.6</v>
      </c>
      <c r="J1020" s="79" t="s">
        <v>1835</v>
      </c>
      <c r="K1020" s="80" t="s">
        <v>469</v>
      </c>
      <c r="L1020" s="79">
        <f>VLOOKUP(H1020,Table2[#All],3,FALSE)</f>
        <v>288</v>
      </c>
      <c r="M1020" s="80">
        <f t="shared" si="287"/>
        <v>286</v>
      </c>
      <c r="N1020" s="81">
        <f t="shared" si="277"/>
        <v>-2</v>
      </c>
      <c r="P1020" s="82">
        <f>R1020-TIME(0,38,0)</f>
        <v>45770.795138888891</v>
      </c>
      <c r="Q1020" s="82">
        <v>45771.154861111114</v>
      </c>
      <c r="R1020" s="82">
        <v>45770.821527777778</v>
      </c>
      <c r="S1020" s="81">
        <f t="shared" si="278"/>
        <v>-477.77777778125409</v>
      </c>
      <c r="T1020" s="81">
        <f t="shared" si="263"/>
        <v>37.82407407222005</v>
      </c>
      <c r="U1020" s="79" t="s">
        <v>550</v>
      </c>
      <c r="V1020" s="82">
        <v>45771.59097222222</v>
      </c>
      <c r="W1020" s="82">
        <v>45771.801388888889</v>
      </c>
      <c r="X1020" s="103">
        <f t="shared" si="264"/>
        <v>296.68750000273576</v>
      </c>
      <c r="Y1020" s="82" t="s">
        <v>1051</v>
      </c>
      <c r="Z1020" s="82">
        <v>45772.645833333336</v>
      </c>
      <c r="AA1020" s="82">
        <f>Z1020+TIME(0,41,0)</f>
        <v>45772.674305555556</v>
      </c>
      <c r="AB1020" s="81">
        <f t="shared" si="265"/>
        <v>40.145833330825553</v>
      </c>
      <c r="AC1020" s="82"/>
      <c r="AD1020" s="83">
        <f t="shared" si="279"/>
        <v>1.8243055555576575</v>
      </c>
      <c r="AE1020" s="83">
        <f>VLOOKUP(H1020,'LIST 2'!$A$1:$E$27,4,FALSE)</f>
        <v>2</v>
      </c>
      <c r="AF1020" s="83">
        <f t="shared" si="280"/>
        <v>0.1756944444423425</v>
      </c>
      <c r="AG1020" s="83">
        <f t="shared" si="281"/>
        <v>43.78333333338378</v>
      </c>
      <c r="AH1020" s="83">
        <f t="shared" si="282"/>
        <v>12</v>
      </c>
      <c r="AI1020" s="83">
        <f t="shared" si="283"/>
        <v>31.78333333338378</v>
      </c>
      <c r="AJ1020" s="83">
        <f t="shared" si="272"/>
        <v>4.8327215521685218</v>
      </c>
      <c r="AK1020" s="83"/>
      <c r="AL1020" s="83"/>
      <c r="AM1020" s="83"/>
      <c r="AN1020" s="83"/>
      <c r="AP1020" s="80"/>
    </row>
    <row r="1021" spans="1:42" ht="15" hidden="1" x14ac:dyDescent="0.25">
      <c r="A1021" s="82">
        <v>45771</v>
      </c>
      <c r="B1021" s="94" t="str">
        <f t="shared" si="286"/>
        <v>April</v>
      </c>
      <c r="C1021" s="79" t="s">
        <v>2161</v>
      </c>
      <c r="D1021" s="79" t="s">
        <v>1836</v>
      </c>
      <c r="E1021" s="79"/>
      <c r="F1021" s="79" t="s">
        <v>951</v>
      </c>
      <c r="G1021" s="79" t="s">
        <v>968</v>
      </c>
      <c r="H1021" s="82" t="s">
        <v>1956</v>
      </c>
      <c r="I1021" s="79">
        <v>153.6</v>
      </c>
      <c r="J1021" s="79" t="s">
        <v>1836</v>
      </c>
      <c r="K1021" s="80" t="s">
        <v>469</v>
      </c>
      <c r="L1021" s="79">
        <f>VLOOKUP(H1021,Table2[#All],3,FALSE)</f>
        <v>596</v>
      </c>
      <c r="M1021" s="80">
        <f t="shared" si="287"/>
        <v>594</v>
      </c>
      <c r="N1021" s="81">
        <f t="shared" si="277"/>
        <v>-2</v>
      </c>
      <c r="P1021" s="82">
        <f>R1021-TIME(0,26,0)</f>
        <v>45771.668055555558</v>
      </c>
      <c r="Q1021" s="82">
        <v>45772.176388888889</v>
      </c>
      <c r="R1021" s="82">
        <v>45771.686111111114</v>
      </c>
      <c r="S1021" s="81">
        <f t="shared" si="278"/>
        <v>-702.7314814777734</v>
      </c>
      <c r="T1021" s="81">
        <f t="shared" si="263"/>
        <v>25.879629630556639</v>
      </c>
      <c r="U1021" s="79"/>
      <c r="V1021" s="82">
        <v>45771.806944444441</v>
      </c>
      <c r="W1021" s="82">
        <v>45772.480555555558</v>
      </c>
      <c r="X1021" s="103">
        <f t="shared" si="264"/>
        <v>949.79166667464597</v>
      </c>
      <c r="Y1021" s="82" t="s">
        <v>1050</v>
      </c>
      <c r="Z1021" s="82">
        <v>45772.611805555556</v>
      </c>
      <c r="AA1021" s="82">
        <f>Z1021+TIME(0,42,0)</f>
        <v>45772.640972222223</v>
      </c>
      <c r="AB1021" s="81">
        <f t="shared" si="265"/>
        <v>41.12500000068394</v>
      </c>
      <c r="AC1021" s="82"/>
      <c r="AD1021" s="83">
        <f t="shared" si="279"/>
        <v>0.9256944444423425</v>
      </c>
      <c r="AE1021" s="83">
        <f>VLOOKUP(H1021,'LIST 2'!$A$1:$E$27,4,FALSE)</f>
        <v>2</v>
      </c>
      <c r="AF1021" s="83">
        <f t="shared" si="280"/>
        <v>1.0743055555576575</v>
      </c>
      <c r="AG1021" s="83">
        <f t="shared" si="281"/>
        <v>22.21666666661622</v>
      </c>
      <c r="AH1021" s="83">
        <f t="shared" si="282"/>
        <v>0</v>
      </c>
      <c r="AI1021" s="83">
        <f t="shared" si="283"/>
        <v>22.21666666661622</v>
      </c>
      <c r="AJ1021" s="83">
        <f t="shared" si="272"/>
        <v>6.9137284321237251</v>
      </c>
      <c r="AK1021" s="83"/>
      <c r="AL1021" s="83"/>
      <c r="AM1021" s="83"/>
      <c r="AN1021" s="83"/>
      <c r="AP1021" s="80"/>
    </row>
    <row r="1022" spans="1:42" ht="15" hidden="1" x14ac:dyDescent="0.25">
      <c r="A1022" s="82">
        <v>45771</v>
      </c>
      <c r="B1022" s="94" t="str">
        <f t="shared" si="286"/>
        <v>April</v>
      </c>
      <c r="C1022" s="79" t="s">
        <v>2161</v>
      </c>
      <c r="D1022" s="79" t="s">
        <v>1837</v>
      </c>
      <c r="E1022" s="79"/>
      <c r="F1022" s="79" t="s">
        <v>951</v>
      </c>
      <c r="G1022" s="79" t="s">
        <v>968</v>
      </c>
      <c r="H1022" s="82" t="s">
        <v>1989</v>
      </c>
      <c r="I1022" s="79">
        <v>153.6</v>
      </c>
      <c r="J1022" s="79" t="s">
        <v>1837</v>
      </c>
      <c r="K1022" s="80" t="s">
        <v>469</v>
      </c>
      <c r="L1022" s="79">
        <f>VLOOKUP(H1022,Table2[#All],3,FALSE)</f>
        <v>20</v>
      </c>
      <c r="M1022" s="80">
        <f>L1022-1</f>
        <v>19</v>
      </c>
      <c r="N1022" s="81">
        <f t="shared" si="277"/>
        <v>-1</v>
      </c>
      <c r="P1022" s="82">
        <f>R1022-TIME(0,24,0)</f>
        <v>45770.802777777775</v>
      </c>
      <c r="Q1022" s="82">
        <v>45771.320833333331</v>
      </c>
      <c r="R1022" s="82">
        <v>45770.819444444445</v>
      </c>
      <c r="S1022" s="81">
        <f t="shared" si="278"/>
        <v>-718.65740740346757</v>
      </c>
      <c r="T1022" s="81">
        <f t="shared" si="263"/>
        <v>23.888888893755695</v>
      </c>
      <c r="U1022" s="79"/>
      <c r="V1022" s="82">
        <v>45770.840277777781</v>
      </c>
      <c r="W1022" s="82">
        <v>45771.422222222223</v>
      </c>
      <c r="X1022" s="103">
        <f t="shared" si="264"/>
        <v>820.54166666370293</v>
      </c>
      <c r="Y1022" s="82" t="s">
        <v>1044</v>
      </c>
      <c r="Z1022" s="82">
        <v>45771.456250000003</v>
      </c>
      <c r="AA1022" s="82">
        <f>Z1022+TIME(0,52,0)</f>
        <v>45771.492361111115</v>
      </c>
      <c r="AB1022" s="81">
        <f t="shared" si="265"/>
        <v>50.916666668490507</v>
      </c>
      <c r="AC1022" s="82" t="s">
        <v>2170</v>
      </c>
      <c r="AD1022" s="83">
        <f t="shared" si="279"/>
        <v>0.6368055555576575</v>
      </c>
      <c r="AE1022" s="83">
        <f>VLOOKUP(H1022,'LIST 2'!$A$1:$E$27,4,FALSE)</f>
        <v>1</v>
      </c>
      <c r="AF1022" s="83">
        <f t="shared" si="280"/>
        <v>0.3631944444423425</v>
      </c>
      <c r="AG1022" s="83">
        <f t="shared" si="281"/>
        <v>15.28333333338378</v>
      </c>
      <c r="AH1022" s="83">
        <f t="shared" si="282"/>
        <v>0</v>
      </c>
      <c r="AI1022" s="83">
        <f t="shared" si="283"/>
        <v>15.28333333338378</v>
      </c>
      <c r="AJ1022" s="83">
        <f t="shared" si="272"/>
        <v>10.050163576847961</v>
      </c>
      <c r="AK1022" s="83"/>
      <c r="AL1022" s="83"/>
      <c r="AM1022" s="83"/>
      <c r="AN1022" s="83"/>
      <c r="AP1022" s="80"/>
    </row>
    <row r="1023" spans="1:42" ht="15" hidden="1" x14ac:dyDescent="0.25">
      <c r="A1023" s="82">
        <v>45771</v>
      </c>
      <c r="B1023" s="94" t="str">
        <f t="shared" si="286"/>
        <v>April</v>
      </c>
      <c r="C1023" s="79" t="s">
        <v>2161</v>
      </c>
      <c r="D1023" s="79" t="s">
        <v>1838</v>
      </c>
      <c r="E1023" s="79"/>
      <c r="F1023" s="79" t="s">
        <v>959</v>
      </c>
      <c r="G1023" s="79" t="s">
        <v>976</v>
      </c>
      <c r="H1023" s="82" t="s">
        <v>2022</v>
      </c>
      <c r="I1023" s="79">
        <v>153.6</v>
      </c>
      <c r="J1023" s="79" t="s">
        <v>1838</v>
      </c>
      <c r="K1023" s="80" t="s">
        <v>469</v>
      </c>
      <c r="L1023" s="79">
        <f>VLOOKUP(H1023,Table2[#All],3,FALSE)</f>
        <v>150</v>
      </c>
      <c r="M1023" s="80">
        <f t="shared" si="287"/>
        <v>148</v>
      </c>
      <c r="N1023" s="81">
        <f t="shared" si="277"/>
        <v>-2</v>
      </c>
      <c r="P1023" s="82">
        <f>R1023-TIME(0,23,0)</f>
        <v>45771.686805555553</v>
      </c>
      <c r="Q1023" s="82">
        <v>45772.260416666664</v>
      </c>
      <c r="R1023" s="82">
        <v>45771.702777777777</v>
      </c>
      <c r="S1023" s="81">
        <f t="shared" si="278"/>
        <v>-799.28240740555339</v>
      </c>
      <c r="T1023" s="81">
        <f t="shared" ref="T1023:T1083" si="290">(R1023-P1023)*86000/60</f>
        <v>22.893518520140788</v>
      </c>
      <c r="V1023" s="82">
        <v>45772.318055555559</v>
      </c>
      <c r="W1023" s="82">
        <v>45772.555555555555</v>
      </c>
      <c r="X1023" s="103">
        <f t="shared" ref="X1023:X1083" si="291">(W1023-V1023)*84600/60</f>
        <v>334.87499999384454</v>
      </c>
      <c r="Y1023" s="82" t="s">
        <v>1044</v>
      </c>
      <c r="Z1023" s="82">
        <v>45772.650694444441</v>
      </c>
      <c r="AA1023" s="82">
        <f>Z1023+TIME(0,51,0)</f>
        <v>45772.686111111107</v>
      </c>
      <c r="AB1023" s="81">
        <f t="shared" ref="AB1023:AB1083" si="292">(AA1023-Z1023)*84600/60</f>
        <v>49.93749999863212</v>
      </c>
      <c r="AC1023" s="82" t="s">
        <v>2168</v>
      </c>
      <c r="AD1023" s="83">
        <f t="shared" si="279"/>
        <v>0.94791666666424135</v>
      </c>
      <c r="AE1023" s="83">
        <f>VLOOKUP(H1023,'LIST 2'!$A$1:$E$27,4,FALSE)</f>
        <v>1</v>
      </c>
      <c r="AF1023" s="83">
        <f t="shared" si="280"/>
        <v>5.2083333335758653E-2</v>
      </c>
      <c r="AG1023" s="83">
        <f t="shared" si="281"/>
        <v>22.749999999941792</v>
      </c>
      <c r="AH1023" s="83">
        <f t="shared" si="282"/>
        <v>0</v>
      </c>
      <c r="AI1023" s="83">
        <f t="shared" si="283"/>
        <v>22.749999999941792</v>
      </c>
      <c r="AJ1023" s="83">
        <f t="shared" ref="AJ1023:AJ1083" si="293">I1023/AI1023</f>
        <v>6.7516483516656258</v>
      </c>
      <c r="AK1023" s="83"/>
      <c r="AL1023" s="83"/>
      <c r="AM1023" s="83"/>
      <c r="AN1023" s="83"/>
      <c r="AP1023" s="80"/>
    </row>
    <row r="1024" spans="1:42" ht="15" hidden="1" x14ac:dyDescent="0.25">
      <c r="A1024" s="82">
        <v>45772</v>
      </c>
      <c r="B1024" s="94" t="str">
        <f t="shared" si="286"/>
        <v>April</v>
      </c>
      <c r="C1024" s="79" t="s">
        <v>2161</v>
      </c>
      <c r="D1024" s="79" t="s">
        <v>1839</v>
      </c>
      <c r="E1024" s="79"/>
      <c r="F1024" s="79" t="s">
        <v>955</v>
      </c>
      <c r="G1024" s="79" t="s">
        <v>972</v>
      </c>
      <c r="H1024" s="82" t="s">
        <v>1991</v>
      </c>
      <c r="I1024" s="79">
        <v>153.6</v>
      </c>
      <c r="J1024" s="79" t="s">
        <v>1839</v>
      </c>
      <c r="K1024" s="80" t="s">
        <v>469</v>
      </c>
      <c r="L1024" s="79">
        <f>VLOOKUP(H1024,Table2[#All],3,FALSE)</f>
        <v>272</v>
      </c>
      <c r="M1024" s="80">
        <f t="shared" si="287"/>
        <v>270</v>
      </c>
      <c r="N1024" s="81">
        <f t="shared" si="277"/>
        <v>-2</v>
      </c>
      <c r="P1024" s="82">
        <f>R1024-TIME(0,50,0)</f>
        <v>45773.759027777778</v>
      </c>
      <c r="Q1024" s="82">
        <v>45772.082638888889</v>
      </c>
      <c r="R1024" s="82">
        <v>45773.793749999997</v>
      </c>
      <c r="S1024" s="81">
        <f t="shared" si="278"/>
        <v>2452.5925925881893</v>
      </c>
      <c r="T1024" s="81">
        <f t="shared" si="290"/>
        <v>49.768518513883464</v>
      </c>
      <c r="U1024" s="79" t="s">
        <v>2164</v>
      </c>
      <c r="V1024" s="82">
        <v>45774.413888888892</v>
      </c>
      <c r="W1024" s="82">
        <v>45774.553472222222</v>
      </c>
      <c r="X1024" s="103">
        <f t="shared" si="291"/>
        <v>196.81249999521242</v>
      </c>
      <c r="Y1024" s="82" t="s">
        <v>1047</v>
      </c>
      <c r="Z1024" s="82">
        <v>45775.332638888889</v>
      </c>
      <c r="AA1024" s="82">
        <f>Z1024+TIME(0,42,0)</f>
        <v>45775.361805555556</v>
      </c>
      <c r="AB1024" s="81">
        <f t="shared" si="292"/>
        <v>41.12500000068394</v>
      </c>
      <c r="AC1024" s="82"/>
      <c r="AD1024" s="83">
        <f t="shared" si="279"/>
        <v>1.538888888891961</v>
      </c>
      <c r="AE1024" s="83">
        <f>VLOOKUP(H1024,'LIST 2'!$A$1:$E$27,4,FALSE)</f>
        <v>2</v>
      </c>
      <c r="AF1024" s="83">
        <f t="shared" si="280"/>
        <v>0.46111111110803904</v>
      </c>
      <c r="AG1024" s="83">
        <f t="shared" si="281"/>
        <v>36.933333333407063</v>
      </c>
      <c r="AH1024" s="83">
        <f t="shared" si="282"/>
        <v>12</v>
      </c>
      <c r="AI1024" s="83">
        <f t="shared" si="283"/>
        <v>24.933333333407063</v>
      </c>
      <c r="AJ1024" s="83">
        <f t="shared" si="293"/>
        <v>6.1604278074684142</v>
      </c>
      <c r="AK1024" s="83"/>
      <c r="AL1024" s="83"/>
      <c r="AM1024" s="83"/>
      <c r="AN1024" s="83"/>
      <c r="AP1024" s="80"/>
    </row>
    <row r="1025" spans="1:42" ht="15" hidden="1" x14ac:dyDescent="0.25">
      <c r="A1025" s="82">
        <v>45772</v>
      </c>
      <c r="B1025" s="94" t="str">
        <f t="shared" si="286"/>
        <v>April</v>
      </c>
      <c r="C1025" s="79" t="s">
        <v>2161</v>
      </c>
      <c r="D1025" s="79" t="s">
        <v>1840</v>
      </c>
      <c r="E1025" s="79"/>
      <c r="F1025" s="79" t="s">
        <v>1689</v>
      </c>
      <c r="G1025" s="79" t="s">
        <v>1262</v>
      </c>
      <c r="H1025" s="82" t="s">
        <v>1956</v>
      </c>
      <c r="I1025" s="79">
        <v>153.6</v>
      </c>
      <c r="J1025" s="79" t="s">
        <v>1840</v>
      </c>
      <c r="K1025" s="80" t="s">
        <v>469</v>
      </c>
      <c r="L1025" s="79">
        <f>VLOOKUP(H1025,Table2[#All],3,FALSE)</f>
        <v>596</v>
      </c>
      <c r="M1025" s="80">
        <f t="shared" si="287"/>
        <v>594</v>
      </c>
      <c r="N1025" s="81">
        <f t="shared" si="277"/>
        <v>-2</v>
      </c>
      <c r="P1025" s="82">
        <f>R1025-TIME(0,26,0)</f>
        <v>45773.850694444445</v>
      </c>
      <c r="Q1025" s="82">
        <v>45772.176388888889</v>
      </c>
      <c r="R1025" s="82">
        <v>45773.868750000001</v>
      </c>
      <c r="S1025" s="81">
        <f t="shared" si="278"/>
        <v>2425.7175925944466</v>
      </c>
      <c r="T1025" s="81">
        <f t="shared" si="290"/>
        <v>25.879629630556639</v>
      </c>
      <c r="U1025" s="79"/>
      <c r="V1025" s="82">
        <v>45774.355555555558</v>
      </c>
      <c r="W1025" s="82">
        <v>45774.636805555558</v>
      </c>
      <c r="X1025" s="103">
        <f t="shared" si="291"/>
        <v>396.5625</v>
      </c>
      <c r="Y1025" s="82" t="s">
        <v>1049</v>
      </c>
      <c r="Z1025" s="82">
        <v>45775.677083333336</v>
      </c>
      <c r="AA1025" s="82">
        <f>Z1025+TIME(0,52,0)</f>
        <v>45775.713194444448</v>
      </c>
      <c r="AB1025" s="81">
        <f t="shared" si="292"/>
        <v>50.916666668490507</v>
      </c>
      <c r="AC1025" s="82" t="s">
        <v>1673</v>
      </c>
      <c r="AD1025" s="83">
        <f t="shared" si="279"/>
        <v>1.8083333333343035</v>
      </c>
      <c r="AE1025" s="83">
        <f>VLOOKUP(H1025,'LIST 2'!$A$1:$E$27,4,FALSE)</f>
        <v>2</v>
      </c>
      <c r="AF1025" s="83">
        <f t="shared" si="280"/>
        <v>0.19166666666569654</v>
      </c>
      <c r="AG1025" s="83">
        <f t="shared" si="281"/>
        <v>43.400000000023283</v>
      </c>
      <c r="AH1025" s="83">
        <f t="shared" si="282"/>
        <v>12</v>
      </c>
      <c r="AI1025" s="83">
        <f t="shared" si="283"/>
        <v>31.400000000023283</v>
      </c>
      <c r="AJ1025" s="83">
        <f t="shared" si="293"/>
        <v>4.8917197452193024</v>
      </c>
      <c r="AK1025" s="83">
        <v>10.23</v>
      </c>
      <c r="AL1025" s="83">
        <v>9.36</v>
      </c>
      <c r="AM1025" s="83">
        <v>7.34</v>
      </c>
      <c r="AN1025" s="83"/>
      <c r="AP1025" s="80"/>
    </row>
    <row r="1026" spans="1:42" ht="15" hidden="1" x14ac:dyDescent="0.25">
      <c r="A1026" s="82">
        <v>45772</v>
      </c>
      <c r="B1026" s="94" t="str">
        <f t="shared" si="286"/>
        <v>April</v>
      </c>
      <c r="C1026" s="79" t="s">
        <v>2161</v>
      </c>
      <c r="D1026" s="79" t="s">
        <v>1841</v>
      </c>
      <c r="E1026" s="79"/>
      <c r="F1026" s="79" t="s">
        <v>962</v>
      </c>
      <c r="G1026" s="79" t="s">
        <v>978</v>
      </c>
      <c r="H1026" s="82" t="s">
        <v>1957</v>
      </c>
      <c r="I1026" s="79">
        <v>153.6</v>
      </c>
      <c r="J1026" s="79" t="s">
        <v>1841</v>
      </c>
      <c r="K1026" s="80" t="s">
        <v>469</v>
      </c>
      <c r="L1026" s="79">
        <f>VLOOKUP(H1026,Table2[#All],3,FALSE)</f>
        <v>288</v>
      </c>
      <c r="M1026" s="80">
        <f>L1026-1</f>
        <v>287</v>
      </c>
      <c r="N1026" s="81">
        <f t="shared" si="277"/>
        <v>-1</v>
      </c>
      <c r="P1026" s="82">
        <f>R1026-TIME(0,24,0)</f>
        <v>45773.679861111108</v>
      </c>
      <c r="Q1026" s="82">
        <v>45772.154861111114</v>
      </c>
      <c r="R1026" s="82">
        <v>45773.696527777778</v>
      </c>
      <c r="S1026" s="81">
        <f t="shared" si="278"/>
        <v>2209.7222222187461</v>
      </c>
      <c r="T1026" s="81">
        <f t="shared" si="290"/>
        <v>23.888888893755695</v>
      </c>
      <c r="U1026" s="79"/>
      <c r="V1026" s="82">
        <v>45773.902083333334</v>
      </c>
      <c r="W1026" s="82">
        <v>45774.530555555553</v>
      </c>
      <c r="X1026" s="103">
        <f t="shared" si="291"/>
        <v>886.14583332877373</v>
      </c>
      <c r="Y1026" s="82" t="s">
        <v>1044</v>
      </c>
      <c r="Z1026" s="82">
        <v>45775.456944444442</v>
      </c>
      <c r="AA1026" s="82">
        <f>Z1026+TIME(0,41,0)</f>
        <v>45775.485416666663</v>
      </c>
      <c r="AB1026" s="81">
        <f t="shared" si="292"/>
        <v>40.145833330825553</v>
      </c>
      <c r="AC1026" s="82"/>
      <c r="AD1026" s="83">
        <f t="shared" si="279"/>
        <v>1.7604166666642413</v>
      </c>
      <c r="AE1026" s="83">
        <f>VLOOKUP(H1026,'LIST 2'!$A$1:$E$27,4,FALSE)</f>
        <v>2</v>
      </c>
      <c r="AF1026" s="83">
        <f t="shared" si="280"/>
        <v>0.23958333333575865</v>
      </c>
      <c r="AG1026" s="83">
        <f t="shared" si="281"/>
        <v>42.249999999941792</v>
      </c>
      <c r="AH1026" s="83">
        <f t="shared" si="282"/>
        <v>12</v>
      </c>
      <c r="AI1026" s="83">
        <f t="shared" si="283"/>
        <v>30.249999999941792</v>
      </c>
      <c r="AJ1026" s="83">
        <f t="shared" si="293"/>
        <v>5.0776859504229934</v>
      </c>
      <c r="AK1026" s="83"/>
      <c r="AL1026" s="83"/>
      <c r="AM1026" s="83"/>
      <c r="AN1026" s="83"/>
      <c r="AP1026" s="80"/>
    </row>
    <row r="1027" spans="1:42" ht="15" hidden="1" x14ac:dyDescent="0.25">
      <c r="A1027" s="82">
        <v>45772</v>
      </c>
      <c r="B1027" s="94" t="str">
        <f t="shared" si="286"/>
        <v>April</v>
      </c>
      <c r="C1027" s="79" t="s">
        <v>2161</v>
      </c>
      <c r="D1027" s="79" t="s">
        <v>1842</v>
      </c>
      <c r="E1027" s="79"/>
      <c r="F1027" s="79" t="s">
        <v>965</v>
      </c>
      <c r="G1027" s="79" t="s">
        <v>980</v>
      </c>
      <c r="H1027" s="82" t="s">
        <v>2022</v>
      </c>
      <c r="I1027" s="79">
        <v>153.6</v>
      </c>
      <c r="J1027" s="79" t="s">
        <v>1842</v>
      </c>
      <c r="K1027" s="80" t="s">
        <v>469</v>
      </c>
      <c r="L1027" s="79">
        <f>VLOOKUP(H1027,Table2[#All],3,FALSE)</f>
        <v>150</v>
      </c>
      <c r="M1027" s="80">
        <f t="shared" si="287"/>
        <v>148</v>
      </c>
      <c r="N1027" s="81">
        <f t="shared" si="277"/>
        <v>-2</v>
      </c>
      <c r="P1027" s="82">
        <f t="shared" ref="P1027:P1028" si="294">R1027-TIME(0,39,0)</f>
        <v>45773.579166666663</v>
      </c>
      <c r="Q1027" s="82">
        <v>45772.260416666664</v>
      </c>
      <c r="R1027" s="82">
        <v>45773.606249999997</v>
      </c>
      <c r="S1027" s="81">
        <f t="shared" si="278"/>
        <v>1929.0277777770825</v>
      </c>
      <c r="T1027" s="81">
        <f t="shared" si="290"/>
        <v>38.819444445834961</v>
      </c>
      <c r="U1027" s="79" t="s">
        <v>2164</v>
      </c>
      <c r="V1027" s="82">
        <v>45773.859722222223</v>
      </c>
      <c r="W1027" s="82">
        <v>45774.513194444444</v>
      </c>
      <c r="X1027" s="103">
        <f t="shared" si="291"/>
        <v>921.39583333082555</v>
      </c>
      <c r="Y1027" s="82" t="s">
        <v>1044</v>
      </c>
      <c r="Z1027" s="82">
        <v>45774.661805555559</v>
      </c>
      <c r="AA1027" s="82">
        <f>Z1027+TIME(0,52,0)</f>
        <v>45774.697916666672</v>
      </c>
      <c r="AB1027" s="81">
        <f t="shared" si="292"/>
        <v>50.916666668490507</v>
      </c>
      <c r="AC1027" s="82" t="s">
        <v>1677</v>
      </c>
      <c r="AD1027" s="83">
        <f t="shared" si="279"/>
        <v>1.0555555555620231</v>
      </c>
      <c r="AE1027" s="83">
        <f>VLOOKUP(H1027,'LIST 2'!$A$1:$E$27,4,FALSE)</f>
        <v>1</v>
      </c>
      <c r="AF1027" s="83">
        <f t="shared" si="280"/>
        <v>-5.5555555562023073E-2</v>
      </c>
      <c r="AG1027" s="83">
        <f t="shared" si="281"/>
        <v>25.333333333488554</v>
      </c>
      <c r="AH1027" s="83">
        <f t="shared" si="282"/>
        <v>12</v>
      </c>
      <c r="AI1027" s="83">
        <f t="shared" si="283"/>
        <v>13.333333333488554</v>
      </c>
      <c r="AJ1027" s="83">
        <f t="shared" si="293"/>
        <v>11.51999999986589</v>
      </c>
      <c r="AK1027" s="83"/>
      <c r="AL1027" s="83"/>
      <c r="AM1027" s="83"/>
      <c r="AN1027" s="83"/>
    </row>
    <row r="1028" spans="1:42" ht="15" hidden="1" x14ac:dyDescent="0.25">
      <c r="A1028" s="82">
        <v>45772</v>
      </c>
      <c r="B1028" s="94" t="str">
        <f t="shared" si="286"/>
        <v>April</v>
      </c>
      <c r="C1028" s="79" t="s">
        <v>2161</v>
      </c>
      <c r="D1028" s="79" t="s">
        <v>1843</v>
      </c>
      <c r="E1028" s="79"/>
      <c r="F1028" s="79" t="s">
        <v>952</v>
      </c>
      <c r="G1028" s="79" t="s">
        <v>969</v>
      </c>
      <c r="H1028" s="82" t="s">
        <v>1956</v>
      </c>
      <c r="I1028" s="79">
        <v>153.6</v>
      </c>
      <c r="J1028" s="79" t="s">
        <v>1843</v>
      </c>
      <c r="K1028" s="80" t="s">
        <v>469</v>
      </c>
      <c r="L1028" s="79">
        <f>VLOOKUP(H1028,Table2[#All],3,FALSE)</f>
        <v>596</v>
      </c>
      <c r="M1028" s="80">
        <f t="shared" si="287"/>
        <v>594</v>
      </c>
      <c r="N1028" s="81">
        <f t="shared" si="277"/>
        <v>-2</v>
      </c>
      <c r="P1028" s="82">
        <f t="shared" si="294"/>
        <v>45772.609722222223</v>
      </c>
      <c r="Q1028" s="82">
        <v>45772.176388888889</v>
      </c>
      <c r="R1028" s="82">
        <v>45772.636805555558</v>
      </c>
      <c r="S1028" s="81">
        <f t="shared" si="278"/>
        <v>659.93055555833655</v>
      </c>
      <c r="T1028" s="81">
        <f t="shared" si="290"/>
        <v>38.819444445834961</v>
      </c>
      <c r="U1028" s="79" t="s">
        <v>2165</v>
      </c>
      <c r="V1028" s="82">
        <v>45773.328472222223</v>
      </c>
      <c r="W1028" s="82">
        <v>45773.55</v>
      </c>
      <c r="X1028" s="103">
        <f t="shared" si="291"/>
        <v>312.35416666917445</v>
      </c>
      <c r="Y1028" s="82" t="s">
        <v>1046</v>
      </c>
      <c r="Z1028" s="82">
        <v>45774.407638888886</v>
      </c>
      <c r="AA1028" s="82">
        <f>Z1028+TIME(0,51,0)</f>
        <v>45774.443055555552</v>
      </c>
      <c r="AB1028" s="81">
        <f t="shared" si="292"/>
        <v>49.93749999863212</v>
      </c>
      <c r="AC1028" s="82" t="s">
        <v>1678</v>
      </c>
      <c r="AD1028" s="83">
        <f t="shared" si="279"/>
        <v>1.7708333333284827</v>
      </c>
      <c r="AE1028" s="83">
        <f>VLOOKUP(H1028,'LIST 2'!$A$1:$E$27,4,FALSE)</f>
        <v>2</v>
      </c>
      <c r="AF1028" s="83">
        <f t="shared" si="280"/>
        <v>0.22916666667151731</v>
      </c>
      <c r="AG1028" s="83">
        <f t="shared" si="281"/>
        <v>42.499999999883585</v>
      </c>
      <c r="AH1028" s="83">
        <f t="shared" si="282"/>
        <v>12</v>
      </c>
      <c r="AI1028" s="83">
        <f t="shared" si="283"/>
        <v>30.499999999883585</v>
      </c>
      <c r="AJ1028" s="83">
        <f t="shared" si="293"/>
        <v>5.0360655737897133</v>
      </c>
      <c r="AK1028" s="83"/>
      <c r="AL1028" s="83"/>
      <c r="AM1028" s="83"/>
      <c r="AN1028" s="83"/>
    </row>
    <row r="1029" spans="1:42" ht="15" hidden="1" x14ac:dyDescent="0.25">
      <c r="A1029" s="82">
        <v>45772</v>
      </c>
      <c r="B1029" s="94" t="str">
        <f t="shared" si="286"/>
        <v>April</v>
      </c>
      <c r="C1029" s="79" t="s">
        <v>2161</v>
      </c>
      <c r="D1029" s="79" t="s">
        <v>1844</v>
      </c>
      <c r="E1029" s="79"/>
      <c r="F1029" s="79" t="s">
        <v>953</v>
      </c>
      <c r="G1029" s="79" t="s">
        <v>970</v>
      </c>
      <c r="H1029" s="82" t="s">
        <v>1989</v>
      </c>
      <c r="I1029" s="79">
        <v>153.6</v>
      </c>
      <c r="J1029" s="79" t="s">
        <v>1844</v>
      </c>
      <c r="K1029" s="80" t="s">
        <v>469</v>
      </c>
      <c r="L1029" s="79">
        <f>VLOOKUP(H1029,Table2[#All],3,FALSE)</f>
        <v>20</v>
      </c>
      <c r="M1029" s="80">
        <f t="shared" si="287"/>
        <v>18</v>
      </c>
      <c r="N1029" s="81">
        <f t="shared" si="277"/>
        <v>-2</v>
      </c>
      <c r="P1029" s="82">
        <f>R1029-TIME(0,24,0)</f>
        <v>45771.705555555549</v>
      </c>
      <c r="Q1029" s="82">
        <v>45771.583333333336</v>
      </c>
      <c r="R1029" s="82">
        <v>45771.722222222219</v>
      </c>
      <c r="S1029" s="81">
        <f t="shared" si="278"/>
        <v>199.07407406596272</v>
      </c>
      <c r="T1029" s="81">
        <f t="shared" si="290"/>
        <v>23.888888893755695</v>
      </c>
      <c r="U1029" s="79"/>
      <c r="V1029" s="82">
        <v>45772.421527777777</v>
      </c>
      <c r="W1029" s="82">
        <v>45772.561805555553</v>
      </c>
      <c r="X1029" s="103">
        <f t="shared" si="291"/>
        <v>197.79166666507081</v>
      </c>
      <c r="Y1029" s="82" t="s">
        <v>1049</v>
      </c>
      <c r="Z1029" s="82">
        <v>45772.770833333336</v>
      </c>
      <c r="AA1029" s="82">
        <f>Z1029+TIME(0,38,0)</f>
        <v>45772.797222222223</v>
      </c>
      <c r="AB1029" s="81">
        <f t="shared" si="292"/>
        <v>37.208333331509493</v>
      </c>
      <c r="AC1029" s="82"/>
      <c r="AD1029" s="83">
        <f t="shared" si="279"/>
        <v>1.0486111111167702</v>
      </c>
      <c r="AE1029" s="83">
        <f>VLOOKUP(H1029,'LIST 2'!$A$1:$E$27,4,FALSE)</f>
        <v>1</v>
      </c>
      <c r="AF1029" s="83">
        <f t="shared" si="280"/>
        <v>-4.8611111116770189E-2</v>
      </c>
      <c r="AG1029" s="83">
        <f t="shared" si="281"/>
        <v>25.166666666802485</v>
      </c>
      <c r="AH1029" s="83">
        <f t="shared" si="282"/>
        <v>12</v>
      </c>
      <c r="AI1029" s="83">
        <f t="shared" si="283"/>
        <v>13.166666666802485</v>
      </c>
      <c r="AJ1029" s="83">
        <f t="shared" si="293"/>
        <v>11.665822784689789</v>
      </c>
      <c r="AK1029" s="83"/>
      <c r="AL1029" s="83"/>
      <c r="AM1029" s="83"/>
      <c r="AN1029" s="83"/>
    </row>
    <row r="1030" spans="1:42" ht="15" hidden="1" x14ac:dyDescent="0.25">
      <c r="A1030" s="82">
        <v>45772</v>
      </c>
      <c r="B1030" s="94" t="str">
        <f t="shared" si="286"/>
        <v>April</v>
      </c>
      <c r="C1030" s="79" t="s">
        <v>2162</v>
      </c>
      <c r="D1030" s="79" t="s">
        <v>1845</v>
      </c>
      <c r="E1030" s="79" t="s">
        <v>1016</v>
      </c>
      <c r="F1030" s="79" t="s">
        <v>1691</v>
      </c>
      <c r="G1030" s="79" t="s">
        <v>55</v>
      </c>
      <c r="H1030" s="82" t="s">
        <v>2183</v>
      </c>
      <c r="I1030" s="79">
        <v>156</v>
      </c>
      <c r="J1030" s="79" t="s">
        <v>1845</v>
      </c>
      <c r="K1030" s="80" t="s">
        <v>469</v>
      </c>
      <c r="L1030" s="79">
        <f>VLOOKUP(H1030,Table2[#All],3,FALSE)</f>
        <v>690</v>
      </c>
      <c r="M1030" s="80">
        <f t="shared" si="287"/>
        <v>688</v>
      </c>
      <c r="N1030" s="81">
        <f t="shared" si="277"/>
        <v>-2</v>
      </c>
      <c r="P1030" s="82">
        <f>R1030-TIME(0,54,0)</f>
        <v>45771.771527777782</v>
      </c>
      <c r="Q1030" s="82">
        <v>45771.815972222219</v>
      </c>
      <c r="R1030" s="82">
        <v>45771.809027777781</v>
      </c>
      <c r="S1030" s="81">
        <f t="shared" si="278"/>
        <v>-9.9537036944335942</v>
      </c>
      <c r="T1030" s="81">
        <f t="shared" si="290"/>
        <v>53.749999997914223</v>
      </c>
      <c r="U1030" s="79" t="s">
        <v>1671</v>
      </c>
      <c r="V1030" s="82">
        <v>45773.712500000001</v>
      </c>
      <c r="W1030" s="82">
        <v>45773.801388888889</v>
      </c>
      <c r="X1030" s="103">
        <f t="shared" si="291"/>
        <v>125.33333333150949</v>
      </c>
      <c r="Y1030" s="82"/>
      <c r="Z1030" s="82">
        <v>45775.808333333334</v>
      </c>
      <c r="AA1030" s="82">
        <f>Z1030+TIME(0,50,0)</f>
        <v>45775.843055555553</v>
      </c>
      <c r="AB1030" s="81">
        <f t="shared" si="292"/>
        <v>48.958333328773733</v>
      </c>
      <c r="AC1030" s="82" t="s">
        <v>2168</v>
      </c>
      <c r="AD1030" s="83">
        <f t="shared" si="279"/>
        <v>3.9993055555532919</v>
      </c>
      <c r="AE1030" s="83">
        <f>VLOOKUP(H1030,'LIST 2'!$A$1:$E$27,4,FALSE)</f>
        <v>3</v>
      </c>
      <c r="AF1030" s="83">
        <f t="shared" si="280"/>
        <v>-0.99930555555329192</v>
      </c>
      <c r="AG1030" s="83">
        <f t="shared" si="281"/>
        <v>95.983333333279006</v>
      </c>
      <c r="AH1030" s="83">
        <f t="shared" si="282"/>
        <v>36</v>
      </c>
      <c r="AI1030" s="83">
        <f t="shared" si="283"/>
        <v>59.983333333279006</v>
      </c>
      <c r="AJ1030" s="83">
        <f t="shared" si="293"/>
        <v>2.6007224228976042</v>
      </c>
      <c r="AK1030" s="83"/>
      <c r="AL1030" s="83"/>
      <c r="AM1030" s="83"/>
      <c r="AN1030" s="83"/>
    </row>
    <row r="1031" spans="1:42" ht="15" hidden="1" x14ac:dyDescent="0.25">
      <c r="A1031" s="82">
        <v>45772</v>
      </c>
      <c r="B1031" s="94" t="str">
        <f t="shared" si="286"/>
        <v>April</v>
      </c>
      <c r="C1031" s="79" t="s">
        <v>2162</v>
      </c>
      <c r="D1031" s="79" t="s">
        <v>1846</v>
      </c>
      <c r="E1031" s="79" t="s">
        <v>1016</v>
      </c>
      <c r="F1031" s="79" t="s">
        <v>960</v>
      </c>
      <c r="G1031" s="79" t="s">
        <v>62</v>
      </c>
      <c r="H1031" s="82" t="s">
        <v>2187</v>
      </c>
      <c r="I1031" s="79">
        <v>156</v>
      </c>
      <c r="J1031" s="79" t="s">
        <v>1846</v>
      </c>
      <c r="K1031" s="80" t="s">
        <v>469</v>
      </c>
      <c r="L1031" s="79">
        <f>VLOOKUP(H1031,Table2[#All],3,FALSE)</f>
        <v>670</v>
      </c>
      <c r="M1031" s="80">
        <f>L1031-1</f>
        <v>669</v>
      </c>
      <c r="N1031" s="81">
        <f t="shared" si="277"/>
        <v>-1</v>
      </c>
      <c r="P1031" s="82">
        <f>R1031-TIME(0,24,0)</f>
        <v>45771.870138888888</v>
      </c>
      <c r="Q1031" s="82">
        <v>45771.916666666664</v>
      </c>
      <c r="R1031" s="82">
        <v>45771.886805555558</v>
      </c>
      <c r="S1031" s="81">
        <f t="shared" si="278"/>
        <v>-42.80092591943685</v>
      </c>
      <c r="T1031" s="81">
        <f t="shared" si="290"/>
        <v>23.888888893755695</v>
      </c>
      <c r="U1031" s="79"/>
      <c r="V1031" s="82">
        <v>45772.856944444444</v>
      </c>
      <c r="W1031" s="82">
        <v>45773.548611111109</v>
      </c>
      <c r="X1031" s="103">
        <f t="shared" si="291"/>
        <v>975.24999999863212</v>
      </c>
      <c r="Y1031" s="82" t="s">
        <v>1049</v>
      </c>
      <c r="Z1031" s="82">
        <v>45774.293749999997</v>
      </c>
      <c r="AA1031" s="82">
        <f>Z1031+TIME(0,41,0)</f>
        <v>45774.322222222218</v>
      </c>
      <c r="AB1031" s="81">
        <f t="shared" si="292"/>
        <v>40.145833330825553</v>
      </c>
      <c r="AC1031" s="82"/>
      <c r="AD1031" s="83">
        <f t="shared" si="279"/>
        <v>2.4069444444394321</v>
      </c>
      <c r="AE1031" s="83">
        <f>VLOOKUP(H1031,'LIST 2'!$A$1:$E$27,4,FALSE)</f>
        <v>2</v>
      </c>
      <c r="AF1031" s="83">
        <f t="shared" si="280"/>
        <v>-0.40694444443943212</v>
      </c>
      <c r="AG1031" s="83">
        <f t="shared" si="281"/>
        <v>57.766666666546371</v>
      </c>
      <c r="AH1031" s="83">
        <f t="shared" si="282"/>
        <v>24</v>
      </c>
      <c r="AI1031" s="83">
        <f t="shared" si="283"/>
        <v>33.766666666546371</v>
      </c>
      <c r="AJ1031" s="83">
        <f t="shared" si="293"/>
        <v>4.6199407700065871</v>
      </c>
      <c r="AK1031" s="83"/>
      <c r="AL1031" s="83"/>
      <c r="AM1031" s="83"/>
      <c r="AN1031" s="83"/>
    </row>
    <row r="1032" spans="1:42" ht="15" hidden="1" x14ac:dyDescent="0.25">
      <c r="A1032" s="82">
        <v>45772</v>
      </c>
      <c r="B1032" s="94" t="str">
        <f t="shared" si="286"/>
        <v>April</v>
      </c>
      <c r="C1032" s="79" t="s">
        <v>2162</v>
      </c>
      <c r="D1032" s="79" t="s">
        <v>1847</v>
      </c>
      <c r="E1032" s="79" t="s">
        <v>1016</v>
      </c>
      <c r="F1032" s="79" t="s">
        <v>961</v>
      </c>
      <c r="G1032" s="79" t="s">
        <v>977</v>
      </c>
      <c r="H1032" s="82" t="s">
        <v>2180</v>
      </c>
      <c r="I1032" s="79">
        <v>156</v>
      </c>
      <c r="J1032" s="79" t="s">
        <v>1847</v>
      </c>
      <c r="K1032" s="80" t="s">
        <v>469</v>
      </c>
      <c r="L1032" s="79">
        <f>VLOOKUP(H1032,Table2[#All],3,FALSE)</f>
        <v>256</v>
      </c>
      <c r="M1032" s="80">
        <f t="shared" si="287"/>
        <v>254</v>
      </c>
      <c r="N1032" s="81">
        <f t="shared" si="277"/>
        <v>-2</v>
      </c>
      <c r="P1032" s="82">
        <f>R1032-TIME(0,23,0)</f>
        <v>45771.876388888886</v>
      </c>
      <c r="Q1032" s="82">
        <v>45772.169444444444</v>
      </c>
      <c r="R1032" s="82">
        <v>45771.892361111109</v>
      </c>
      <c r="S1032" s="81">
        <f t="shared" si="278"/>
        <v>-397.15277777916828</v>
      </c>
      <c r="T1032" s="81">
        <f t="shared" si="290"/>
        <v>22.893518520140788</v>
      </c>
      <c r="U1032" s="79"/>
      <c r="V1032" s="82">
        <v>45772.510416666664</v>
      </c>
      <c r="W1032" s="82">
        <v>45772.775000000001</v>
      </c>
      <c r="X1032" s="103">
        <f t="shared" si="291"/>
        <v>373.06250000547152</v>
      </c>
      <c r="Y1032" s="82" t="s">
        <v>1044</v>
      </c>
      <c r="Z1032" s="82">
        <v>45773.331944444442</v>
      </c>
      <c r="AA1032" s="82">
        <f>Z1032+TIME(0,44,0)</f>
        <v>45773.362499999996</v>
      </c>
      <c r="AB1032" s="81">
        <f t="shared" si="292"/>
        <v>43.083333330141613</v>
      </c>
      <c r="AC1032" s="82"/>
      <c r="AD1032" s="83">
        <f t="shared" si="279"/>
        <v>1.4395833333328483</v>
      </c>
      <c r="AE1032" s="83">
        <f>VLOOKUP(H1032,'LIST 2'!$A$1:$E$27,4,FALSE)</f>
        <v>2</v>
      </c>
      <c r="AF1032" s="83">
        <f t="shared" si="280"/>
        <v>0.56041666666715173</v>
      </c>
      <c r="AG1032" s="83">
        <f t="shared" si="281"/>
        <v>34.549999999988358</v>
      </c>
      <c r="AH1032" s="83">
        <f t="shared" si="282"/>
        <v>12</v>
      </c>
      <c r="AI1032" s="83">
        <f t="shared" si="283"/>
        <v>22.549999999988358</v>
      </c>
      <c r="AJ1032" s="83">
        <f t="shared" si="293"/>
        <v>6.9179600886953674</v>
      </c>
      <c r="AK1032" s="83"/>
      <c r="AL1032" s="83"/>
      <c r="AM1032" s="83"/>
      <c r="AN1032" s="83"/>
    </row>
    <row r="1033" spans="1:42" ht="15" hidden="1" x14ac:dyDescent="0.25">
      <c r="A1033" s="82">
        <v>45773</v>
      </c>
      <c r="B1033" s="94" t="str">
        <f t="shared" si="286"/>
        <v>April</v>
      </c>
      <c r="C1033" s="79" t="s">
        <v>2161</v>
      </c>
      <c r="D1033" s="79" t="s">
        <v>1848</v>
      </c>
      <c r="E1033" s="79"/>
      <c r="F1033" s="79" t="s">
        <v>956</v>
      </c>
      <c r="G1033" s="79" t="s">
        <v>973</v>
      </c>
      <c r="H1033" s="82" t="s">
        <v>1959</v>
      </c>
      <c r="I1033" s="79">
        <v>156</v>
      </c>
      <c r="J1033" s="79" t="s">
        <v>1848</v>
      </c>
      <c r="K1033" s="80" t="s">
        <v>469</v>
      </c>
      <c r="L1033" s="79">
        <f>VLOOKUP(H1033,Table2[#All],3,FALSE)</f>
        <v>304</v>
      </c>
      <c r="M1033" s="80">
        <f t="shared" si="287"/>
        <v>302</v>
      </c>
      <c r="N1033" s="81">
        <f t="shared" si="277"/>
        <v>-2</v>
      </c>
      <c r="P1033" s="82">
        <f>R1033-TIME(0,54,0)</f>
        <v>45773.669444444444</v>
      </c>
      <c r="Q1033" s="82">
        <v>45773.098611111112</v>
      </c>
      <c r="R1033" s="82">
        <v>45773.706944444442</v>
      </c>
      <c r="S1033" s="81">
        <f t="shared" si="278"/>
        <v>871.94444443957764</v>
      </c>
      <c r="T1033" s="81">
        <f t="shared" si="290"/>
        <v>53.749999997914223</v>
      </c>
      <c r="U1033" s="79" t="s">
        <v>2164</v>
      </c>
      <c r="V1033" s="82">
        <v>45774.456944444442</v>
      </c>
      <c r="W1033" s="82">
        <v>45774.57916666667</v>
      </c>
      <c r="X1033" s="103">
        <f t="shared" si="291"/>
        <v>172.33333334108465</v>
      </c>
      <c r="Y1033" s="82"/>
      <c r="Z1033" s="82">
        <v>45775.544444444444</v>
      </c>
      <c r="AA1033" s="82">
        <f>Z1033+TIME(0,42,0)</f>
        <v>45775.573611111111</v>
      </c>
      <c r="AB1033" s="81">
        <f t="shared" si="292"/>
        <v>41.12500000068394</v>
      </c>
      <c r="AC1033" s="82"/>
      <c r="AD1033" s="83">
        <f t="shared" si="279"/>
        <v>1.8375000000014552</v>
      </c>
      <c r="AE1033" s="83">
        <f>VLOOKUP(H1033,'LIST 2'!$A$1:$E$27,4,FALSE)</f>
        <v>2</v>
      </c>
      <c r="AF1033" s="83">
        <f t="shared" si="280"/>
        <v>0.16249999999854481</v>
      </c>
      <c r="AG1033" s="83">
        <f t="shared" si="281"/>
        <v>44.100000000034925</v>
      </c>
      <c r="AH1033" s="83">
        <f t="shared" si="282"/>
        <v>12</v>
      </c>
      <c r="AI1033" s="83">
        <f t="shared" si="283"/>
        <v>32.100000000034925</v>
      </c>
      <c r="AJ1033" s="83">
        <f t="shared" si="293"/>
        <v>4.8598130841068619</v>
      </c>
      <c r="AK1033" s="83"/>
      <c r="AL1033" s="83"/>
      <c r="AM1033" s="83"/>
      <c r="AN1033" s="83"/>
    </row>
    <row r="1034" spans="1:42" ht="15" hidden="1" x14ac:dyDescent="0.25">
      <c r="A1034" s="82">
        <v>45773</v>
      </c>
      <c r="B1034" s="94" t="str">
        <f t="shared" si="286"/>
        <v>April</v>
      </c>
      <c r="C1034" s="79" t="s">
        <v>2161</v>
      </c>
      <c r="D1034" s="79" t="s">
        <v>1849</v>
      </c>
      <c r="E1034" s="79"/>
      <c r="F1034" s="79" t="s">
        <v>959</v>
      </c>
      <c r="G1034" s="79" t="s">
        <v>976</v>
      </c>
      <c r="H1034" s="82" t="s">
        <v>1956</v>
      </c>
      <c r="I1034" s="79">
        <v>153.6</v>
      </c>
      <c r="J1034" s="79" t="s">
        <v>1849</v>
      </c>
      <c r="K1034" s="80" t="s">
        <v>469</v>
      </c>
      <c r="L1034" s="79">
        <f>VLOOKUP(H1034,Table2[#All],3,FALSE)</f>
        <v>596</v>
      </c>
      <c r="M1034" s="80">
        <f>L1034-1</f>
        <v>595</v>
      </c>
      <c r="N1034" s="81">
        <f t="shared" si="277"/>
        <v>-1</v>
      </c>
      <c r="P1034" s="82">
        <f>R1034-TIME(0,24,0)</f>
        <v>45773.57430555555</v>
      </c>
      <c r="Q1034" s="82">
        <v>45773.176388888889</v>
      </c>
      <c r="R1034" s="82">
        <v>45773.59097222222</v>
      </c>
      <c r="S1034" s="81">
        <f t="shared" si="278"/>
        <v>594.23611110833008</v>
      </c>
      <c r="T1034" s="81">
        <f t="shared" si="290"/>
        <v>23.888888893755695</v>
      </c>
      <c r="U1034" s="79"/>
      <c r="V1034" s="82">
        <v>45773.76458333333</v>
      </c>
      <c r="W1034" s="82">
        <v>45774.513194444444</v>
      </c>
      <c r="X1034" s="103">
        <f t="shared" si="291"/>
        <v>1055.5416666705423</v>
      </c>
      <c r="Y1034" s="82" t="s">
        <v>1049</v>
      </c>
      <c r="Z1034" s="82">
        <v>45774.711111111108</v>
      </c>
      <c r="AA1034" s="82">
        <f>Z1034+TIME(0,44,0)</f>
        <v>45774.741666666661</v>
      </c>
      <c r="AB1034" s="81">
        <f t="shared" si="292"/>
        <v>43.083333330141613</v>
      </c>
      <c r="AC1034" s="82"/>
      <c r="AD1034" s="83">
        <f t="shared" si="279"/>
        <v>1.1201388888875954</v>
      </c>
      <c r="AE1034" s="83">
        <f>VLOOKUP(H1034,'LIST 2'!$A$1:$E$27,4,FALSE)</f>
        <v>2</v>
      </c>
      <c r="AF1034" s="83">
        <f t="shared" si="280"/>
        <v>0.87986111111240461</v>
      </c>
      <c r="AG1034" s="83">
        <f t="shared" si="281"/>
        <v>26.883333333302289</v>
      </c>
      <c r="AH1034" s="83">
        <f t="shared" si="282"/>
        <v>12</v>
      </c>
      <c r="AI1034" s="83">
        <f t="shared" si="283"/>
        <v>14.883333333302289</v>
      </c>
      <c r="AJ1034" s="83">
        <f t="shared" si="293"/>
        <v>10.320268757020406</v>
      </c>
      <c r="AK1034" s="83"/>
      <c r="AL1034" s="83"/>
      <c r="AM1034" s="83"/>
      <c r="AN1034" s="83"/>
    </row>
    <row r="1035" spans="1:42" ht="15" hidden="1" x14ac:dyDescent="0.25">
      <c r="A1035" s="82">
        <v>45773</v>
      </c>
      <c r="B1035" s="94" t="str">
        <f t="shared" si="286"/>
        <v>April</v>
      </c>
      <c r="C1035" s="79" t="s">
        <v>2161</v>
      </c>
      <c r="D1035" s="79" t="s">
        <v>1850</v>
      </c>
      <c r="E1035" s="79"/>
      <c r="F1035" s="79" t="s">
        <v>966</v>
      </c>
      <c r="G1035" s="79" t="s">
        <v>981</v>
      </c>
      <c r="H1035" s="82" t="s">
        <v>1989</v>
      </c>
      <c r="I1035" s="79">
        <v>153.6</v>
      </c>
      <c r="J1035" s="79" t="s">
        <v>1850</v>
      </c>
      <c r="K1035" s="80" t="s">
        <v>469</v>
      </c>
      <c r="L1035" s="79">
        <f>VLOOKUP(H1035,Table2[#All],3,FALSE)</f>
        <v>20</v>
      </c>
      <c r="M1035" s="80">
        <f t="shared" si="287"/>
        <v>18</v>
      </c>
      <c r="N1035" s="81">
        <f t="shared" si="277"/>
        <v>-2</v>
      </c>
      <c r="P1035" s="82">
        <f>R1035-TIME(0,23,0)</f>
        <v>45773.797222222223</v>
      </c>
      <c r="Q1035" s="82">
        <v>45773.416666666664</v>
      </c>
      <c r="R1035" s="82">
        <v>45773.813194444447</v>
      </c>
      <c r="S1035" s="81">
        <f t="shared" si="278"/>
        <v>568.35648148820235</v>
      </c>
      <c r="T1035" s="81">
        <f t="shared" si="290"/>
        <v>22.893518520140788</v>
      </c>
      <c r="U1035" s="79"/>
      <c r="V1035" s="82">
        <v>45773.844444444447</v>
      </c>
      <c r="W1035" s="82">
        <v>45774.865972222222</v>
      </c>
      <c r="X1035" s="103">
        <f t="shared" si="291"/>
        <v>1440.354166663019</v>
      </c>
      <c r="Y1035" s="82" t="s">
        <v>1050</v>
      </c>
      <c r="Z1035" s="82">
        <v>45775.512499999997</v>
      </c>
      <c r="AA1035" s="82">
        <f>Z1035+TIME(0,44,0)</f>
        <v>45775.54305555555</v>
      </c>
      <c r="AB1035" s="81">
        <f t="shared" si="292"/>
        <v>43.083333330141613</v>
      </c>
      <c r="AC1035" s="82"/>
      <c r="AD1035" s="83">
        <f t="shared" si="279"/>
        <v>1.6993055555503815</v>
      </c>
      <c r="AE1035" s="83">
        <f>VLOOKUP(H1035,'LIST 2'!$A$1:$E$27,4,FALSE)</f>
        <v>1</v>
      </c>
      <c r="AF1035" s="83">
        <f t="shared" si="280"/>
        <v>-0.69930555555038154</v>
      </c>
      <c r="AG1035" s="83">
        <f t="shared" si="281"/>
        <v>40.783333333209157</v>
      </c>
      <c r="AH1035" s="83">
        <f t="shared" si="282"/>
        <v>12</v>
      </c>
      <c r="AI1035" s="83">
        <f t="shared" si="283"/>
        <v>28.783333333209157</v>
      </c>
      <c r="AJ1035" s="83">
        <f t="shared" si="293"/>
        <v>5.3364215402662181</v>
      </c>
      <c r="AK1035" s="83"/>
      <c r="AL1035" s="83"/>
      <c r="AM1035" s="83"/>
      <c r="AN1035" s="83"/>
    </row>
    <row r="1036" spans="1:42" ht="15" hidden="1" x14ac:dyDescent="0.25">
      <c r="A1036" s="82">
        <v>45773</v>
      </c>
      <c r="B1036" s="94" t="str">
        <f t="shared" si="286"/>
        <v>April</v>
      </c>
      <c r="C1036" s="79" t="s">
        <v>2162</v>
      </c>
      <c r="D1036" s="79" t="s">
        <v>1851</v>
      </c>
      <c r="E1036" s="79" t="s">
        <v>1016</v>
      </c>
      <c r="F1036" s="79" t="s">
        <v>963</v>
      </c>
      <c r="G1036" s="79" t="s">
        <v>60</v>
      </c>
      <c r="H1036" s="82" t="s">
        <v>2182</v>
      </c>
      <c r="I1036" s="79">
        <v>156</v>
      </c>
      <c r="J1036" s="79" t="s">
        <v>1851</v>
      </c>
      <c r="K1036" s="80" t="s">
        <v>469</v>
      </c>
      <c r="L1036" s="79">
        <f>VLOOKUP(H1036,Table2[#All],3,FALSE)</f>
        <v>790</v>
      </c>
      <c r="M1036" s="80">
        <f t="shared" si="287"/>
        <v>788</v>
      </c>
      <c r="N1036" s="81">
        <f t="shared" si="277"/>
        <v>-2</v>
      </c>
      <c r="P1036" s="82">
        <f>R1036-TIME(0,24,0)</f>
        <v>45772.582638888889</v>
      </c>
      <c r="Q1036" s="82">
        <v>45772.754166666666</v>
      </c>
      <c r="R1036" s="82">
        <v>45772.599305555559</v>
      </c>
      <c r="S1036" s="81">
        <f t="shared" si="278"/>
        <v>-221.96759258610351</v>
      </c>
      <c r="T1036" s="81">
        <f t="shared" si="290"/>
        <v>23.888888893755695</v>
      </c>
      <c r="U1036" s="79"/>
      <c r="V1036" s="82">
        <v>45773.364583333336</v>
      </c>
      <c r="W1036" s="82">
        <v>45773.571527777778</v>
      </c>
      <c r="X1036" s="103">
        <f t="shared" si="291"/>
        <v>291.79166666370293</v>
      </c>
      <c r="Y1036" s="82" t="s">
        <v>1044</v>
      </c>
      <c r="Z1036" s="82">
        <v>45774.343055555553</v>
      </c>
      <c r="AA1036" s="82">
        <f>Z1036+TIME(0,44,0)</f>
        <v>45774.373611111107</v>
      </c>
      <c r="AB1036" s="81">
        <f t="shared" si="292"/>
        <v>43.083333330141613</v>
      </c>
      <c r="AC1036" s="82"/>
      <c r="AD1036" s="83">
        <f t="shared" si="279"/>
        <v>1.7437499999941792</v>
      </c>
      <c r="AE1036" s="83">
        <f>VLOOKUP(H1036,'LIST 2'!$A$1:$E$27,4,FALSE)</f>
        <v>3</v>
      </c>
      <c r="AF1036" s="83">
        <f t="shared" si="280"/>
        <v>1.2562500000058208</v>
      </c>
      <c r="AG1036" s="83">
        <f t="shared" si="281"/>
        <v>41.849999999860302</v>
      </c>
      <c r="AH1036" s="83">
        <f t="shared" si="282"/>
        <v>12</v>
      </c>
      <c r="AI1036" s="83">
        <f t="shared" si="283"/>
        <v>29.849999999860302</v>
      </c>
      <c r="AJ1036" s="83">
        <f t="shared" si="293"/>
        <v>5.2261306532907899</v>
      </c>
      <c r="AK1036" s="83"/>
      <c r="AL1036" s="83"/>
      <c r="AM1036" s="83"/>
      <c r="AN1036" s="83"/>
    </row>
    <row r="1037" spans="1:42" ht="15" hidden="1" x14ac:dyDescent="0.25">
      <c r="A1037" s="82">
        <v>45773</v>
      </c>
      <c r="B1037" s="94" t="str">
        <f t="shared" si="286"/>
        <v>April</v>
      </c>
      <c r="C1037" s="79" t="s">
        <v>2162</v>
      </c>
      <c r="D1037" s="79" t="s">
        <v>1852</v>
      </c>
      <c r="E1037" s="79" t="s">
        <v>1016</v>
      </c>
      <c r="F1037" s="79" t="s">
        <v>1690</v>
      </c>
      <c r="G1037" s="79" t="s">
        <v>45</v>
      </c>
      <c r="H1037" s="82" t="s">
        <v>2181</v>
      </c>
      <c r="I1037" s="79">
        <v>156</v>
      </c>
      <c r="J1037" s="79" t="s">
        <v>1852</v>
      </c>
      <c r="K1037" s="80" t="s">
        <v>469</v>
      </c>
      <c r="L1037" s="79">
        <f>VLOOKUP(H1037,Table2[#All],3,FALSE)</f>
        <v>580</v>
      </c>
      <c r="M1037" s="80">
        <f t="shared" ref="M1037:M1038" si="295">L1037-1</f>
        <v>579</v>
      </c>
      <c r="N1037" s="81">
        <f t="shared" si="277"/>
        <v>-1</v>
      </c>
      <c r="P1037" s="82">
        <f>R1037-TIME(0,39,0)</f>
        <v>45772.884027777778</v>
      </c>
      <c r="Q1037" s="82">
        <v>45773.136805555558</v>
      </c>
      <c r="R1037" s="82">
        <v>45772.911111111112</v>
      </c>
      <c r="S1037" s="81">
        <f t="shared" si="278"/>
        <v>-323.49537037152913</v>
      </c>
      <c r="T1037" s="81">
        <f t="shared" si="290"/>
        <v>38.819444445834961</v>
      </c>
      <c r="U1037" s="79" t="s">
        <v>2165</v>
      </c>
      <c r="V1037" s="82">
        <v>45773.520138888889</v>
      </c>
      <c r="W1037" s="82">
        <v>45773.788194444445</v>
      </c>
      <c r="X1037" s="103">
        <f t="shared" si="291"/>
        <v>377.95833333424525</v>
      </c>
      <c r="Y1037" s="82" t="s">
        <v>1044</v>
      </c>
      <c r="Z1037" s="82">
        <v>45774.353472222225</v>
      </c>
      <c r="AA1037" s="82">
        <f>Z1037+TIME(0,41,0)</f>
        <v>45774.381944444445</v>
      </c>
      <c r="AB1037" s="81">
        <f t="shared" si="292"/>
        <v>40.145833330825553</v>
      </c>
      <c r="AC1037" s="82"/>
      <c r="AD1037" s="83">
        <f t="shared" si="279"/>
        <v>1.4423611111124046</v>
      </c>
      <c r="AE1037" s="83">
        <f>VLOOKUP(H1037,'LIST 2'!$A$1:$E$27,4,FALSE)</f>
        <v>2</v>
      </c>
      <c r="AF1037" s="83">
        <f t="shared" si="280"/>
        <v>0.55763888888759539</v>
      </c>
      <c r="AG1037" s="83">
        <f t="shared" si="281"/>
        <v>34.616666666697711</v>
      </c>
      <c r="AH1037" s="83">
        <f t="shared" si="282"/>
        <v>12</v>
      </c>
      <c r="AI1037" s="83">
        <f t="shared" si="283"/>
        <v>22.616666666697711</v>
      </c>
      <c r="AJ1037" s="83">
        <f t="shared" si="293"/>
        <v>6.89756816506054</v>
      </c>
      <c r="AK1037" s="83"/>
      <c r="AL1037" s="83"/>
      <c r="AM1037" s="83"/>
      <c r="AN1037" s="83"/>
    </row>
    <row r="1038" spans="1:42" ht="15" hidden="1" x14ac:dyDescent="0.25">
      <c r="A1038" s="82">
        <v>45773</v>
      </c>
      <c r="B1038" s="94" t="str">
        <f t="shared" si="286"/>
        <v>April</v>
      </c>
      <c r="C1038" s="79" t="s">
        <v>2162</v>
      </c>
      <c r="D1038" s="79" t="s">
        <v>1853</v>
      </c>
      <c r="E1038" s="79" t="s">
        <v>1016</v>
      </c>
      <c r="F1038" s="79" t="s">
        <v>1692</v>
      </c>
      <c r="G1038" s="79" t="s">
        <v>50</v>
      </c>
      <c r="H1038" s="82" t="s">
        <v>2177</v>
      </c>
      <c r="I1038" s="79">
        <v>156</v>
      </c>
      <c r="J1038" s="79" t="s">
        <v>1853</v>
      </c>
      <c r="K1038" s="80" t="s">
        <v>469</v>
      </c>
      <c r="L1038" s="79">
        <f>VLOOKUP(H1038,Table2[#All],3,FALSE)</f>
        <v>448</v>
      </c>
      <c r="M1038" s="80">
        <f t="shared" si="295"/>
        <v>447</v>
      </c>
      <c r="N1038" s="81">
        <f t="shared" si="277"/>
        <v>-1</v>
      </c>
      <c r="P1038" s="82">
        <f>R1038-TIME(0,28,0)</f>
        <v>45772.724305555559</v>
      </c>
      <c r="Q1038" s="82">
        <v>45773.0625</v>
      </c>
      <c r="R1038" s="82">
        <v>45772.743750000001</v>
      </c>
      <c r="S1038" s="81">
        <f t="shared" si="278"/>
        <v>-456.87499999791424</v>
      </c>
      <c r="T1038" s="81">
        <f t="shared" si="290"/>
        <v>27.870370367357584</v>
      </c>
      <c r="U1038" s="79"/>
      <c r="V1038" s="82">
        <v>45773.582638888889</v>
      </c>
      <c r="W1038" s="82">
        <v>45773.787499999999</v>
      </c>
      <c r="X1038" s="103">
        <f t="shared" si="291"/>
        <v>288.85416666438687</v>
      </c>
      <c r="Y1038" s="82" t="s">
        <v>1044</v>
      </c>
      <c r="Z1038" s="82">
        <v>45774.731249999997</v>
      </c>
      <c r="AA1038" s="82">
        <f>Z1038+TIME(0,38,0)</f>
        <v>45774.757638888885</v>
      </c>
      <c r="AB1038" s="81">
        <f t="shared" si="292"/>
        <v>37.208333331509493</v>
      </c>
      <c r="AC1038" s="82"/>
      <c r="AD1038" s="83">
        <f t="shared" si="279"/>
        <v>1.9874999999956344</v>
      </c>
      <c r="AE1038" s="83">
        <f>VLOOKUP(H1038,'LIST 2'!$A$1:$E$27,4,FALSE)</f>
        <v>2</v>
      </c>
      <c r="AF1038" s="83">
        <f t="shared" si="280"/>
        <v>1.2500000004365575E-2</v>
      </c>
      <c r="AG1038" s="83">
        <f t="shared" si="281"/>
        <v>47.699999999895226</v>
      </c>
      <c r="AH1038" s="83">
        <f t="shared" si="282"/>
        <v>12</v>
      </c>
      <c r="AI1038" s="83">
        <f t="shared" si="283"/>
        <v>35.699999999895226</v>
      </c>
      <c r="AJ1038" s="83">
        <f t="shared" si="293"/>
        <v>4.3697478991724887</v>
      </c>
      <c r="AK1038" s="83"/>
      <c r="AL1038" s="83"/>
      <c r="AM1038" s="83"/>
      <c r="AN1038" s="83"/>
    </row>
    <row r="1039" spans="1:42" ht="15" hidden="1" x14ac:dyDescent="0.25">
      <c r="A1039" s="82">
        <v>45774</v>
      </c>
      <c r="B1039" s="94" t="str">
        <f t="shared" si="286"/>
        <v>April</v>
      </c>
      <c r="C1039" s="79" t="s">
        <v>2161</v>
      </c>
      <c r="D1039" s="79" t="s">
        <v>1854</v>
      </c>
      <c r="E1039" s="79"/>
      <c r="F1039" s="79" t="s">
        <v>966</v>
      </c>
      <c r="G1039" s="79" t="s">
        <v>981</v>
      </c>
      <c r="H1039" s="82" t="s">
        <v>1989</v>
      </c>
      <c r="I1039" s="79">
        <v>153.6</v>
      </c>
      <c r="J1039" s="79" t="s">
        <v>1854</v>
      </c>
      <c r="K1039" s="80" t="s">
        <v>469</v>
      </c>
      <c r="L1039" s="79">
        <f>VLOOKUP(H1039,Table2[#All],3,FALSE)</f>
        <v>20</v>
      </c>
      <c r="M1039" s="80">
        <f t="shared" si="287"/>
        <v>18</v>
      </c>
      <c r="N1039" s="81">
        <f t="shared" si="277"/>
        <v>-2</v>
      </c>
      <c r="P1039" s="82">
        <f>R1039-TIME(0,24,0)</f>
        <v>45776.516666666663</v>
      </c>
      <c r="Q1039" s="82">
        <v>45774.320833333331</v>
      </c>
      <c r="R1039" s="82">
        <v>45776.533333333333</v>
      </c>
      <c r="S1039" s="81">
        <f t="shared" si="278"/>
        <v>3171.2500000020859</v>
      </c>
      <c r="T1039" s="81">
        <f t="shared" si="290"/>
        <v>23.888888893755695</v>
      </c>
      <c r="U1039" s="79"/>
      <c r="V1039" s="82">
        <v>45776.589583333334</v>
      </c>
      <c r="W1039" s="82">
        <v>45776.761111111111</v>
      </c>
      <c r="X1039" s="103">
        <f t="shared" si="291"/>
        <v>241.85416666507081</v>
      </c>
      <c r="Y1039" s="82" t="s">
        <v>1046</v>
      </c>
      <c r="Z1039" s="82">
        <v>45776.825694444444</v>
      </c>
      <c r="AA1039" s="82">
        <f>Z1039+TIME(0,51,0)</f>
        <v>45776.861111111109</v>
      </c>
      <c r="AB1039" s="81">
        <f t="shared" si="292"/>
        <v>49.93749999863212</v>
      </c>
      <c r="AC1039" s="82" t="s">
        <v>549</v>
      </c>
      <c r="AD1039" s="83">
        <f t="shared" si="279"/>
        <v>0.29236111111094942</v>
      </c>
      <c r="AE1039" s="83">
        <f>VLOOKUP(H1039,'LIST 2'!$A$1:$E$27,4,FALSE)</f>
        <v>1</v>
      </c>
      <c r="AF1039" s="83">
        <f t="shared" si="280"/>
        <v>0.70763888888905058</v>
      </c>
      <c r="AG1039" s="83">
        <f t="shared" si="281"/>
        <v>7.0166666666627862</v>
      </c>
      <c r="AH1039" s="83">
        <f t="shared" si="282"/>
        <v>0</v>
      </c>
      <c r="AI1039" s="83">
        <f t="shared" si="283"/>
        <v>7.0166666666627862</v>
      </c>
      <c r="AJ1039" s="83">
        <f t="shared" si="293"/>
        <v>21.890736342054861</v>
      </c>
      <c r="AK1039" s="83"/>
      <c r="AL1039" s="83"/>
      <c r="AM1039" s="83"/>
      <c r="AN1039" s="83"/>
    </row>
    <row r="1040" spans="1:42" ht="15" hidden="1" x14ac:dyDescent="0.25">
      <c r="A1040" s="82">
        <v>45774</v>
      </c>
      <c r="B1040" s="94" t="str">
        <f t="shared" si="286"/>
        <v>April</v>
      </c>
      <c r="C1040" s="79" t="s">
        <v>2162</v>
      </c>
      <c r="D1040" s="79" t="s">
        <v>1855</v>
      </c>
      <c r="E1040" s="79" t="s">
        <v>1016</v>
      </c>
      <c r="F1040" s="79" t="s">
        <v>1268</v>
      </c>
      <c r="G1040" s="79" t="s">
        <v>52</v>
      </c>
      <c r="H1040" s="82" t="s">
        <v>1958</v>
      </c>
      <c r="I1040" s="79">
        <v>156</v>
      </c>
      <c r="J1040" s="79" t="s">
        <v>1855</v>
      </c>
      <c r="K1040" s="80" t="s">
        <v>469</v>
      </c>
      <c r="L1040" s="79">
        <f>VLOOKUP(H1040,Table2[#All],3,FALSE)</f>
        <v>304</v>
      </c>
      <c r="M1040" s="80">
        <f>L1040-3</f>
        <v>301</v>
      </c>
      <c r="N1040" s="81">
        <f t="shared" si="277"/>
        <v>-3</v>
      </c>
      <c r="P1040" s="82">
        <f>R1040-TIME(0,23,0)</f>
        <v>45774.731944444444</v>
      </c>
      <c r="Q1040" s="82">
        <v>45773.875</v>
      </c>
      <c r="R1040" s="82">
        <v>45774.747916666667</v>
      </c>
      <c r="S1040" s="81">
        <f t="shared" si="278"/>
        <v>1251.1805555562507</v>
      </c>
      <c r="T1040" s="81">
        <f t="shared" si="290"/>
        <v>22.893518520140788</v>
      </c>
      <c r="U1040" s="79"/>
      <c r="V1040" s="82">
        <v>45775.37222222222</v>
      </c>
      <c r="W1040" s="82">
        <v>45775.720138888886</v>
      </c>
      <c r="X1040" s="103">
        <f t="shared" si="291"/>
        <v>490.56249999863212</v>
      </c>
      <c r="Y1040" s="82" t="s">
        <v>1049</v>
      </c>
      <c r="Z1040" s="82">
        <v>45776.394444444442</v>
      </c>
      <c r="AA1040" s="82">
        <f>Z1040+TIME(0,44,0)</f>
        <v>45776.424999999996</v>
      </c>
      <c r="AB1040" s="81">
        <f t="shared" si="292"/>
        <v>43.083333330141613</v>
      </c>
      <c r="AC1040" s="82"/>
      <c r="AD1040" s="83">
        <f t="shared" si="279"/>
        <v>1.6465277777751908</v>
      </c>
      <c r="AE1040" s="83">
        <f>VLOOKUP(H1040,'LIST 2'!$A$1:$E$27,4,FALSE)</f>
        <v>2</v>
      </c>
      <c r="AF1040" s="83">
        <f t="shared" si="280"/>
        <v>0.35347222222480923</v>
      </c>
      <c r="AG1040" s="83">
        <f t="shared" si="281"/>
        <v>39.516666666604578</v>
      </c>
      <c r="AH1040" s="83">
        <f t="shared" si="282"/>
        <v>12</v>
      </c>
      <c r="AI1040" s="83">
        <f t="shared" si="283"/>
        <v>27.516666666604578</v>
      </c>
      <c r="AJ1040" s="83">
        <f t="shared" si="293"/>
        <v>5.6692913385954693</v>
      </c>
      <c r="AK1040" s="83"/>
      <c r="AL1040" s="83"/>
      <c r="AM1040" s="83"/>
      <c r="AN1040" s="83"/>
    </row>
    <row r="1041" spans="1:40" ht="15" hidden="1" x14ac:dyDescent="0.25">
      <c r="A1041" s="82">
        <v>45774</v>
      </c>
      <c r="B1041" s="94" t="str">
        <f t="shared" si="286"/>
        <v>April</v>
      </c>
      <c r="C1041" s="79" t="s">
        <v>2161</v>
      </c>
      <c r="D1041" s="79" t="s">
        <v>1856</v>
      </c>
      <c r="E1041" s="79"/>
      <c r="F1041" s="79" t="s">
        <v>958</v>
      </c>
      <c r="G1041" s="79" t="s">
        <v>975</v>
      </c>
      <c r="H1041" s="82" t="s">
        <v>1956</v>
      </c>
      <c r="I1041" s="79">
        <v>153.6</v>
      </c>
      <c r="J1041" s="79" t="s">
        <v>1856</v>
      </c>
      <c r="K1041" s="80" t="s">
        <v>469</v>
      </c>
      <c r="L1041" s="79">
        <f>VLOOKUP(H1041,Table2[#All],3,FALSE)</f>
        <v>596</v>
      </c>
      <c r="M1041" s="80">
        <f t="shared" si="287"/>
        <v>594</v>
      </c>
      <c r="N1041" s="81">
        <f t="shared" si="277"/>
        <v>-2</v>
      </c>
      <c r="P1041" s="82">
        <f>R1041-TIME(0,27,0)</f>
        <v>45774.875</v>
      </c>
      <c r="Q1041" s="82">
        <v>45774.176388888889</v>
      </c>
      <c r="R1041" s="82">
        <v>45774.893750000003</v>
      </c>
      <c r="S1041" s="81">
        <f t="shared" si="278"/>
        <v>1028.2175925965323</v>
      </c>
      <c r="T1041" s="81">
        <f t="shared" si="290"/>
        <v>26.87500000417155</v>
      </c>
      <c r="U1041" s="79"/>
      <c r="V1041" s="82">
        <v>45775.615277777775</v>
      </c>
      <c r="W1041" s="82">
        <v>45775.788888888892</v>
      </c>
      <c r="X1041" s="103">
        <f t="shared" si="291"/>
        <v>244.79166667464597</v>
      </c>
      <c r="Y1041" s="82" t="s">
        <v>1051</v>
      </c>
      <c r="Z1041" s="82">
        <v>45776.575694444444</v>
      </c>
      <c r="AA1041" s="82">
        <f>Z1041+TIME(0,42,0)</f>
        <v>45776.604861111111</v>
      </c>
      <c r="AB1041" s="81">
        <f t="shared" si="292"/>
        <v>41.12500000068394</v>
      </c>
      <c r="AC1041" s="82"/>
      <c r="AD1041" s="83">
        <f t="shared" si="279"/>
        <v>1.6819444444408873</v>
      </c>
      <c r="AE1041" s="83">
        <f>VLOOKUP(H1041,'LIST 2'!$A$1:$E$27,4,FALSE)</f>
        <v>2</v>
      </c>
      <c r="AF1041" s="83">
        <f t="shared" si="280"/>
        <v>0.31805555555911269</v>
      </c>
      <c r="AG1041" s="83">
        <f t="shared" si="281"/>
        <v>40.366666666581295</v>
      </c>
      <c r="AH1041" s="83">
        <f t="shared" si="282"/>
        <v>12</v>
      </c>
      <c r="AI1041" s="83">
        <f t="shared" si="283"/>
        <v>28.366666666581295</v>
      </c>
      <c r="AJ1041" s="83">
        <f t="shared" si="293"/>
        <v>5.4148061104745802</v>
      </c>
      <c r="AK1041" s="83"/>
      <c r="AL1041" s="83"/>
      <c r="AM1041" s="83"/>
      <c r="AN1041" s="83"/>
    </row>
    <row r="1042" spans="1:40" ht="15" hidden="1" x14ac:dyDescent="0.25">
      <c r="A1042" s="82">
        <v>45774</v>
      </c>
      <c r="B1042" s="94" t="str">
        <f t="shared" si="286"/>
        <v>April</v>
      </c>
      <c r="C1042" s="79" t="s">
        <v>2162</v>
      </c>
      <c r="D1042" s="79" t="s">
        <v>1857</v>
      </c>
      <c r="E1042" s="79" t="s">
        <v>1016</v>
      </c>
      <c r="F1042" s="79" t="s">
        <v>960</v>
      </c>
      <c r="G1042" s="79" t="s">
        <v>62</v>
      </c>
      <c r="H1042" s="82" t="s">
        <v>2177</v>
      </c>
      <c r="I1042" s="79">
        <v>156</v>
      </c>
      <c r="J1042" s="79" t="s">
        <v>1857</v>
      </c>
      <c r="K1042" s="80" t="s">
        <v>469</v>
      </c>
      <c r="L1042" s="79">
        <f>VLOOKUP(H1042,Table2[#All],3,FALSE)</f>
        <v>448</v>
      </c>
      <c r="M1042" s="80">
        <f>L1042-1</f>
        <v>447</v>
      </c>
      <c r="N1042" s="81">
        <f t="shared" si="277"/>
        <v>-1</v>
      </c>
      <c r="P1042" s="82">
        <f>R1042-TIME(0,28,0)</f>
        <v>45774.591666666667</v>
      </c>
      <c r="Q1042" s="82">
        <v>45774.0625</v>
      </c>
      <c r="R1042" s="82">
        <v>45774.611111111109</v>
      </c>
      <c r="S1042" s="81">
        <f t="shared" si="278"/>
        <v>786.3425925902751</v>
      </c>
      <c r="T1042" s="81">
        <f t="shared" si="290"/>
        <v>27.870370367357584</v>
      </c>
      <c r="U1042" s="79"/>
      <c r="V1042" s="82">
        <v>45775.620833333334</v>
      </c>
      <c r="W1042" s="82">
        <v>45775.888194444444</v>
      </c>
      <c r="X1042" s="103">
        <f t="shared" si="291"/>
        <v>376.97916666438687</v>
      </c>
      <c r="Y1042" s="82" t="s">
        <v>1050</v>
      </c>
      <c r="Z1042" s="82">
        <v>45776.713194444441</v>
      </c>
      <c r="AA1042" s="82">
        <f>Z1042+TIME(0,44,0)</f>
        <v>45776.743749999994</v>
      </c>
      <c r="AB1042" s="81">
        <f t="shared" si="292"/>
        <v>43.083333330141613</v>
      </c>
      <c r="AC1042" s="82"/>
      <c r="AD1042" s="83">
        <f t="shared" si="279"/>
        <v>2.1020833333313931</v>
      </c>
      <c r="AE1042" s="83">
        <f>VLOOKUP(H1042,'LIST 2'!$A$1:$E$27,4,FALSE)</f>
        <v>2</v>
      </c>
      <c r="AF1042" s="83">
        <f t="shared" si="280"/>
        <v>-0.10208333333139308</v>
      </c>
      <c r="AG1042" s="83">
        <f t="shared" si="281"/>
        <v>50.449999999953434</v>
      </c>
      <c r="AH1042" s="83">
        <f t="shared" si="282"/>
        <v>24</v>
      </c>
      <c r="AI1042" s="83">
        <f t="shared" si="283"/>
        <v>26.449999999953434</v>
      </c>
      <c r="AJ1042" s="83">
        <f t="shared" si="293"/>
        <v>5.897920604925317</v>
      </c>
      <c r="AK1042" s="83"/>
      <c r="AL1042" s="83"/>
      <c r="AM1042" s="83"/>
      <c r="AN1042" s="83"/>
    </row>
    <row r="1043" spans="1:40" ht="15" hidden="1" x14ac:dyDescent="0.25">
      <c r="A1043" s="82">
        <v>45774</v>
      </c>
      <c r="B1043" s="94" t="str">
        <f t="shared" si="286"/>
        <v>April</v>
      </c>
      <c r="C1043" s="79" t="s">
        <v>2162</v>
      </c>
      <c r="D1043" s="79" t="s">
        <v>1858</v>
      </c>
      <c r="E1043" s="79" t="s">
        <v>1016</v>
      </c>
      <c r="F1043" s="79" t="s">
        <v>961</v>
      </c>
      <c r="G1043" s="79" t="s">
        <v>977</v>
      </c>
      <c r="H1043" s="82" t="s">
        <v>2178</v>
      </c>
      <c r="I1043" s="79">
        <v>156</v>
      </c>
      <c r="J1043" s="79" t="s">
        <v>1858</v>
      </c>
      <c r="K1043" s="80" t="s">
        <v>469</v>
      </c>
      <c r="L1043" s="79">
        <f>VLOOKUP(H1043,Table2[#All],3,FALSE)</f>
        <v>510</v>
      </c>
      <c r="M1043" s="80">
        <f t="shared" si="287"/>
        <v>508</v>
      </c>
      <c r="N1043" s="81">
        <f t="shared" si="277"/>
        <v>-2</v>
      </c>
      <c r="P1043" s="82">
        <f>R1043-TIME(0,50,0)</f>
        <v>45774.404861111114</v>
      </c>
      <c r="Q1043" s="82">
        <v>45773.9375</v>
      </c>
      <c r="R1043" s="82">
        <v>45774.439583333333</v>
      </c>
      <c r="S1043" s="81">
        <f t="shared" si="278"/>
        <v>719.65277777708252</v>
      </c>
      <c r="T1043" s="81">
        <f t="shared" si="290"/>
        <v>49.768518513883464</v>
      </c>
      <c r="U1043" s="79" t="s">
        <v>2164</v>
      </c>
      <c r="V1043" s="82">
        <v>45775.367361111108</v>
      </c>
      <c r="W1043" s="82">
        <v>45775.879861111112</v>
      </c>
      <c r="X1043" s="103">
        <f t="shared" si="291"/>
        <v>722.62500000615546</v>
      </c>
      <c r="Y1043" s="82" t="s">
        <v>1044</v>
      </c>
      <c r="Z1043" s="82">
        <v>45776.571527777778</v>
      </c>
      <c r="AA1043" s="82">
        <f>Z1043+TIME(0,42,0)</f>
        <v>45776.600694444445</v>
      </c>
      <c r="AB1043" s="81">
        <f t="shared" si="292"/>
        <v>41.12500000068394</v>
      </c>
      <c r="AC1043" s="82"/>
      <c r="AD1043" s="83">
        <f t="shared" si="279"/>
        <v>2.1319444444452529</v>
      </c>
      <c r="AE1043" s="83">
        <f>VLOOKUP(H1043,'LIST 2'!$A$1:$E$27,4,FALSE)</f>
        <v>3</v>
      </c>
      <c r="AF1043" s="83">
        <f t="shared" si="280"/>
        <v>0.86805555555474712</v>
      </c>
      <c r="AG1043" s="83">
        <f t="shared" si="281"/>
        <v>51.166666666686069</v>
      </c>
      <c r="AH1043" s="83">
        <f t="shared" si="282"/>
        <v>24</v>
      </c>
      <c r="AI1043" s="83">
        <f t="shared" si="283"/>
        <v>27.166666666686069</v>
      </c>
      <c r="AJ1043" s="83">
        <f t="shared" si="293"/>
        <v>5.7423312883394573</v>
      </c>
      <c r="AK1043" s="83"/>
      <c r="AL1043" s="83"/>
      <c r="AM1043" s="83"/>
      <c r="AN1043" s="83"/>
    </row>
    <row r="1044" spans="1:40" ht="15" hidden="1" x14ac:dyDescent="0.25">
      <c r="A1044" s="82">
        <v>45774</v>
      </c>
      <c r="B1044" s="94" t="str">
        <f t="shared" si="286"/>
        <v>April</v>
      </c>
      <c r="C1044" s="79" t="s">
        <v>2161</v>
      </c>
      <c r="D1044" s="79" t="s">
        <v>1859</v>
      </c>
      <c r="E1044" s="80" t="s">
        <v>1016</v>
      </c>
      <c r="F1044" s="79" t="s">
        <v>954</v>
      </c>
      <c r="G1044" s="79" t="s">
        <v>971</v>
      </c>
      <c r="H1044" s="82" t="s">
        <v>1957</v>
      </c>
      <c r="I1044" s="79">
        <v>153.6</v>
      </c>
      <c r="J1044" s="79" t="s">
        <v>1859</v>
      </c>
      <c r="K1044" s="80" t="s">
        <v>469</v>
      </c>
      <c r="L1044" s="79">
        <f>VLOOKUP(H1044,Table2[#All],3,FALSE)</f>
        <v>288</v>
      </c>
      <c r="M1044" s="80">
        <f t="shared" si="287"/>
        <v>286</v>
      </c>
      <c r="N1044" s="81">
        <f t="shared" si="277"/>
        <v>-2</v>
      </c>
      <c r="P1044" s="82">
        <f>R1044-TIME(0,23,0)</f>
        <v>45774.40347222222</v>
      </c>
      <c r="Q1044" s="82">
        <v>45774.154861111114</v>
      </c>
      <c r="R1044" s="82">
        <v>45774.419444444444</v>
      </c>
      <c r="S1044" s="81">
        <f t="shared" si="278"/>
        <v>379.23611110624432</v>
      </c>
      <c r="T1044" s="81">
        <f t="shared" si="290"/>
        <v>22.893518520140788</v>
      </c>
      <c r="V1044" s="82">
        <v>45775.583333333336</v>
      </c>
      <c r="W1044" s="82">
        <v>45775.674305555556</v>
      </c>
      <c r="X1044" s="103">
        <f t="shared" si="291"/>
        <v>128.27083333082555</v>
      </c>
      <c r="Y1044" s="82"/>
      <c r="Z1044" s="82">
        <v>45776.531944444447</v>
      </c>
      <c r="AA1044" s="82">
        <f>Z1044+TIME(0,40,0)</f>
        <v>45776.559722222228</v>
      </c>
      <c r="AB1044" s="81">
        <f t="shared" si="292"/>
        <v>39.166666671226267</v>
      </c>
      <c r="AC1044" s="78"/>
      <c r="AD1044" s="83">
        <f t="shared" si="279"/>
        <v>2.1125000000029104</v>
      </c>
      <c r="AE1044" s="83">
        <f>VLOOKUP(H1044,'LIST 2'!$A$1:$E$27,4,FALSE)</f>
        <v>2</v>
      </c>
      <c r="AF1044" s="83">
        <f t="shared" si="280"/>
        <v>-0.11250000000291038</v>
      </c>
      <c r="AG1044" s="83">
        <f t="shared" si="281"/>
        <v>50.700000000069849</v>
      </c>
      <c r="AH1044" s="83">
        <f t="shared" si="282"/>
        <v>24</v>
      </c>
      <c r="AI1044" s="83">
        <f t="shared" si="283"/>
        <v>26.700000000069849</v>
      </c>
      <c r="AJ1044" s="83">
        <f t="shared" si="293"/>
        <v>5.7528089887489946</v>
      </c>
      <c r="AK1044" s="83"/>
      <c r="AL1044" s="83"/>
      <c r="AM1044" s="83"/>
      <c r="AN1044" s="83"/>
    </row>
    <row r="1045" spans="1:40" ht="15" hidden="1" x14ac:dyDescent="0.25">
      <c r="A1045" s="82">
        <v>45774</v>
      </c>
      <c r="B1045" s="94" t="str">
        <f t="shared" si="286"/>
        <v>April</v>
      </c>
      <c r="C1045" s="79" t="s">
        <v>2161</v>
      </c>
      <c r="D1045" s="79" t="s">
        <v>1860</v>
      </c>
      <c r="E1045" s="79"/>
      <c r="F1045" s="79" t="s">
        <v>953</v>
      </c>
      <c r="G1045" s="79" t="s">
        <v>970</v>
      </c>
      <c r="H1045" s="82" t="s">
        <v>1956</v>
      </c>
      <c r="I1045" s="79">
        <v>153.6</v>
      </c>
      <c r="J1045" s="79" t="s">
        <v>1860</v>
      </c>
      <c r="K1045" s="80" t="s">
        <v>469</v>
      </c>
      <c r="L1045" s="79">
        <f>VLOOKUP(H1045,Table2[#All],3,FALSE)</f>
        <v>596</v>
      </c>
      <c r="M1045" s="80">
        <f t="shared" si="287"/>
        <v>594</v>
      </c>
      <c r="N1045" s="81">
        <f t="shared" si="277"/>
        <v>-2</v>
      </c>
      <c r="P1045" s="82">
        <f>R1045-TIME(0,28,0)</f>
        <v>45774.402083333334</v>
      </c>
      <c r="Q1045" s="82">
        <v>45774.176388888889</v>
      </c>
      <c r="R1045" s="82">
        <v>45774.421527777777</v>
      </c>
      <c r="S1045" s="81">
        <f t="shared" si="278"/>
        <v>351.3657407388867</v>
      </c>
      <c r="T1045" s="81">
        <f t="shared" si="290"/>
        <v>27.870370367357584</v>
      </c>
      <c r="V1045" s="82">
        <v>45774.637499999997</v>
      </c>
      <c r="W1045" s="82">
        <v>45775.504861111112</v>
      </c>
      <c r="X1045" s="103">
        <f t="shared" si="291"/>
        <v>1222.9791666725941</v>
      </c>
      <c r="Y1045" s="82" t="s">
        <v>1047</v>
      </c>
      <c r="Z1045" s="82">
        <v>45775.70208333333</v>
      </c>
      <c r="AA1045" s="82">
        <f>Z1045+TIME(0,38,0)</f>
        <v>45775.728472222218</v>
      </c>
      <c r="AB1045" s="81">
        <f t="shared" si="292"/>
        <v>37.208333331509493</v>
      </c>
      <c r="AC1045" s="78"/>
      <c r="AD1045" s="83">
        <f t="shared" si="279"/>
        <v>1.2805555555532919</v>
      </c>
      <c r="AE1045" s="83">
        <f>VLOOKUP(H1045,'LIST 2'!$A$1:$E$27,4,FALSE)</f>
        <v>2</v>
      </c>
      <c r="AF1045" s="83">
        <f t="shared" si="280"/>
        <v>0.71944444444670808</v>
      </c>
      <c r="AG1045" s="83">
        <f t="shared" si="281"/>
        <v>30.733333333279006</v>
      </c>
      <c r="AH1045" s="83">
        <f t="shared" si="282"/>
        <v>12</v>
      </c>
      <c r="AI1045" s="83">
        <f t="shared" si="283"/>
        <v>18.733333333279006</v>
      </c>
      <c r="AJ1045" s="83">
        <f t="shared" si="293"/>
        <v>8.1992882562515366</v>
      </c>
      <c r="AK1045" s="83"/>
      <c r="AL1045" s="83"/>
      <c r="AM1045" s="83"/>
      <c r="AN1045" s="83"/>
    </row>
    <row r="1046" spans="1:40" ht="15" hidden="1" x14ac:dyDescent="0.25">
      <c r="A1046" s="82">
        <v>45774</v>
      </c>
      <c r="B1046" s="94" t="str">
        <f t="shared" si="286"/>
        <v>April</v>
      </c>
      <c r="C1046" s="79" t="s">
        <v>2161</v>
      </c>
      <c r="D1046" s="79" t="s">
        <v>1861</v>
      </c>
      <c r="E1046" s="79"/>
      <c r="F1046" s="79" t="s">
        <v>950</v>
      </c>
      <c r="G1046" s="79" t="s">
        <v>967</v>
      </c>
      <c r="H1046" s="82" t="s">
        <v>1956</v>
      </c>
      <c r="I1046" s="79">
        <v>153.6</v>
      </c>
      <c r="J1046" s="79" t="s">
        <v>1861</v>
      </c>
      <c r="K1046" s="80" t="s">
        <v>469</v>
      </c>
      <c r="L1046" s="79">
        <f>VLOOKUP(H1046,Table2[#All],3,FALSE)</f>
        <v>596</v>
      </c>
      <c r="M1046" s="80">
        <f>L1046-3</f>
        <v>593</v>
      </c>
      <c r="N1046" s="81">
        <f t="shared" si="277"/>
        <v>-3</v>
      </c>
      <c r="P1046" s="82">
        <f>R1046-TIME(0,39,0)</f>
        <v>45773.824305555558</v>
      </c>
      <c r="Q1046" s="82">
        <v>45774.176388888889</v>
      </c>
      <c r="R1046" s="82">
        <v>45773.851388888892</v>
      </c>
      <c r="S1046" s="81">
        <f t="shared" si="278"/>
        <v>-465.8333333291618</v>
      </c>
      <c r="T1046" s="81">
        <f t="shared" si="290"/>
        <v>38.819444445834961</v>
      </c>
      <c r="U1046" s="79" t="s">
        <v>2164</v>
      </c>
      <c r="V1046" s="82">
        <v>45774.397916666669</v>
      </c>
      <c r="W1046" s="82">
        <v>45774.688888888886</v>
      </c>
      <c r="X1046" s="103">
        <f t="shared" si="291"/>
        <v>410.27083332672191</v>
      </c>
      <c r="Y1046" s="82" t="s">
        <v>1049</v>
      </c>
      <c r="Z1046" s="82">
        <v>45775.48333333333</v>
      </c>
      <c r="AA1046" s="82">
        <f>Z1046+TIME(0,44,0)</f>
        <v>45775.513888888883</v>
      </c>
      <c r="AB1046" s="81">
        <f t="shared" si="292"/>
        <v>43.083333330141613</v>
      </c>
      <c r="AC1046" s="78"/>
      <c r="AD1046" s="83">
        <f t="shared" si="279"/>
        <v>1.6319444444379769</v>
      </c>
      <c r="AE1046" s="83">
        <f>VLOOKUP(H1046,'LIST 2'!$A$1:$E$27,4,FALSE)</f>
        <v>2</v>
      </c>
      <c r="AF1046" s="83">
        <f t="shared" si="280"/>
        <v>0.36805555556202307</v>
      </c>
      <c r="AG1046" s="83">
        <f t="shared" si="281"/>
        <v>39.166666666511446</v>
      </c>
      <c r="AH1046" s="83">
        <f t="shared" si="282"/>
        <v>12</v>
      </c>
      <c r="AI1046" s="83">
        <f t="shared" si="283"/>
        <v>27.166666666511446</v>
      </c>
      <c r="AJ1046" s="83">
        <f t="shared" si="293"/>
        <v>5.6539877300936547</v>
      </c>
      <c r="AK1046" s="83"/>
      <c r="AL1046" s="83"/>
      <c r="AM1046" s="83"/>
      <c r="AN1046" s="83"/>
    </row>
    <row r="1047" spans="1:40" ht="15" hidden="1" x14ac:dyDescent="0.25">
      <c r="A1047" s="82">
        <v>45775</v>
      </c>
      <c r="B1047" s="94" t="str">
        <f t="shared" si="286"/>
        <v>April</v>
      </c>
      <c r="C1047" s="79" t="s">
        <v>2161</v>
      </c>
      <c r="D1047" s="79" t="s">
        <v>1862</v>
      </c>
      <c r="E1047" s="79"/>
      <c r="F1047" s="79" t="s">
        <v>1689</v>
      </c>
      <c r="G1047" s="79" t="s">
        <v>1262</v>
      </c>
      <c r="H1047" s="82" t="s">
        <v>2022</v>
      </c>
      <c r="I1047" s="79">
        <v>153.6</v>
      </c>
      <c r="J1047" s="79" t="s">
        <v>1862</v>
      </c>
      <c r="K1047" s="80" t="s">
        <v>469</v>
      </c>
      <c r="L1047" s="79">
        <f>VLOOKUP(H1047,Table2[#All],3,FALSE)</f>
        <v>150</v>
      </c>
      <c r="M1047" s="80">
        <f t="shared" si="287"/>
        <v>148</v>
      </c>
      <c r="N1047" s="81">
        <f t="shared" si="277"/>
        <v>-2</v>
      </c>
      <c r="P1047" s="82">
        <f>R1047-TIME(0,23,0)</f>
        <v>45776.277083333334</v>
      </c>
      <c r="Q1047" s="82">
        <v>45775.375</v>
      </c>
      <c r="R1047" s="82">
        <v>45776.293055555558</v>
      </c>
      <c r="S1047" s="81">
        <f t="shared" si="278"/>
        <v>1315.8796296326425</v>
      </c>
      <c r="T1047" s="81">
        <f t="shared" si="290"/>
        <v>22.893518520140788</v>
      </c>
      <c r="U1047" s="79"/>
      <c r="V1047" s="82">
        <v>45776.367361111108</v>
      </c>
      <c r="W1047" s="82">
        <v>45776.583333333336</v>
      </c>
      <c r="X1047" s="103">
        <f t="shared" si="291"/>
        <v>304.52083334108465</v>
      </c>
      <c r="Y1047" s="82" t="s">
        <v>1044</v>
      </c>
      <c r="Z1047" s="82">
        <v>45776.655555555553</v>
      </c>
      <c r="AA1047" s="82">
        <f>Z1047+TIME(0,40,0)</f>
        <v>45776.683333333334</v>
      </c>
      <c r="AB1047" s="81">
        <f t="shared" si="292"/>
        <v>39.166666671226267</v>
      </c>
      <c r="AC1047" s="78"/>
      <c r="AD1047" s="83">
        <f t="shared" si="279"/>
        <v>0.36249999999563443</v>
      </c>
      <c r="AE1047" s="83">
        <f>VLOOKUP(H1047,'LIST 2'!$A$1:$E$27,4,FALSE)</f>
        <v>1</v>
      </c>
      <c r="AF1047" s="83">
        <f t="shared" si="280"/>
        <v>0.63750000000436557</v>
      </c>
      <c r="AG1047" s="83">
        <f t="shared" si="281"/>
        <v>8.6999999998952262</v>
      </c>
      <c r="AH1047" s="83">
        <f t="shared" si="282"/>
        <v>0</v>
      </c>
      <c r="AI1047" s="83">
        <f t="shared" si="283"/>
        <v>8.6999999998952262</v>
      </c>
      <c r="AJ1047" s="83">
        <f t="shared" si="293"/>
        <v>17.655172414005722</v>
      </c>
      <c r="AK1047" s="83">
        <v>12.09</v>
      </c>
      <c r="AL1047" s="83"/>
      <c r="AM1047" s="83"/>
      <c r="AN1047" s="83"/>
    </row>
    <row r="1048" spans="1:40" ht="15" hidden="1" x14ac:dyDescent="0.25">
      <c r="A1048" s="82">
        <v>45775</v>
      </c>
      <c r="B1048" s="94" t="str">
        <f t="shared" si="286"/>
        <v>April</v>
      </c>
      <c r="C1048" s="79" t="s">
        <v>2161</v>
      </c>
      <c r="D1048" s="79" t="s">
        <v>1863</v>
      </c>
      <c r="E1048" s="79"/>
      <c r="F1048" s="79" t="s">
        <v>962</v>
      </c>
      <c r="G1048" s="79" t="s">
        <v>978</v>
      </c>
      <c r="H1048" s="82" t="s">
        <v>1989</v>
      </c>
      <c r="I1048" s="79">
        <v>153.6</v>
      </c>
      <c r="J1048" s="79" t="s">
        <v>1863</v>
      </c>
      <c r="K1048" s="80" t="s">
        <v>469</v>
      </c>
      <c r="L1048" s="79">
        <f>VLOOKUP(H1048,Table2[#All],3,FALSE)</f>
        <v>20</v>
      </c>
      <c r="M1048" s="80">
        <f t="shared" si="287"/>
        <v>18</v>
      </c>
      <c r="N1048" s="81">
        <f t="shared" si="277"/>
        <v>-2</v>
      </c>
      <c r="P1048" s="82">
        <f>R1048-TIME(0,23,0)</f>
        <v>45775.76458333333</v>
      </c>
      <c r="Q1048" s="82">
        <v>45775.375</v>
      </c>
      <c r="R1048" s="82">
        <v>45775.780555555553</v>
      </c>
      <c r="S1048" s="81">
        <f t="shared" si="278"/>
        <v>581.2962962930518</v>
      </c>
      <c r="T1048" s="81">
        <f t="shared" si="290"/>
        <v>22.893518520140788</v>
      </c>
      <c r="U1048" s="79"/>
      <c r="V1048" s="82">
        <v>45775.80972222222</v>
      </c>
      <c r="W1048" s="82">
        <v>45776.488888888889</v>
      </c>
      <c r="X1048" s="103">
        <f t="shared" si="291"/>
        <v>957.62500000273576</v>
      </c>
      <c r="Y1048" s="82" t="s">
        <v>1044</v>
      </c>
      <c r="Z1048" s="82">
        <v>45776.522222222222</v>
      </c>
      <c r="AA1048" s="82">
        <f>Z1048+TIME(0,42,0)</f>
        <v>45776.551388888889</v>
      </c>
      <c r="AB1048" s="81">
        <f t="shared" si="292"/>
        <v>41.12500000068394</v>
      </c>
      <c r="AC1048" s="78"/>
      <c r="AD1048" s="83">
        <f t="shared" si="279"/>
        <v>0.74166666666860692</v>
      </c>
      <c r="AE1048" s="83">
        <f>VLOOKUP(H1048,'LIST 2'!$A$1:$E$27,4,FALSE)</f>
        <v>1</v>
      </c>
      <c r="AF1048" s="83">
        <f t="shared" si="280"/>
        <v>0.25833333333139308</v>
      </c>
      <c r="AG1048" s="83">
        <f t="shared" si="281"/>
        <v>17.800000000046566</v>
      </c>
      <c r="AH1048" s="83">
        <f t="shared" si="282"/>
        <v>0</v>
      </c>
      <c r="AI1048" s="83">
        <f t="shared" si="283"/>
        <v>17.800000000046566</v>
      </c>
      <c r="AJ1048" s="83">
        <f t="shared" si="293"/>
        <v>8.6292134831234932</v>
      </c>
      <c r="AK1048" s="83"/>
      <c r="AL1048" s="83"/>
      <c r="AM1048" s="83"/>
      <c r="AN1048" s="83"/>
    </row>
    <row r="1049" spans="1:40" ht="15" hidden="1" x14ac:dyDescent="0.25">
      <c r="A1049" s="82">
        <v>45775</v>
      </c>
      <c r="B1049" s="94" t="str">
        <f t="shared" si="286"/>
        <v>April</v>
      </c>
      <c r="C1049" s="79" t="s">
        <v>2162</v>
      </c>
      <c r="D1049" s="79" t="s">
        <v>1864</v>
      </c>
      <c r="E1049" s="79" t="s">
        <v>1016</v>
      </c>
      <c r="F1049" s="79" t="s">
        <v>1693</v>
      </c>
      <c r="G1049" s="79" t="s">
        <v>59</v>
      </c>
      <c r="H1049" s="82" t="s">
        <v>2186</v>
      </c>
      <c r="I1049" s="79">
        <v>156</v>
      </c>
      <c r="J1049" s="79" t="s">
        <v>1864</v>
      </c>
      <c r="K1049" s="80" t="s">
        <v>469</v>
      </c>
      <c r="L1049" s="79">
        <f>VLOOKUP(H1049,Table2[#All],3,FALSE)</f>
        <v>228</v>
      </c>
      <c r="M1049" s="80">
        <f t="shared" si="287"/>
        <v>226</v>
      </c>
      <c r="N1049" s="81">
        <f t="shared" si="277"/>
        <v>-2</v>
      </c>
      <c r="P1049" s="82">
        <f>R1049-TIME(0,28,0)</f>
        <v>45775.679166666669</v>
      </c>
      <c r="Q1049" s="82">
        <v>45775.375</v>
      </c>
      <c r="R1049" s="82">
        <v>45775.698611111111</v>
      </c>
      <c r="S1049" s="81">
        <f t="shared" si="278"/>
        <v>463.84259259236086</v>
      </c>
      <c r="T1049" s="81">
        <f t="shared" si="290"/>
        <v>27.870370367357584</v>
      </c>
      <c r="U1049" s="79"/>
      <c r="V1049" s="82">
        <v>45776.617361111108</v>
      </c>
      <c r="W1049" s="82">
        <v>45776.704861111109</v>
      </c>
      <c r="X1049" s="103">
        <f t="shared" si="291"/>
        <v>123.37500000205182</v>
      </c>
      <c r="Y1049" s="82"/>
      <c r="Z1049" s="82">
        <v>45777.54791666667</v>
      </c>
      <c r="AA1049" s="82">
        <f>Z1049+TIME(0,44,0)</f>
        <v>45777.578472222223</v>
      </c>
      <c r="AB1049" s="81">
        <f t="shared" si="292"/>
        <v>43.083333330141613</v>
      </c>
      <c r="AC1049" s="78"/>
      <c r="AD1049" s="83">
        <f t="shared" si="279"/>
        <v>1.8493055555591127</v>
      </c>
      <c r="AE1049" s="83">
        <f>VLOOKUP(H1049,'LIST 2'!$A$1:$E$27,4,FALSE)</f>
        <v>2</v>
      </c>
      <c r="AF1049" s="83">
        <f t="shared" si="280"/>
        <v>0.15069444444088731</v>
      </c>
      <c r="AG1049" s="83">
        <f t="shared" si="281"/>
        <v>44.383333333418705</v>
      </c>
      <c r="AH1049" s="83">
        <f t="shared" si="282"/>
        <v>12</v>
      </c>
      <c r="AI1049" s="83">
        <f t="shared" si="283"/>
        <v>32.383333333418705</v>
      </c>
      <c r="AJ1049" s="83">
        <f t="shared" si="293"/>
        <v>4.8172928461015569</v>
      </c>
      <c r="AK1049" s="83"/>
      <c r="AL1049" s="83"/>
      <c r="AM1049" s="83"/>
      <c r="AN1049" s="83"/>
    </row>
    <row r="1050" spans="1:40" ht="15" hidden="1" x14ac:dyDescent="0.25">
      <c r="A1050" s="82">
        <v>45775</v>
      </c>
      <c r="B1050" s="94" t="str">
        <f t="shared" si="286"/>
        <v>April</v>
      </c>
      <c r="C1050" s="79" t="s">
        <v>2162</v>
      </c>
      <c r="D1050" s="79" t="s">
        <v>1865</v>
      </c>
      <c r="E1050" s="79" t="s">
        <v>1016</v>
      </c>
      <c r="F1050" s="79" t="s">
        <v>963</v>
      </c>
      <c r="G1050" s="79" t="s">
        <v>60</v>
      </c>
      <c r="H1050" s="82" t="s">
        <v>1958</v>
      </c>
      <c r="I1050" s="79">
        <v>156</v>
      </c>
      <c r="J1050" s="79" t="s">
        <v>1865</v>
      </c>
      <c r="K1050" s="80" t="s">
        <v>469</v>
      </c>
      <c r="L1050" s="79">
        <f>VLOOKUP(H1050,Table2[#All],3,FALSE)</f>
        <v>304</v>
      </c>
      <c r="M1050" s="80">
        <f t="shared" si="287"/>
        <v>302</v>
      </c>
      <c r="N1050" s="81">
        <f t="shared" si="277"/>
        <v>-2</v>
      </c>
      <c r="P1050" s="82">
        <f>R1050-TIME(0,26,0)</f>
        <v>45775.581250000003</v>
      </c>
      <c r="Q1050" s="82">
        <v>45775.850694444445</v>
      </c>
      <c r="R1050" s="82">
        <v>45775.599305555559</v>
      </c>
      <c r="S1050" s="81">
        <f t="shared" si="278"/>
        <v>-360.32407407013426</v>
      </c>
      <c r="T1050" s="81">
        <f t="shared" si="290"/>
        <v>25.879629630556639</v>
      </c>
      <c r="U1050" s="79"/>
      <c r="V1050" s="82">
        <v>45776.32916666667</v>
      </c>
      <c r="W1050" s="82">
        <v>45776.722916666666</v>
      </c>
      <c r="X1050" s="103">
        <f t="shared" si="291"/>
        <v>555.18749999384454</v>
      </c>
      <c r="Y1050" s="82" t="s">
        <v>1049</v>
      </c>
      <c r="Z1050" s="82">
        <v>45777.65625</v>
      </c>
      <c r="AA1050" s="82">
        <f t="shared" ref="AA1050:AA1051" si="296">Z1050+TIME(0,38,0)</f>
        <v>45777.682638888888</v>
      </c>
      <c r="AB1050" s="81">
        <f t="shared" si="292"/>
        <v>37.208333331509493</v>
      </c>
      <c r="AC1050" s="78"/>
      <c r="AD1050" s="83">
        <f t="shared" si="279"/>
        <v>2.0569444444408873</v>
      </c>
      <c r="AE1050" s="83">
        <f>VLOOKUP(H1050,'LIST 2'!$A$1:$E$27,4,FALSE)</f>
        <v>2</v>
      </c>
      <c r="AF1050" s="83">
        <f t="shared" si="280"/>
        <v>-5.694444444088731E-2</v>
      </c>
      <c r="AG1050" s="83">
        <f t="shared" si="281"/>
        <v>49.366666666581295</v>
      </c>
      <c r="AH1050" s="83">
        <f t="shared" si="282"/>
        <v>24</v>
      </c>
      <c r="AI1050" s="83">
        <f t="shared" si="283"/>
        <v>25.366666666581295</v>
      </c>
      <c r="AJ1050" s="83">
        <f t="shared" si="293"/>
        <v>6.1498028909536799</v>
      </c>
      <c r="AK1050" s="83"/>
      <c r="AL1050" s="83"/>
      <c r="AM1050" s="83"/>
      <c r="AN1050" s="83"/>
    </row>
    <row r="1051" spans="1:40" ht="15" hidden="1" x14ac:dyDescent="0.25">
      <c r="A1051" s="82">
        <v>45775</v>
      </c>
      <c r="B1051" s="94" t="str">
        <f t="shared" si="286"/>
        <v>April</v>
      </c>
      <c r="C1051" s="79" t="s">
        <v>2162</v>
      </c>
      <c r="D1051" s="79" t="s">
        <v>1866</v>
      </c>
      <c r="E1051" s="79" t="s">
        <v>1016</v>
      </c>
      <c r="F1051" s="79" t="s">
        <v>1692</v>
      </c>
      <c r="G1051" s="79" t="s">
        <v>50</v>
      </c>
      <c r="H1051" s="82" t="s">
        <v>2180</v>
      </c>
      <c r="I1051" s="79">
        <v>156</v>
      </c>
      <c r="J1051" s="79" t="s">
        <v>1866</v>
      </c>
      <c r="K1051" s="80" t="s">
        <v>469</v>
      </c>
      <c r="L1051" s="79">
        <f>VLOOKUP(H1051,Table2[#All],3,FALSE)</f>
        <v>256</v>
      </c>
      <c r="M1051" s="80">
        <f t="shared" si="287"/>
        <v>254</v>
      </c>
      <c r="N1051" s="81">
        <f t="shared" si="277"/>
        <v>-2</v>
      </c>
      <c r="P1051" s="82">
        <f>R1051-TIME(0,54,0)</f>
        <v>45774.913194444445</v>
      </c>
      <c r="Q1051" s="82">
        <v>45775.375</v>
      </c>
      <c r="R1051" s="82">
        <v>45774.950694444444</v>
      </c>
      <c r="S1051" s="81">
        <f t="shared" si="278"/>
        <v>-608.17129629722331</v>
      </c>
      <c r="T1051" s="81">
        <f t="shared" si="290"/>
        <v>53.749999997914223</v>
      </c>
      <c r="U1051" s="79" t="s">
        <v>2166</v>
      </c>
      <c r="V1051" s="82">
        <v>45776.488194444442</v>
      </c>
      <c r="W1051" s="82">
        <v>45776.714583333334</v>
      </c>
      <c r="X1051" s="103">
        <f t="shared" si="291"/>
        <v>319.20833333766495</v>
      </c>
      <c r="Y1051" s="82" t="s">
        <v>1050</v>
      </c>
      <c r="Z1051" s="82">
        <v>45777.625</v>
      </c>
      <c r="AA1051" s="82">
        <f t="shared" si="296"/>
        <v>45777.651388888888</v>
      </c>
      <c r="AB1051" s="81">
        <f t="shared" si="292"/>
        <v>37.208333331509493</v>
      </c>
      <c r="AC1051" s="78"/>
      <c r="AD1051" s="83">
        <f t="shared" si="279"/>
        <v>2.6743055555562023</v>
      </c>
      <c r="AE1051" s="83">
        <f>VLOOKUP(H1051,'LIST 2'!$A$1:$E$27,4,FALSE)</f>
        <v>2</v>
      </c>
      <c r="AF1051" s="83">
        <f t="shared" si="280"/>
        <v>-0.67430555555620231</v>
      </c>
      <c r="AG1051" s="83">
        <f t="shared" si="281"/>
        <v>64.183333333348855</v>
      </c>
      <c r="AH1051" s="83">
        <f t="shared" si="282"/>
        <v>24</v>
      </c>
      <c r="AI1051" s="83">
        <f t="shared" si="283"/>
        <v>40.183333333348855</v>
      </c>
      <c r="AJ1051" s="83">
        <f t="shared" si="293"/>
        <v>3.8822065532958874</v>
      </c>
      <c r="AK1051" s="83"/>
      <c r="AL1051" s="83"/>
      <c r="AM1051" s="83"/>
      <c r="AN1051" s="83"/>
    </row>
    <row r="1052" spans="1:40" ht="15" hidden="1" x14ac:dyDescent="0.25">
      <c r="A1052" s="82">
        <v>45775</v>
      </c>
      <c r="B1052" s="94" t="str">
        <f t="shared" si="286"/>
        <v>April</v>
      </c>
      <c r="C1052" s="79" t="s">
        <v>2162</v>
      </c>
      <c r="D1052" s="79" t="s">
        <v>1867</v>
      </c>
      <c r="E1052" s="79" t="s">
        <v>1016</v>
      </c>
      <c r="F1052" s="79" t="s">
        <v>1690</v>
      </c>
      <c r="G1052" s="79" t="s">
        <v>45</v>
      </c>
      <c r="H1052" s="82" t="s">
        <v>1959</v>
      </c>
      <c r="I1052" s="79">
        <v>156</v>
      </c>
      <c r="J1052" s="79" t="s">
        <v>1867</v>
      </c>
      <c r="K1052" s="80" t="s">
        <v>469</v>
      </c>
      <c r="L1052" s="79">
        <f>VLOOKUP(H1052,Table2[#All],3,FALSE)</f>
        <v>304</v>
      </c>
      <c r="M1052" s="80">
        <f t="shared" si="287"/>
        <v>302</v>
      </c>
      <c r="N1052" s="81">
        <f t="shared" si="277"/>
        <v>-2</v>
      </c>
      <c r="P1052" s="82">
        <f t="shared" ref="P1052" si="297">R1052-TIME(0,26,0)</f>
        <v>45774.910416666666</v>
      </c>
      <c r="Q1052" s="82">
        <v>45775.375</v>
      </c>
      <c r="R1052" s="82">
        <v>45774.928472222222</v>
      </c>
      <c r="S1052" s="81">
        <f t="shared" si="278"/>
        <v>-640.02314814861165</v>
      </c>
      <c r="T1052" s="81">
        <f t="shared" si="290"/>
        <v>25.879629630556639</v>
      </c>
      <c r="U1052" s="79"/>
      <c r="V1052" s="82">
        <v>45775.303472222222</v>
      </c>
      <c r="W1052" s="82">
        <v>45775.51458333333</v>
      </c>
      <c r="X1052" s="103">
        <f t="shared" si="291"/>
        <v>297.66666666233505</v>
      </c>
      <c r="Y1052" s="82" t="s">
        <v>1044</v>
      </c>
      <c r="Z1052" s="82">
        <v>45775.803472222222</v>
      </c>
      <c r="AA1052" s="82">
        <f>Z1052+TIME(0,41,0)</f>
        <v>45775.831944444442</v>
      </c>
      <c r="AB1052" s="81">
        <f t="shared" si="292"/>
        <v>40.145833330825553</v>
      </c>
      <c r="AC1052" s="78"/>
      <c r="AD1052" s="83">
        <f t="shared" si="279"/>
        <v>0.875</v>
      </c>
      <c r="AE1052" s="83">
        <f>VLOOKUP(H1052,'LIST 2'!$A$1:$E$27,4,FALSE)</f>
        <v>2</v>
      </c>
      <c r="AF1052" s="83">
        <f t="shared" si="280"/>
        <v>1.125</v>
      </c>
      <c r="AG1052" s="83">
        <f t="shared" si="281"/>
        <v>21</v>
      </c>
      <c r="AH1052" s="83">
        <f t="shared" si="282"/>
        <v>0</v>
      </c>
      <c r="AI1052" s="83">
        <f t="shared" si="283"/>
        <v>21</v>
      </c>
      <c r="AJ1052" s="83">
        <f t="shared" si="293"/>
        <v>7.4285714285714288</v>
      </c>
      <c r="AK1052" s="83"/>
      <c r="AL1052" s="83"/>
      <c r="AM1052" s="83"/>
      <c r="AN1052" s="83"/>
    </row>
    <row r="1053" spans="1:40" ht="15" hidden="1" x14ac:dyDescent="0.25">
      <c r="A1053" s="82">
        <v>45775</v>
      </c>
      <c r="B1053" s="94" t="str">
        <f t="shared" si="286"/>
        <v>April</v>
      </c>
      <c r="C1053" s="79" t="s">
        <v>2161</v>
      </c>
      <c r="D1053" s="79" t="s">
        <v>1868</v>
      </c>
      <c r="E1053" s="79"/>
      <c r="F1053" s="79" t="s">
        <v>965</v>
      </c>
      <c r="G1053" s="79" t="s">
        <v>980</v>
      </c>
      <c r="H1053" s="82" t="s">
        <v>1956</v>
      </c>
      <c r="I1053" s="79">
        <v>153.6</v>
      </c>
      <c r="J1053" s="79" t="s">
        <v>1868</v>
      </c>
      <c r="K1053" s="80" t="s">
        <v>469</v>
      </c>
      <c r="L1053" s="79">
        <f>VLOOKUP(H1053,Table2[#All],3,FALSE)</f>
        <v>596</v>
      </c>
      <c r="M1053" s="80">
        <f t="shared" si="287"/>
        <v>594</v>
      </c>
      <c r="N1053" s="81">
        <f t="shared" si="277"/>
        <v>-2</v>
      </c>
      <c r="P1053" s="82">
        <f>R1053-TIME(0,23,0)</f>
        <v>45774.877083333333</v>
      </c>
      <c r="Q1053" s="82">
        <v>45775.416666666664</v>
      </c>
      <c r="R1053" s="82">
        <v>45774.893055555556</v>
      </c>
      <c r="S1053" s="81">
        <f t="shared" si="278"/>
        <v>-750.50925925485592</v>
      </c>
      <c r="T1053" s="81">
        <f t="shared" si="290"/>
        <v>22.893518520140788</v>
      </c>
      <c r="U1053" s="79"/>
      <c r="V1053" s="82">
        <v>45775.384722222225</v>
      </c>
      <c r="W1053" s="82">
        <v>45775.557638888888</v>
      </c>
      <c r="X1053" s="103">
        <f t="shared" si="291"/>
        <v>243.81249999452848</v>
      </c>
      <c r="Y1053" s="82" t="s">
        <v>1044</v>
      </c>
      <c r="Z1053" s="82">
        <v>45775.715277777781</v>
      </c>
      <c r="AA1053" s="82">
        <f>Z1053+TIME(0,40,0)</f>
        <v>45775.743055555562</v>
      </c>
      <c r="AB1053" s="81">
        <f t="shared" si="292"/>
        <v>39.166666671226267</v>
      </c>
      <c r="AC1053" s="78"/>
      <c r="AD1053" s="83">
        <f t="shared" si="279"/>
        <v>0.82222222222480923</v>
      </c>
      <c r="AE1053" s="83">
        <f>VLOOKUP(H1053,'LIST 2'!$A$1:$E$27,4,FALSE)</f>
        <v>2</v>
      </c>
      <c r="AF1053" s="83">
        <f t="shared" si="280"/>
        <v>1.1777777777751908</v>
      </c>
      <c r="AG1053" s="83">
        <f t="shared" si="281"/>
        <v>19.733333333395422</v>
      </c>
      <c r="AH1053" s="83">
        <f t="shared" si="282"/>
        <v>0</v>
      </c>
      <c r="AI1053" s="83">
        <f t="shared" si="283"/>
        <v>19.733333333395422</v>
      </c>
      <c r="AJ1053" s="83">
        <f t="shared" si="293"/>
        <v>7.7837837837592927</v>
      </c>
      <c r="AK1053" s="83"/>
      <c r="AL1053" s="83"/>
      <c r="AM1053" s="83"/>
      <c r="AN1053" s="83"/>
    </row>
    <row r="1054" spans="1:40" ht="15" hidden="1" x14ac:dyDescent="0.25">
      <c r="A1054" s="82">
        <v>45775</v>
      </c>
      <c r="B1054" s="94" t="str">
        <f t="shared" si="286"/>
        <v>April</v>
      </c>
      <c r="C1054" s="79" t="s">
        <v>2161</v>
      </c>
      <c r="D1054" s="79" t="s">
        <v>1869</v>
      </c>
      <c r="E1054" s="79"/>
      <c r="F1054" s="79" t="s">
        <v>952</v>
      </c>
      <c r="G1054" s="79" t="s">
        <v>969</v>
      </c>
      <c r="H1054" s="82" t="s">
        <v>1957</v>
      </c>
      <c r="I1054" s="79">
        <v>153.6</v>
      </c>
      <c r="J1054" s="79" t="s">
        <v>1869</v>
      </c>
      <c r="K1054" s="80" t="s">
        <v>469</v>
      </c>
      <c r="L1054" s="79">
        <f>VLOOKUP(H1054,Table2[#All],3,FALSE)</f>
        <v>288</v>
      </c>
      <c r="M1054" s="80">
        <f t="shared" si="287"/>
        <v>286</v>
      </c>
      <c r="N1054" s="81">
        <f t="shared" si="277"/>
        <v>-2</v>
      </c>
      <c r="P1054" s="82">
        <f>R1054-TIME(0,28,0)</f>
        <v>45774.86319444445</v>
      </c>
      <c r="Q1054" s="82">
        <v>45775.416666666664</v>
      </c>
      <c r="R1054" s="82">
        <v>45774.882638888892</v>
      </c>
      <c r="S1054" s="81">
        <f t="shared" si="278"/>
        <v>-765.43981480693526</v>
      </c>
      <c r="T1054" s="81">
        <f t="shared" si="290"/>
        <v>27.870370367357584</v>
      </c>
      <c r="U1054" s="79"/>
      <c r="V1054" s="82">
        <v>45775.604166666664</v>
      </c>
      <c r="W1054" s="82">
        <v>45775.823611111111</v>
      </c>
      <c r="X1054" s="103">
        <f t="shared" si="291"/>
        <v>309.41666666985839</v>
      </c>
      <c r="Y1054" s="82" t="s">
        <v>1044</v>
      </c>
      <c r="Z1054" s="82">
        <v>45776.527083333334</v>
      </c>
      <c r="AA1054" s="82">
        <f t="shared" si="288"/>
        <v>45776.558333333334</v>
      </c>
      <c r="AB1054" s="81">
        <f t="shared" si="292"/>
        <v>44.0625</v>
      </c>
      <c r="AC1054" s="78"/>
      <c r="AD1054" s="83">
        <f t="shared" si="279"/>
        <v>1.6444444444423425</v>
      </c>
      <c r="AE1054" s="83">
        <f>VLOOKUP(H1054,'LIST 2'!$A$1:$E$27,4,FALSE)</f>
        <v>2</v>
      </c>
      <c r="AF1054" s="83">
        <f t="shared" si="280"/>
        <v>0.3555555555576575</v>
      </c>
      <c r="AG1054" s="83">
        <f t="shared" si="281"/>
        <v>39.46666666661622</v>
      </c>
      <c r="AH1054" s="83">
        <f t="shared" si="282"/>
        <v>12</v>
      </c>
      <c r="AI1054" s="83">
        <f t="shared" si="283"/>
        <v>27.46666666661622</v>
      </c>
      <c r="AJ1054" s="83">
        <f t="shared" si="293"/>
        <v>5.5922330097190089</v>
      </c>
      <c r="AK1054" s="83"/>
      <c r="AL1054" s="83"/>
      <c r="AM1054" s="83"/>
      <c r="AN1054" s="83"/>
    </row>
    <row r="1055" spans="1:40" ht="15" hidden="1" x14ac:dyDescent="0.25">
      <c r="A1055" s="82">
        <v>45776</v>
      </c>
      <c r="B1055" s="94" t="str">
        <f t="shared" si="286"/>
        <v>April</v>
      </c>
      <c r="C1055" s="79" t="s">
        <v>2161</v>
      </c>
      <c r="D1055" s="79" t="s">
        <v>1870</v>
      </c>
      <c r="E1055" s="80" t="s">
        <v>1016</v>
      </c>
      <c r="F1055" s="79" t="s">
        <v>954</v>
      </c>
      <c r="G1055" s="79" t="s">
        <v>971</v>
      </c>
      <c r="H1055" s="82" t="s">
        <v>1959</v>
      </c>
      <c r="I1055" s="79">
        <v>156</v>
      </c>
      <c r="J1055" s="79" t="s">
        <v>1870</v>
      </c>
      <c r="K1055" s="80" t="s">
        <v>469</v>
      </c>
      <c r="L1055" s="79">
        <f>VLOOKUP(H1055,Table2[#All],3,FALSE)</f>
        <v>304</v>
      </c>
      <c r="M1055" s="80">
        <f t="shared" si="287"/>
        <v>302</v>
      </c>
      <c r="N1055" s="81">
        <f t="shared" si="277"/>
        <v>-2</v>
      </c>
      <c r="P1055" s="82">
        <f>R1055-TIME(0,39,0)</f>
        <v>45776.786805555552</v>
      </c>
      <c r="Q1055" s="82">
        <v>45776.098611111112</v>
      </c>
      <c r="R1055" s="82">
        <v>45776.813888888886</v>
      </c>
      <c r="S1055" s="81">
        <f t="shared" si="278"/>
        <v>1025.2314814756876</v>
      </c>
      <c r="T1055" s="81">
        <f t="shared" si="290"/>
        <v>38.819444445834961</v>
      </c>
      <c r="U1055" s="79" t="s">
        <v>2163</v>
      </c>
      <c r="V1055" s="82">
        <v>45777.53125</v>
      </c>
      <c r="W1055" s="82">
        <v>45777.625694444447</v>
      </c>
      <c r="X1055" s="103">
        <f t="shared" si="291"/>
        <v>133.16666666985839</v>
      </c>
      <c r="Y1055" s="82"/>
      <c r="Z1055" s="82">
        <v>45777.651388888888</v>
      </c>
      <c r="AA1055" s="82">
        <f>Z1055+TIME(0,44,0)</f>
        <v>45777.681944444441</v>
      </c>
      <c r="AB1055" s="81">
        <f t="shared" si="292"/>
        <v>43.083333330141613</v>
      </c>
      <c r="AC1055" s="78"/>
      <c r="AD1055" s="83">
        <f t="shared" si="279"/>
        <v>0.83750000000145519</v>
      </c>
      <c r="AE1055" s="83">
        <f>VLOOKUP(H1055,'LIST 2'!$A$1:$E$27,4,FALSE)</f>
        <v>2</v>
      </c>
      <c r="AF1055" s="83">
        <f t="shared" si="280"/>
        <v>1.1624999999985448</v>
      </c>
      <c r="AG1055" s="83">
        <f t="shared" si="281"/>
        <v>20.100000000034925</v>
      </c>
      <c r="AH1055" s="83">
        <f t="shared" si="282"/>
        <v>0</v>
      </c>
      <c r="AI1055" s="83">
        <f t="shared" si="283"/>
        <v>20.100000000034925</v>
      </c>
      <c r="AJ1055" s="83">
        <f t="shared" si="293"/>
        <v>7.7611940298372613</v>
      </c>
      <c r="AK1055" s="83"/>
      <c r="AL1055" s="83"/>
      <c r="AM1055" s="83"/>
      <c r="AN1055" s="83"/>
    </row>
    <row r="1056" spans="1:40" ht="15" hidden="1" x14ac:dyDescent="0.25">
      <c r="A1056" s="82">
        <v>45776</v>
      </c>
      <c r="B1056" s="94" t="str">
        <f t="shared" si="286"/>
        <v>April</v>
      </c>
      <c r="C1056" s="79" t="s">
        <v>2162</v>
      </c>
      <c r="D1056" s="79" t="s">
        <v>1871</v>
      </c>
      <c r="E1056" s="79" t="s">
        <v>1016</v>
      </c>
      <c r="F1056" s="79" t="s">
        <v>1694</v>
      </c>
      <c r="G1056" s="79" t="s">
        <v>39</v>
      </c>
      <c r="H1056" s="82" t="s">
        <v>1958</v>
      </c>
      <c r="I1056" s="79">
        <v>156</v>
      </c>
      <c r="J1056" s="79" t="s">
        <v>1871</v>
      </c>
      <c r="K1056" s="80" t="s">
        <v>469</v>
      </c>
      <c r="L1056" s="79">
        <f>VLOOKUP(H1056,Table2[#All],3,FALSE)</f>
        <v>304</v>
      </c>
      <c r="M1056" s="80">
        <f t="shared" si="287"/>
        <v>302</v>
      </c>
      <c r="N1056" s="81">
        <f t="shared" si="277"/>
        <v>-2</v>
      </c>
      <c r="P1056" s="82">
        <f>R1056-TIME(0,42,0)</f>
        <v>45776.529166666667</v>
      </c>
      <c r="Q1056" s="82">
        <v>45775.850694444445</v>
      </c>
      <c r="R1056" s="82">
        <v>45776.558333333334</v>
      </c>
      <c r="S1056" s="81">
        <f t="shared" si="278"/>
        <v>1014.2824074076392</v>
      </c>
      <c r="T1056" s="81">
        <f t="shared" si="290"/>
        <v>41.805555556250816</v>
      </c>
      <c r="U1056" s="79" t="s">
        <v>2164</v>
      </c>
      <c r="V1056" s="82">
        <v>45777.336111111108</v>
      </c>
      <c r="W1056" s="82">
        <v>45778.457638888889</v>
      </c>
      <c r="X1056" s="103">
        <f t="shared" si="291"/>
        <v>1581.3541666712263</v>
      </c>
      <c r="Y1056" s="82" t="s">
        <v>1049</v>
      </c>
      <c r="Z1056" s="82">
        <v>45779.304861111108</v>
      </c>
      <c r="AA1056" s="82">
        <f>Z1056+TIME(0,44,0)</f>
        <v>45779.335416666661</v>
      </c>
      <c r="AB1056" s="81">
        <f t="shared" si="292"/>
        <v>43.083333330141613</v>
      </c>
      <c r="AC1056" s="78"/>
      <c r="AD1056" s="83">
        <f t="shared" si="279"/>
        <v>2.7465277777737356</v>
      </c>
      <c r="AE1056" s="83">
        <f>VLOOKUP(H1056,'LIST 2'!$A$1:$E$27,4,FALSE)</f>
        <v>2</v>
      </c>
      <c r="AF1056" s="83">
        <f t="shared" si="280"/>
        <v>-0.74652777777373558</v>
      </c>
      <c r="AG1056" s="83">
        <f t="shared" si="281"/>
        <v>65.916666666569654</v>
      </c>
      <c r="AH1056" s="83">
        <f t="shared" si="282"/>
        <v>24</v>
      </c>
      <c r="AI1056" s="83">
        <f t="shared" si="283"/>
        <v>41.916666666569654</v>
      </c>
      <c r="AJ1056" s="83">
        <f t="shared" si="293"/>
        <v>3.7216699801278978</v>
      </c>
      <c r="AK1056" s="83"/>
      <c r="AL1056" s="83"/>
      <c r="AM1056" s="83"/>
      <c r="AN1056" s="83"/>
    </row>
    <row r="1057" spans="1:40" ht="15" hidden="1" x14ac:dyDescent="0.25">
      <c r="A1057" s="82">
        <v>45776</v>
      </c>
      <c r="B1057" s="94" t="str">
        <f t="shared" si="286"/>
        <v>April</v>
      </c>
      <c r="C1057" s="79" t="s">
        <v>2161</v>
      </c>
      <c r="D1057" s="79" t="s">
        <v>1872</v>
      </c>
      <c r="E1057" s="79"/>
      <c r="F1057" s="79" t="s">
        <v>953</v>
      </c>
      <c r="G1057" s="79" t="s">
        <v>970</v>
      </c>
      <c r="H1057" s="82" t="s">
        <v>1990</v>
      </c>
      <c r="I1057" s="79">
        <v>153.6</v>
      </c>
      <c r="J1057" s="79" t="s">
        <v>1872</v>
      </c>
      <c r="K1057" s="80" t="s">
        <v>469</v>
      </c>
      <c r="L1057" s="79">
        <f>VLOOKUP(H1057,Table2[#All],3,FALSE)</f>
        <v>810</v>
      </c>
      <c r="M1057" s="80">
        <f t="shared" si="287"/>
        <v>808</v>
      </c>
      <c r="N1057" s="81">
        <f t="shared" si="277"/>
        <v>-2</v>
      </c>
      <c r="P1057" s="82">
        <f t="shared" ref="P1057:P1058" si="298">R1057-TIME(0,28,0)</f>
        <v>45776.370138888888</v>
      </c>
      <c r="Q1057" s="82">
        <v>45775.875</v>
      </c>
      <c r="R1057" s="82">
        <v>45776.38958333333</v>
      </c>
      <c r="S1057" s="81">
        <f t="shared" si="278"/>
        <v>737.56944443957764</v>
      </c>
      <c r="T1057" s="81">
        <f t="shared" si="290"/>
        <v>27.870370367357584</v>
      </c>
      <c r="V1057" s="82">
        <v>45776.856944444444</v>
      </c>
      <c r="W1057" s="82">
        <v>45777.492361111108</v>
      </c>
      <c r="X1057" s="103">
        <f t="shared" si="291"/>
        <v>895.9374999965803</v>
      </c>
      <c r="Y1057" s="82" t="s">
        <v>1051</v>
      </c>
      <c r="Z1057" s="82">
        <v>45778.777083333334</v>
      </c>
      <c r="AA1057" s="82">
        <f>Z1057+TIME(0,44,0)</f>
        <v>45778.807638888888</v>
      </c>
      <c r="AB1057" s="81">
        <f t="shared" si="292"/>
        <v>43.083333330141613</v>
      </c>
      <c r="AC1057" s="78"/>
      <c r="AD1057" s="83">
        <f t="shared" si="279"/>
        <v>2.3875000000043656</v>
      </c>
      <c r="AE1057" s="83">
        <f>VLOOKUP(H1057,'LIST 2'!$A$1:$E$27,4,FALSE)</f>
        <v>3</v>
      </c>
      <c r="AF1057" s="83">
        <f t="shared" si="280"/>
        <v>0.61249999999563443</v>
      </c>
      <c r="AG1057" s="83">
        <f t="shared" si="281"/>
        <v>57.300000000104774</v>
      </c>
      <c r="AH1057" s="83">
        <f t="shared" si="282"/>
        <v>24</v>
      </c>
      <c r="AI1057" s="83">
        <f t="shared" si="283"/>
        <v>33.300000000104774</v>
      </c>
      <c r="AJ1057" s="83">
        <f t="shared" si="293"/>
        <v>4.6126126125980997</v>
      </c>
      <c r="AK1057" s="83"/>
      <c r="AL1057" s="83"/>
      <c r="AM1057" s="83"/>
      <c r="AN1057" s="83"/>
    </row>
    <row r="1058" spans="1:40" ht="15" hidden="1" x14ac:dyDescent="0.25">
      <c r="A1058" s="82">
        <v>45776</v>
      </c>
      <c r="B1058" s="94" t="str">
        <f t="shared" si="286"/>
        <v>April</v>
      </c>
      <c r="C1058" s="79" t="s">
        <v>2161</v>
      </c>
      <c r="D1058" s="79" t="s">
        <v>1873</v>
      </c>
      <c r="E1058" s="79"/>
      <c r="F1058" s="79" t="s">
        <v>956</v>
      </c>
      <c r="G1058" s="79" t="s">
        <v>973</v>
      </c>
      <c r="H1058" s="82" t="s">
        <v>1957</v>
      </c>
      <c r="I1058" s="79">
        <v>153.6</v>
      </c>
      <c r="J1058" s="79" t="s">
        <v>1873</v>
      </c>
      <c r="K1058" s="80" t="s">
        <v>469</v>
      </c>
      <c r="L1058" s="79">
        <f>VLOOKUP(H1058,Table2[#All],3,FALSE)</f>
        <v>288</v>
      </c>
      <c r="M1058" s="80">
        <f>L1058-3</f>
        <v>285</v>
      </c>
      <c r="N1058" s="81">
        <f t="shared" si="277"/>
        <v>-3</v>
      </c>
      <c r="P1058" s="82">
        <f t="shared" si="298"/>
        <v>45777.646527777782</v>
      </c>
      <c r="Q1058" s="82">
        <v>45777.154861111114</v>
      </c>
      <c r="R1058" s="82">
        <v>45777.665972222225</v>
      </c>
      <c r="S1058" s="81">
        <f t="shared" si="278"/>
        <v>732.5925925923608</v>
      </c>
      <c r="T1058" s="81">
        <f t="shared" si="290"/>
        <v>27.870370367357584</v>
      </c>
      <c r="V1058" s="82">
        <v>45776.42083333333</v>
      </c>
      <c r="W1058" s="82">
        <v>45776.742361111108</v>
      </c>
      <c r="X1058" s="103">
        <f t="shared" si="291"/>
        <v>453.35416666712263</v>
      </c>
      <c r="Y1058" s="82" t="s">
        <v>1050</v>
      </c>
      <c r="Z1058" s="82">
        <v>45776.776388888888</v>
      </c>
      <c r="AA1058" s="82">
        <f>Z1058+TIME(0,40,0)</f>
        <v>45776.804166666669</v>
      </c>
      <c r="AB1058" s="81">
        <f t="shared" si="292"/>
        <v>39.166666671226267</v>
      </c>
      <c r="AC1058" s="78"/>
      <c r="AD1058" s="83">
        <f t="shared" si="279"/>
        <v>-0.88958333333721384</v>
      </c>
      <c r="AE1058" s="83">
        <f>VLOOKUP(H1058,'LIST 2'!$A$1:$E$27,4,FALSE)</f>
        <v>2</v>
      </c>
      <c r="AF1058" s="83">
        <f t="shared" si="280"/>
        <v>2.8895833333372138</v>
      </c>
      <c r="AG1058" s="83">
        <f t="shared" si="281"/>
        <v>-21.350000000093132</v>
      </c>
      <c r="AH1058" s="83">
        <f t="shared" si="282"/>
        <v>-12</v>
      </c>
      <c r="AI1058" s="83">
        <f t="shared" si="283"/>
        <v>-9.3500000000931323</v>
      </c>
      <c r="AJ1058" s="83">
        <f t="shared" si="293"/>
        <v>-16.427807486467383</v>
      </c>
      <c r="AK1058" s="83"/>
      <c r="AL1058" s="83"/>
      <c r="AM1058" s="83"/>
      <c r="AN1058" s="83"/>
    </row>
    <row r="1059" spans="1:40" ht="15" hidden="1" x14ac:dyDescent="0.25">
      <c r="A1059" s="82">
        <v>45776</v>
      </c>
      <c r="B1059" s="94" t="str">
        <f t="shared" si="286"/>
        <v>April</v>
      </c>
      <c r="C1059" s="79" t="s">
        <v>2161</v>
      </c>
      <c r="D1059" s="79" t="s">
        <v>1874</v>
      </c>
      <c r="E1059" s="79"/>
      <c r="F1059" s="79" t="s">
        <v>955</v>
      </c>
      <c r="G1059" s="79" t="s">
        <v>972</v>
      </c>
      <c r="H1059" s="82" t="s">
        <v>1956</v>
      </c>
      <c r="I1059" s="79">
        <v>153.6</v>
      </c>
      <c r="J1059" s="79" t="s">
        <v>1874</v>
      </c>
      <c r="K1059" s="80" t="s">
        <v>469</v>
      </c>
      <c r="L1059" s="79">
        <f>VLOOKUP(H1059,Table2[#All],3,FALSE)</f>
        <v>596</v>
      </c>
      <c r="M1059" s="80">
        <f t="shared" si="287"/>
        <v>594</v>
      </c>
      <c r="N1059" s="81">
        <f t="shared" si="277"/>
        <v>-2</v>
      </c>
      <c r="P1059" s="82">
        <f>R1059-TIME(0,23,0)</f>
        <v>45776.615972222222</v>
      </c>
      <c r="Q1059" s="82">
        <v>45776.176388888889</v>
      </c>
      <c r="R1059" s="82">
        <v>45776.631944444445</v>
      </c>
      <c r="S1059" s="81">
        <f t="shared" si="278"/>
        <v>652.96296296388994</v>
      </c>
      <c r="T1059" s="81">
        <f t="shared" si="290"/>
        <v>22.893518520140788</v>
      </c>
      <c r="V1059" s="82">
        <v>45777.467361111114</v>
      </c>
      <c r="W1059" s="82">
        <v>45777.544444444444</v>
      </c>
      <c r="X1059" s="103">
        <f t="shared" si="291"/>
        <v>108.68749999521242</v>
      </c>
      <c r="Y1059" s="82"/>
      <c r="Z1059" s="82">
        <v>45777.714583333334</v>
      </c>
      <c r="AA1059" s="82">
        <f>Z1059+TIME(0,52,0)</f>
        <v>45777.750694444447</v>
      </c>
      <c r="AB1059" s="81">
        <f t="shared" si="292"/>
        <v>50.916666668490507</v>
      </c>
      <c r="AC1059" s="82" t="s">
        <v>2168</v>
      </c>
      <c r="AD1059" s="83">
        <f t="shared" si="279"/>
        <v>1.0826388888890506</v>
      </c>
      <c r="AE1059" s="83">
        <f>VLOOKUP(H1059,'LIST 2'!$A$1:$E$27,4,FALSE)</f>
        <v>2</v>
      </c>
      <c r="AF1059" s="83">
        <f t="shared" si="280"/>
        <v>0.91736111111094942</v>
      </c>
      <c r="AG1059" s="83">
        <f t="shared" si="281"/>
        <v>25.983333333337214</v>
      </c>
      <c r="AH1059" s="83">
        <f t="shared" si="282"/>
        <v>12</v>
      </c>
      <c r="AI1059" s="83">
        <f t="shared" si="283"/>
        <v>13.983333333337214</v>
      </c>
      <c r="AJ1059" s="83">
        <f t="shared" si="293"/>
        <v>10.984505363524962</v>
      </c>
      <c r="AK1059" s="83"/>
      <c r="AL1059" s="83"/>
      <c r="AM1059" s="83"/>
      <c r="AN1059" s="83"/>
    </row>
    <row r="1060" spans="1:40" ht="15" hidden="1" x14ac:dyDescent="0.25">
      <c r="A1060" s="82">
        <v>45776</v>
      </c>
      <c r="B1060" s="94" t="str">
        <f t="shared" si="286"/>
        <v>April</v>
      </c>
      <c r="C1060" s="79" t="s">
        <v>2161</v>
      </c>
      <c r="D1060" s="79" t="s">
        <v>1875</v>
      </c>
      <c r="E1060" s="79"/>
      <c r="F1060" s="79" t="s">
        <v>965</v>
      </c>
      <c r="G1060" s="79" t="s">
        <v>980</v>
      </c>
      <c r="H1060" s="82" t="s">
        <v>2194</v>
      </c>
      <c r="I1060" s="79">
        <v>156</v>
      </c>
      <c r="J1060" s="79" t="s">
        <v>1875</v>
      </c>
      <c r="K1060" s="80" t="s">
        <v>469</v>
      </c>
      <c r="L1060" s="79">
        <f>VLOOKUP(H1060,Table2[#All],3,FALSE)</f>
        <v>620</v>
      </c>
      <c r="M1060" s="80">
        <f t="shared" si="287"/>
        <v>618</v>
      </c>
      <c r="N1060" s="81">
        <f t="shared" si="277"/>
        <v>-2</v>
      </c>
      <c r="P1060" s="82">
        <f>R1060-TIME(0,26,0)</f>
        <v>45776.269444444442</v>
      </c>
      <c r="Q1060" s="82">
        <v>45776.082638888889</v>
      </c>
      <c r="R1060" s="82">
        <v>45776.287499999999</v>
      </c>
      <c r="S1060" s="81">
        <f t="shared" si="278"/>
        <v>293.63425925694173</v>
      </c>
      <c r="T1060" s="81">
        <f t="shared" si="290"/>
        <v>25.879629630556639</v>
      </c>
      <c r="V1060" s="82">
        <v>45776.702777777777</v>
      </c>
      <c r="W1060" s="82">
        <v>45777.593055555553</v>
      </c>
      <c r="X1060" s="103">
        <f t="shared" si="291"/>
        <v>1255.2916666650708</v>
      </c>
      <c r="Y1060" s="82" t="s">
        <v>1044</v>
      </c>
      <c r="Z1060" s="82">
        <v>45778.490277777775</v>
      </c>
      <c r="AA1060" s="82">
        <f>Z1060+TIME(0,50,0)</f>
        <v>45778.524999999994</v>
      </c>
      <c r="AB1060" s="81">
        <f t="shared" si="292"/>
        <v>48.958333328773733</v>
      </c>
      <c r="AC1060" s="82" t="s">
        <v>1678</v>
      </c>
      <c r="AD1060" s="83">
        <f t="shared" si="279"/>
        <v>2.202777777776646</v>
      </c>
      <c r="AE1060" s="83">
        <f>VLOOKUP(H1060,'LIST 2'!$A$1:$E$27,4,FALSE)</f>
        <v>3</v>
      </c>
      <c r="AF1060" s="83">
        <f t="shared" si="280"/>
        <v>0.79722222222335404</v>
      </c>
      <c r="AG1060" s="83">
        <f t="shared" si="281"/>
        <v>52.866666666639503</v>
      </c>
      <c r="AH1060" s="83">
        <f t="shared" si="282"/>
        <v>24</v>
      </c>
      <c r="AI1060" s="83">
        <f t="shared" si="283"/>
        <v>28.866666666639503</v>
      </c>
      <c r="AJ1060" s="83">
        <f t="shared" si="293"/>
        <v>5.4041570438849931</v>
      </c>
      <c r="AK1060" s="83"/>
      <c r="AL1060" s="83"/>
      <c r="AM1060" s="83"/>
      <c r="AN1060" s="83"/>
    </row>
    <row r="1061" spans="1:40" ht="15" hidden="1" x14ac:dyDescent="0.25">
      <c r="A1061" s="82">
        <v>45776</v>
      </c>
      <c r="B1061" s="94" t="str">
        <f t="shared" si="286"/>
        <v>April</v>
      </c>
      <c r="C1061" s="79" t="s">
        <v>2161</v>
      </c>
      <c r="D1061" s="79" t="s">
        <v>1876</v>
      </c>
      <c r="E1061" s="79"/>
      <c r="F1061" s="79" t="s">
        <v>956</v>
      </c>
      <c r="G1061" s="79" t="s">
        <v>973</v>
      </c>
      <c r="H1061" s="82" t="s">
        <v>1989</v>
      </c>
      <c r="I1061" s="79">
        <v>153.6</v>
      </c>
      <c r="J1061" s="79" t="s">
        <v>1876</v>
      </c>
      <c r="K1061" s="80" t="s">
        <v>469</v>
      </c>
      <c r="L1061" s="79">
        <f>VLOOKUP(H1061,Table2[#All],3,FALSE)</f>
        <v>20</v>
      </c>
      <c r="M1061" s="80">
        <f t="shared" si="287"/>
        <v>18</v>
      </c>
      <c r="N1061" s="81">
        <f t="shared" si="277"/>
        <v>-2</v>
      </c>
      <c r="P1061" s="82">
        <f>R1061-TIME(0,23,0)</f>
        <v>45776.377083333333</v>
      </c>
      <c r="Q1061" s="82">
        <v>45776.320833333331</v>
      </c>
      <c r="R1061" s="82">
        <v>45776.393055555556</v>
      </c>
      <c r="S1061" s="81">
        <f t="shared" si="278"/>
        <v>103.51851852222656</v>
      </c>
      <c r="T1061" s="81">
        <f t="shared" si="290"/>
        <v>22.893518520140788</v>
      </c>
      <c r="V1061" s="82">
        <v>45778.392361111109</v>
      </c>
      <c r="W1061" s="82">
        <v>45778.556944444441</v>
      </c>
      <c r="X1061" s="103">
        <f t="shared" si="291"/>
        <v>232.06249999726424</v>
      </c>
      <c r="Y1061" s="82" t="s">
        <v>1047</v>
      </c>
      <c r="Z1061" s="82">
        <v>45779.454861111109</v>
      </c>
      <c r="AA1061" s="82">
        <f>Z1061+TIME(0,44,0)</f>
        <v>45779.485416666663</v>
      </c>
      <c r="AB1061" s="81">
        <f t="shared" si="292"/>
        <v>43.083333330141613</v>
      </c>
      <c r="AC1061" s="82"/>
      <c r="AD1061" s="83">
        <f t="shared" si="279"/>
        <v>3.0618055555532919</v>
      </c>
      <c r="AE1061" s="83">
        <f>VLOOKUP(H1061,'LIST 2'!$A$1:$E$27,4,FALSE)</f>
        <v>1</v>
      </c>
      <c r="AF1061" s="83">
        <f t="shared" si="280"/>
        <v>-2.0618055555532919</v>
      </c>
      <c r="AG1061" s="83">
        <f t="shared" si="281"/>
        <v>73.483333333279006</v>
      </c>
      <c r="AH1061" s="83">
        <f t="shared" si="282"/>
        <v>36</v>
      </c>
      <c r="AI1061" s="83">
        <f t="shared" si="283"/>
        <v>37.483333333279006</v>
      </c>
      <c r="AJ1061" s="83">
        <f t="shared" si="293"/>
        <v>4.0978212538965568</v>
      </c>
      <c r="AK1061" s="83"/>
      <c r="AL1061" s="83"/>
      <c r="AM1061" s="83"/>
      <c r="AN1061" s="83"/>
    </row>
    <row r="1062" spans="1:40" ht="15" hidden="1" x14ac:dyDescent="0.25">
      <c r="A1062" s="82">
        <v>45776</v>
      </c>
      <c r="B1062" s="94" t="str">
        <f t="shared" si="286"/>
        <v>April</v>
      </c>
      <c r="C1062" s="79" t="s">
        <v>2162</v>
      </c>
      <c r="D1062" s="79" t="s">
        <v>1877</v>
      </c>
      <c r="E1062" s="79" t="s">
        <v>1016</v>
      </c>
      <c r="F1062" s="79" t="s">
        <v>1691</v>
      </c>
      <c r="G1062" s="79" t="s">
        <v>55</v>
      </c>
      <c r="H1062" s="82" t="s">
        <v>2191</v>
      </c>
      <c r="I1062" s="79">
        <v>156</v>
      </c>
      <c r="J1062" s="79" t="s">
        <v>1877</v>
      </c>
      <c r="K1062" s="80" t="s">
        <v>469</v>
      </c>
      <c r="L1062" s="79">
        <f>VLOOKUP(H1062,Table2[#All],3,FALSE)</f>
        <v>790</v>
      </c>
      <c r="M1062" s="80">
        <f t="shared" si="287"/>
        <v>788</v>
      </c>
      <c r="N1062" s="81">
        <f t="shared" si="277"/>
        <v>-2</v>
      </c>
      <c r="P1062" s="82">
        <f>R1062-TIME(0,27,0)</f>
        <v>45776.549305555556</v>
      </c>
      <c r="Q1062" s="82">
        <v>45776.658333333333</v>
      </c>
      <c r="R1062" s="82">
        <v>45776.568055555559</v>
      </c>
      <c r="S1062" s="81">
        <f t="shared" si="278"/>
        <v>-129.39814814235433</v>
      </c>
      <c r="T1062" s="81">
        <f t="shared" si="290"/>
        <v>26.87500000417155</v>
      </c>
      <c r="V1062" s="82">
        <v>45777.654861111114</v>
      </c>
      <c r="W1062" s="82">
        <v>45777.74722222222</v>
      </c>
      <c r="X1062" s="103">
        <f t="shared" si="291"/>
        <v>130.22916666028323</v>
      </c>
      <c r="Y1062" s="82"/>
      <c r="Z1062" s="82">
        <v>45779.78402777778</v>
      </c>
      <c r="AA1062" s="82">
        <f>Z1062+TIME(0,40,0)</f>
        <v>45779.811805555561</v>
      </c>
      <c r="AB1062" s="81">
        <f t="shared" si="292"/>
        <v>39.166666671226267</v>
      </c>
      <c r="AC1062" s="82"/>
      <c r="AD1062" s="83">
        <f t="shared" si="279"/>
        <v>3.2159722222204437</v>
      </c>
      <c r="AE1062" s="83">
        <f>VLOOKUP(H1062,'LIST 2'!$A$1:$E$27,4,FALSE)</f>
        <v>3</v>
      </c>
      <c r="AF1062" s="83">
        <f t="shared" si="280"/>
        <v>-0.21597222222044365</v>
      </c>
      <c r="AG1062" s="83">
        <f t="shared" si="281"/>
        <v>77.183333333290648</v>
      </c>
      <c r="AH1062" s="83">
        <f t="shared" si="282"/>
        <v>36</v>
      </c>
      <c r="AI1062" s="83">
        <f t="shared" si="283"/>
        <v>41.183333333290648</v>
      </c>
      <c r="AJ1062" s="83">
        <f t="shared" si="293"/>
        <v>3.7879401052244845</v>
      </c>
      <c r="AK1062" s="83"/>
      <c r="AL1062" s="83"/>
      <c r="AM1062" s="83"/>
      <c r="AN1062" s="83"/>
    </row>
    <row r="1063" spans="1:40" ht="15" hidden="1" x14ac:dyDescent="0.25">
      <c r="A1063" s="82">
        <v>45776</v>
      </c>
      <c r="B1063" s="94" t="str">
        <f t="shared" si="286"/>
        <v>April</v>
      </c>
      <c r="C1063" s="79" t="s">
        <v>2161</v>
      </c>
      <c r="D1063" s="79" t="s">
        <v>1878</v>
      </c>
      <c r="E1063" s="79"/>
      <c r="F1063" s="79" t="s">
        <v>950</v>
      </c>
      <c r="G1063" s="79" t="s">
        <v>967</v>
      </c>
      <c r="H1063" s="82" t="s">
        <v>1989</v>
      </c>
      <c r="I1063" s="79">
        <v>153.6</v>
      </c>
      <c r="J1063" s="79" t="s">
        <v>1878</v>
      </c>
      <c r="K1063" s="80" t="s">
        <v>469</v>
      </c>
      <c r="L1063" s="79">
        <f>VLOOKUP(H1063,Table2[#All],3,FALSE)</f>
        <v>20</v>
      </c>
      <c r="M1063" s="80">
        <f t="shared" si="287"/>
        <v>18</v>
      </c>
      <c r="N1063" s="81">
        <f t="shared" si="277"/>
        <v>-2</v>
      </c>
      <c r="P1063" s="82">
        <f>R1063-TIME(0,23,0)</f>
        <v>45776.745138888888</v>
      </c>
      <c r="Q1063" s="82">
        <v>45777.176388888889</v>
      </c>
      <c r="R1063" s="82">
        <v>45776.761111111111</v>
      </c>
      <c r="S1063" s="81">
        <f t="shared" si="278"/>
        <v>-595.23148148194502</v>
      </c>
      <c r="T1063" s="81">
        <f t="shared" si="290"/>
        <v>22.893518520140788</v>
      </c>
      <c r="V1063" s="82">
        <v>45775.82708333333</v>
      </c>
      <c r="W1063" s="82">
        <v>45776.518750000003</v>
      </c>
      <c r="X1063" s="103">
        <f t="shared" si="291"/>
        <v>975.25000000889122</v>
      </c>
      <c r="Y1063" s="82" t="s">
        <v>1044</v>
      </c>
      <c r="Z1063" s="82">
        <v>45776.54583333333</v>
      </c>
      <c r="AA1063" s="82">
        <f>Z1063+TIME(0,44,0)</f>
        <v>45776.576388888883</v>
      </c>
      <c r="AB1063" s="81">
        <f t="shared" si="292"/>
        <v>43.083333330141613</v>
      </c>
      <c r="AC1063" s="82"/>
      <c r="AD1063" s="83">
        <f t="shared" si="279"/>
        <v>-0.21527777778101154</v>
      </c>
      <c r="AE1063" s="83">
        <f>VLOOKUP(H1063,'LIST 2'!$A$1:$E$27,4,FALSE)</f>
        <v>1</v>
      </c>
      <c r="AF1063" s="83">
        <f t="shared" si="280"/>
        <v>1.2152777777810115</v>
      </c>
      <c r="AG1063" s="83">
        <f t="shared" si="281"/>
        <v>-5.1666666667442769</v>
      </c>
      <c r="AH1063" s="83">
        <f t="shared" si="282"/>
        <v>-12</v>
      </c>
      <c r="AI1063" s="83">
        <f t="shared" si="283"/>
        <v>6.8333333332557231</v>
      </c>
      <c r="AJ1063" s="83">
        <f t="shared" si="293"/>
        <v>22.478048780743102</v>
      </c>
      <c r="AK1063" s="83"/>
      <c r="AL1063" s="83"/>
      <c r="AM1063" s="83"/>
      <c r="AN1063" s="83"/>
    </row>
    <row r="1064" spans="1:40" ht="15" hidden="1" x14ac:dyDescent="0.25">
      <c r="A1064" s="82">
        <v>45776</v>
      </c>
      <c r="B1064" s="94" t="str">
        <f t="shared" si="286"/>
        <v>April</v>
      </c>
      <c r="C1064" s="79" t="s">
        <v>2161</v>
      </c>
      <c r="D1064" s="79" t="s">
        <v>1879</v>
      </c>
      <c r="E1064" s="79"/>
      <c r="F1064" s="79" t="s">
        <v>959</v>
      </c>
      <c r="G1064" s="79" t="s">
        <v>976</v>
      </c>
      <c r="H1064" s="82" t="s">
        <v>1956</v>
      </c>
      <c r="I1064" s="79">
        <v>153.6</v>
      </c>
      <c r="J1064" s="79" t="s">
        <v>1879</v>
      </c>
      <c r="K1064" s="80" t="s">
        <v>469</v>
      </c>
      <c r="L1064" s="79">
        <f>VLOOKUP(H1064,Table2[#All],3,FALSE)</f>
        <v>596</v>
      </c>
      <c r="M1064" s="80">
        <f t="shared" si="287"/>
        <v>594</v>
      </c>
      <c r="N1064" s="81">
        <f t="shared" si="277"/>
        <v>-2</v>
      </c>
      <c r="P1064" s="82">
        <f>R1064-TIME(0,28,0)</f>
        <v>45775.664583333339</v>
      </c>
      <c r="Q1064" s="82">
        <v>45776.176388888889</v>
      </c>
      <c r="R1064" s="82">
        <v>45775.684027777781</v>
      </c>
      <c r="S1064" s="81">
        <f t="shared" si="278"/>
        <v>-705.71759258818929</v>
      </c>
      <c r="T1064" s="81">
        <f t="shared" si="290"/>
        <v>27.870370367357584</v>
      </c>
      <c r="V1064" s="82">
        <v>45775.868055555555</v>
      </c>
      <c r="W1064" s="82">
        <v>45776.522916666669</v>
      </c>
      <c r="X1064" s="103">
        <f t="shared" si="291"/>
        <v>923.35416667054233</v>
      </c>
      <c r="Y1064" s="82" t="s">
        <v>1044</v>
      </c>
      <c r="Z1064" s="82">
        <v>45776.734027777777</v>
      </c>
      <c r="AA1064" s="82">
        <f>Z1064+TIME(0,40,0)</f>
        <v>45776.761805555558</v>
      </c>
      <c r="AB1064" s="81">
        <f t="shared" si="292"/>
        <v>39.166666671226267</v>
      </c>
      <c r="AC1064" s="82"/>
      <c r="AD1064" s="83">
        <f t="shared" si="279"/>
        <v>1.0499999999956344</v>
      </c>
      <c r="AE1064" s="83">
        <f>VLOOKUP(H1064,'LIST 2'!$A$1:$E$27,4,FALSE)</f>
        <v>2</v>
      </c>
      <c r="AF1064" s="83">
        <f t="shared" si="280"/>
        <v>0.95000000000436557</v>
      </c>
      <c r="AG1064" s="83">
        <f t="shared" si="281"/>
        <v>25.199999999895226</v>
      </c>
      <c r="AH1064" s="83">
        <f t="shared" si="282"/>
        <v>12</v>
      </c>
      <c r="AI1064" s="83">
        <f t="shared" si="283"/>
        <v>13.199999999895226</v>
      </c>
      <c r="AJ1064" s="83">
        <f t="shared" si="293"/>
        <v>11.636363636455998</v>
      </c>
      <c r="AK1064" s="83"/>
      <c r="AL1064" s="83"/>
      <c r="AM1064" s="83"/>
      <c r="AN1064" s="83"/>
    </row>
    <row r="1065" spans="1:40" ht="15" hidden="1" x14ac:dyDescent="0.25">
      <c r="A1065" s="82">
        <v>45776</v>
      </c>
      <c r="B1065" s="94" t="str">
        <f t="shared" si="286"/>
        <v>April</v>
      </c>
      <c r="C1065" s="79" t="s">
        <v>2161</v>
      </c>
      <c r="D1065" s="79" t="s">
        <v>1880</v>
      </c>
      <c r="E1065" s="79"/>
      <c r="F1065" s="79" t="s">
        <v>950</v>
      </c>
      <c r="G1065" s="79" t="s">
        <v>967</v>
      </c>
      <c r="H1065" s="82" t="s">
        <v>1956</v>
      </c>
      <c r="I1065" s="79">
        <v>153.6</v>
      </c>
      <c r="J1065" s="79" t="s">
        <v>1880</v>
      </c>
      <c r="K1065" s="80" t="s">
        <v>469</v>
      </c>
      <c r="L1065" s="79">
        <f>VLOOKUP(H1065,Table2[#All],3,FALSE)</f>
        <v>596</v>
      </c>
      <c r="M1065" s="80">
        <f t="shared" si="287"/>
        <v>594</v>
      </c>
      <c r="N1065" s="81">
        <f t="shared" si="277"/>
        <v>-2</v>
      </c>
      <c r="P1065" s="82">
        <f>R1065-TIME(0,53,0)</f>
        <v>45775.765972222216</v>
      </c>
      <c r="Q1065" s="82">
        <v>45776.320833333331</v>
      </c>
      <c r="R1065" s="82">
        <v>45775.802777777775</v>
      </c>
      <c r="S1065" s="81">
        <f t="shared" si="278"/>
        <v>-742.54629629722331</v>
      </c>
      <c r="T1065" s="81">
        <f t="shared" si="290"/>
        <v>52.75462963472819</v>
      </c>
      <c r="U1065" s="79" t="s">
        <v>2164</v>
      </c>
      <c r="V1065" s="82">
        <v>45776.94027777778</v>
      </c>
      <c r="W1065" s="82">
        <v>45777.640277777777</v>
      </c>
      <c r="X1065" s="103">
        <f t="shared" si="291"/>
        <v>986.99999999589636</v>
      </c>
      <c r="Y1065" s="82" t="s">
        <v>1049</v>
      </c>
      <c r="Z1065" s="82">
        <v>45777.869444444441</v>
      </c>
      <c r="AA1065" s="82">
        <f>Z1065+TIME(0,41,0)</f>
        <v>45777.897916666661</v>
      </c>
      <c r="AB1065" s="81">
        <f t="shared" si="292"/>
        <v>40.145833330825553</v>
      </c>
      <c r="AC1065" s="82"/>
      <c r="AD1065" s="83">
        <f t="shared" si="279"/>
        <v>2.0666666666656965</v>
      </c>
      <c r="AE1065" s="83">
        <f>VLOOKUP(H1065,'LIST 2'!$A$1:$E$27,4,FALSE)</f>
        <v>2</v>
      </c>
      <c r="AF1065" s="83">
        <f t="shared" si="280"/>
        <v>-6.6666666665696539E-2</v>
      </c>
      <c r="AG1065" s="83">
        <f t="shared" si="281"/>
        <v>49.599999999976717</v>
      </c>
      <c r="AH1065" s="83">
        <f t="shared" si="282"/>
        <v>24</v>
      </c>
      <c r="AI1065" s="83">
        <f t="shared" si="283"/>
        <v>25.599999999976717</v>
      </c>
      <c r="AJ1065" s="83">
        <f t="shared" si="293"/>
        <v>6.000000000005457</v>
      </c>
      <c r="AK1065" s="83"/>
      <c r="AL1065" s="83"/>
      <c r="AM1065" s="83"/>
      <c r="AN1065" s="83"/>
    </row>
    <row r="1066" spans="1:40" ht="15" hidden="1" x14ac:dyDescent="0.25">
      <c r="A1066" s="82">
        <v>45776</v>
      </c>
      <c r="B1066" s="94" t="str">
        <f t="shared" si="286"/>
        <v>April</v>
      </c>
      <c r="C1066" s="79" t="s">
        <v>2162</v>
      </c>
      <c r="D1066" s="79" t="s">
        <v>1881</v>
      </c>
      <c r="E1066" s="79" t="s">
        <v>1016</v>
      </c>
      <c r="F1066" s="79" t="s">
        <v>1690</v>
      </c>
      <c r="G1066" s="79" t="s">
        <v>45</v>
      </c>
      <c r="H1066" s="82" t="s">
        <v>2183</v>
      </c>
      <c r="I1066" s="79">
        <v>156</v>
      </c>
      <c r="J1066" s="79" t="s">
        <v>1881</v>
      </c>
      <c r="K1066" s="80" t="s">
        <v>469</v>
      </c>
      <c r="L1066" s="79">
        <f>VLOOKUP(H1066,Table2[#All],3,FALSE)</f>
        <v>690</v>
      </c>
      <c r="M1066" s="80">
        <f t="shared" si="287"/>
        <v>688</v>
      </c>
      <c r="N1066" s="81">
        <f t="shared" ref="N1066" si="299">M1066-L1066</f>
        <v>-2</v>
      </c>
      <c r="P1066" s="82">
        <f>R1066-TIME(0,27,0)</f>
        <v>45776.272916666661</v>
      </c>
      <c r="Q1066" s="82">
        <v>45776.815972222219</v>
      </c>
      <c r="R1066" s="82">
        <v>45776.291666666664</v>
      </c>
      <c r="S1066" s="81">
        <f t="shared" ref="S1066:S1068" si="300">(R1066-Q1066)*86000/60</f>
        <v>-751.50462962847087</v>
      </c>
      <c r="T1066" s="81">
        <f t="shared" si="290"/>
        <v>26.87500000417155</v>
      </c>
      <c r="U1066" s="79"/>
      <c r="V1066" s="82">
        <v>45777.337500000001</v>
      </c>
      <c r="W1066" s="82">
        <v>45777.760416666664</v>
      </c>
      <c r="X1066" s="103">
        <f t="shared" si="291"/>
        <v>596.31249999452848</v>
      </c>
      <c r="Y1066" s="82" t="s">
        <v>1044</v>
      </c>
      <c r="Z1066" s="82">
        <v>45778.913194444445</v>
      </c>
      <c r="AA1066" s="82">
        <f t="shared" ref="AA1066:AA1067" si="301">Z1066+TIME(0,44,0)</f>
        <v>45778.943749999999</v>
      </c>
      <c r="AB1066" s="81">
        <f t="shared" si="292"/>
        <v>43.083333330141613</v>
      </c>
      <c r="AC1066" s="82"/>
      <c r="AD1066" s="83">
        <f t="shared" ref="AD1066:AD1124" si="302">Z1066-R1066</f>
        <v>2.6215277777810115</v>
      </c>
      <c r="AE1066" s="83">
        <f>VLOOKUP(H1066,'LIST 2'!$A$1:$E$27,4,FALSE)</f>
        <v>3</v>
      </c>
      <c r="AF1066" s="83">
        <f t="shared" ref="AF1066:AF1124" si="303">AE1066-AD1066</f>
        <v>0.37847222221898846</v>
      </c>
      <c r="AG1066" s="83">
        <f t="shared" ref="AG1066:AG1124" si="304">AD1066*24</f>
        <v>62.916666666744277</v>
      </c>
      <c r="AH1066" s="83">
        <f t="shared" ref="AH1066:AH1124" si="305">AG1066-AI1066</f>
        <v>24</v>
      </c>
      <c r="AI1066" s="83">
        <f t="shared" ref="AI1066:AI1124" si="306" xml:space="preserve"> ((Z1066 - R1066) * 24) - (INT(Z1066 - R1066) * 12)</f>
        <v>38.916666666744277</v>
      </c>
      <c r="AJ1066" s="83">
        <f t="shared" si="293"/>
        <v>4.0085653104845109</v>
      </c>
      <c r="AK1066" s="83"/>
      <c r="AL1066" s="83"/>
      <c r="AM1066" s="83"/>
      <c r="AN1066" s="83"/>
    </row>
    <row r="1067" spans="1:40" ht="15" hidden="1" x14ac:dyDescent="0.25">
      <c r="A1067" s="82">
        <v>45777</v>
      </c>
      <c r="B1067" s="94" t="str">
        <f t="shared" si="286"/>
        <v>April</v>
      </c>
      <c r="C1067" s="79" t="s">
        <v>2162</v>
      </c>
      <c r="D1067" s="79" t="s">
        <v>1882</v>
      </c>
      <c r="E1067" s="79" t="s">
        <v>1016</v>
      </c>
      <c r="F1067" s="79" t="s">
        <v>1695</v>
      </c>
      <c r="G1067" s="79" t="s">
        <v>74</v>
      </c>
      <c r="H1067" s="82" t="s">
        <v>2054</v>
      </c>
      <c r="I1067" s="79">
        <v>156</v>
      </c>
      <c r="J1067" s="79" t="s">
        <v>1882</v>
      </c>
      <c r="K1067" s="80" t="s">
        <v>469</v>
      </c>
      <c r="L1067" s="79">
        <f>VLOOKUP(H1067,Table2[#All],3,FALSE)</f>
        <v>514</v>
      </c>
      <c r="M1067" s="80">
        <f t="shared" si="287"/>
        <v>512</v>
      </c>
      <c r="N1067" s="81">
        <f t="shared" ref="N1067:N1124" si="307">M1067-L1067</f>
        <v>-2</v>
      </c>
      <c r="P1067" s="82">
        <f>R1067-TIME(0,39,0)</f>
        <v>45777.63958333333</v>
      </c>
      <c r="Q1067" s="82">
        <v>45776.916666666664</v>
      </c>
      <c r="R1067" s="82">
        <v>45777.666666666664</v>
      </c>
      <c r="S1067" s="81">
        <f t="shared" si="300"/>
        <v>1075</v>
      </c>
      <c r="T1067" s="81">
        <f t="shared" si="290"/>
        <v>38.819444445834961</v>
      </c>
      <c r="U1067" s="79" t="s">
        <v>2163</v>
      </c>
      <c r="V1067" s="82">
        <v>45778.446527777778</v>
      </c>
      <c r="W1067" s="82">
        <v>45778.622916666667</v>
      </c>
      <c r="X1067" s="103">
        <f t="shared" si="291"/>
        <v>248.70833333356131</v>
      </c>
      <c r="Y1067" s="82" t="s">
        <v>1044</v>
      </c>
      <c r="Z1067" s="82">
        <v>45780.279861111114</v>
      </c>
      <c r="AA1067" s="82">
        <f t="shared" si="301"/>
        <v>45780.310416666667</v>
      </c>
      <c r="AB1067" s="81">
        <f t="shared" si="292"/>
        <v>43.083333330141613</v>
      </c>
      <c r="AC1067" s="82"/>
      <c r="AD1067" s="83">
        <f t="shared" si="302"/>
        <v>2.6131944444496185</v>
      </c>
      <c r="AE1067" s="83">
        <f>VLOOKUP(H1067,'LIST 2'!$A$1:$E$27,4,FALSE)</f>
        <v>3</v>
      </c>
      <c r="AF1067" s="83">
        <f t="shared" si="303"/>
        <v>0.38680555555038154</v>
      </c>
      <c r="AG1067" s="83">
        <f t="shared" si="304"/>
        <v>62.716666666790843</v>
      </c>
      <c r="AH1067" s="83">
        <f t="shared" si="305"/>
        <v>24</v>
      </c>
      <c r="AI1067" s="83">
        <f t="shared" si="306"/>
        <v>38.716666666790843</v>
      </c>
      <c r="AJ1067" s="83">
        <f t="shared" si="293"/>
        <v>4.0292724924537149</v>
      </c>
      <c r="AK1067" s="83"/>
      <c r="AL1067" s="83"/>
      <c r="AM1067" s="83"/>
      <c r="AN1067" s="83"/>
    </row>
    <row r="1068" spans="1:40" ht="15" hidden="1" x14ac:dyDescent="0.25">
      <c r="A1068" s="82">
        <v>45777</v>
      </c>
      <c r="B1068" s="94" t="str">
        <f t="shared" si="286"/>
        <v>April</v>
      </c>
      <c r="C1068" s="79" t="s">
        <v>2162</v>
      </c>
      <c r="D1068" s="79" t="s">
        <v>1883</v>
      </c>
      <c r="E1068" s="79" t="s">
        <v>1016</v>
      </c>
      <c r="F1068" s="79" t="s">
        <v>1696</v>
      </c>
      <c r="G1068" s="79" t="s">
        <v>42</v>
      </c>
      <c r="H1068" s="82" t="s">
        <v>2179</v>
      </c>
      <c r="I1068" s="79">
        <v>156</v>
      </c>
      <c r="J1068" s="79" t="s">
        <v>1883</v>
      </c>
      <c r="K1068" s="80" t="s">
        <v>469</v>
      </c>
      <c r="L1068" s="79">
        <f>VLOOKUP(H1068,Table2[#All],3,FALSE)</f>
        <v>560</v>
      </c>
      <c r="M1068" s="80">
        <f t="shared" si="287"/>
        <v>558</v>
      </c>
      <c r="N1068" s="81">
        <f t="shared" si="307"/>
        <v>-2</v>
      </c>
      <c r="P1068" s="82">
        <f>R1068-TIME(0,28,0)</f>
        <v>45777.773611111115</v>
      </c>
      <c r="Q1068" s="82">
        <v>45777.104166666664</v>
      </c>
      <c r="R1068" s="82">
        <v>45777.793055555558</v>
      </c>
      <c r="S1068" s="81">
        <f t="shared" si="300"/>
        <v>987.40740741389652</v>
      </c>
      <c r="T1068" s="81">
        <f t="shared" si="290"/>
        <v>27.870370367357584</v>
      </c>
      <c r="U1068" s="79"/>
      <c r="V1068" s="82">
        <v>45778.306944444441</v>
      </c>
      <c r="W1068" s="82">
        <v>45778.476388888892</v>
      </c>
      <c r="X1068" s="103">
        <f t="shared" si="291"/>
        <v>238.91666667601385</v>
      </c>
      <c r="Y1068" s="82" t="s">
        <v>1046</v>
      </c>
      <c r="Z1068" s="82">
        <v>45780.445138888892</v>
      </c>
      <c r="AA1068" s="82">
        <f>Z1068+TIME(0,40,0)</f>
        <v>45780.472916666673</v>
      </c>
      <c r="AB1068" s="81">
        <f t="shared" si="292"/>
        <v>39.166666671226267</v>
      </c>
      <c r="AC1068" s="82"/>
      <c r="AD1068" s="83">
        <f t="shared" si="302"/>
        <v>2.6520833333343035</v>
      </c>
      <c r="AE1068" s="83">
        <f>VLOOKUP(H1068,'LIST 2'!$A$1:$E$27,4,FALSE)</f>
        <v>2</v>
      </c>
      <c r="AF1068" s="83">
        <f t="shared" si="303"/>
        <v>-0.65208333333430346</v>
      </c>
      <c r="AG1068" s="83">
        <f t="shared" si="304"/>
        <v>63.650000000023283</v>
      </c>
      <c r="AH1068" s="83">
        <f t="shared" si="305"/>
        <v>24</v>
      </c>
      <c r="AI1068" s="83">
        <f t="shared" si="306"/>
        <v>39.650000000023283</v>
      </c>
      <c r="AJ1068" s="83">
        <f t="shared" si="293"/>
        <v>3.9344262295058865</v>
      </c>
      <c r="AK1068" s="83"/>
      <c r="AL1068" s="83"/>
      <c r="AM1068" s="83"/>
      <c r="AN1068" s="83"/>
    </row>
    <row r="1069" spans="1:40" ht="15" hidden="1" x14ac:dyDescent="0.25">
      <c r="A1069" s="82">
        <v>45777</v>
      </c>
      <c r="B1069" s="94" t="str">
        <f t="shared" si="286"/>
        <v>April</v>
      </c>
      <c r="C1069" s="79" t="s">
        <v>2161</v>
      </c>
      <c r="D1069" s="79" t="s">
        <v>1884</v>
      </c>
      <c r="E1069" s="79"/>
      <c r="F1069" s="79" t="s">
        <v>966</v>
      </c>
      <c r="G1069" s="79" t="s">
        <v>981</v>
      </c>
      <c r="H1069" s="82" t="s">
        <v>1956</v>
      </c>
      <c r="I1069" s="79">
        <v>153.6</v>
      </c>
      <c r="J1069" s="79" t="s">
        <v>1884</v>
      </c>
      <c r="K1069" s="80" t="s">
        <v>469</v>
      </c>
      <c r="L1069" s="79">
        <f>VLOOKUP(H1069,Table2[#All],3,FALSE)</f>
        <v>596</v>
      </c>
      <c r="M1069" s="80">
        <f t="shared" si="287"/>
        <v>594</v>
      </c>
      <c r="N1069" s="81">
        <f t="shared" si="307"/>
        <v>-2</v>
      </c>
      <c r="P1069" s="82">
        <f>R1069-TIME(0,23,0)</f>
        <v>45777.706944444442</v>
      </c>
      <c r="Q1069" s="82">
        <v>45777.176388888889</v>
      </c>
      <c r="R1069" s="82">
        <v>45777.722916666666</v>
      </c>
      <c r="S1069" s="81">
        <f t="shared" ref="S1069:S1124" si="308">(R1069-Q1069)*86000/60</f>
        <v>783.35648147985921</v>
      </c>
      <c r="T1069" s="81">
        <f t="shared" si="290"/>
        <v>22.893518520140788</v>
      </c>
      <c r="U1069" s="79"/>
      <c r="V1069" s="82">
        <v>45778.498611111114</v>
      </c>
      <c r="W1069" s="82">
        <v>45778.676388888889</v>
      </c>
      <c r="X1069" s="103">
        <f t="shared" si="291"/>
        <v>250.66666666301899</v>
      </c>
      <c r="Y1069" s="82" t="s">
        <v>1049</v>
      </c>
      <c r="Z1069" s="82">
        <v>45779.479861111111</v>
      </c>
      <c r="AA1069" s="82">
        <f>Z1069+TIME(0,57,0)</f>
        <v>45779.519444444442</v>
      </c>
      <c r="AB1069" s="81">
        <f t="shared" si="292"/>
        <v>55.81249999726424</v>
      </c>
      <c r="AC1069" s="82" t="s">
        <v>549</v>
      </c>
      <c r="AD1069" s="83">
        <f t="shared" si="302"/>
        <v>1.7569444444452529</v>
      </c>
      <c r="AE1069" s="83">
        <f>VLOOKUP(H1069,'LIST 2'!$A$1:$E$27,4,FALSE)</f>
        <v>2</v>
      </c>
      <c r="AF1069" s="83">
        <f t="shared" si="303"/>
        <v>0.24305555555474712</v>
      </c>
      <c r="AG1069" s="83">
        <f t="shared" si="304"/>
        <v>42.166666666686069</v>
      </c>
      <c r="AH1069" s="83">
        <f t="shared" si="305"/>
        <v>12</v>
      </c>
      <c r="AI1069" s="83">
        <f t="shared" si="306"/>
        <v>30.166666666686069</v>
      </c>
      <c r="AJ1069" s="83">
        <f t="shared" si="293"/>
        <v>5.0917127071790453</v>
      </c>
      <c r="AK1069" s="83"/>
      <c r="AL1069" s="83"/>
      <c r="AM1069" s="83"/>
      <c r="AN1069" s="83"/>
    </row>
    <row r="1070" spans="1:40" ht="15" hidden="1" x14ac:dyDescent="0.25">
      <c r="A1070" s="82">
        <v>45777</v>
      </c>
      <c r="B1070" s="94" t="str">
        <f t="shared" si="286"/>
        <v>April</v>
      </c>
      <c r="C1070" s="79" t="s">
        <v>2161</v>
      </c>
      <c r="D1070" s="79" t="s">
        <v>1885</v>
      </c>
      <c r="E1070" s="79"/>
      <c r="F1070" s="79" t="s">
        <v>1689</v>
      </c>
      <c r="G1070" s="79" t="s">
        <v>1262</v>
      </c>
      <c r="H1070" s="82" t="s">
        <v>1991</v>
      </c>
      <c r="I1070" s="79">
        <v>153.6</v>
      </c>
      <c r="J1070" s="79" t="s">
        <v>1885</v>
      </c>
      <c r="K1070" s="80" t="s">
        <v>469</v>
      </c>
      <c r="L1070" s="79">
        <f>VLOOKUP(H1070,Table2[#All],3,FALSE)</f>
        <v>272</v>
      </c>
      <c r="M1070" s="80">
        <f t="shared" si="287"/>
        <v>270</v>
      </c>
      <c r="N1070" s="81">
        <f t="shared" si="307"/>
        <v>-2</v>
      </c>
      <c r="P1070" s="82">
        <f>R1070-TIME(0,23,0)</f>
        <v>45777.463194444441</v>
      </c>
      <c r="Q1070" s="82">
        <v>45777.082638888889</v>
      </c>
      <c r="R1070" s="82">
        <v>45777.479166666664</v>
      </c>
      <c r="S1070" s="81">
        <f t="shared" si="308"/>
        <v>568.3564814777734</v>
      </c>
      <c r="T1070" s="81">
        <f t="shared" si="290"/>
        <v>22.893518520140788</v>
      </c>
      <c r="U1070" s="79"/>
      <c r="V1070" s="82">
        <v>45777.760416666664</v>
      </c>
      <c r="W1070" s="82">
        <v>45778.549305555556</v>
      </c>
      <c r="X1070" s="103">
        <f t="shared" si="291"/>
        <v>1112.333333337665</v>
      </c>
      <c r="Y1070" s="82" t="s">
        <v>1050</v>
      </c>
      <c r="Z1070" s="82">
        <v>45778.78125</v>
      </c>
      <c r="AA1070" s="82">
        <f>Z1070+TIME(0,44,0)</f>
        <v>45778.811805555553</v>
      </c>
      <c r="AB1070" s="81">
        <f t="shared" si="292"/>
        <v>43.083333330141613</v>
      </c>
      <c r="AC1070" s="82"/>
      <c r="AD1070" s="83">
        <f t="shared" si="302"/>
        <v>1.3020833333357587</v>
      </c>
      <c r="AE1070" s="83">
        <f>VLOOKUP(H1070,'LIST 2'!$A$1:$E$27,4,FALSE)</f>
        <v>2</v>
      </c>
      <c r="AF1070" s="83">
        <f t="shared" si="303"/>
        <v>0.69791666666424135</v>
      </c>
      <c r="AG1070" s="83">
        <f t="shared" si="304"/>
        <v>31.250000000058208</v>
      </c>
      <c r="AH1070" s="83">
        <f t="shared" si="305"/>
        <v>12</v>
      </c>
      <c r="AI1070" s="83">
        <f t="shared" si="306"/>
        <v>19.250000000058208</v>
      </c>
      <c r="AJ1070" s="83">
        <f t="shared" si="293"/>
        <v>7.9792207791966518</v>
      </c>
      <c r="AK1070" s="83">
        <v>11.2</v>
      </c>
      <c r="AL1070" s="83">
        <v>9.36</v>
      </c>
      <c r="AM1070" s="83"/>
      <c r="AN1070" s="83"/>
    </row>
    <row r="1071" spans="1:40" ht="15" hidden="1" x14ac:dyDescent="0.25">
      <c r="A1071" s="82">
        <v>45777</v>
      </c>
      <c r="B1071" s="94" t="str">
        <f t="shared" si="286"/>
        <v>April</v>
      </c>
      <c r="C1071" s="79" t="s">
        <v>2162</v>
      </c>
      <c r="D1071" s="79" t="s">
        <v>1886</v>
      </c>
      <c r="E1071" s="79" t="s">
        <v>1016</v>
      </c>
      <c r="F1071" s="79" t="s">
        <v>1268</v>
      </c>
      <c r="G1071" s="79" t="s">
        <v>52</v>
      </c>
      <c r="H1071" s="82" t="s">
        <v>2187</v>
      </c>
      <c r="I1071" s="79">
        <v>156</v>
      </c>
      <c r="J1071" s="79" t="s">
        <v>1886</v>
      </c>
      <c r="K1071" s="80" t="s">
        <v>469</v>
      </c>
      <c r="L1071" s="79">
        <f>VLOOKUP(H1071,Table2[#All],3,FALSE)</f>
        <v>670</v>
      </c>
      <c r="M1071" s="80">
        <f t="shared" si="287"/>
        <v>668</v>
      </c>
      <c r="N1071" s="81">
        <f t="shared" si="307"/>
        <v>-2</v>
      </c>
      <c r="P1071" s="82">
        <f>R1071-TIME(0,28,0)</f>
        <v>45777.272916666669</v>
      </c>
      <c r="Q1071" s="82">
        <v>45776.916666666664</v>
      </c>
      <c r="R1071" s="82">
        <v>45777.292361111111</v>
      </c>
      <c r="S1071" s="81">
        <f t="shared" si="308"/>
        <v>538.49537037361495</v>
      </c>
      <c r="T1071" s="81">
        <f t="shared" si="290"/>
        <v>27.870370367357584</v>
      </c>
      <c r="U1071" s="79"/>
      <c r="V1071" s="82">
        <v>45778.366666666669</v>
      </c>
      <c r="W1071" s="82">
        <v>45778.534722222219</v>
      </c>
      <c r="X1071" s="103">
        <f t="shared" si="291"/>
        <v>236.95833332603797</v>
      </c>
      <c r="Y1071" s="82" t="s">
        <v>1044</v>
      </c>
      <c r="Z1071" s="82">
        <v>45779.477777777778</v>
      </c>
      <c r="AA1071" s="82">
        <f>Z1071+TIME(0,40,0)</f>
        <v>45779.505555555559</v>
      </c>
      <c r="AB1071" s="81">
        <f t="shared" si="292"/>
        <v>39.166666671226267</v>
      </c>
      <c r="AC1071" s="82"/>
      <c r="AD1071" s="83">
        <f t="shared" si="302"/>
        <v>2.1854166666671517</v>
      </c>
      <c r="AE1071" s="83">
        <f>VLOOKUP(H1071,'LIST 2'!$A$1:$E$27,4,FALSE)</f>
        <v>2</v>
      </c>
      <c r="AF1071" s="83">
        <f t="shared" si="303"/>
        <v>-0.18541666666715173</v>
      </c>
      <c r="AG1071" s="83">
        <f t="shared" si="304"/>
        <v>52.450000000011642</v>
      </c>
      <c r="AH1071" s="83">
        <f t="shared" si="305"/>
        <v>24</v>
      </c>
      <c r="AI1071" s="83">
        <f t="shared" si="306"/>
        <v>28.450000000011642</v>
      </c>
      <c r="AJ1071" s="83">
        <f t="shared" si="293"/>
        <v>5.4833040421770178</v>
      </c>
      <c r="AK1071" s="83"/>
      <c r="AL1071" s="83"/>
      <c r="AM1071" s="83"/>
      <c r="AN1071" s="83"/>
    </row>
    <row r="1072" spans="1:40" ht="15" hidden="1" x14ac:dyDescent="0.25">
      <c r="A1072" s="82">
        <v>45777</v>
      </c>
      <c r="B1072" s="94" t="str">
        <f t="shared" si="286"/>
        <v>April</v>
      </c>
      <c r="C1072" s="79" t="s">
        <v>2161</v>
      </c>
      <c r="D1072" s="79" t="s">
        <v>1887</v>
      </c>
      <c r="E1072" s="79"/>
      <c r="F1072" s="79" t="s">
        <v>959</v>
      </c>
      <c r="G1072" s="79" t="s">
        <v>976</v>
      </c>
      <c r="H1072" s="82" t="s">
        <v>1991</v>
      </c>
      <c r="I1072" s="79">
        <v>153.6</v>
      </c>
      <c r="J1072" s="79" t="s">
        <v>1887</v>
      </c>
      <c r="K1072" s="80" t="s">
        <v>469</v>
      </c>
      <c r="L1072" s="79">
        <f>VLOOKUP(H1072,Table2[#All],3,FALSE)</f>
        <v>272</v>
      </c>
      <c r="M1072" s="80">
        <f t="shared" si="287"/>
        <v>270</v>
      </c>
      <c r="N1072" s="81">
        <f t="shared" si="307"/>
        <v>-2</v>
      </c>
      <c r="P1072" s="82">
        <f>R1072-TIME(0,54,0)</f>
        <v>45777.201388888891</v>
      </c>
      <c r="Q1072" s="82">
        <v>45777.082638888889</v>
      </c>
      <c r="R1072" s="82">
        <v>45777.238888888889</v>
      </c>
      <c r="S1072" s="81">
        <f t="shared" si="308"/>
        <v>223.95833333333334</v>
      </c>
      <c r="T1072" s="81">
        <f t="shared" si="290"/>
        <v>53.749999997914223</v>
      </c>
      <c r="U1072" s="79" t="s">
        <v>562</v>
      </c>
      <c r="V1072" s="82">
        <v>45778.431944444441</v>
      </c>
      <c r="W1072" s="82">
        <v>45778.739583333336</v>
      </c>
      <c r="X1072" s="103">
        <f t="shared" si="291"/>
        <v>433.77083334176859</v>
      </c>
      <c r="Y1072" s="82" t="s">
        <v>1044</v>
      </c>
      <c r="Z1072" s="82">
        <v>45779.510416666664</v>
      </c>
      <c r="AA1072" s="82">
        <f>Z1072+TIME(0,51,0)</f>
        <v>45779.54583333333</v>
      </c>
      <c r="AB1072" s="81">
        <f t="shared" si="292"/>
        <v>49.93749999863212</v>
      </c>
      <c r="AC1072" s="82" t="s">
        <v>2168</v>
      </c>
      <c r="AD1072" s="83">
        <f t="shared" si="302"/>
        <v>2.2715277777751908</v>
      </c>
      <c r="AE1072" s="83">
        <f>VLOOKUP(H1072,'LIST 2'!$A$1:$E$27,4,FALSE)</f>
        <v>2</v>
      </c>
      <c r="AF1072" s="83">
        <f t="shared" si="303"/>
        <v>-0.27152777777519077</v>
      </c>
      <c r="AG1072" s="83">
        <f t="shared" si="304"/>
        <v>54.516666666604578</v>
      </c>
      <c r="AH1072" s="83">
        <f t="shared" si="305"/>
        <v>24</v>
      </c>
      <c r="AI1072" s="83">
        <f t="shared" si="306"/>
        <v>30.516666666604578</v>
      </c>
      <c r="AJ1072" s="83">
        <f t="shared" si="293"/>
        <v>5.0333151283554072</v>
      </c>
      <c r="AK1072" s="83"/>
      <c r="AL1072" s="83"/>
      <c r="AM1072" s="83"/>
      <c r="AN1072" s="83"/>
    </row>
    <row r="1073" spans="1:40" ht="15" hidden="1" x14ac:dyDescent="0.25">
      <c r="A1073" s="82">
        <v>45777</v>
      </c>
      <c r="B1073" s="94" t="str">
        <f t="shared" si="286"/>
        <v>April</v>
      </c>
      <c r="C1073" s="79" t="s">
        <v>2162</v>
      </c>
      <c r="D1073" s="79" t="s">
        <v>1888</v>
      </c>
      <c r="E1073" s="79" t="s">
        <v>1016</v>
      </c>
      <c r="F1073" s="79" t="s">
        <v>961</v>
      </c>
      <c r="G1073" s="79" t="s">
        <v>977</v>
      </c>
      <c r="H1073" s="82" t="s">
        <v>1959</v>
      </c>
      <c r="I1073" s="79">
        <v>156</v>
      </c>
      <c r="J1073" s="79" t="s">
        <v>1888</v>
      </c>
      <c r="K1073" s="80" t="s">
        <v>469</v>
      </c>
      <c r="L1073" s="79">
        <f>VLOOKUP(H1073,Table2[#All],3,FALSE)</f>
        <v>304</v>
      </c>
      <c r="M1073" s="80">
        <f>L1073-1</f>
        <v>303</v>
      </c>
      <c r="N1073" s="81">
        <f t="shared" si="307"/>
        <v>-1</v>
      </c>
      <c r="P1073" s="82">
        <f>R1073-TIME(0,42,0)</f>
        <v>45776.871527777774</v>
      </c>
      <c r="Q1073" s="82">
        <v>45777.098611111112</v>
      </c>
      <c r="R1073" s="82">
        <v>45776.900694444441</v>
      </c>
      <c r="S1073" s="81">
        <f t="shared" si="308"/>
        <v>-283.68055556250812</v>
      </c>
      <c r="T1073" s="81">
        <f t="shared" si="290"/>
        <v>41.805555556250816</v>
      </c>
      <c r="U1073" s="79" t="s">
        <v>550</v>
      </c>
      <c r="V1073" s="82">
        <v>45777.465277777781</v>
      </c>
      <c r="W1073" s="82">
        <v>45777.652777777781</v>
      </c>
      <c r="X1073" s="103">
        <f t="shared" si="291"/>
        <v>264.375</v>
      </c>
      <c r="Y1073" s="82" t="s">
        <v>1044</v>
      </c>
      <c r="Z1073" s="82">
        <v>45779.313888888886</v>
      </c>
      <c r="AA1073" s="82">
        <f>Z1073+TIME(0,42,0)</f>
        <v>45779.343055555553</v>
      </c>
      <c r="AB1073" s="81">
        <f t="shared" si="292"/>
        <v>41.12500000068394</v>
      </c>
      <c r="AC1073" s="82"/>
      <c r="AD1073" s="83">
        <f t="shared" si="302"/>
        <v>2.4131944444452529</v>
      </c>
      <c r="AE1073" s="83">
        <f>VLOOKUP(H1073,'LIST 2'!$A$1:$E$27,4,FALSE)</f>
        <v>2</v>
      </c>
      <c r="AF1073" s="83">
        <f t="shared" si="303"/>
        <v>-0.41319444444525288</v>
      </c>
      <c r="AG1073" s="83">
        <f t="shared" si="304"/>
        <v>57.916666666686069</v>
      </c>
      <c r="AH1073" s="83">
        <f t="shared" si="305"/>
        <v>24</v>
      </c>
      <c r="AI1073" s="83">
        <f t="shared" si="306"/>
        <v>33.916666666686069</v>
      </c>
      <c r="AJ1073" s="83">
        <f t="shared" si="293"/>
        <v>4.5995085995059686</v>
      </c>
      <c r="AK1073" s="83"/>
      <c r="AL1073" s="83"/>
      <c r="AM1073" s="83"/>
      <c r="AN1073" s="83"/>
    </row>
    <row r="1074" spans="1:40" ht="15" hidden="1" x14ac:dyDescent="0.25">
      <c r="A1074" s="82">
        <v>45777</v>
      </c>
      <c r="B1074" s="94" t="str">
        <f t="shared" ref="B1074:B1135" si="309">TEXT(A1074, "MMMM")</f>
        <v>April</v>
      </c>
      <c r="C1074" s="79" t="s">
        <v>2161</v>
      </c>
      <c r="D1074" s="79" t="s">
        <v>1889</v>
      </c>
      <c r="E1074" s="79"/>
      <c r="F1074" s="79" t="s">
        <v>958</v>
      </c>
      <c r="G1074" s="79" t="s">
        <v>975</v>
      </c>
      <c r="H1074" s="82" t="s">
        <v>2179</v>
      </c>
      <c r="I1074" s="79">
        <v>156</v>
      </c>
      <c r="J1074" s="79" t="s">
        <v>1889</v>
      </c>
      <c r="K1074" s="80" t="s">
        <v>469</v>
      </c>
      <c r="L1074" s="79">
        <f>VLOOKUP(H1074,Table2[#All],3,FALSE)</f>
        <v>560</v>
      </c>
      <c r="M1074" s="80">
        <f t="shared" si="287"/>
        <v>558</v>
      </c>
      <c r="N1074" s="81">
        <f t="shared" si="307"/>
        <v>-2</v>
      </c>
      <c r="P1074" s="82">
        <f>R1074-TIME(0,39,0)</f>
        <v>45776.757638888885</v>
      </c>
      <c r="Q1074" s="82">
        <v>45777.104166666664</v>
      </c>
      <c r="R1074" s="82">
        <v>45776.784722222219</v>
      </c>
      <c r="S1074" s="81">
        <f t="shared" si="308"/>
        <v>-457.87037037152913</v>
      </c>
      <c r="T1074" s="81">
        <f t="shared" si="290"/>
        <v>38.819444445834961</v>
      </c>
      <c r="U1074" s="79" t="s">
        <v>2163</v>
      </c>
      <c r="V1074" s="82">
        <v>45777.584722222222</v>
      </c>
      <c r="W1074" s="82">
        <v>45777.67083333333</v>
      </c>
      <c r="X1074" s="103">
        <f t="shared" si="291"/>
        <v>121.41666666233505</v>
      </c>
      <c r="Y1074" s="82"/>
      <c r="Z1074" s="82">
        <v>45778.750694444447</v>
      </c>
      <c r="AA1074" s="82">
        <f>Z1074+TIME(0,52,0)</f>
        <v>45778.786805555559</v>
      </c>
      <c r="AB1074" s="81">
        <f t="shared" si="292"/>
        <v>50.916666668490507</v>
      </c>
      <c r="AC1074" s="82" t="s">
        <v>2168</v>
      </c>
      <c r="AD1074" s="83">
        <f t="shared" si="302"/>
        <v>1.9659722222277196</v>
      </c>
      <c r="AE1074" s="83">
        <f>VLOOKUP(H1074,'LIST 2'!$A$1:$E$27,4,FALSE)</f>
        <v>2</v>
      </c>
      <c r="AF1074" s="83">
        <f t="shared" si="303"/>
        <v>3.4027777772280388E-2</v>
      </c>
      <c r="AG1074" s="83">
        <f t="shared" si="304"/>
        <v>47.183333333465271</v>
      </c>
      <c r="AH1074" s="83">
        <f t="shared" si="305"/>
        <v>12</v>
      </c>
      <c r="AI1074" s="83">
        <f t="shared" si="306"/>
        <v>35.183333333465271</v>
      </c>
      <c r="AJ1074" s="83">
        <f t="shared" si="293"/>
        <v>4.433917574592563</v>
      </c>
      <c r="AK1074" s="83"/>
      <c r="AL1074" s="83"/>
      <c r="AM1074" s="83"/>
      <c r="AN1074" s="83"/>
    </row>
    <row r="1075" spans="1:40" ht="15" hidden="1" x14ac:dyDescent="0.25">
      <c r="A1075" s="82">
        <v>45777</v>
      </c>
      <c r="B1075" s="94" t="str">
        <f t="shared" si="309"/>
        <v>April</v>
      </c>
      <c r="C1075" s="79" t="s">
        <v>2161</v>
      </c>
      <c r="D1075" s="79" t="s">
        <v>1890</v>
      </c>
      <c r="E1075" s="79"/>
      <c r="F1075" s="79" t="s">
        <v>952</v>
      </c>
      <c r="G1075" s="79" t="s">
        <v>969</v>
      </c>
      <c r="H1075" s="82" t="s">
        <v>2185</v>
      </c>
      <c r="I1075" s="79">
        <v>156</v>
      </c>
      <c r="J1075" s="79" t="s">
        <v>1890</v>
      </c>
      <c r="K1075" s="80" t="s">
        <v>469</v>
      </c>
      <c r="L1075" s="79">
        <f>VLOOKUP(H1075,Table2[#All],3,FALSE)</f>
        <v>382</v>
      </c>
      <c r="M1075" s="80">
        <f t="shared" si="287"/>
        <v>380</v>
      </c>
      <c r="N1075" s="81">
        <f t="shared" si="307"/>
        <v>-2</v>
      </c>
      <c r="P1075" s="82">
        <f>R1075-TIME(0,23,0)</f>
        <v>45776.714583333334</v>
      </c>
      <c r="Q1075" s="82">
        <v>45777.179861111108</v>
      </c>
      <c r="R1075" s="82">
        <v>45776.730555555558</v>
      </c>
      <c r="S1075" s="81">
        <f t="shared" si="308"/>
        <v>-644.00462962221354</v>
      </c>
      <c r="T1075" s="81">
        <f t="shared" si="290"/>
        <v>22.893518520140788</v>
      </c>
      <c r="U1075" s="79"/>
      <c r="V1075" s="82">
        <v>45777.530555555553</v>
      </c>
      <c r="W1075" s="82">
        <v>45777.681250000001</v>
      </c>
      <c r="X1075" s="103">
        <f t="shared" si="291"/>
        <v>212.47916667191021</v>
      </c>
      <c r="Y1075" s="82" t="s">
        <v>1049</v>
      </c>
      <c r="Z1075" s="82">
        <v>45778.52847222222</v>
      </c>
      <c r="AA1075" s="82">
        <f>Z1075+TIME(0,40,0)</f>
        <v>45778.556250000001</v>
      </c>
      <c r="AB1075" s="81">
        <f t="shared" si="292"/>
        <v>39.166666671226267</v>
      </c>
      <c r="AC1075" s="82"/>
      <c r="AD1075" s="83">
        <f t="shared" si="302"/>
        <v>1.7979166666627862</v>
      </c>
      <c r="AE1075" s="83">
        <f>VLOOKUP(H1075,'LIST 2'!$A$1:$E$27,4,FALSE)</f>
        <v>2</v>
      </c>
      <c r="AF1075" s="83">
        <f t="shared" si="303"/>
        <v>0.20208333333721384</v>
      </c>
      <c r="AG1075" s="83">
        <f t="shared" si="304"/>
        <v>43.149999999906868</v>
      </c>
      <c r="AH1075" s="83">
        <f t="shared" si="305"/>
        <v>12</v>
      </c>
      <c r="AI1075" s="83">
        <f t="shared" si="306"/>
        <v>31.149999999906868</v>
      </c>
      <c r="AJ1075" s="83">
        <f t="shared" si="293"/>
        <v>5.0080256821979585</v>
      </c>
      <c r="AK1075" s="83"/>
      <c r="AL1075" s="83"/>
      <c r="AM1075" s="83"/>
      <c r="AN1075" s="83"/>
    </row>
    <row r="1076" spans="1:40" ht="15" x14ac:dyDescent="0.25">
      <c r="A1076" s="82">
        <v>45778</v>
      </c>
      <c r="B1076" s="94" t="str">
        <f t="shared" si="309"/>
        <v>May</v>
      </c>
      <c r="C1076" s="79" t="s">
        <v>2162</v>
      </c>
      <c r="D1076" s="79" t="s">
        <v>1891</v>
      </c>
      <c r="E1076" s="79" t="s">
        <v>1016</v>
      </c>
      <c r="F1076" s="79" t="s">
        <v>963</v>
      </c>
      <c r="G1076" s="79" t="s">
        <v>60</v>
      </c>
      <c r="H1076" s="82" t="s">
        <v>2177</v>
      </c>
      <c r="I1076" s="79">
        <v>156</v>
      </c>
      <c r="J1076" s="79" t="s">
        <v>1891</v>
      </c>
      <c r="K1076" s="80" t="s">
        <v>469</v>
      </c>
      <c r="L1076" s="79">
        <f>VLOOKUP(H1076,Table2[#All],3,FALSE)</f>
        <v>448</v>
      </c>
      <c r="M1076" s="80">
        <f t="shared" ref="M1076:M1139" si="310">L1076-2</f>
        <v>446</v>
      </c>
      <c r="N1076" s="81">
        <f t="shared" si="307"/>
        <v>-2</v>
      </c>
      <c r="P1076" s="82">
        <f>R1076-TIME(0,42,0)</f>
        <v>45779.413888888892</v>
      </c>
      <c r="Q1076" s="82">
        <v>45778.0625</v>
      </c>
      <c r="R1076" s="82">
        <v>45779.443055555559</v>
      </c>
      <c r="S1076" s="81">
        <f t="shared" si="308"/>
        <v>1978.7962963013949</v>
      </c>
      <c r="T1076" s="81">
        <f t="shared" si="290"/>
        <v>41.805555556250816</v>
      </c>
      <c r="U1076" s="79" t="s">
        <v>2167</v>
      </c>
      <c r="V1076" s="82">
        <v>45780.320833333331</v>
      </c>
      <c r="W1076" s="82">
        <v>45780.533333333333</v>
      </c>
      <c r="X1076" s="103">
        <f t="shared" si="291"/>
        <v>299.62500000205182</v>
      </c>
      <c r="Y1076" s="82" t="s">
        <v>1050</v>
      </c>
      <c r="Z1076" s="82">
        <v>45781.388888888891</v>
      </c>
      <c r="AA1076" s="82">
        <f t="shared" ref="AA1076" si="311">Z1076+TIME(0,41,0)</f>
        <v>45781.417361111111</v>
      </c>
      <c r="AB1076" s="81">
        <f t="shared" si="292"/>
        <v>40.145833330825553</v>
      </c>
      <c r="AC1076" s="82"/>
      <c r="AD1076" s="83">
        <f t="shared" si="302"/>
        <v>1.9458333333313931</v>
      </c>
      <c r="AE1076" s="83">
        <f>VLOOKUP(H1076,'LIST 2'!$A$1:$E$27,4,FALSE)</f>
        <v>2</v>
      </c>
      <c r="AF1076" s="83">
        <f t="shared" si="303"/>
        <v>5.4166666668606922E-2</v>
      </c>
      <c r="AG1076" s="83">
        <f t="shared" si="304"/>
        <v>46.699999999953434</v>
      </c>
      <c r="AH1076" s="83">
        <f t="shared" si="305"/>
        <v>12</v>
      </c>
      <c r="AI1076" s="83">
        <f t="shared" si="306"/>
        <v>34.699999999953434</v>
      </c>
      <c r="AJ1076" s="83">
        <f t="shared" si="293"/>
        <v>4.495677233435428</v>
      </c>
      <c r="AK1076" s="124">
        <v>9.32</v>
      </c>
      <c r="AL1076" s="124">
        <v>10.210000000000001</v>
      </c>
      <c r="AM1076" s="124">
        <v>9.5399999999999991</v>
      </c>
      <c r="AN1076" s="124"/>
    </row>
    <row r="1077" spans="1:40" ht="15" x14ac:dyDescent="0.25">
      <c r="A1077" s="82">
        <v>45778</v>
      </c>
      <c r="B1077" s="94" t="str">
        <f t="shared" si="309"/>
        <v>May</v>
      </c>
      <c r="C1077" s="79" t="s">
        <v>2162</v>
      </c>
      <c r="D1077" s="79" t="s">
        <v>1892</v>
      </c>
      <c r="E1077" s="79" t="s">
        <v>1016</v>
      </c>
      <c r="F1077" s="79" t="s">
        <v>1697</v>
      </c>
      <c r="G1077" s="79" t="s">
        <v>77</v>
      </c>
      <c r="H1077" s="82" t="s">
        <v>2186</v>
      </c>
      <c r="I1077" s="79">
        <v>156</v>
      </c>
      <c r="J1077" s="79" t="s">
        <v>1892</v>
      </c>
      <c r="K1077" s="80" t="s">
        <v>469</v>
      </c>
      <c r="L1077" s="79">
        <f>VLOOKUP(H1077,Table2[#All],3,FALSE)</f>
        <v>228</v>
      </c>
      <c r="M1077" s="80">
        <f>L1077-1</f>
        <v>227</v>
      </c>
      <c r="N1077" s="81">
        <f t="shared" si="307"/>
        <v>-1</v>
      </c>
      <c r="P1077" s="82">
        <f>R1077-TIME(0,23,0)</f>
        <v>45779.455555555556</v>
      </c>
      <c r="Q1077" s="82">
        <v>45778.136805555558</v>
      </c>
      <c r="R1077" s="82">
        <v>45779.47152777778</v>
      </c>
      <c r="S1077" s="81">
        <f t="shared" si="308"/>
        <v>1913.1018518513883</v>
      </c>
      <c r="T1077" s="81">
        <f t="shared" si="290"/>
        <v>22.893518520140788</v>
      </c>
      <c r="U1077" s="79"/>
      <c r="V1077" s="82">
        <v>45779.759027777778</v>
      </c>
      <c r="W1077" s="82">
        <v>45779.850694444445</v>
      </c>
      <c r="X1077" s="103">
        <f t="shared" si="291"/>
        <v>129.25000000068394</v>
      </c>
      <c r="Y1077" s="82"/>
      <c r="Z1077" s="82">
        <v>45780.292361111111</v>
      </c>
      <c r="AA1077" s="82">
        <f>Z1077+TIME(0,40,0)</f>
        <v>45780.320138888892</v>
      </c>
      <c r="AB1077" s="81">
        <f t="shared" si="292"/>
        <v>39.166666671226267</v>
      </c>
      <c r="AC1077" s="82"/>
      <c r="AD1077" s="83">
        <f t="shared" si="302"/>
        <v>0.82083333333139308</v>
      </c>
      <c r="AE1077" s="83">
        <f>VLOOKUP(H1077,'LIST 2'!$A$1:$E$27,4,FALSE)</f>
        <v>2</v>
      </c>
      <c r="AF1077" s="83">
        <f t="shared" si="303"/>
        <v>1.1791666666686069</v>
      </c>
      <c r="AG1077" s="83">
        <f t="shared" si="304"/>
        <v>19.699999999953434</v>
      </c>
      <c r="AH1077" s="83">
        <f t="shared" si="305"/>
        <v>0</v>
      </c>
      <c r="AI1077" s="83">
        <f t="shared" si="306"/>
        <v>19.699999999953434</v>
      </c>
      <c r="AJ1077" s="83">
        <f t="shared" si="293"/>
        <v>7.918781725907043</v>
      </c>
      <c r="AK1077" s="124">
        <v>10.32</v>
      </c>
      <c r="AL1077" s="124">
        <v>10.41</v>
      </c>
      <c r="AM1077" s="124"/>
      <c r="AN1077" s="124"/>
    </row>
    <row r="1078" spans="1:40" ht="15" x14ac:dyDescent="0.25">
      <c r="A1078" s="82">
        <v>45778</v>
      </c>
      <c r="B1078" s="94" t="str">
        <f t="shared" si="309"/>
        <v>May</v>
      </c>
      <c r="C1078" s="79" t="s">
        <v>2162</v>
      </c>
      <c r="D1078" s="79" t="s">
        <v>1893</v>
      </c>
      <c r="E1078" s="79" t="s">
        <v>1016</v>
      </c>
      <c r="F1078" s="79" t="s">
        <v>1698</v>
      </c>
      <c r="G1078" s="79" t="s">
        <v>1665</v>
      </c>
      <c r="H1078" s="82" t="s">
        <v>2184</v>
      </c>
      <c r="I1078" s="79">
        <v>156</v>
      </c>
      <c r="J1078" s="79" t="s">
        <v>1893</v>
      </c>
      <c r="K1078" s="80" t="s">
        <v>469</v>
      </c>
      <c r="L1078" s="79">
        <f>VLOOKUP(H1078,Table2[#All],3,FALSE)</f>
        <v>600</v>
      </c>
      <c r="M1078" s="80">
        <f t="shared" si="310"/>
        <v>598</v>
      </c>
      <c r="N1078" s="81">
        <f t="shared" si="307"/>
        <v>-2</v>
      </c>
      <c r="P1078" s="82">
        <f>R1078-TIME(0,26,0)</f>
        <v>45777.628472222219</v>
      </c>
      <c r="Q1078" s="82">
        <v>45777.85</v>
      </c>
      <c r="R1078" s="82">
        <v>45777.646527777775</v>
      </c>
      <c r="S1078" s="81">
        <f t="shared" si="308"/>
        <v>-291.64351852014079</v>
      </c>
      <c r="T1078" s="81">
        <f t="shared" si="290"/>
        <v>25.879629630556639</v>
      </c>
      <c r="U1078" s="79"/>
      <c r="V1078" s="82">
        <v>45778.779166666667</v>
      </c>
      <c r="W1078" s="82">
        <v>45779.45416666667</v>
      </c>
      <c r="X1078" s="103">
        <f t="shared" si="291"/>
        <v>951.75000000410364</v>
      </c>
      <c r="Y1078" s="82" t="s">
        <v>1044</v>
      </c>
      <c r="Z1078" s="82">
        <v>45779.926388888889</v>
      </c>
      <c r="AA1078" s="82">
        <f>Z1078+TIME(0,44,0)</f>
        <v>45779.956944444442</v>
      </c>
      <c r="AB1078" s="81">
        <f t="shared" si="292"/>
        <v>43.083333330141613</v>
      </c>
      <c r="AC1078" s="82"/>
      <c r="AD1078" s="83">
        <f t="shared" si="302"/>
        <v>2.2798611111138598</v>
      </c>
      <c r="AE1078" s="83">
        <f>VLOOKUP(H1078,'LIST 2'!$A$1:$E$27,4,FALSE)</f>
        <v>2</v>
      </c>
      <c r="AF1078" s="83">
        <f t="shared" si="303"/>
        <v>-0.27986111111385981</v>
      </c>
      <c r="AG1078" s="83">
        <f t="shared" si="304"/>
        <v>54.716666666732635</v>
      </c>
      <c r="AH1078" s="83">
        <f t="shared" si="305"/>
        <v>24</v>
      </c>
      <c r="AI1078" s="83">
        <f t="shared" si="306"/>
        <v>30.716666666732635</v>
      </c>
      <c r="AJ1078" s="83">
        <f t="shared" si="293"/>
        <v>5.0786760716114481</v>
      </c>
      <c r="AK1078" s="124">
        <v>9.11</v>
      </c>
      <c r="AL1078" s="124">
        <v>9.52</v>
      </c>
      <c r="AM1078" s="124">
        <v>10.16</v>
      </c>
      <c r="AN1078" s="124"/>
    </row>
    <row r="1079" spans="1:40" ht="15" x14ac:dyDescent="0.25">
      <c r="A1079" s="82">
        <v>45778</v>
      </c>
      <c r="B1079" s="94" t="str">
        <f t="shared" si="309"/>
        <v>May</v>
      </c>
      <c r="C1079" s="79" t="s">
        <v>2162</v>
      </c>
      <c r="D1079" s="79" t="s">
        <v>1894</v>
      </c>
      <c r="E1079" s="79" t="s">
        <v>1016</v>
      </c>
      <c r="F1079" s="79" t="s">
        <v>1699</v>
      </c>
      <c r="G1079" s="79" t="s">
        <v>80</v>
      </c>
      <c r="H1079" s="82" t="s">
        <v>2180</v>
      </c>
      <c r="I1079" s="79">
        <v>156</v>
      </c>
      <c r="J1079" s="79" t="s">
        <v>1894</v>
      </c>
      <c r="K1079" s="80" t="s">
        <v>469</v>
      </c>
      <c r="L1079" s="79">
        <f>VLOOKUP(H1079,Table2[#All],3,FALSE)</f>
        <v>256</v>
      </c>
      <c r="M1079" s="80">
        <f t="shared" si="310"/>
        <v>254</v>
      </c>
      <c r="N1079" s="81">
        <f t="shared" si="307"/>
        <v>-2</v>
      </c>
      <c r="P1079" s="82">
        <f>R1079-TIME(0,23,0)</f>
        <v>45777.693749999999</v>
      </c>
      <c r="Q1079" s="82">
        <v>45778.169444444444</v>
      </c>
      <c r="R1079" s="82">
        <v>45777.709722222222</v>
      </c>
      <c r="S1079" s="81">
        <f t="shared" si="308"/>
        <v>-658.93518518472172</v>
      </c>
      <c r="T1079" s="81">
        <f t="shared" si="290"/>
        <v>22.893518520140788</v>
      </c>
      <c r="U1079" s="79"/>
      <c r="V1079" s="82">
        <v>45778.367361111108</v>
      </c>
      <c r="W1079" s="82">
        <v>45778.581944444442</v>
      </c>
      <c r="X1079" s="103">
        <f t="shared" si="291"/>
        <v>302.56250000136788</v>
      </c>
      <c r="Y1079" s="82" t="s">
        <v>1047</v>
      </c>
      <c r="Z1079" s="82">
        <v>45779.512499999997</v>
      </c>
      <c r="AA1079" s="82">
        <f>Z1079+TIME(0,44,0)</f>
        <v>45779.54305555555</v>
      </c>
      <c r="AB1079" s="81">
        <f t="shared" si="292"/>
        <v>43.083333330141613</v>
      </c>
      <c r="AC1079" s="82"/>
      <c r="AD1079" s="83">
        <f t="shared" si="302"/>
        <v>1.8027777777751908</v>
      </c>
      <c r="AE1079" s="83">
        <f>VLOOKUP(H1079,'LIST 2'!$A$1:$E$27,4,FALSE)</f>
        <v>2</v>
      </c>
      <c r="AF1079" s="83">
        <f t="shared" si="303"/>
        <v>0.19722222222480923</v>
      </c>
      <c r="AG1079" s="83">
        <f t="shared" si="304"/>
        <v>43.266666666604578</v>
      </c>
      <c r="AH1079" s="83">
        <f t="shared" si="305"/>
        <v>12</v>
      </c>
      <c r="AI1079" s="83">
        <f t="shared" si="306"/>
        <v>31.266666666604578</v>
      </c>
      <c r="AJ1079" s="83">
        <f t="shared" si="293"/>
        <v>4.9893390191996732</v>
      </c>
      <c r="AK1079" s="124">
        <v>10.23</v>
      </c>
      <c r="AL1079" s="124">
        <v>11.02</v>
      </c>
      <c r="AM1079" s="124">
        <v>11.31</v>
      </c>
      <c r="AN1079" s="124"/>
    </row>
    <row r="1080" spans="1:40" ht="15" x14ac:dyDescent="0.25">
      <c r="A1080" s="82">
        <v>45779</v>
      </c>
      <c r="B1080" s="94" t="str">
        <f t="shared" si="309"/>
        <v>May</v>
      </c>
      <c r="C1080" s="79" t="s">
        <v>2161</v>
      </c>
      <c r="D1080" s="79" t="s">
        <v>1895</v>
      </c>
      <c r="E1080" s="79"/>
      <c r="F1080" s="79" t="s">
        <v>957</v>
      </c>
      <c r="G1080" s="79" t="s">
        <v>974</v>
      </c>
      <c r="H1080" s="82" t="s">
        <v>2180</v>
      </c>
      <c r="I1080" s="79">
        <v>156</v>
      </c>
      <c r="J1080" s="79" t="s">
        <v>1895</v>
      </c>
      <c r="K1080" s="80" t="s">
        <v>469</v>
      </c>
      <c r="L1080" s="79">
        <f>VLOOKUP(H1080,Table2[#All],3,FALSE)</f>
        <v>256</v>
      </c>
      <c r="M1080" s="80">
        <f t="shared" si="310"/>
        <v>254</v>
      </c>
      <c r="N1080" s="81">
        <f t="shared" si="307"/>
        <v>-2</v>
      </c>
      <c r="P1080" s="82">
        <f>R1080-TIME(0,42,0)</f>
        <v>45779.743055555555</v>
      </c>
      <c r="Q1080" s="82">
        <v>45779.169444444444</v>
      </c>
      <c r="R1080" s="82">
        <v>45779.772222222222</v>
      </c>
      <c r="S1080" s="81">
        <f t="shared" si="308"/>
        <v>863.98148148194502</v>
      </c>
      <c r="T1080" s="81">
        <f t="shared" si="290"/>
        <v>41.805555556250816</v>
      </c>
      <c r="U1080" s="79" t="s">
        <v>2166</v>
      </c>
      <c r="V1080" s="82">
        <v>45780.462500000001</v>
      </c>
      <c r="W1080" s="82">
        <v>45780.695833333331</v>
      </c>
      <c r="X1080" s="103">
        <f t="shared" si="291"/>
        <v>328.99999999521242</v>
      </c>
      <c r="Y1080" s="82" t="s">
        <v>1049</v>
      </c>
      <c r="Z1080" s="82">
        <v>45781.445138888892</v>
      </c>
      <c r="AA1080" s="82">
        <f>Z1080+TIME(0,42,0)</f>
        <v>45781.474305555559</v>
      </c>
      <c r="AB1080" s="81">
        <f t="shared" si="292"/>
        <v>41.12500000068394</v>
      </c>
      <c r="AC1080" s="82"/>
      <c r="AD1080" s="83">
        <f t="shared" si="302"/>
        <v>1.6729166666700621</v>
      </c>
      <c r="AE1080" s="83">
        <f>VLOOKUP(H1080,'LIST 2'!$A$1:$E$27,4,FALSE)</f>
        <v>2</v>
      </c>
      <c r="AF1080" s="83">
        <f t="shared" si="303"/>
        <v>0.32708333332993789</v>
      </c>
      <c r="AG1080" s="83">
        <f t="shared" si="304"/>
        <v>40.150000000081491</v>
      </c>
      <c r="AH1080" s="83">
        <f t="shared" si="305"/>
        <v>12</v>
      </c>
      <c r="AI1080" s="83">
        <f t="shared" si="306"/>
        <v>28.150000000081491</v>
      </c>
      <c r="AJ1080" s="83">
        <f t="shared" si="293"/>
        <v>5.5417406749395521</v>
      </c>
      <c r="AK1080" s="124">
        <v>8.5399999999999991</v>
      </c>
      <c r="AL1080" s="124">
        <v>9.0399999999999991</v>
      </c>
      <c r="AM1080" s="124">
        <v>9.02</v>
      </c>
      <c r="AN1080" s="124"/>
    </row>
    <row r="1081" spans="1:40" ht="15" x14ac:dyDescent="0.25">
      <c r="A1081" s="82">
        <v>45779</v>
      </c>
      <c r="B1081" s="94" t="str">
        <f t="shared" si="309"/>
        <v>May</v>
      </c>
      <c r="C1081" s="79" t="s">
        <v>2161</v>
      </c>
      <c r="D1081" s="79" t="s">
        <v>1897</v>
      </c>
      <c r="E1081" s="79"/>
      <c r="F1081" s="79" t="s">
        <v>965</v>
      </c>
      <c r="G1081" s="79" t="s">
        <v>980</v>
      </c>
      <c r="H1081" s="82" t="s">
        <v>1989</v>
      </c>
      <c r="I1081" s="79">
        <v>153.6</v>
      </c>
      <c r="J1081" s="79" t="s">
        <v>1897</v>
      </c>
      <c r="K1081" s="80" t="s">
        <v>469</v>
      </c>
      <c r="L1081" s="79">
        <f>VLOOKUP(H1081,Table2[#All],3,FALSE)</f>
        <v>20</v>
      </c>
      <c r="M1081" s="80">
        <f t="shared" si="310"/>
        <v>18</v>
      </c>
      <c r="N1081" s="81">
        <f t="shared" si="307"/>
        <v>-2</v>
      </c>
      <c r="P1081" s="82">
        <f t="shared" ref="P1081" si="312">R1081-TIME(0,39,0)</f>
        <v>45779.388194444444</v>
      </c>
      <c r="Q1081" s="82">
        <v>45779.320833333331</v>
      </c>
      <c r="R1081" s="82">
        <v>45779.415277777778</v>
      </c>
      <c r="S1081" s="81">
        <f t="shared" si="308"/>
        <v>135.37037037361492</v>
      </c>
      <c r="T1081" s="81">
        <f t="shared" si="290"/>
        <v>38.819444445834961</v>
      </c>
      <c r="U1081" s="79" t="s">
        <v>562</v>
      </c>
      <c r="V1081" s="82">
        <v>45779.651388888888</v>
      </c>
      <c r="W1081" s="82">
        <v>45779.773611111108</v>
      </c>
      <c r="X1081" s="103">
        <f t="shared" si="291"/>
        <v>172.33333333082555</v>
      </c>
      <c r="Y1081" s="82"/>
      <c r="Z1081" s="82">
        <v>45780.522916666669</v>
      </c>
      <c r="AA1081" s="82">
        <f>Z1081+TIME(0,50,0)</f>
        <v>45780.557638888888</v>
      </c>
      <c r="AB1081" s="81">
        <f t="shared" si="292"/>
        <v>48.958333328773733</v>
      </c>
      <c r="AC1081" s="82" t="s">
        <v>2169</v>
      </c>
      <c r="AD1081" s="83">
        <f t="shared" si="302"/>
        <v>1.1076388888905058</v>
      </c>
      <c r="AE1081" s="83">
        <f>VLOOKUP(H1081,'LIST 2'!$A$1:$E$27,4,FALSE)</f>
        <v>1</v>
      </c>
      <c r="AF1081" s="83">
        <f t="shared" si="303"/>
        <v>-0.10763888889050577</v>
      </c>
      <c r="AG1081" s="83">
        <f t="shared" si="304"/>
        <v>26.583333333372138</v>
      </c>
      <c r="AH1081" s="83">
        <f t="shared" si="305"/>
        <v>12</v>
      </c>
      <c r="AI1081" s="83">
        <f t="shared" si="306"/>
        <v>14.583333333372138</v>
      </c>
      <c r="AJ1081" s="83">
        <f t="shared" si="293"/>
        <v>10.532571428543402</v>
      </c>
      <c r="AK1081" s="124">
        <v>7.59</v>
      </c>
      <c r="AL1081" s="124">
        <v>8.32</v>
      </c>
      <c r="AM1081" s="124"/>
      <c r="AN1081" s="124"/>
    </row>
    <row r="1082" spans="1:40" ht="15" x14ac:dyDescent="0.25">
      <c r="A1082" s="82">
        <v>45779</v>
      </c>
      <c r="B1082" s="94" t="str">
        <f t="shared" si="309"/>
        <v>May</v>
      </c>
      <c r="C1082" s="79" t="s">
        <v>2161</v>
      </c>
      <c r="D1082" s="79" t="s">
        <v>1898</v>
      </c>
      <c r="E1082" s="79" t="s">
        <v>1016</v>
      </c>
      <c r="F1082" s="79" t="s">
        <v>950</v>
      </c>
      <c r="G1082" s="79" t="s">
        <v>967</v>
      </c>
      <c r="H1082" s="82" t="s">
        <v>1957</v>
      </c>
      <c r="I1082" s="79">
        <v>153.6</v>
      </c>
      <c r="J1082" s="79" t="s">
        <v>1898</v>
      </c>
      <c r="K1082" s="80" t="s">
        <v>469</v>
      </c>
      <c r="L1082" s="79">
        <f>VLOOKUP(H1082,Table2[#All],3,FALSE)</f>
        <v>288</v>
      </c>
      <c r="M1082" s="80">
        <f t="shared" si="310"/>
        <v>286</v>
      </c>
      <c r="N1082" s="81">
        <f t="shared" si="307"/>
        <v>-2</v>
      </c>
      <c r="P1082" s="82">
        <f>R1082-TIME(0,38,0)</f>
        <v>45778.905555555553</v>
      </c>
      <c r="Q1082" s="82">
        <v>45779.154861111114</v>
      </c>
      <c r="R1082" s="82">
        <v>45778.931944444441</v>
      </c>
      <c r="S1082" s="81">
        <f t="shared" si="308"/>
        <v>-319.51388889792725</v>
      </c>
      <c r="T1082" s="81">
        <f t="shared" si="290"/>
        <v>37.82407407222005</v>
      </c>
      <c r="U1082" s="79" t="s">
        <v>550</v>
      </c>
      <c r="V1082" s="82">
        <v>45779.390277777777</v>
      </c>
      <c r="W1082" s="82">
        <v>45779.53402777778</v>
      </c>
      <c r="X1082" s="103">
        <f t="shared" si="291"/>
        <v>202.68750000410364</v>
      </c>
      <c r="Y1082" s="82" t="s">
        <v>1046</v>
      </c>
      <c r="Z1082" s="82">
        <v>45780.759722222225</v>
      </c>
      <c r="AA1082" s="82">
        <f>Z1082+TIME(0,57,0)</f>
        <v>45780.799305555556</v>
      </c>
      <c r="AB1082" s="81">
        <f t="shared" si="292"/>
        <v>55.81249999726424</v>
      </c>
      <c r="AC1082" s="82" t="s">
        <v>2168</v>
      </c>
      <c r="AD1082" s="83">
        <f t="shared" si="302"/>
        <v>1.8277777777839219</v>
      </c>
      <c r="AE1082" s="83">
        <f>VLOOKUP(H1082,'LIST 2'!$A$1:$E$27,4,FALSE)</f>
        <v>2</v>
      </c>
      <c r="AF1082" s="83">
        <f t="shared" si="303"/>
        <v>0.17222222221607808</v>
      </c>
      <c r="AG1082" s="83">
        <f t="shared" si="304"/>
        <v>43.866666666814126</v>
      </c>
      <c r="AH1082" s="83">
        <f t="shared" si="305"/>
        <v>12</v>
      </c>
      <c r="AI1082" s="83">
        <f t="shared" si="306"/>
        <v>31.866666666814126</v>
      </c>
      <c r="AJ1082" s="83">
        <f t="shared" si="293"/>
        <v>4.8200836819860635</v>
      </c>
      <c r="AK1082" s="122">
        <v>11.2</v>
      </c>
      <c r="AL1082" s="122">
        <v>8.36</v>
      </c>
      <c r="AM1082" s="122">
        <v>9.3000000000000007</v>
      </c>
      <c r="AN1082" s="122"/>
    </row>
    <row r="1083" spans="1:40" ht="15" x14ac:dyDescent="0.25">
      <c r="A1083" s="82">
        <v>45780</v>
      </c>
      <c r="B1083" s="94" t="str">
        <f t="shared" si="309"/>
        <v>May</v>
      </c>
      <c r="C1083" s="79" t="s">
        <v>2161</v>
      </c>
      <c r="D1083" s="79" t="s">
        <v>1899</v>
      </c>
      <c r="E1083" s="79"/>
      <c r="F1083" s="79" t="s">
        <v>952</v>
      </c>
      <c r="G1083" s="79" t="s">
        <v>969</v>
      </c>
      <c r="H1083" s="82" t="s">
        <v>1959</v>
      </c>
      <c r="I1083" s="79">
        <v>156</v>
      </c>
      <c r="J1083" s="79" t="s">
        <v>1899</v>
      </c>
      <c r="K1083" s="80" t="s">
        <v>469</v>
      </c>
      <c r="L1083" s="79">
        <f>VLOOKUP(H1083,Table2[#All],3,FALSE)</f>
        <v>304</v>
      </c>
      <c r="M1083" s="80">
        <f t="shared" si="310"/>
        <v>302</v>
      </c>
      <c r="N1083" s="81">
        <f t="shared" si="307"/>
        <v>-2</v>
      </c>
      <c r="P1083" s="82">
        <f>R1083-TIME(0,27,0)</f>
        <v>45780.615972222222</v>
      </c>
      <c r="Q1083" s="82">
        <v>45780.098611111112</v>
      </c>
      <c r="R1083" s="82">
        <v>45780.634722222225</v>
      </c>
      <c r="S1083" s="81">
        <f t="shared" si="308"/>
        <v>768.42592592777999</v>
      </c>
      <c r="T1083" s="81">
        <f t="shared" si="290"/>
        <v>26.87500000417155</v>
      </c>
      <c r="U1083" s="79"/>
      <c r="V1083" s="82">
        <v>45781.40625</v>
      </c>
      <c r="W1083" s="82">
        <v>45781.560416666667</v>
      </c>
      <c r="X1083" s="103">
        <f t="shared" si="291"/>
        <v>217.37500000068394</v>
      </c>
      <c r="Y1083" s="82" t="s">
        <v>1049</v>
      </c>
      <c r="Z1083" s="82">
        <v>45781.681250000001</v>
      </c>
      <c r="AA1083" s="82">
        <f>Z1083+TIME(0,42,0)</f>
        <v>45781.710416666669</v>
      </c>
      <c r="AB1083" s="81">
        <f t="shared" si="292"/>
        <v>41.12500000068394</v>
      </c>
      <c r="AC1083" s="82"/>
      <c r="AD1083" s="83">
        <f t="shared" si="302"/>
        <v>1.046527777776646</v>
      </c>
      <c r="AE1083" s="83">
        <f>VLOOKUP(H1083,'LIST 2'!$A$1:$E$27,4,FALSE)</f>
        <v>2</v>
      </c>
      <c r="AF1083" s="83">
        <f t="shared" si="303"/>
        <v>0.95347222222335404</v>
      </c>
      <c r="AG1083" s="83">
        <f t="shared" si="304"/>
        <v>25.116666666639503</v>
      </c>
      <c r="AH1083" s="83">
        <f t="shared" si="305"/>
        <v>12</v>
      </c>
      <c r="AI1083" s="83">
        <f t="shared" si="306"/>
        <v>13.116666666639503</v>
      </c>
      <c r="AJ1083" s="83">
        <f t="shared" si="293"/>
        <v>11.893265565463004</v>
      </c>
      <c r="AK1083" s="122">
        <v>7.14</v>
      </c>
      <c r="AL1083" s="122">
        <v>11.24</v>
      </c>
      <c r="AM1083" s="122"/>
      <c r="AN1083" s="122"/>
    </row>
    <row r="1084" spans="1:40" ht="15" x14ac:dyDescent="0.25">
      <c r="A1084" s="82">
        <v>45780</v>
      </c>
      <c r="B1084" s="94" t="str">
        <f t="shared" si="309"/>
        <v>May</v>
      </c>
      <c r="C1084" s="79" t="s">
        <v>2161</v>
      </c>
      <c r="D1084" s="79" t="s">
        <v>1900</v>
      </c>
      <c r="E1084" s="79"/>
      <c r="F1084" s="79" t="s">
        <v>962</v>
      </c>
      <c r="G1084" s="79" t="s">
        <v>978</v>
      </c>
      <c r="H1084" s="82" t="s">
        <v>2186</v>
      </c>
      <c r="I1084" s="79">
        <v>156</v>
      </c>
      <c r="J1084" s="79" t="s">
        <v>1900</v>
      </c>
      <c r="K1084" s="80" t="s">
        <v>469</v>
      </c>
      <c r="L1084" s="79">
        <f>VLOOKUP(H1084,Table2[#All],3,FALSE)</f>
        <v>228</v>
      </c>
      <c r="M1084" s="80">
        <f>L1084-1</f>
        <v>227</v>
      </c>
      <c r="N1084" s="81">
        <f t="shared" si="307"/>
        <v>-1</v>
      </c>
      <c r="P1084" s="82">
        <f>R1084-TIME(0,23,0)</f>
        <v>45780.644444444442</v>
      </c>
      <c r="Q1084" s="82">
        <v>45780.136805555558</v>
      </c>
      <c r="R1084" s="82">
        <v>45780.660416666666</v>
      </c>
      <c r="S1084" s="81">
        <f t="shared" si="308"/>
        <v>750.50925925485592</v>
      </c>
      <c r="T1084" s="81">
        <f t="shared" ref="T1084:T1147" si="313">(R1084-P1084)*86000/60</f>
        <v>22.893518520140788</v>
      </c>
      <c r="U1084" s="79"/>
      <c r="V1084" s="82">
        <v>45780.786111111112</v>
      </c>
      <c r="W1084" s="82">
        <v>45781.604166666664</v>
      </c>
      <c r="X1084" s="103">
        <f t="shared" ref="X1084:X1147" si="314">(W1084-V1084)*84600/60</f>
        <v>1153.4583333280898</v>
      </c>
      <c r="Y1084" s="82" t="s">
        <v>1044</v>
      </c>
      <c r="Z1084" s="82">
        <v>45781.729861111111</v>
      </c>
      <c r="AA1084" s="82">
        <f>Z1084+TIME(0,44,0)</f>
        <v>45781.760416666664</v>
      </c>
      <c r="AB1084" s="81">
        <f t="shared" ref="AB1084:AB1149" si="315">(AA1084-Z1084)*84600/60</f>
        <v>43.083333330141613</v>
      </c>
      <c r="AC1084" s="82"/>
      <c r="AD1084" s="83">
        <f t="shared" si="302"/>
        <v>1.0694444444452529</v>
      </c>
      <c r="AE1084" s="83">
        <f>VLOOKUP(H1084,'LIST 2'!$A$1:$E$27,4,FALSE)</f>
        <v>2</v>
      </c>
      <c r="AF1084" s="83">
        <f t="shared" si="303"/>
        <v>0.93055555555474712</v>
      </c>
      <c r="AG1084" s="83">
        <f t="shared" si="304"/>
        <v>25.666666666686069</v>
      </c>
      <c r="AH1084" s="83">
        <f t="shared" si="305"/>
        <v>12</v>
      </c>
      <c r="AI1084" s="83">
        <f t="shared" si="306"/>
        <v>13.666666666686069</v>
      </c>
      <c r="AJ1084" s="83">
        <f t="shared" ref="AJ1084:AJ1147" si="316">I1084/AI1084</f>
        <v>11.414634146325257</v>
      </c>
      <c r="AK1084" s="124">
        <v>10.32</v>
      </c>
      <c r="AL1084" s="124">
        <v>10.41</v>
      </c>
      <c r="AM1084" s="122"/>
      <c r="AN1084" s="122"/>
    </row>
    <row r="1085" spans="1:40" ht="15" x14ac:dyDescent="0.25">
      <c r="A1085" s="82">
        <v>45780</v>
      </c>
      <c r="B1085" s="94" t="str">
        <f t="shared" si="309"/>
        <v>May</v>
      </c>
      <c r="C1085" s="79" t="s">
        <v>2161</v>
      </c>
      <c r="D1085" s="79" t="s">
        <v>1901</v>
      </c>
      <c r="E1085" s="79" t="s">
        <v>1016</v>
      </c>
      <c r="F1085" s="79" t="s">
        <v>1689</v>
      </c>
      <c r="G1085" s="79" t="s">
        <v>1262</v>
      </c>
      <c r="H1085" s="82" t="s">
        <v>1956</v>
      </c>
      <c r="I1085" s="79">
        <v>153.6</v>
      </c>
      <c r="J1085" s="79" t="s">
        <v>1901</v>
      </c>
      <c r="K1085" s="80" t="s">
        <v>469</v>
      </c>
      <c r="L1085" s="79">
        <f>VLOOKUP(H1085,Table2[#All],3,FALSE)</f>
        <v>596</v>
      </c>
      <c r="M1085" s="80">
        <f t="shared" si="310"/>
        <v>594</v>
      </c>
      <c r="N1085" s="81">
        <f t="shared" si="307"/>
        <v>-2</v>
      </c>
      <c r="P1085" s="82">
        <f>R1085-TIME(0,42,0)</f>
        <v>45780.588194444441</v>
      </c>
      <c r="Q1085" s="82">
        <v>45780.176388888889</v>
      </c>
      <c r="R1085" s="82">
        <v>45780.617361111108</v>
      </c>
      <c r="S1085" s="81">
        <f t="shared" si="308"/>
        <v>632.06018518055009</v>
      </c>
      <c r="T1085" s="81">
        <f t="shared" si="313"/>
        <v>41.805555556250816</v>
      </c>
      <c r="U1085" s="79" t="s">
        <v>2164</v>
      </c>
      <c r="V1085" s="82">
        <v>45780.808333333334</v>
      </c>
      <c r="W1085" s="82">
        <v>45781.519444444442</v>
      </c>
      <c r="X1085" s="103">
        <f t="shared" si="314"/>
        <v>1002.666666662335</v>
      </c>
      <c r="Y1085" s="82" t="s">
        <v>1044</v>
      </c>
      <c r="Z1085" s="82">
        <v>45781.693749999999</v>
      </c>
      <c r="AA1085" s="82">
        <f>Z1085+TIME(0,44,0)</f>
        <v>45781.724305555552</v>
      </c>
      <c r="AB1085" s="81">
        <f t="shared" si="315"/>
        <v>43.083333330141613</v>
      </c>
      <c r="AC1085" s="82"/>
      <c r="AD1085" s="83">
        <f t="shared" si="302"/>
        <v>1.0763888888905058</v>
      </c>
      <c r="AE1085" s="83">
        <f>VLOOKUP(H1085,'LIST 2'!$A$1:$E$27,4,FALSE)</f>
        <v>2</v>
      </c>
      <c r="AF1085" s="83">
        <f t="shared" si="303"/>
        <v>0.92361111110949423</v>
      </c>
      <c r="AG1085" s="83">
        <f t="shared" si="304"/>
        <v>25.833333333372138</v>
      </c>
      <c r="AH1085" s="83">
        <f t="shared" si="305"/>
        <v>12</v>
      </c>
      <c r="AI1085" s="83">
        <f t="shared" si="306"/>
        <v>13.833333333372138</v>
      </c>
      <c r="AJ1085" s="83">
        <f t="shared" si="316"/>
        <v>11.103614457800177</v>
      </c>
      <c r="AK1085" s="122">
        <v>9.49</v>
      </c>
      <c r="AL1085" s="122">
        <v>9.49</v>
      </c>
      <c r="AM1085" s="122"/>
      <c r="AN1085" s="122"/>
    </row>
    <row r="1086" spans="1:40" ht="15" x14ac:dyDescent="0.25">
      <c r="A1086" s="82">
        <v>45780</v>
      </c>
      <c r="B1086" s="94" t="str">
        <f t="shared" si="309"/>
        <v>May</v>
      </c>
      <c r="C1086" s="79" t="s">
        <v>2161</v>
      </c>
      <c r="D1086" s="79" t="s">
        <v>1902</v>
      </c>
      <c r="E1086" s="79"/>
      <c r="F1086" s="79" t="s">
        <v>966</v>
      </c>
      <c r="G1086" s="79" t="s">
        <v>981</v>
      </c>
      <c r="H1086" s="82" t="s">
        <v>1956</v>
      </c>
      <c r="I1086" s="79">
        <v>153.6</v>
      </c>
      <c r="J1086" s="79" t="s">
        <v>1902</v>
      </c>
      <c r="K1086" s="80" t="s">
        <v>469</v>
      </c>
      <c r="L1086" s="79">
        <f>VLOOKUP(H1086,Table2[#All],3,FALSE)</f>
        <v>596</v>
      </c>
      <c r="M1086" s="80">
        <f>L1086-1</f>
        <v>595</v>
      </c>
      <c r="N1086" s="81">
        <f t="shared" si="307"/>
        <v>-1</v>
      </c>
      <c r="P1086" s="82">
        <f>R1086-TIME(0,42,0)</f>
        <v>45780.554861111108</v>
      </c>
      <c r="Q1086" s="82">
        <v>45780.176388888889</v>
      </c>
      <c r="R1086" s="82">
        <v>45780.584027777775</v>
      </c>
      <c r="S1086" s="81">
        <f t="shared" si="308"/>
        <v>584.28240740346757</v>
      </c>
      <c r="T1086" s="81">
        <f t="shared" si="313"/>
        <v>41.805555556250816</v>
      </c>
      <c r="U1086" s="79" t="s">
        <v>2167</v>
      </c>
      <c r="V1086" s="82">
        <v>45780.706944444442</v>
      </c>
      <c r="W1086" s="82">
        <v>45780.817361111112</v>
      </c>
      <c r="X1086" s="103">
        <f t="shared" si="314"/>
        <v>155.68750000478758</v>
      </c>
      <c r="Y1086" s="82"/>
      <c r="Z1086" s="82">
        <v>45781.638194444444</v>
      </c>
      <c r="AA1086" s="82">
        <f>Z1086+TIME(0,44,0)</f>
        <v>45781.668749999997</v>
      </c>
      <c r="AB1086" s="81">
        <f t="shared" si="315"/>
        <v>43.083333330141613</v>
      </c>
      <c r="AC1086" s="82"/>
      <c r="AD1086" s="83">
        <f t="shared" si="302"/>
        <v>1.0541666666686069</v>
      </c>
      <c r="AE1086" s="83">
        <f>VLOOKUP(H1086,'LIST 2'!$A$1:$E$27,4,FALSE)</f>
        <v>2</v>
      </c>
      <c r="AF1086" s="83">
        <f t="shared" si="303"/>
        <v>0.94583333333139308</v>
      </c>
      <c r="AG1086" s="83">
        <f t="shared" si="304"/>
        <v>25.300000000046566</v>
      </c>
      <c r="AH1086" s="83">
        <f t="shared" si="305"/>
        <v>12</v>
      </c>
      <c r="AI1086" s="83">
        <f t="shared" si="306"/>
        <v>13.300000000046566</v>
      </c>
      <c r="AJ1086" s="83">
        <f t="shared" si="316"/>
        <v>11.548872180410692</v>
      </c>
      <c r="AK1086" s="122">
        <v>10.119999999999999</v>
      </c>
      <c r="AL1086" s="122">
        <v>11.39</v>
      </c>
      <c r="AM1086" s="122"/>
      <c r="AN1086" s="122"/>
    </row>
    <row r="1087" spans="1:40" ht="15" x14ac:dyDescent="0.25">
      <c r="A1087" s="82">
        <v>45780</v>
      </c>
      <c r="B1087" s="94" t="str">
        <f t="shared" si="309"/>
        <v>May</v>
      </c>
      <c r="C1087" s="79" t="s">
        <v>2161</v>
      </c>
      <c r="D1087" s="79" t="s">
        <v>1903</v>
      </c>
      <c r="E1087" s="79" t="s">
        <v>1016</v>
      </c>
      <c r="F1087" s="79" t="s">
        <v>956</v>
      </c>
      <c r="G1087" s="79" t="s">
        <v>973</v>
      </c>
      <c r="H1087" s="82" t="s">
        <v>1959</v>
      </c>
      <c r="I1087" s="79">
        <v>156</v>
      </c>
      <c r="J1087" s="79" t="s">
        <v>1903</v>
      </c>
      <c r="K1087" s="80" t="s">
        <v>469</v>
      </c>
      <c r="L1087" s="79">
        <f>VLOOKUP(H1087,Table2[#All],3,FALSE)</f>
        <v>304</v>
      </c>
      <c r="M1087" s="80">
        <f t="shared" si="310"/>
        <v>302</v>
      </c>
      <c r="N1087" s="81">
        <f t="shared" si="307"/>
        <v>-2</v>
      </c>
      <c r="P1087" s="82">
        <f>R1087-TIME(0,27,0)</f>
        <v>45780.465277777774</v>
      </c>
      <c r="Q1087" s="82">
        <v>45780.098611111112</v>
      </c>
      <c r="R1087" s="82">
        <v>45780.484027777777</v>
      </c>
      <c r="S1087" s="81">
        <f t="shared" si="308"/>
        <v>552.43055555207923</v>
      </c>
      <c r="T1087" s="81">
        <f t="shared" si="313"/>
        <v>26.87500000417155</v>
      </c>
      <c r="U1087" s="79"/>
      <c r="V1087" s="82">
        <v>45780.777083333334</v>
      </c>
      <c r="W1087" s="82">
        <v>45781.585416666669</v>
      </c>
      <c r="X1087" s="103">
        <f t="shared" si="314"/>
        <v>1139.7500000013679</v>
      </c>
      <c r="Y1087" s="82" t="s">
        <v>1049</v>
      </c>
      <c r="Z1087" s="82">
        <v>45782.441666666666</v>
      </c>
      <c r="AA1087" s="82">
        <f>Z1087+TIME(0,44,0)</f>
        <v>45782.472222222219</v>
      </c>
      <c r="AB1087" s="81">
        <f t="shared" si="315"/>
        <v>43.083333330141613</v>
      </c>
      <c r="AC1087" s="82"/>
      <c r="AD1087" s="83">
        <f t="shared" si="302"/>
        <v>1.9576388888890506</v>
      </c>
      <c r="AE1087" s="83">
        <f>VLOOKUP(H1087,'LIST 2'!$A$1:$E$27,4,FALSE)</f>
        <v>2</v>
      </c>
      <c r="AF1087" s="83">
        <f t="shared" si="303"/>
        <v>4.2361111110949423E-2</v>
      </c>
      <c r="AG1087" s="83">
        <f t="shared" si="304"/>
        <v>46.983333333337214</v>
      </c>
      <c r="AH1087" s="83">
        <f t="shared" si="305"/>
        <v>12</v>
      </c>
      <c r="AI1087" s="83">
        <f t="shared" si="306"/>
        <v>34.983333333337214</v>
      </c>
      <c r="AJ1087" s="83">
        <f t="shared" si="316"/>
        <v>4.459266317293455</v>
      </c>
      <c r="AK1087" s="122">
        <v>10.029999999999999</v>
      </c>
      <c r="AL1087" s="122">
        <v>11.57</v>
      </c>
      <c r="AM1087" s="122">
        <v>9.1199999999999992</v>
      </c>
      <c r="AN1087" s="122"/>
    </row>
    <row r="1088" spans="1:40" ht="15" x14ac:dyDescent="0.25">
      <c r="A1088" s="82">
        <v>45780</v>
      </c>
      <c r="B1088" s="94" t="str">
        <f t="shared" si="309"/>
        <v>May</v>
      </c>
      <c r="C1088" s="79" t="s">
        <v>2161</v>
      </c>
      <c r="D1088" s="79" t="s">
        <v>1896</v>
      </c>
      <c r="E1088" s="79"/>
      <c r="F1088" s="79" t="s">
        <v>959</v>
      </c>
      <c r="G1088" s="79" t="s">
        <v>976</v>
      </c>
      <c r="H1088" s="82" t="s">
        <v>1989</v>
      </c>
      <c r="I1088" s="79">
        <v>153.6</v>
      </c>
      <c r="J1088" s="79" t="s">
        <v>1896</v>
      </c>
      <c r="K1088" s="80" t="s">
        <v>469</v>
      </c>
      <c r="L1088" s="79">
        <f>VLOOKUP(H1088,Table2[#All],3,FALSE)</f>
        <v>20</v>
      </c>
      <c r="M1088" s="80">
        <f>L1088-2</f>
        <v>18</v>
      </c>
      <c r="N1088" s="81">
        <f t="shared" si="307"/>
        <v>-2</v>
      </c>
      <c r="P1088" s="82">
        <f>R1088-TIME(0,29,0)</f>
        <v>45780.643750000003</v>
      </c>
      <c r="Q1088" s="82">
        <v>45780.320833333331</v>
      </c>
      <c r="R1088" s="82">
        <v>45780.663888888892</v>
      </c>
      <c r="S1088" s="81">
        <f t="shared" si="308"/>
        <v>491.71296297014732</v>
      </c>
      <c r="T1088" s="81">
        <f t="shared" si="313"/>
        <v>28.865740740972495</v>
      </c>
      <c r="U1088" s="79"/>
      <c r="V1088" s="82">
        <v>45780.70208333333</v>
      </c>
      <c r="W1088" s="82">
        <v>45780.828472222223</v>
      </c>
      <c r="X1088" s="103">
        <f t="shared" si="314"/>
        <v>178.20833333971677</v>
      </c>
      <c r="Y1088" s="82"/>
      <c r="Z1088" s="82">
        <v>45780.853472222225</v>
      </c>
      <c r="AA1088" s="82">
        <f>Z1088+TIME(0,42,0)</f>
        <v>45780.882638888892</v>
      </c>
      <c r="AB1088" s="81">
        <f t="shared" si="315"/>
        <v>41.12500000068394</v>
      </c>
      <c r="AC1088" s="82"/>
      <c r="AD1088" s="83">
        <f t="shared" si="302"/>
        <v>0.18958333333284827</v>
      </c>
      <c r="AE1088" s="83">
        <f>VLOOKUP(H1088,'LIST 2'!$A$1:$E$27,4,FALSE)</f>
        <v>1</v>
      </c>
      <c r="AF1088" s="83">
        <f t="shared" si="303"/>
        <v>0.81041666666715173</v>
      </c>
      <c r="AG1088" s="83">
        <f t="shared" si="304"/>
        <v>4.5499999999883585</v>
      </c>
      <c r="AH1088" s="83">
        <f t="shared" si="305"/>
        <v>0</v>
      </c>
      <c r="AI1088" s="83">
        <f t="shared" si="306"/>
        <v>4.5499999999883585</v>
      </c>
      <c r="AJ1088" s="83">
        <f t="shared" si="316"/>
        <v>33.758241758328133</v>
      </c>
      <c r="AK1088" s="122">
        <v>8.51</v>
      </c>
      <c r="AL1088" s="122"/>
      <c r="AM1088" s="122"/>
      <c r="AN1088" s="122"/>
    </row>
    <row r="1089" spans="1:40" ht="15" x14ac:dyDescent="0.25">
      <c r="A1089" s="82">
        <v>45780</v>
      </c>
      <c r="B1089" s="94" t="str">
        <f t="shared" si="309"/>
        <v>May</v>
      </c>
      <c r="C1089" s="79" t="s">
        <v>2161</v>
      </c>
      <c r="D1089" s="79" t="s">
        <v>1904</v>
      </c>
      <c r="E1089" s="79"/>
      <c r="F1089" s="79" t="s">
        <v>955</v>
      </c>
      <c r="G1089" s="79" t="s">
        <v>972</v>
      </c>
      <c r="H1089" s="82" t="s">
        <v>1989</v>
      </c>
      <c r="I1089" s="79">
        <v>153.6</v>
      </c>
      <c r="J1089" s="79" t="s">
        <v>1904</v>
      </c>
      <c r="K1089" s="80" t="s">
        <v>469</v>
      </c>
      <c r="L1089" s="79">
        <f>VLOOKUP(H1089,Table2[#All],3,FALSE)</f>
        <v>20</v>
      </c>
      <c r="M1089" s="80">
        <f>L1089-1</f>
        <v>19</v>
      </c>
      <c r="N1089" s="81">
        <f t="shared" si="307"/>
        <v>-1</v>
      </c>
      <c r="P1089" s="82">
        <f t="shared" ref="P1089:P1090" si="317">R1089-TIME(0,42,0)</f>
        <v>45779.669444444444</v>
      </c>
      <c r="Q1089" s="82">
        <v>45779.618055555555</v>
      </c>
      <c r="R1089" s="82">
        <v>45779.698611111111</v>
      </c>
      <c r="S1089" s="81">
        <f t="shared" si="308"/>
        <v>115.46296296388998</v>
      </c>
      <c r="T1089" s="81">
        <f t="shared" si="313"/>
        <v>41.805555556250816</v>
      </c>
      <c r="U1089" s="79" t="s">
        <v>2165</v>
      </c>
      <c r="V1089" s="82">
        <v>45780.37222222222</v>
      </c>
      <c r="W1089" s="82">
        <v>45780.609027777777</v>
      </c>
      <c r="X1089" s="103">
        <f t="shared" si="314"/>
        <v>333.89583333424525</v>
      </c>
      <c r="Y1089" s="82" t="s">
        <v>1044</v>
      </c>
      <c r="Z1089" s="82">
        <v>45781.436111111114</v>
      </c>
      <c r="AA1089" s="82">
        <f>Z1089+TIME(0,51,0)</f>
        <v>45781.47152777778</v>
      </c>
      <c r="AB1089" s="81">
        <f t="shared" si="315"/>
        <v>49.93749999863212</v>
      </c>
      <c r="AC1089" s="82" t="s">
        <v>1674</v>
      </c>
      <c r="AD1089" s="83">
        <f t="shared" si="302"/>
        <v>1.7375000000029104</v>
      </c>
      <c r="AE1089" s="83">
        <f>VLOOKUP(H1089,'LIST 2'!$A$1:$E$27,4,FALSE)</f>
        <v>1</v>
      </c>
      <c r="AF1089" s="83">
        <f t="shared" si="303"/>
        <v>-0.73750000000291038</v>
      </c>
      <c r="AG1089" s="83">
        <f t="shared" si="304"/>
        <v>41.700000000069849</v>
      </c>
      <c r="AH1089" s="83">
        <f t="shared" si="305"/>
        <v>12</v>
      </c>
      <c r="AI1089" s="83">
        <f t="shared" si="306"/>
        <v>29.700000000069849</v>
      </c>
      <c r="AJ1089" s="83">
        <f t="shared" si="316"/>
        <v>5.1717171717050086</v>
      </c>
      <c r="AK1089" s="122">
        <v>9.26</v>
      </c>
      <c r="AL1089" s="122">
        <v>10.210000000000001</v>
      </c>
      <c r="AM1089" s="122">
        <v>9.32</v>
      </c>
      <c r="AN1089" s="122"/>
    </row>
    <row r="1090" spans="1:40" ht="15" x14ac:dyDescent="0.25">
      <c r="A1090" s="82">
        <v>45781</v>
      </c>
      <c r="B1090" s="94" t="str">
        <f t="shared" si="309"/>
        <v>May</v>
      </c>
      <c r="C1090" s="79" t="s">
        <v>2161</v>
      </c>
      <c r="D1090" s="79" t="s">
        <v>1905</v>
      </c>
      <c r="E1090" s="79"/>
      <c r="F1090" s="79" t="s">
        <v>966</v>
      </c>
      <c r="G1090" s="79" t="s">
        <v>981</v>
      </c>
      <c r="H1090" s="82" t="s">
        <v>1956</v>
      </c>
      <c r="I1090" s="79">
        <v>153.6</v>
      </c>
      <c r="J1090" s="79" t="s">
        <v>1905</v>
      </c>
      <c r="K1090" s="80" t="s">
        <v>469</v>
      </c>
      <c r="L1090" s="79">
        <f>VLOOKUP(H1090,Table2[#All],3,FALSE)</f>
        <v>596</v>
      </c>
      <c r="M1090" s="80">
        <f t="shared" si="310"/>
        <v>594</v>
      </c>
      <c r="N1090" s="81">
        <f t="shared" si="307"/>
        <v>-2</v>
      </c>
      <c r="P1090" s="82">
        <f t="shared" si="317"/>
        <v>45781.72152777778</v>
      </c>
      <c r="Q1090" s="82">
        <v>45781.416666666664</v>
      </c>
      <c r="R1090" s="82">
        <v>45781.750694444447</v>
      </c>
      <c r="S1090" s="81">
        <f t="shared" si="308"/>
        <v>478.77314815486898</v>
      </c>
      <c r="T1090" s="81">
        <f t="shared" si="313"/>
        <v>41.805555556250816</v>
      </c>
      <c r="U1090" s="79" t="s">
        <v>562</v>
      </c>
      <c r="V1090" s="82">
        <v>45782.637499999997</v>
      </c>
      <c r="W1090" s="82">
        <v>45782.794444444444</v>
      </c>
      <c r="X1090" s="103">
        <f t="shared" si="314"/>
        <v>221.29166666985839</v>
      </c>
      <c r="Y1090" s="82" t="s">
        <v>1044</v>
      </c>
      <c r="Z1090" s="82">
        <v>45783.647916666669</v>
      </c>
      <c r="AA1090" s="82">
        <f>Z1090+TIME(0,51,0)</f>
        <v>45783.683333333334</v>
      </c>
      <c r="AB1090" s="81">
        <f t="shared" si="315"/>
        <v>49.93749999863212</v>
      </c>
      <c r="AC1090" s="82" t="s">
        <v>1673</v>
      </c>
      <c r="AD1090" s="83">
        <f t="shared" si="302"/>
        <v>1.8972222222218988</v>
      </c>
      <c r="AE1090" s="83">
        <f>VLOOKUP(H1090,'LIST 2'!$A$1:$E$27,4,FALSE)</f>
        <v>2</v>
      </c>
      <c r="AF1090" s="83">
        <f t="shared" si="303"/>
        <v>0.10277777777810115</v>
      </c>
      <c r="AG1090" s="83">
        <f t="shared" si="304"/>
        <v>45.533333333325572</v>
      </c>
      <c r="AH1090" s="83">
        <f t="shared" si="305"/>
        <v>12</v>
      </c>
      <c r="AI1090" s="83">
        <f t="shared" si="306"/>
        <v>33.533333333325572</v>
      </c>
      <c r="AJ1090" s="83">
        <f t="shared" si="316"/>
        <v>4.5805168986094102</v>
      </c>
      <c r="AK1090" s="122">
        <v>11.2</v>
      </c>
      <c r="AL1090" s="122">
        <v>8.36</v>
      </c>
      <c r="AM1090" s="122">
        <v>9.3000000000000007</v>
      </c>
      <c r="AN1090" s="122"/>
    </row>
    <row r="1091" spans="1:40" ht="15" x14ac:dyDescent="0.25">
      <c r="A1091" s="82">
        <v>45781</v>
      </c>
      <c r="B1091" s="94" t="str">
        <f t="shared" si="309"/>
        <v>May</v>
      </c>
      <c r="C1091" s="79" t="s">
        <v>2161</v>
      </c>
      <c r="D1091" s="79" t="s">
        <v>1906</v>
      </c>
      <c r="E1091" s="79"/>
      <c r="F1091" s="79" t="s">
        <v>958</v>
      </c>
      <c r="G1091" s="79" t="s">
        <v>975</v>
      </c>
      <c r="H1091" s="82" t="s">
        <v>1959</v>
      </c>
      <c r="I1091" s="79">
        <v>156</v>
      </c>
      <c r="J1091" s="79" t="s">
        <v>1906</v>
      </c>
      <c r="K1091" s="80" t="s">
        <v>469</v>
      </c>
      <c r="L1091" s="79">
        <f>VLOOKUP(H1091,Table2[#All],3,FALSE)</f>
        <v>304</v>
      </c>
      <c r="M1091" s="80">
        <f t="shared" si="310"/>
        <v>302</v>
      </c>
      <c r="N1091" s="81">
        <f t="shared" si="307"/>
        <v>-2</v>
      </c>
      <c r="P1091" s="82">
        <f>R1091-TIME(0,29,0)</f>
        <v>45782.395138888889</v>
      </c>
      <c r="Q1091" s="82">
        <v>45782.098611111112</v>
      </c>
      <c r="R1091" s="82">
        <v>45782.415277777778</v>
      </c>
      <c r="S1091" s="81">
        <f t="shared" si="308"/>
        <v>453.88888888749835</v>
      </c>
      <c r="T1091" s="81">
        <f t="shared" si="313"/>
        <v>28.865740740972495</v>
      </c>
      <c r="U1091" s="79"/>
      <c r="V1091" s="82">
        <v>45782.651388888888</v>
      </c>
      <c r="W1091" s="82">
        <v>45783.486805555556</v>
      </c>
      <c r="X1091" s="103">
        <f t="shared" si="314"/>
        <v>1177.9375000027358</v>
      </c>
      <c r="Y1091" s="82" t="s">
        <v>1044</v>
      </c>
      <c r="Z1091" s="82">
        <v>45783.736805555556</v>
      </c>
      <c r="AA1091" s="82">
        <f>Z1091+TIME(0,42,0)</f>
        <v>45783.765972222223</v>
      </c>
      <c r="AB1091" s="81">
        <f t="shared" si="315"/>
        <v>41.12500000068394</v>
      </c>
      <c r="AC1091" s="82"/>
      <c r="AD1091" s="83">
        <f t="shared" si="302"/>
        <v>1.3215277777781012</v>
      </c>
      <c r="AE1091" s="83">
        <f>VLOOKUP(H1091,'LIST 2'!$A$1:$E$27,4,FALSE)</f>
        <v>2</v>
      </c>
      <c r="AF1091" s="83">
        <f t="shared" si="303"/>
        <v>0.67847222222189885</v>
      </c>
      <c r="AG1091" s="83">
        <f t="shared" si="304"/>
        <v>31.716666666674428</v>
      </c>
      <c r="AH1091" s="83">
        <f t="shared" si="305"/>
        <v>12</v>
      </c>
      <c r="AI1091" s="83">
        <f t="shared" si="306"/>
        <v>19.716666666674428</v>
      </c>
      <c r="AJ1091" s="83">
        <f t="shared" si="316"/>
        <v>7.9120879120847976</v>
      </c>
      <c r="AK1091" s="122">
        <v>9.39</v>
      </c>
      <c r="AL1091" s="122">
        <v>10.11</v>
      </c>
      <c r="AM1091" s="122"/>
      <c r="AN1091" s="122"/>
    </row>
    <row r="1092" spans="1:40" ht="15" x14ac:dyDescent="0.25">
      <c r="A1092" s="82">
        <v>45781</v>
      </c>
      <c r="B1092" s="94" t="str">
        <f t="shared" si="309"/>
        <v>May</v>
      </c>
      <c r="C1092" s="79" t="s">
        <v>2161</v>
      </c>
      <c r="D1092" s="79" t="s">
        <v>1907</v>
      </c>
      <c r="E1092" s="79"/>
      <c r="F1092" s="79" t="s">
        <v>957</v>
      </c>
      <c r="G1092" s="79" t="s">
        <v>974</v>
      </c>
      <c r="H1092" s="82" t="s">
        <v>1956</v>
      </c>
      <c r="I1092" s="79">
        <v>153.6</v>
      </c>
      <c r="J1092" s="79" t="s">
        <v>1907</v>
      </c>
      <c r="K1092" s="80" t="s">
        <v>469</v>
      </c>
      <c r="L1092" s="79">
        <f>VLOOKUP(H1092,Table2[#All],3,FALSE)</f>
        <v>596</v>
      </c>
      <c r="M1092" s="80">
        <f t="shared" si="310"/>
        <v>594</v>
      </c>
      <c r="N1092" s="81">
        <f t="shared" si="307"/>
        <v>-2</v>
      </c>
      <c r="P1092" s="82">
        <f>R1092-TIME(0,23,0)</f>
        <v>45781.607638888891</v>
      </c>
      <c r="Q1092" s="82">
        <v>45781.416666666664</v>
      </c>
      <c r="R1092" s="82">
        <v>45781.623611111114</v>
      </c>
      <c r="S1092" s="81">
        <f t="shared" si="308"/>
        <v>296.62037037778646</v>
      </c>
      <c r="T1092" s="81">
        <f t="shared" si="313"/>
        <v>22.893518520140788</v>
      </c>
      <c r="U1092" s="79"/>
      <c r="V1092" s="82">
        <v>45782.40625</v>
      </c>
      <c r="W1092" s="82">
        <v>45782.563888888886</v>
      </c>
      <c r="X1092" s="103">
        <f t="shared" si="314"/>
        <v>222.27083332945767</v>
      </c>
      <c r="Y1092" s="82" t="s">
        <v>1046</v>
      </c>
      <c r="Z1092" s="82">
        <v>45782.772222222222</v>
      </c>
      <c r="AA1092" s="82">
        <f>Z1092+TIME(0,44,0)</f>
        <v>45782.802777777775</v>
      </c>
      <c r="AB1092" s="81">
        <f t="shared" si="315"/>
        <v>43.083333330141613</v>
      </c>
      <c r="AC1092" s="82"/>
      <c r="AD1092" s="83">
        <f t="shared" si="302"/>
        <v>1.148611111108039</v>
      </c>
      <c r="AE1092" s="83">
        <f>VLOOKUP(H1092,'LIST 2'!$A$1:$E$27,4,FALSE)</f>
        <v>2</v>
      </c>
      <c r="AF1092" s="83">
        <f t="shared" si="303"/>
        <v>0.85138888889196096</v>
      </c>
      <c r="AG1092" s="83">
        <f t="shared" si="304"/>
        <v>27.566666666592937</v>
      </c>
      <c r="AH1092" s="83">
        <f t="shared" si="305"/>
        <v>12</v>
      </c>
      <c r="AI1092" s="83">
        <f t="shared" si="306"/>
        <v>15.566666666592937</v>
      </c>
      <c r="AJ1092" s="83">
        <f t="shared" si="316"/>
        <v>9.8672376874129011</v>
      </c>
      <c r="AK1092" s="122">
        <v>11.19</v>
      </c>
      <c r="AL1092" s="122">
        <v>10.31</v>
      </c>
      <c r="AM1092" s="122"/>
      <c r="AN1092" s="122"/>
    </row>
    <row r="1093" spans="1:40" ht="15" x14ac:dyDescent="0.25">
      <c r="A1093" s="82">
        <v>45781</v>
      </c>
      <c r="B1093" s="94" t="str">
        <f t="shared" si="309"/>
        <v>May</v>
      </c>
      <c r="C1093" s="79" t="s">
        <v>2161</v>
      </c>
      <c r="D1093" s="79" t="s">
        <v>1908</v>
      </c>
      <c r="E1093" s="79"/>
      <c r="F1093" s="79" t="s">
        <v>959</v>
      </c>
      <c r="G1093" s="79" t="s">
        <v>976</v>
      </c>
      <c r="H1093" s="82" t="s">
        <v>1957</v>
      </c>
      <c r="I1093" s="79">
        <v>153.6</v>
      </c>
      <c r="J1093" s="79" t="s">
        <v>1908</v>
      </c>
      <c r="K1093" s="80" t="s">
        <v>469</v>
      </c>
      <c r="L1093" s="79">
        <f>VLOOKUP(H1093,Table2[#All],3,FALSE)</f>
        <v>288</v>
      </c>
      <c r="M1093" s="80">
        <f t="shared" si="310"/>
        <v>286</v>
      </c>
      <c r="N1093" s="81">
        <f t="shared" si="307"/>
        <v>-2</v>
      </c>
      <c r="P1093" s="82">
        <f>R1093-TIME(0,54,0)</f>
        <v>45781.480555555558</v>
      </c>
      <c r="Q1093" s="82">
        <v>45781.333333333336</v>
      </c>
      <c r="R1093" s="82">
        <v>45781.518055555556</v>
      </c>
      <c r="S1093" s="81">
        <f t="shared" si="308"/>
        <v>264.76851851596922</v>
      </c>
      <c r="T1093" s="81">
        <f t="shared" si="313"/>
        <v>53.749999997914223</v>
      </c>
      <c r="U1093" s="79" t="s">
        <v>562</v>
      </c>
      <c r="V1093" s="82">
        <v>45781.777083333334</v>
      </c>
      <c r="W1093" s="82">
        <v>45782.560416666667</v>
      </c>
      <c r="X1093" s="103">
        <f t="shared" si="314"/>
        <v>1104.4999999993161</v>
      </c>
      <c r="Y1093" s="82" t="s">
        <v>1049</v>
      </c>
      <c r="Z1093" s="82">
        <v>45785.362500000003</v>
      </c>
      <c r="AA1093" s="82">
        <f>Z1093+TIME(0,44,0)</f>
        <v>45785.393055555556</v>
      </c>
      <c r="AB1093" s="81">
        <f t="shared" si="315"/>
        <v>43.083333330141613</v>
      </c>
      <c r="AC1093" s="82"/>
      <c r="AD1093" s="83">
        <f t="shared" si="302"/>
        <v>3.8444444444467081</v>
      </c>
      <c r="AE1093" s="83">
        <f>VLOOKUP(H1093,'LIST 2'!$A$1:$E$27,4,FALSE)</f>
        <v>2</v>
      </c>
      <c r="AF1093" s="83">
        <f t="shared" si="303"/>
        <v>-1.8444444444467081</v>
      </c>
      <c r="AG1093" s="83">
        <f t="shared" si="304"/>
        <v>92.266666666720994</v>
      </c>
      <c r="AH1093" s="83">
        <f t="shared" si="305"/>
        <v>36</v>
      </c>
      <c r="AI1093" s="83">
        <f t="shared" si="306"/>
        <v>56.266666666720994</v>
      </c>
      <c r="AJ1093" s="83">
        <f t="shared" si="316"/>
        <v>2.7298578199025774</v>
      </c>
      <c r="AK1093" s="122">
        <v>11.2</v>
      </c>
      <c r="AL1093" s="122">
        <v>8.36</v>
      </c>
      <c r="AM1093" s="122">
        <v>9.3000000000000007</v>
      </c>
      <c r="AN1093" s="122">
        <v>10.32</v>
      </c>
    </row>
    <row r="1094" spans="1:40" ht="15" x14ac:dyDescent="0.25">
      <c r="A1094" s="82">
        <v>45781</v>
      </c>
      <c r="B1094" s="94" t="str">
        <f t="shared" si="309"/>
        <v>May</v>
      </c>
      <c r="C1094" s="79" t="s">
        <v>2161</v>
      </c>
      <c r="D1094" s="79" t="s">
        <v>1909</v>
      </c>
      <c r="E1094" s="79"/>
      <c r="F1094" s="79" t="s">
        <v>955</v>
      </c>
      <c r="G1094" s="79" t="s">
        <v>972</v>
      </c>
      <c r="H1094" s="82" t="s">
        <v>2185</v>
      </c>
      <c r="I1094" s="79">
        <v>156</v>
      </c>
      <c r="J1094" s="79" t="s">
        <v>1909</v>
      </c>
      <c r="K1094" s="80" t="s">
        <v>469</v>
      </c>
      <c r="L1094" s="79">
        <f>VLOOKUP(H1094,Table2[#All],3,FALSE)</f>
        <v>382</v>
      </c>
      <c r="M1094" s="80">
        <f t="shared" si="310"/>
        <v>380</v>
      </c>
      <c r="N1094" s="81">
        <f t="shared" si="307"/>
        <v>-2</v>
      </c>
      <c r="P1094" s="82">
        <f>R1094-TIME(0,28,0)</f>
        <v>45781.561805555561</v>
      </c>
      <c r="Q1094" s="82">
        <v>45781.416666666664</v>
      </c>
      <c r="R1094" s="82">
        <v>45781.581250000003</v>
      </c>
      <c r="S1094" s="81">
        <f t="shared" si="308"/>
        <v>235.90277778542563</v>
      </c>
      <c r="T1094" s="81">
        <f t="shared" si="313"/>
        <v>27.870370367357584</v>
      </c>
      <c r="U1094" s="79"/>
      <c r="V1094" s="82">
        <v>45782.509027777778</v>
      </c>
      <c r="W1094" s="82">
        <v>45782.636111111111</v>
      </c>
      <c r="X1094" s="103">
        <f t="shared" si="314"/>
        <v>179.18749999931606</v>
      </c>
      <c r="Y1094" s="82"/>
      <c r="Z1094" s="82">
        <v>45784.76666666667</v>
      </c>
      <c r="AA1094" s="82">
        <f>Z1094+TIME(0,51,0)</f>
        <v>45784.802083333336</v>
      </c>
      <c r="AB1094" s="81">
        <f t="shared" si="315"/>
        <v>49.93749999863212</v>
      </c>
      <c r="AC1094" s="82" t="s">
        <v>2168</v>
      </c>
      <c r="AD1094" s="83">
        <f t="shared" si="302"/>
        <v>3.1854166666671517</v>
      </c>
      <c r="AE1094" s="83">
        <f>VLOOKUP(H1094,'LIST 2'!$A$1:$E$27,4,FALSE)</f>
        <v>2</v>
      </c>
      <c r="AF1094" s="83">
        <f t="shared" si="303"/>
        <v>-1.1854166666671517</v>
      </c>
      <c r="AG1094" s="83">
        <f t="shared" si="304"/>
        <v>76.450000000011642</v>
      </c>
      <c r="AH1094" s="83">
        <f t="shared" si="305"/>
        <v>36</v>
      </c>
      <c r="AI1094" s="83">
        <f t="shared" si="306"/>
        <v>40.450000000011642</v>
      </c>
      <c r="AJ1094" s="83">
        <f t="shared" si="316"/>
        <v>3.8566131025946873</v>
      </c>
      <c r="AK1094" s="122">
        <v>10.36</v>
      </c>
      <c r="AL1094" s="122">
        <v>11.47</v>
      </c>
      <c r="AM1094" s="122">
        <v>10.36</v>
      </c>
      <c r="AN1094" s="122">
        <v>10.48</v>
      </c>
    </row>
    <row r="1095" spans="1:40" ht="15" x14ac:dyDescent="0.25">
      <c r="A1095" s="82">
        <v>45781</v>
      </c>
      <c r="B1095" s="94" t="str">
        <f t="shared" si="309"/>
        <v>May</v>
      </c>
      <c r="C1095" s="79" t="s">
        <v>2162</v>
      </c>
      <c r="D1095" s="79" t="s">
        <v>1910</v>
      </c>
      <c r="E1095" s="79" t="s">
        <v>1016</v>
      </c>
      <c r="F1095" s="79" t="s">
        <v>1694</v>
      </c>
      <c r="G1095" s="79" t="s">
        <v>39</v>
      </c>
      <c r="H1095" s="82" t="s">
        <v>2189</v>
      </c>
      <c r="I1095" s="79">
        <v>156</v>
      </c>
      <c r="J1095" s="79" t="s">
        <v>1910</v>
      </c>
      <c r="K1095" s="80" t="s">
        <v>469</v>
      </c>
      <c r="L1095" s="79">
        <f>VLOOKUP(H1095,Table2[#All],3,FALSE)</f>
        <v>524</v>
      </c>
      <c r="M1095" s="80">
        <f>L1095-1</f>
        <v>523</v>
      </c>
      <c r="N1095" s="81">
        <f t="shared" si="307"/>
        <v>-1</v>
      </c>
      <c r="P1095" s="82">
        <f>R1095-TIME(0,29,0)</f>
        <v>45780.740277777775</v>
      </c>
      <c r="Q1095" s="82">
        <v>45780.716666666667</v>
      </c>
      <c r="R1095" s="82">
        <v>45780.760416666664</v>
      </c>
      <c r="S1095" s="81">
        <f t="shared" si="308"/>
        <v>62.708333329161782</v>
      </c>
      <c r="T1095" s="81">
        <f t="shared" si="313"/>
        <v>28.865740740972495</v>
      </c>
      <c r="U1095" s="79"/>
      <c r="V1095" s="82">
        <v>45781.56527777778</v>
      </c>
      <c r="W1095" s="82">
        <v>45783.6</v>
      </c>
      <c r="X1095" s="103">
        <f t="shared" si="314"/>
        <v>2868.9583333287737</v>
      </c>
      <c r="Y1095" s="82" t="s">
        <v>1050</v>
      </c>
      <c r="Z1095" s="82">
        <v>45784.339583333334</v>
      </c>
      <c r="AA1095" s="82">
        <f>Z1095+TIME(0,44,0)</f>
        <v>45784.370138888888</v>
      </c>
      <c r="AB1095" s="81">
        <f t="shared" si="315"/>
        <v>43.083333330141613</v>
      </c>
      <c r="AC1095" s="82"/>
      <c r="AD1095" s="83">
        <f t="shared" si="302"/>
        <v>3.5791666666700621</v>
      </c>
      <c r="AE1095" s="83">
        <f>VLOOKUP(H1095,'LIST 2'!$A$1:$E$27,4,FALSE)</f>
        <v>3</v>
      </c>
      <c r="AF1095" s="83">
        <f t="shared" si="303"/>
        <v>-0.57916666667006211</v>
      </c>
      <c r="AG1095" s="83">
        <f t="shared" si="304"/>
        <v>85.900000000081491</v>
      </c>
      <c r="AH1095" s="83">
        <f t="shared" si="305"/>
        <v>36</v>
      </c>
      <c r="AI1095" s="83">
        <f t="shared" si="306"/>
        <v>49.900000000081491</v>
      </c>
      <c r="AJ1095" s="83">
        <f t="shared" si="316"/>
        <v>3.1262525050049148</v>
      </c>
      <c r="AK1095" s="122"/>
      <c r="AL1095" s="122"/>
      <c r="AM1095" s="122"/>
      <c r="AN1095" s="122"/>
    </row>
    <row r="1096" spans="1:40" ht="15" x14ac:dyDescent="0.25">
      <c r="A1096" s="82">
        <v>45781</v>
      </c>
      <c r="B1096" s="94" t="str">
        <f t="shared" si="309"/>
        <v>May</v>
      </c>
      <c r="C1096" s="79" t="s">
        <v>2162</v>
      </c>
      <c r="D1096" s="79" t="s">
        <v>1911</v>
      </c>
      <c r="E1096" s="79" t="s">
        <v>1016</v>
      </c>
      <c r="F1096" s="79" t="s">
        <v>960</v>
      </c>
      <c r="G1096" s="79" t="s">
        <v>62</v>
      </c>
      <c r="H1096" s="82" t="s">
        <v>2177</v>
      </c>
      <c r="I1096" s="79">
        <v>156</v>
      </c>
      <c r="J1096" s="79" t="s">
        <v>1911</v>
      </c>
      <c r="K1096" s="80" t="s">
        <v>469</v>
      </c>
      <c r="L1096" s="79">
        <f>VLOOKUP(H1096,Table2[#All],3,FALSE)</f>
        <v>448</v>
      </c>
      <c r="M1096" s="80">
        <f t="shared" si="310"/>
        <v>446</v>
      </c>
      <c r="N1096" s="81">
        <f t="shared" si="307"/>
        <v>-2</v>
      </c>
      <c r="P1096" s="82">
        <f>R1096-TIME(0,29,0)</f>
        <v>45780.779861111114</v>
      </c>
      <c r="Q1096" s="82">
        <v>45781.0625</v>
      </c>
      <c r="R1096" s="82">
        <v>45780.800000000003</v>
      </c>
      <c r="S1096" s="81">
        <f t="shared" si="308"/>
        <v>-376.24999999582843</v>
      </c>
      <c r="T1096" s="81">
        <f t="shared" si="313"/>
        <v>28.865740740972495</v>
      </c>
      <c r="U1096" s="79"/>
      <c r="V1096" s="82">
        <v>45781.844444444447</v>
      </c>
      <c r="W1096" s="82">
        <v>45782.696527777778</v>
      </c>
      <c r="X1096" s="103">
        <f t="shared" si="314"/>
        <v>1201.4374999972642</v>
      </c>
      <c r="Y1096" s="82" t="s">
        <v>1044</v>
      </c>
      <c r="Z1096" s="82">
        <v>45783.551388888889</v>
      </c>
      <c r="AA1096" s="82">
        <f>Z1096+TIME(0,36,0)</f>
        <v>45783.576388888891</v>
      </c>
      <c r="AB1096" s="81">
        <f t="shared" si="315"/>
        <v>35.25000000205182</v>
      </c>
      <c r="AC1096" s="82"/>
      <c r="AD1096" s="83">
        <f t="shared" si="302"/>
        <v>2.7513888888861402</v>
      </c>
      <c r="AE1096" s="83">
        <f>VLOOKUP(H1096,'LIST 2'!$A$1:$E$27,4,FALSE)</f>
        <v>2</v>
      </c>
      <c r="AF1096" s="83">
        <f t="shared" si="303"/>
        <v>-0.75138888888614019</v>
      </c>
      <c r="AG1096" s="83">
        <f t="shared" si="304"/>
        <v>66.033333333267365</v>
      </c>
      <c r="AH1096" s="83">
        <f t="shared" si="305"/>
        <v>24</v>
      </c>
      <c r="AI1096" s="83">
        <f t="shared" si="306"/>
        <v>42.033333333267365</v>
      </c>
      <c r="AJ1096" s="83">
        <f t="shared" si="316"/>
        <v>3.7113402061913918</v>
      </c>
      <c r="AK1096" s="124">
        <v>10.32</v>
      </c>
      <c r="AL1096" s="124">
        <v>10.210000000000001</v>
      </c>
      <c r="AM1096" s="124">
        <v>10.54</v>
      </c>
      <c r="AN1096" s="122"/>
    </row>
    <row r="1097" spans="1:40" ht="15" x14ac:dyDescent="0.25">
      <c r="A1097" s="82">
        <v>45781</v>
      </c>
      <c r="B1097" s="94" t="str">
        <f t="shared" si="309"/>
        <v>May</v>
      </c>
      <c r="C1097" s="79" t="s">
        <v>2161</v>
      </c>
      <c r="D1097" s="79" t="s">
        <v>1912</v>
      </c>
      <c r="E1097" s="79"/>
      <c r="F1097" s="79" t="s">
        <v>953</v>
      </c>
      <c r="G1097" s="79" t="s">
        <v>970</v>
      </c>
      <c r="H1097" s="82" t="s">
        <v>2190</v>
      </c>
      <c r="I1097" s="79">
        <v>156</v>
      </c>
      <c r="J1097" s="79" t="s">
        <v>1912</v>
      </c>
      <c r="K1097" s="80" t="s">
        <v>469</v>
      </c>
      <c r="L1097" s="79">
        <f>VLOOKUP(H1097,Table2[#All],3,FALSE)</f>
        <v>680</v>
      </c>
      <c r="M1097" s="80">
        <f t="shared" si="310"/>
        <v>678</v>
      </c>
      <c r="N1097" s="81">
        <f t="shared" si="307"/>
        <v>-2</v>
      </c>
      <c r="P1097" s="82">
        <f t="shared" ref="P1097:P1098" si="318">R1097-TIME(0,42,0)</f>
        <v>45781.430555555555</v>
      </c>
      <c r="Q1097" s="82">
        <v>45781.817361111112</v>
      </c>
      <c r="R1097" s="82">
        <v>45781.459722222222</v>
      </c>
      <c r="S1097" s="81">
        <f t="shared" si="308"/>
        <v>-512.61574074305827</v>
      </c>
      <c r="T1097" s="81">
        <f t="shared" si="313"/>
        <v>41.805555556250816</v>
      </c>
      <c r="U1097" s="79" t="s">
        <v>562</v>
      </c>
      <c r="V1097" s="82">
        <v>45782.449305555558</v>
      </c>
      <c r="W1097" s="82">
        <v>45782.699305555558</v>
      </c>
      <c r="X1097" s="103">
        <f t="shared" si="314"/>
        <v>352.5</v>
      </c>
      <c r="Y1097" s="82" t="s">
        <v>1044</v>
      </c>
      <c r="Z1097" s="82">
        <v>45783.741666666669</v>
      </c>
      <c r="AA1097" s="82">
        <f>Z1097+TIME(0,44,0)</f>
        <v>45783.772222222222</v>
      </c>
      <c r="AB1097" s="81">
        <f t="shared" si="315"/>
        <v>43.083333330141613</v>
      </c>
      <c r="AC1097" s="82"/>
      <c r="AD1097" s="83">
        <f t="shared" si="302"/>
        <v>2.2819444444467081</v>
      </c>
      <c r="AE1097" s="83">
        <f>VLOOKUP(H1097,'LIST 2'!$A$1:$E$27,4,FALSE)</f>
        <v>3</v>
      </c>
      <c r="AF1097" s="83">
        <f t="shared" si="303"/>
        <v>0.71805555555329192</v>
      </c>
      <c r="AG1097" s="83">
        <f t="shared" si="304"/>
        <v>54.766666666720994</v>
      </c>
      <c r="AH1097" s="83">
        <f t="shared" si="305"/>
        <v>24</v>
      </c>
      <c r="AI1097" s="83">
        <f t="shared" si="306"/>
        <v>30.766666666720994</v>
      </c>
      <c r="AJ1097" s="83">
        <f t="shared" si="316"/>
        <v>5.0704225352023142</v>
      </c>
      <c r="AK1097" s="122">
        <v>8.24</v>
      </c>
      <c r="AL1097" s="122">
        <v>9.02</v>
      </c>
      <c r="AM1097" s="122">
        <v>6.38</v>
      </c>
      <c r="AN1097" s="122"/>
    </row>
    <row r="1098" spans="1:40" ht="15" x14ac:dyDescent="0.25">
      <c r="A1098" s="82">
        <v>45781</v>
      </c>
      <c r="B1098" s="94" t="str">
        <f t="shared" si="309"/>
        <v>May</v>
      </c>
      <c r="C1098" s="79" t="s">
        <v>2162</v>
      </c>
      <c r="D1098" s="79" t="s">
        <v>1913</v>
      </c>
      <c r="E1098" s="79" t="s">
        <v>1016</v>
      </c>
      <c r="F1098" s="79" t="s">
        <v>1691</v>
      </c>
      <c r="G1098" s="79" t="s">
        <v>55</v>
      </c>
      <c r="H1098" s="82" t="s">
        <v>2181</v>
      </c>
      <c r="I1098" s="79">
        <v>156</v>
      </c>
      <c r="J1098" s="79" t="s">
        <v>1913</v>
      </c>
      <c r="K1098" s="80" t="s">
        <v>469</v>
      </c>
      <c r="L1098" s="79">
        <f>VLOOKUP(H1098,Table2[#All],3,FALSE)</f>
        <v>580</v>
      </c>
      <c r="M1098" s="80">
        <f>L1098-1</f>
        <v>579</v>
      </c>
      <c r="N1098" s="81">
        <f t="shared" si="307"/>
        <v>-1</v>
      </c>
      <c r="P1098" s="82">
        <f t="shared" si="318"/>
        <v>45780.834027777775</v>
      </c>
      <c r="Q1098" s="82">
        <v>45781.416666666664</v>
      </c>
      <c r="R1098" s="82">
        <v>45780.863194444442</v>
      </c>
      <c r="S1098" s="81">
        <f t="shared" si="308"/>
        <v>-793.31018518472172</v>
      </c>
      <c r="T1098" s="81">
        <f t="shared" si="313"/>
        <v>41.805555556250816</v>
      </c>
      <c r="U1098" s="79" t="s">
        <v>550</v>
      </c>
      <c r="V1098" s="82">
        <v>45782.676388888889</v>
      </c>
      <c r="W1098" s="82">
        <v>45782.765972222223</v>
      </c>
      <c r="X1098" s="103">
        <f t="shared" si="314"/>
        <v>126.31250000136788</v>
      </c>
      <c r="Y1098" s="82"/>
      <c r="Z1098" s="82">
        <v>45783.520138888889</v>
      </c>
      <c r="AA1098" s="82">
        <f>Z1098+TIME(0,44,0)</f>
        <v>45783.550694444442</v>
      </c>
      <c r="AB1098" s="81">
        <f t="shared" si="315"/>
        <v>43.083333330141613</v>
      </c>
      <c r="AC1098" s="82"/>
      <c r="AD1098" s="83">
        <f t="shared" si="302"/>
        <v>2.6569444444467081</v>
      </c>
      <c r="AE1098" s="83">
        <f>VLOOKUP(H1098,'LIST 2'!$A$1:$E$27,4,FALSE)</f>
        <v>2</v>
      </c>
      <c r="AF1098" s="83">
        <f t="shared" si="303"/>
        <v>-0.65694444444670808</v>
      </c>
      <c r="AG1098" s="83">
        <f t="shared" si="304"/>
        <v>63.766666666720994</v>
      </c>
      <c r="AH1098" s="83">
        <f t="shared" si="305"/>
        <v>24</v>
      </c>
      <c r="AI1098" s="83">
        <f t="shared" si="306"/>
        <v>39.766666666720994</v>
      </c>
      <c r="AJ1098" s="83">
        <f t="shared" si="316"/>
        <v>3.9228834870021849</v>
      </c>
      <c r="AK1098" s="122"/>
      <c r="AL1098" s="122"/>
      <c r="AM1098" s="122"/>
      <c r="AN1098" s="122"/>
    </row>
    <row r="1099" spans="1:40" ht="15" x14ac:dyDescent="0.25">
      <c r="A1099" s="82">
        <v>45781</v>
      </c>
      <c r="B1099" s="94" t="str">
        <f t="shared" si="309"/>
        <v>May</v>
      </c>
      <c r="C1099" s="79" t="s">
        <v>2161</v>
      </c>
      <c r="D1099" s="79" t="s">
        <v>1914</v>
      </c>
      <c r="E1099" s="79"/>
      <c r="F1099" s="79" t="s">
        <v>965</v>
      </c>
      <c r="G1099" s="79" t="s">
        <v>980</v>
      </c>
      <c r="H1099" s="82" t="s">
        <v>1989</v>
      </c>
      <c r="I1099" s="79">
        <v>153.6</v>
      </c>
      <c r="J1099" s="79" t="s">
        <v>1914</v>
      </c>
      <c r="K1099" s="80" t="s">
        <v>469</v>
      </c>
      <c r="L1099" s="79">
        <f>VLOOKUP(H1099,Table2[#All],3,FALSE)</f>
        <v>20</v>
      </c>
      <c r="M1099" s="80">
        <f t="shared" si="310"/>
        <v>18</v>
      </c>
      <c r="N1099" s="81">
        <f t="shared" si="307"/>
        <v>-2</v>
      </c>
      <c r="P1099" s="82">
        <f>R1099-TIME(0,38,0)</f>
        <v>45780.728472222225</v>
      </c>
      <c r="Q1099" s="82">
        <v>45781.320833333331</v>
      </c>
      <c r="R1099" s="82">
        <v>45780.754861111112</v>
      </c>
      <c r="S1099" s="81">
        <f t="shared" si="308"/>
        <v>-811.22685184721684</v>
      </c>
      <c r="T1099" s="81">
        <f t="shared" si="313"/>
        <v>37.82407407222005</v>
      </c>
      <c r="U1099" s="79" t="s">
        <v>2163</v>
      </c>
      <c r="V1099" s="82">
        <v>45781.451388888891</v>
      </c>
      <c r="W1099" s="82">
        <v>45781.574305555558</v>
      </c>
      <c r="X1099" s="103">
        <f t="shared" si="314"/>
        <v>173.31250000068394</v>
      </c>
      <c r="Y1099" s="82"/>
      <c r="Z1099" s="82">
        <v>45781.761805555558</v>
      </c>
      <c r="AA1099" s="82">
        <f>Z1099+TIME(0,42,0)</f>
        <v>45781.790972222225</v>
      </c>
      <c r="AB1099" s="81">
        <f t="shared" si="315"/>
        <v>41.12500000068394</v>
      </c>
      <c r="AC1099" s="82"/>
      <c r="AD1099" s="83">
        <f t="shared" si="302"/>
        <v>1.0069444444452529</v>
      </c>
      <c r="AE1099" s="83">
        <f>VLOOKUP(H1099,'LIST 2'!$A$1:$E$27,4,FALSE)</f>
        <v>1</v>
      </c>
      <c r="AF1099" s="83">
        <f t="shared" si="303"/>
        <v>-6.9444444452528842E-3</v>
      </c>
      <c r="AG1099" s="83">
        <f t="shared" si="304"/>
        <v>24.166666666686069</v>
      </c>
      <c r="AH1099" s="83">
        <f t="shared" si="305"/>
        <v>12</v>
      </c>
      <c r="AI1099" s="83">
        <f t="shared" si="306"/>
        <v>12.166666666686069</v>
      </c>
      <c r="AJ1099" s="83">
        <f t="shared" si="316"/>
        <v>12.624657534226442</v>
      </c>
      <c r="AK1099" s="122"/>
      <c r="AL1099" s="122"/>
      <c r="AM1099" s="122"/>
      <c r="AN1099" s="122"/>
    </row>
    <row r="1100" spans="1:40" ht="15" x14ac:dyDescent="0.25">
      <c r="A1100" s="82">
        <v>45781</v>
      </c>
      <c r="B1100" s="94" t="str">
        <f t="shared" si="309"/>
        <v>May</v>
      </c>
      <c r="C1100" s="79" t="s">
        <v>2161</v>
      </c>
      <c r="D1100" s="79" t="s">
        <v>1915</v>
      </c>
      <c r="E1100" s="79"/>
      <c r="F1100" s="79" t="s">
        <v>951</v>
      </c>
      <c r="G1100" s="79" t="s">
        <v>968</v>
      </c>
      <c r="H1100" s="82" t="s">
        <v>1957</v>
      </c>
      <c r="I1100" s="79">
        <v>153.6</v>
      </c>
      <c r="J1100" s="79" t="s">
        <v>1915</v>
      </c>
      <c r="K1100" s="80" t="s">
        <v>469</v>
      </c>
      <c r="L1100" s="79">
        <f>VLOOKUP(H1100,Table2[#All],3,FALSE)</f>
        <v>288</v>
      </c>
      <c r="M1100" s="80">
        <f>L1100-1</f>
        <v>287</v>
      </c>
      <c r="N1100" s="81">
        <f t="shared" si="307"/>
        <v>-1</v>
      </c>
      <c r="P1100" s="82">
        <f>R1100-TIME(0,29,0)</f>
        <v>45780.805555555555</v>
      </c>
      <c r="Q1100" s="82">
        <v>45781.416666666664</v>
      </c>
      <c r="R1100" s="82">
        <v>45780.825694444444</v>
      </c>
      <c r="S1100" s="81">
        <f t="shared" si="308"/>
        <v>-847.06018518263591</v>
      </c>
      <c r="T1100" s="81">
        <f t="shared" si="313"/>
        <v>28.865740740972495</v>
      </c>
      <c r="U1100" s="79"/>
      <c r="V1100" s="82">
        <v>45781.458333333336</v>
      </c>
      <c r="W1100" s="82">
        <v>45781.643750000003</v>
      </c>
      <c r="X1100" s="103">
        <f t="shared" si="314"/>
        <v>261.43750000068394</v>
      </c>
      <c r="Y1100" s="82" t="s">
        <v>1044</v>
      </c>
      <c r="Z1100" s="82">
        <v>45782.465277777781</v>
      </c>
      <c r="AA1100" s="82">
        <f>Z1100+TIME(0,36,0)</f>
        <v>45782.490277777782</v>
      </c>
      <c r="AB1100" s="81">
        <f t="shared" si="315"/>
        <v>35.25000000205182</v>
      </c>
      <c r="AC1100" s="82"/>
      <c r="AD1100" s="83">
        <f t="shared" si="302"/>
        <v>1.6395833333372138</v>
      </c>
      <c r="AE1100" s="83">
        <f>VLOOKUP(H1100,'LIST 2'!$A$1:$E$27,4,FALSE)</f>
        <v>2</v>
      </c>
      <c r="AF1100" s="83">
        <f t="shared" si="303"/>
        <v>0.36041666666278616</v>
      </c>
      <c r="AG1100" s="83">
        <f t="shared" si="304"/>
        <v>39.350000000093132</v>
      </c>
      <c r="AH1100" s="83">
        <f t="shared" si="305"/>
        <v>12</v>
      </c>
      <c r="AI1100" s="83">
        <f t="shared" si="306"/>
        <v>27.350000000093132</v>
      </c>
      <c r="AJ1100" s="83">
        <f t="shared" si="316"/>
        <v>5.6160877513519907</v>
      </c>
      <c r="AK1100" s="122">
        <v>11.16</v>
      </c>
      <c r="AL1100" s="122">
        <v>11.33</v>
      </c>
      <c r="AM1100" s="122">
        <v>11.24</v>
      </c>
      <c r="AN1100" s="122"/>
    </row>
    <row r="1101" spans="1:40" ht="15" x14ac:dyDescent="0.25">
      <c r="A1101" s="82">
        <v>45781</v>
      </c>
      <c r="B1101" s="94" t="str">
        <f t="shared" si="309"/>
        <v>May</v>
      </c>
      <c r="C1101" s="79" t="s">
        <v>2162</v>
      </c>
      <c r="D1101" s="79" t="s">
        <v>1916</v>
      </c>
      <c r="E1101" s="79" t="s">
        <v>1016</v>
      </c>
      <c r="F1101" s="79" t="s">
        <v>1699</v>
      </c>
      <c r="G1101" s="79" t="s">
        <v>80</v>
      </c>
      <c r="H1101" s="82" t="s">
        <v>1958</v>
      </c>
      <c r="I1101" s="79">
        <v>156</v>
      </c>
      <c r="J1101" s="79" t="s">
        <v>1916</v>
      </c>
      <c r="K1101" s="80" t="s">
        <v>469</v>
      </c>
      <c r="L1101" s="79">
        <f>VLOOKUP(H1101,Table2[#All],3,FALSE)</f>
        <v>304</v>
      </c>
      <c r="M1101" s="80">
        <f t="shared" si="310"/>
        <v>302</v>
      </c>
      <c r="N1101" s="81">
        <f t="shared" si="307"/>
        <v>-2</v>
      </c>
      <c r="P1101" s="82">
        <f>R1101-TIME(0,23,0)</f>
        <v>45780.847222222219</v>
      </c>
      <c r="Q1101" s="82">
        <v>45781.850694444445</v>
      </c>
      <c r="R1101" s="82">
        <v>45780.863194444442</v>
      </c>
      <c r="S1101" s="81">
        <f t="shared" si="308"/>
        <v>-1415.4166666708381</v>
      </c>
      <c r="T1101" s="81">
        <f t="shared" si="313"/>
        <v>22.893518520140788</v>
      </c>
      <c r="U1101" s="79"/>
      <c r="V1101" s="82">
        <v>45781.707638888889</v>
      </c>
      <c r="W1101" s="82">
        <v>45782.658333333333</v>
      </c>
      <c r="X1101" s="103">
        <f t="shared" si="314"/>
        <v>1340.4791666657547</v>
      </c>
      <c r="Y1101" s="82" t="s">
        <v>1046</v>
      </c>
      <c r="Z1101" s="82">
        <v>45783.48541666667</v>
      </c>
      <c r="AA1101" s="82">
        <f>Z1101+TIME(0,42,0)</f>
        <v>45783.514583333337</v>
      </c>
      <c r="AB1101" s="81">
        <f t="shared" si="315"/>
        <v>41.12500000068394</v>
      </c>
      <c r="AC1101" s="82"/>
      <c r="AD1101" s="83">
        <f t="shared" si="302"/>
        <v>2.6222222222277196</v>
      </c>
      <c r="AE1101" s="83">
        <f>VLOOKUP(H1101,'LIST 2'!$A$1:$E$27,4,FALSE)</f>
        <v>2</v>
      </c>
      <c r="AF1101" s="83">
        <f t="shared" si="303"/>
        <v>-0.62222222222771961</v>
      </c>
      <c r="AG1101" s="83">
        <f t="shared" si="304"/>
        <v>62.933333333465271</v>
      </c>
      <c r="AH1101" s="83">
        <f t="shared" si="305"/>
        <v>24</v>
      </c>
      <c r="AI1101" s="83">
        <f t="shared" si="306"/>
        <v>38.933333333465271</v>
      </c>
      <c r="AJ1101" s="83">
        <f t="shared" si="316"/>
        <v>4.0068493150549145</v>
      </c>
      <c r="AK1101" s="122"/>
      <c r="AL1101" s="122"/>
      <c r="AM1101" s="122"/>
      <c r="AN1101" s="122"/>
    </row>
    <row r="1102" spans="1:40" ht="15" x14ac:dyDescent="0.25">
      <c r="A1102" s="82">
        <v>45781</v>
      </c>
      <c r="B1102" s="94" t="str">
        <f t="shared" si="309"/>
        <v>May</v>
      </c>
      <c r="C1102" s="79" t="s">
        <v>2161</v>
      </c>
      <c r="D1102" s="79" t="s">
        <v>1917</v>
      </c>
      <c r="E1102" s="79" t="s">
        <v>1016</v>
      </c>
      <c r="F1102" s="79" t="s">
        <v>950</v>
      </c>
      <c r="G1102" s="79" t="s">
        <v>967</v>
      </c>
      <c r="H1102" s="82" t="s">
        <v>1959</v>
      </c>
      <c r="I1102" s="79">
        <v>156</v>
      </c>
      <c r="J1102" s="79" t="s">
        <v>1917</v>
      </c>
      <c r="K1102" s="80" t="s">
        <v>469</v>
      </c>
      <c r="L1102" s="79">
        <f>VLOOKUP(H1102,Table2[#All],3,FALSE)</f>
        <v>304</v>
      </c>
      <c r="M1102" s="80">
        <f>L1102-3</f>
        <v>301</v>
      </c>
      <c r="N1102" s="81">
        <f t="shared" si="307"/>
        <v>-3</v>
      </c>
      <c r="P1102" s="82">
        <f>R1102-TIME(0,29,0)</f>
        <v>45780.868750000001</v>
      </c>
      <c r="Q1102" s="82">
        <v>45782.098611111112</v>
      </c>
      <c r="R1102" s="82">
        <v>45780.888888888891</v>
      </c>
      <c r="S1102" s="81">
        <f t="shared" si="308"/>
        <v>-1733.9351851847216</v>
      </c>
      <c r="T1102" s="81">
        <f t="shared" si="313"/>
        <v>28.865740740972495</v>
      </c>
      <c r="U1102" s="79"/>
      <c r="V1102" s="82">
        <v>45781.404861111114</v>
      </c>
      <c r="W1102" s="82">
        <v>45781.743055555555</v>
      </c>
      <c r="X1102" s="103">
        <f t="shared" si="314"/>
        <v>476.85416666165111</v>
      </c>
      <c r="Y1102" s="82" t="s">
        <v>1049</v>
      </c>
      <c r="Z1102" s="82">
        <v>45781.843055555553</v>
      </c>
      <c r="AA1102" s="82">
        <f>Z1102+TIME(0,44,0)</f>
        <v>45781.873611111107</v>
      </c>
      <c r="AB1102" s="81">
        <f t="shared" si="315"/>
        <v>43.083333330141613</v>
      </c>
      <c r="AC1102" s="82"/>
      <c r="AD1102" s="83">
        <f t="shared" si="302"/>
        <v>0.95416666666278616</v>
      </c>
      <c r="AE1102" s="83">
        <f>VLOOKUP(H1102,'LIST 2'!$A$1:$E$27,4,FALSE)</f>
        <v>2</v>
      </c>
      <c r="AF1102" s="83">
        <f t="shared" si="303"/>
        <v>1.0458333333372138</v>
      </c>
      <c r="AG1102" s="83">
        <f t="shared" si="304"/>
        <v>22.899999999906868</v>
      </c>
      <c r="AH1102" s="83">
        <f t="shared" si="305"/>
        <v>0</v>
      </c>
      <c r="AI1102" s="83">
        <f t="shared" si="306"/>
        <v>22.899999999906868</v>
      </c>
      <c r="AJ1102" s="83">
        <f t="shared" si="316"/>
        <v>6.8122270742635127</v>
      </c>
      <c r="AK1102" s="122">
        <v>9.31</v>
      </c>
      <c r="AL1102" s="122">
        <v>11.1</v>
      </c>
      <c r="AM1102" s="122"/>
      <c r="AN1102" s="122"/>
    </row>
    <row r="1103" spans="1:40" ht="15" x14ac:dyDescent="0.25">
      <c r="A1103" s="82">
        <v>45782</v>
      </c>
      <c r="B1103" s="94" t="str">
        <f t="shared" si="309"/>
        <v>May</v>
      </c>
      <c r="C1103" s="79" t="s">
        <v>2161</v>
      </c>
      <c r="D1103" s="79" t="s">
        <v>1918</v>
      </c>
      <c r="E1103" s="80" t="s">
        <v>1016</v>
      </c>
      <c r="F1103" s="79" t="s">
        <v>954</v>
      </c>
      <c r="G1103" s="79" t="s">
        <v>971</v>
      </c>
      <c r="H1103" s="82" t="s">
        <v>1989</v>
      </c>
      <c r="I1103" s="79">
        <v>153.6</v>
      </c>
      <c r="J1103" s="79" t="s">
        <v>1918</v>
      </c>
      <c r="K1103" s="80" t="s">
        <v>469</v>
      </c>
      <c r="L1103" s="79">
        <f>VLOOKUP(H1103,Table2[#All],3,FALSE)</f>
        <v>20</v>
      </c>
      <c r="M1103" s="80">
        <f t="shared" si="310"/>
        <v>18</v>
      </c>
      <c r="N1103" s="81">
        <f t="shared" si="307"/>
        <v>-2</v>
      </c>
      <c r="P1103" s="82">
        <f>R1103-TIME(0,23,0)</f>
        <v>45783.54583333333</v>
      </c>
      <c r="Q1103" s="82">
        <v>45782.320833333331</v>
      </c>
      <c r="R1103" s="82">
        <v>45783.561805555553</v>
      </c>
      <c r="S1103" s="81">
        <f t="shared" si="308"/>
        <v>1778.7268518513883</v>
      </c>
      <c r="T1103" s="81">
        <f t="shared" si="313"/>
        <v>22.893518520140788</v>
      </c>
      <c r="U1103" s="79"/>
      <c r="V1103" s="82">
        <v>45783.784722222219</v>
      </c>
      <c r="W1103" s="82">
        <v>45784.463888888888</v>
      </c>
      <c r="X1103" s="103">
        <f t="shared" si="314"/>
        <v>957.62500000273576</v>
      </c>
      <c r="Y1103" s="82" t="s">
        <v>1050</v>
      </c>
      <c r="Z1103" s="82">
        <v>45784.669444444444</v>
      </c>
      <c r="AA1103" s="82">
        <f>Z1103+TIME(0,57,0)</f>
        <v>45784.709027777775</v>
      </c>
      <c r="AB1103" s="81">
        <f t="shared" si="315"/>
        <v>55.81249999726424</v>
      </c>
      <c r="AC1103" s="82" t="s">
        <v>2168</v>
      </c>
      <c r="AD1103" s="83">
        <f t="shared" si="302"/>
        <v>1.1076388888905058</v>
      </c>
      <c r="AE1103" s="83">
        <f>VLOOKUP(H1103,'LIST 2'!$A$1:$E$27,4,FALSE)</f>
        <v>1</v>
      </c>
      <c r="AF1103" s="83">
        <f t="shared" si="303"/>
        <v>-0.10763888889050577</v>
      </c>
      <c r="AG1103" s="83">
        <f t="shared" si="304"/>
        <v>26.583333333372138</v>
      </c>
      <c r="AH1103" s="83">
        <f t="shared" si="305"/>
        <v>12</v>
      </c>
      <c r="AI1103" s="83">
        <f t="shared" si="306"/>
        <v>14.583333333372138</v>
      </c>
      <c r="AJ1103" s="83">
        <f t="shared" si="316"/>
        <v>10.532571428543402</v>
      </c>
      <c r="AK1103" s="122">
        <v>7.15</v>
      </c>
      <c r="AL1103" s="122">
        <v>7.36</v>
      </c>
      <c r="AM1103" s="122"/>
      <c r="AN1103" s="122"/>
    </row>
    <row r="1104" spans="1:40" ht="15" x14ac:dyDescent="0.25">
      <c r="A1104" s="82">
        <v>45782</v>
      </c>
      <c r="B1104" s="94" t="str">
        <f t="shared" si="309"/>
        <v>May</v>
      </c>
      <c r="C1104" s="79" t="s">
        <v>2161</v>
      </c>
      <c r="D1104" s="79" t="s">
        <v>1919</v>
      </c>
      <c r="E1104" s="79" t="s">
        <v>1016</v>
      </c>
      <c r="F1104" s="79" t="s">
        <v>956</v>
      </c>
      <c r="G1104" s="79" t="s">
        <v>973</v>
      </c>
      <c r="H1104" s="82" t="s">
        <v>2022</v>
      </c>
      <c r="I1104" s="79">
        <v>153.6</v>
      </c>
      <c r="J1104" s="79" t="s">
        <v>1919</v>
      </c>
      <c r="K1104" s="80" t="s">
        <v>469</v>
      </c>
      <c r="L1104" s="79">
        <f>VLOOKUP(H1104,Table2[#All],3,FALSE)</f>
        <v>150</v>
      </c>
      <c r="M1104" s="80">
        <f t="shared" si="310"/>
        <v>148</v>
      </c>
      <c r="N1104" s="81">
        <f t="shared" si="307"/>
        <v>-2</v>
      </c>
      <c r="P1104" s="82">
        <f t="shared" ref="P1104:P1105" si="319">R1104-TIME(0,29,0)</f>
        <v>45783.370833333334</v>
      </c>
      <c r="Q1104" s="82">
        <v>45782.333333333336</v>
      </c>
      <c r="R1104" s="82">
        <v>45783.390972222223</v>
      </c>
      <c r="S1104" s="81">
        <f t="shared" si="308"/>
        <v>1515.9490740722201</v>
      </c>
      <c r="T1104" s="81">
        <f t="shared" si="313"/>
        <v>28.865740740972495</v>
      </c>
      <c r="U1104" s="79"/>
      <c r="V1104" s="82">
        <v>45783.601388888892</v>
      </c>
      <c r="W1104" s="82">
        <v>45784.597222222219</v>
      </c>
      <c r="X1104" s="103">
        <f t="shared" si="314"/>
        <v>1404.1249999911088</v>
      </c>
      <c r="Y1104" s="82" t="s">
        <v>1044</v>
      </c>
      <c r="Z1104" s="82">
        <v>45784.683333333334</v>
      </c>
      <c r="AA1104" s="82">
        <f>Z1104+TIME(0,44,0)</f>
        <v>45784.713888888888</v>
      </c>
      <c r="AB1104" s="81">
        <f t="shared" si="315"/>
        <v>43.083333330141613</v>
      </c>
      <c r="AC1104" s="82"/>
      <c r="AD1104" s="83">
        <f t="shared" si="302"/>
        <v>1.2923611111109494</v>
      </c>
      <c r="AE1104" s="83">
        <f>VLOOKUP(H1104,'LIST 2'!$A$1:$E$27,4,FALSE)</f>
        <v>1</v>
      </c>
      <c r="AF1104" s="83">
        <f t="shared" si="303"/>
        <v>-0.29236111111094942</v>
      </c>
      <c r="AG1104" s="83">
        <f t="shared" si="304"/>
        <v>31.016666666662786</v>
      </c>
      <c r="AH1104" s="83">
        <f t="shared" si="305"/>
        <v>12</v>
      </c>
      <c r="AI1104" s="83">
        <f t="shared" si="306"/>
        <v>19.016666666662786</v>
      </c>
      <c r="AJ1104" s="83">
        <f t="shared" si="316"/>
        <v>8.0771253286607188</v>
      </c>
      <c r="AK1104" s="122">
        <v>11.3</v>
      </c>
      <c r="AL1104" s="122">
        <v>10.4</v>
      </c>
      <c r="AM1104" s="122"/>
      <c r="AN1104" s="122"/>
    </row>
    <row r="1105" spans="1:40" ht="15" x14ac:dyDescent="0.25">
      <c r="A1105" s="82">
        <v>45782</v>
      </c>
      <c r="B1105" s="94" t="str">
        <f t="shared" si="309"/>
        <v>May</v>
      </c>
      <c r="C1105" s="79" t="s">
        <v>2162</v>
      </c>
      <c r="D1105" s="79" t="s">
        <v>1920</v>
      </c>
      <c r="E1105" s="79" t="s">
        <v>1016</v>
      </c>
      <c r="F1105" s="79" t="s">
        <v>1268</v>
      </c>
      <c r="G1105" s="79" t="s">
        <v>52</v>
      </c>
      <c r="H1105" s="82" t="s">
        <v>2177</v>
      </c>
      <c r="I1105" s="79">
        <v>156</v>
      </c>
      <c r="J1105" s="79" t="s">
        <v>1920</v>
      </c>
      <c r="K1105" s="80" t="s">
        <v>469</v>
      </c>
      <c r="L1105" s="79">
        <f>VLOOKUP(H1105,Table2[#All],3,FALSE)</f>
        <v>448</v>
      </c>
      <c r="M1105" s="80">
        <f t="shared" si="310"/>
        <v>446</v>
      </c>
      <c r="N1105" s="81">
        <f t="shared" si="307"/>
        <v>-2</v>
      </c>
      <c r="P1105" s="82">
        <f t="shared" si="319"/>
        <v>45782.762499999997</v>
      </c>
      <c r="Q1105" s="82">
        <v>45782.0625</v>
      </c>
      <c r="R1105" s="82">
        <v>45782.782638888886</v>
      </c>
      <c r="S1105" s="81">
        <f t="shared" si="308"/>
        <v>1032.1990740701342</v>
      </c>
      <c r="T1105" s="81">
        <f t="shared" si="313"/>
        <v>28.865740740972495</v>
      </c>
      <c r="U1105" s="79"/>
      <c r="V1105" s="82">
        <v>45783.495833333334</v>
      </c>
      <c r="W1105" s="82">
        <v>45783.684027777781</v>
      </c>
      <c r="X1105" s="103">
        <f t="shared" si="314"/>
        <v>265.35416666985839</v>
      </c>
      <c r="Y1105" s="82" t="s">
        <v>1044</v>
      </c>
      <c r="Z1105" s="82">
        <v>45784.34652777778</v>
      </c>
      <c r="AA1105" s="82">
        <f>Z1105+TIME(0,42,0)</f>
        <v>45784.375694444447</v>
      </c>
      <c r="AB1105" s="81">
        <f t="shared" si="315"/>
        <v>41.12500000068394</v>
      </c>
      <c r="AC1105" s="82"/>
      <c r="AD1105" s="83">
        <f t="shared" si="302"/>
        <v>1.5638888888934162</v>
      </c>
      <c r="AE1105" s="83">
        <f>VLOOKUP(H1105,'LIST 2'!$A$1:$E$27,4,FALSE)</f>
        <v>2</v>
      </c>
      <c r="AF1105" s="83">
        <f t="shared" si="303"/>
        <v>0.43611111110658385</v>
      </c>
      <c r="AG1105" s="83">
        <f t="shared" si="304"/>
        <v>37.533333333441988</v>
      </c>
      <c r="AH1105" s="83">
        <f t="shared" si="305"/>
        <v>12</v>
      </c>
      <c r="AI1105" s="83">
        <f t="shared" si="306"/>
        <v>25.533333333441988</v>
      </c>
      <c r="AJ1105" s="83">
        <f t="shared" si="316"/>
        <v>6.1096605743865338</v>
      </c>
      <c r="AK1105" s="122"/>
      <c r="AL1105" s="122"/>
      <c r="AM1105" s="122"/>
      <c r="AN1105" s="122"/>
    </row>
    <row r="1106" spans="1:40" ht="15" x14ac:dyDescent="0.25">
      <c r="A1106" s="82">
        <v>45782</v>
      </c>
      <c r="B1106" s="94" t="str">
        <f t="shared" si="309"/>
        <v>May</v>
      </c>
      <c r="C1106" s="79" t="s">
        <v>2161</v>
      </c>
      <c r="D1106" s="79" t="s">
        <v>1921</v>
      </c>
      <c r="E1106" s="79" t="s">
        <v>1016</v>
      </c>
      <c r="F1106" s="79" t="s">
        <v>1689</v>
      </c>
      <c r="G1106" s="79" t="s">
        <v>1262</v>
      </c>
      <c r="H1106" s="82" t="s">
        <v>1956</v>
      </c>
      <c r="I1106" s="79">
        <v>153.6</v>
      </c>
      <c r="J1106" s="79" t="s">
        <v>1921</v>
      </c>
      <c r="K1106" s="80" t="s">
        <v>469</v>
      </c>
      <c r="L1106" s="79">
        <f>VLOOKUP(H1106,Table2[#All],3,FALSE)</f>
        <v>596</v>
      </c>
      <c r="M1106" s="80">
        <f t="shared" si="310"/>
        <v>594</v>
      </c>
      <c r="N1106" s="81">
        <f t="shared" si="307"/>
        <v>-2</v>
      </c>
      <c r="P1106" s="82">
        <f>R1106-TIME(0,38,0)</f>
        <v>45782.697916666672</v>
      </c>
      <c r="Q1106" s="82">
        <v>45782.176388888889</v>
      </c>
      <c r="R1106" s="82">
        <v>45782.724305555559</v>
      </c>
      <c r="S1106" s="81">
        <f t="shared" si="308"/>
        <v>785.34722222708899</v>
      </c>
      <c r="T1106" s="81">
        <f t="shared" si="313"/>
        <v>37.82407407222005</v>
      </c>
      <c r="U1106" s="79" t="s">
        <v>2163</v>
      </c>
      <c r="V1106" s="82">
        <v>45782.811805555553</v>
      </c>
      <c r="W1106" s="82">
        <v>45783.51666666667</v>
      </c>
      <c r="X1106" s="103">
        <f t="shared" si="314"/>
        <v>993.85416667464597</v>
      </c>
      <c r="Y1106" s="82" t="s">
        <v>1044</v>
      </c>
      <c r="Z1106" s="82">
        <v>45783.597222222219</v>
      </c>
      <c r="AA1106" s="82">
        <f>Z1106+TIME(0,44,0)</f>
        <v>45783.627777777772</v>
      </c>
      <c r="AB1106" s="81">
        <f t="shared" si="315"/>
        <v>43.083333330141613</v>
      </c>
      <c r="AC1106" s="82"/>
      <c r="AD1106" s="83">
        <f t="shared" si="302"/>
        <v>0.87291666665987577</v>
      </c>
      <c r="AE1106" s="83">
        <f>VLOOKUP(H1106,'LIST 2'!$A$1:$E$27,4,FALSE)</f>
        <v>2</v>
      </c>
      <c r="AF1106" s="83">
        <f t="shared" si="303"/>
        <v>1.1270833333401242</v>
      </c>
      <c r="AG1106" s="83">
        <f t="shared" si="304"/>
        <v>20.949999999837019</v>
      </c>
      <c r="AH1106" s="83">
        <f t="shared" si="305"/>
        <v>0</v>
      </c>
      <c r="AI1106" s="83">
        <f t="shared" si="306"/>
        <v>20.949999999837019</v>
      </c>
      <c r="AJ1106" s="83">
        <f t="shared" si="316"/>
        <v>7.3317422434937916</v>
      </c>
      <c r="AK1106" s="122">
        <v>9.4499999999999993</v>
      </c>
      <c r="AL1106" s="122">
        <v>11.4</v>
      </c>
      <c r="AM1106" s="122"/>
      <c r="AN1106" s="122"/>
    </row>
    <row r="1107" spans="1:40" ht="15" x14ac:dyDescent="0.25">
      <c r="A1107" s="82">
        <v>45782</v>
      </c>
      <c r="B1107" s="94" t="str">
        <f t="shared" si="309"/>
        <v>May</v>
      </c>
      <c r="C1107" s="79" t="s">
        <v>2162</v>
      </c>
      <c r="D1107" s="79" t="s">
        <v>1922</v>
      </c>
      <c r="E1107" s="79" t="s">
        <v>1016</v>
      </c>
      <c r="F1107" s="79" t="s">
        <v>1696</v>
      </c>
      <c r="G1107" s="79" t="s">
        <v>42</v>
      </c>
      <c r="H1107" s="82" t="s">
        <v>1959</v>
      </c>
      <c r="I1107" s="79">
        <v>156</v>
      </c>
      <c r="J1107" s="79" t="s">
        <v>1922</v>
      </c>
      <c r="K1107" s="80" t="s">
        <v>469</v>
      </c>
      <c r="L1107" s="79">
        <f>VLOOKUP(H1107,Table2[#All],3,FALSE)</f>
        <v>304</v>
      </c>
      <c r="M1107" s="80">
        <f t="shared" si="310"/>
        <v>302</v>
      </c>
      <c r="N1107" s="81">
        <f t="shared" si="307"/>
        <v>-2</v>
      </c>
      <c r="P1107" s="82">
        <f>R1107-TIME(0,29,0)</f>
        <v>45782.568749999999</v>
      </c>
      <c r="Q1107" s="82">
        <v>45782.098611111112</v>
      </c>
      <c r="R1107" s="82">
        <v>45782.588888888888</v>
      </c>
      <c r="S1107" s="81">
        <f t="shared" si="308"/>
        <v>702.7314814777734</v>
      </c>
      <c r="T1107" s="81">
        <f t="shared" si="313"/>
        <v>28.865740740972495</v>
      </c>
      <c r="U1107" s="79"/>
      <c r="V1107" s="82">
        <v>45783.375</v>
      </c>
      <c r="W1107" s="82">
        <v>45783.564583333333</v>
      </c>
      <c r="X1107" s="103">
        <f t="shared" si="314"/>
        <v>267.31249999931606</v>
      </c>
      <c r="Y1107" s="82" t="s">
        <v>1046</v>
      </c>
      <c r="Z1107" s="82">
        <v>45783.824305555558</v>
      </c>
      <c r="AA1107" s="82">
        <f>Z1107+TIME(0,40,0)</f>
        <v>45783.852083333339</v>
      </c>
      <c r="AB1107" s="81">
        <f t="shared" si="315"/>
        <v>39.166666671226267</v>
      </c>
      <c r="AC1107" s="82"/>
      <c r="AD1107" s="83">
        <f t="shared" si="302"/>
        <v>1.2354166666700621</v>
      </c>
      <c r="AE1107" s="83">
        <f>VLOOKUP(H1107,'LIST 2'!$A$1:$E$27,4,FALSE)</f>
        <v>2</v>
      </c>
      <c r="AF1107" s="83">
        <f t="shared" si="303"/>
        <v>0.76458333332993789</v>
      </c>
      <c r="AG1107" s="83">
        <f t="shared" si="304"/>
        <v>29.650000000081491</v>
      </c>
      <c r="AH1107" s="83">
        <f t="shared" si="305"/>
        <v>12</v>
      </c>
      <c r="AI1107" s="83">
        <f t="shared" si="306"/>
        <v>17.650000000081491</v>
      </c>
      <c r="AJ1107" s="83">
        <f t="shared" si="316"/>
        <v>8.8385269121404946</v>
      </c>
      <c r="AK1107" s="122"/>
      <c r="AL1107" s="122"/>
      <c r="AM1107" s="122"/>
      <c r="AN1107" s="122"/>
    </row>
    <row r="1108" spans="1:40" ht="15" x14ac:dyDescent="0.25">
      <c r="A1108" s="82">
        <v>45782</v>
      </c>
      <c r="B1108" s="94" t="str">
        <f t="shared" si="309"/>
        <v>May</v>
      </c>
      <c r="C1108" s="79" t="s">
        <v>2161</v>
      </c>
      <c r="D1108" s="79" t="s">
        <v>1923</v>
      </c>
      <c r="E1108" s="79" t="s">
        <v>1016</v>
      </c>
      <c r="F1108" s="79" t="s">
        <v>950</v>
      </c>
      <c r="G1108" s="79" t="s">
        <v>967</v>
      </c>
      <c r="H1108" s="82" t="s">
        <v>2022</v>
      </c>
      <c r="I1108" s="79">
        <v>153.6</v>
      </c>
      <c r="J1108" s="79" t="s">
        <v>1923</v>
      </c>
      <c r="K1108" s="80" t="s">
        <v>469</v>
      </c>
      <c r="L1108" s="79">
        <f>VLOOKUP(H1108,Table2[#All],3,FALSE)</f>
        <v>150</v>
      </c>
      <c r="M1108" s="80">
        <f t="shared" si="310"/>
        <v>148</v>
      </c>
      <c r="N1108" s="81">
        <f t="shared" si="307"/>
        <v>-2</v>
      </c>
      <c r="P1108" s="82">
        <f>R1108-TIME(0,54,0)</f>
        <v>45783.375</v>
      </c>
      <c r="Q1108" s="82">
        <v>45783.260416666664</v>
      </c>
      <c r="R1108" s="82">
        <v>45783.412499999999</v>
      </c>
      <c r="S1108" s="81">
        <f t="shared" si="308"/>
        <v>217.98611111250162</v>
      </c>
      <c r="T1108" s="81">
        <f t="shared" si="313"/>
        <v>53.749999997914223</v>
      </c>
      <c r="U1108" s="79" t="s">
        <v>2164</v>
      </c>
      <c r="V1108" s="82">
        <v>45783.493750000001</v>
      </c>
      <c r="W1108" s="82">
        <v>45783.747916666667</v>
      </c>
      <c r="X1108" s="103">
        <f t="shared" si="314"/>
        <v>358.37499999863212</v>
      </c>
      <c r="Y1108" s="82" t="s">
        <v>1049</v>
      </c>
      <c r="Z1108" s="82">
        <v>45783.834027777775</v>
      </c>
      <c r="AA1108" s="82">
        <f>Z1108+TIME(0,42,0)</f>
        <v>45783.863194444442</v>
      </c>
      <c r="AB1108" s="81">
        <f t="shared" si="315"/>
        <v>41.12500000068394</v>
      </c>
      <c r="AC1108" s="82"/>
      <c r="AD1108" s="83">
        <f t="shared" si="302"/>
        <v>0.42152777777664596</v>
      </c>
      <c r="AE1108" s="83">
        <f>VLOOKUP(H1108,'LIST 2'!$A$1:$E$27,4,FALSE)</f>
        <v>1</v>
      </c>
      <c r="AF1108" s="83">
        <f t="shared" si="303"/>
        <v>0.57847222222335404</v>
      </c>
      <c r="AG1108" s="83">
        <f t="shared" si="304"/>
        <v>10.116666666639503</v>
      </c>
      <c r="AH1108" s="83">
        <f t="shared" si="305"/>
        <v>0</v>
      </c>
      <c r="AI1108" s="83">
        <f t="shared" si="306"/>
        <v>10.116666666639503</v>
      </c>
      <c r="AJ1108" s="83">
        <f t="shared" si="316"/>
        <v>15.182866556877668</v>
      </c>
      <c r="AK1108" s="122">
        <v>11.47</v>
      </c>
      <c r="AL1108" s="122"/>
      <c r="AM1108" s="122"/>
      <c r="AN1108" s="122"/>
    </row>
    <row r="1109" spans="1:40" ht="15" x14ac:dyDescent="0.25">
      <c r="A1109" s="82">
        <v>45782</v>
      </c>
      <c r="B1109" s="94" t="str">
        <f t="shared" si="309"/>
        <v>May</v>
      </c>
      <c r="C1109" s="79" t="s">
        <v>2161</v>
      </c>
      <c r="D1109" s="79" t="s">
        <v>1924</v>
      </c>
      <c r="E1109" s="79"/>
      <c r="F1109" s="79" t="s">
        <v>952</v>
      </c>
      <c r="G1109" s="79" t="s">
        <v>969</v>
      </c>
      <c r="H1109" s="82" t="s">
        <v>1956</v>
      </c>
      <c r="I1109" s="79">
        <v>153.6</v>
      </c>
      <c r="J1109" s="79" t="s">
        <v>1924</v>
      </c>
      <c r="K1109" s="80" t="s">
        <v>469</v>
      </c>
      <c r="L1109" s="79">
        <f>VLOOKUP(H1109,Table2[#All],3,FALSE)</f>
        <v>596</v>
      </c>
      <c r="M1109" s="80">
        <f t="shared" si="310"/>
        <v>594</v>
      </c>
      <c r="N1109" s="81">
        <f t="shared" si="307"/>
        <v>-2</v>
      </c>
      <c r="P1109" s="82">
        <f>R1109-TIME(0,42,0)</f>
        <v>45781.838888888888</v>
      </c>
      <c r="Q1109" s="82">
        <v>45782.176388888889</v>
      </c>
      <c r="R1109" s="82">
        <v>45781.868055555555</v>
      </c>
      <c r="S1109" s="81">
        <f t="shared" si="308"/>
        <v>-441.94444444583496</v>
      </c>
      <c r="T1109" s="81">
        <f t="shared" si="313"/>
        <v>41.805555556250816</v>
      </c>
      <c r="U1109" s="79" t="s">
        <v>2167</v>
      </c>
      <c r="V1109" s="82">
        <v>45782.561805555553</v>
      </c>
      <c r="W1109" s="82">
        <v>45782.711805555555</v>
      </c>
      <c r="X1109" s="103">
        <f t="shared" si="314"/>
        <v>211.50000000205182</v>
      </c>
      <c r="Y1109" s="82" t="s">
        <v>1051</v>
      </c>
      <c r="Z1109" s="82">
        <v>45783.498611111114</v>
      </c>
      <c r="AA1109" s="82">
        <f>Z1109+TIME(0,42,0)</f>
        <v>45783.527777777781</v>
      </c>
      <c r="AB1109" s="81">
        <f t="shared" si="315"/>
        <v>41.12500000068394</v>
      </c>
      <c r="AC1109" s="82"/>
      <c r="AD1109" s="83">
        <f t="shared" si="302"/>
        <v>1.6305555555591127</v>
      </c>
      <c r="AE1109" s="83">
        <f>VLOOKUP(H1109,'LIST 2'!$A$1:$E$27,4,FALSE)</f>
        <v>2</v>
      </c>
      <c r="AF1109" s="83">
        <f t="shared" si="303"/>
        <v>0.36944444444088731</v>
      </c>
      <c r="AG1109" s="83">
        <f t="shared" si="304"/>
        <v>39.133333333418705</v>
      </c>
      <c r="AH1109" s="83">
        <f t="shared" si="305"/>
        <v>12</v>
      </c>
      <c r="AI1109" s="83">
        <f t="shared" si="306"/>
        <v>27.133333333418705</v>
      </c>
      <c r="AJ1109" s="83">
        <f t="shared" si="316"/>
        <v>5.6609336609158492</v>
      </c>
      <c r="AK1109" s="122">
        <v>11.24</v>
      </c>
      <c r="AL1109" s="122">
        <v>11.31</v>
      </c>
      <c r="AM1109" s="122">
        <v>11.2</v>
      </c>
      <c r="AN1109" s="122"/>
    </row>
    <row r="1110" spans="1:40" ht="15" x14ac:dyDescent="0.25">
      <c r="A1110" s="82">
        <v>45782</v>
      </c>
      <c r="B1110" s="94" t="str">
        <f t="shared" si="309"/>
        <v>May</v>
      </c>
      <c r="C1110" s="79" t="s">
        <v>2161</v>
      </c>
      <c r="D1110" s="79" t="s">
        <v>1925</v>
      </c>
      <c r="E1110" s="79"/>
      <c r="F1110" s="79" t="s">
        <v>962</v>
      </c>
      <c r="G1110" s="79" t="s">
        <v>978</v>
      </c>
      <c r="H1110" s="82" t="s">
        <v>1989</v>
      </c>
      <c r="I1110" s="79">
        <v>153.6</v>
      </c>
      <c r="J1110" s="79" t="s">
        <v>1925</v>
      </c>
      <c r="K1110" s="80" t="s">
        <v>469</v>
      </c>
      <c r="L1110" s="79">
        <f>VLOOKUP(H1110,Table2[#All],3,FALSE)</f>
        <v>20</v>
      </c>
      <c r="M1110" s="80">
        <f>L1110-3</f>
        <v>17</v>
      </c>
      <c r="N1110" s="81">
        <f t="shared" si="307"/>
        <v>-3</v>
      </c>
      <c r="P1110" s="82">
        <f>R1110-TIME(0,29,0)</f>
        <v>45781.857638888891</v>
      </c>
      <c r="Q1110" s="82">
        <v>45782.320833333331</v>
      </c>
      <c r="R1110" s="82">
        <v>45781.87777777778</v>
      </c>
      <c r="S1110" s="81">
        <f t="shared" si="308"/>
        <v>-635.04629629096598</v>
      </c>
      <c r="T1110" s="81">
        <f t="shared" si="313"/>
        <v>28.865740740972495</v>
      </c>
      <c r="U1110" s="79"/>
      <c r="V1110" s="82">
        <v>45781.896527777775</v>
      </c>
      <c r="W1110" s="82">
        <v>45782.50277777778</v>
      </c>
      <c r="X1110" s="103">
        <f t="shared" si="314"/>
        <v>854.81250000615546</v>
      </c>
      <c r="Y1110" s="82" t="s">
        <v>1050</v>
      </c>
      <c r="Z1110" s="82">
        <v>45782.547222222223</v>
      </c>
      <c r="AA1110" s="82">
        <f>Z1110+TIME(0,44,0)</f>
        <v>45782.577777777777</v>
      </c>
      <c r="AB1110" s="81">
        <f t="shared" si="315"/>
        <v>43.083333330141613</v>
      </c>
      <c r="AC1110" s="82"/>
      <c r="AD1110" s="83">
        <f t="shared" si="302"/>
        <v>0.66944444444379769</v>
      </c>
      <c r="AE1110" s="83">
        <f>VLOOKUP(H1110,'LIST 2'!$A$1:$E$27,4,FALSE)</f>
        <v>1</v>
      </c>
      <c r="AF1110" s="83">
        <f t="shared" si="303"/>
        <v>0.33055555555620231</v>
      </c>
      <c r="AG1110" s="83">
        <f t="shared" si="304"/>
        <v>16.066666666651145</v>
      </c>
      <c r="AH1110" s="83">
        <f t="shared" si="305"/>
        <v>0</v>
      </c>
      <c r="AI1110" s="83">
        <f t="shared" si="306"/>
        <v>16.066666666651145</v>
      </c>
      <c r="AJ1110" s="83">
        <f t="shared" si="316"/>
        <v>9.5601659751129695</v>
      </c>
      <c r="AK1110" s="122">
        <v>8.15</v>
      </c>
      <c r="AL1110" s="122">
        <v>7.56</v>
      </c>
      <c r="AM1110" s="122"/>
      <c r="AN1110" s="122"/>
    </row>
    <row r="1111" spans="1:40" ht="15" x14ac:dyDescent="0.25">
      <c r="A1111" s="82">
        <v>45783</v>
      </c>
      <c r="B1111" s="94" t="str">
        <f t="shared" si="309"/>
        <v>May</v>
      </c>
      <c r="C1111" s="79" t="s">
        <v>2161</v>
      </c>
      <c r="D1111" s="79" t="s">
        <v>1926</v>
      </c>
      <c r="E1111" s="79"/>
      <c r="F1111" s="79" t="s">
        <v>957</v>
      </c>
      <c r="G1111" s="79" t="s">
        <v>974</v>
      </c>
      <c r="H1111" s="82" t="s">
        <v>1989</v>
      </c>
      <c r="I1111" s="79">
        <v>153.6</v>
      </c>
      <c r="J1111" s="79" t="s">
        <v>1926</v>
      </c>
      <c r="K1111" s="80" t="s">
        <v>469</v>
      </c>
      <c r="L1111" s="79">
        <f>VLOOKUP(H1111,Table2[#All],3,FALSE)</f>
        <v>20</v>
      </c>
      <c r="M1111" s="80">
        <f t="shared" si="310"/>
        <v>18</v>
      </c>
      <c r="N1111" s="81">
        <f t="shared" si="307"/>
        <v>-2</v>
      </c>
      <c r="P1111" s="82">
        <f>R1111-TIME(0,23,0)</f>
        <v>45784.461805555555</v>
      </c>
      <c r="Q1111" s="82">
        <v>45783.416666666664</v>
      </c>
      <c r="R1111" s="82">
        <v>45784.477777777778</v>
      </c>
      <c r="S1111" s="81">
        <f t="shared" si="308"/>
        <v>1520.9259259298658</v>
      </c>
      <c r="T1111" s="81">
        <f t="shared" si="313"/>
        <v>22.893518520140788</v>
      </c>
      <c r="U1111" s="79"/>
      <c r="V1111" s="82">
        <v>45784.716666666667</v>
      </c>
      <c r="W1111" s="82">
        <v>45785.432638888888</v>
      </c>
      <c r="X1111" s="103">
        <f t="shared" si="314"/>
        <v>1009.5208333308256</v>
      </c>
      <c r="Y1111" s="82" t="s">
        <v>1044</v>
      </c>
      <c r="Z1111" s="82">
        <v>45785.75</v>
      </c>
      <c r="AA1111" s="82">
        <f>Z1111+TIME(0,44,0)</f>
        <v>45785.780555555553</v>
      </c>
      <c r="AB1111" s="81">
        <f t="shared" si="315"/>
        <v>43.083333330141613</v>
      </c>
      <c r="AC1111" s="82"/>
      <c r="AD1111" s="83">
        <f t="shared" si="302"/>
        <v>1.2722222222218988</v>
      </c>
      <c r="AE1111" s="83">
        <f>VLOOKUP(H1111,'LIST 2'!$A$1:$E$27,4,FALSE)</f>
        <v>1</v>
      </c>
      <c r="AF1111" s="83">
        <f t="shared" si="303"/>
        <v>-0.27222222222189885</v>
      </c>
      <c r="AG1111" s="83">
        <f t="shared" si="304"/>
        <v>30.533333333325572</v>
      </c>
      <c r="AH1111" s="83">
        <f t="shared" si="305"/>
        <v>12</v>
      </c>
      <c r="AI1111" s="83">
        <f t="shared" si="306"/>
        <v>18.533333333325572</v>
      </c>
      <c r="AJ1111" s="83">
        <f t="shared" si="316"/>
        <v>8.2877697841761329</v>
      </c>
      <c r="AK1111" s="122">
        <v>7.45</v>
      </c>
      <c r="AL1111" s="122">
        <v>7.56</v>
      </c>
      <c r="AM1111" s="122"/>
      <c r="AN1111" s="122"/>
    </row>
    <row r="1112" spans="1:40" ht="15" x14ac:dyDescent="0.25">
      <c r="A1112" s="82">
        <v>45783</v>
      </c>
      <c r="B1112" s="94" t="str">
        <f t="shared" si="309"/>
        <v>May</v>
      </c>
      <c r="C1112" s="79" t="s">
        <v>2161</v>
      </c>
      <c r="D1112" s="79" t="s">
        <v>1927</v>
      </c>
      <c r="E1112" s="79"/>
      <c r="F1112" s="79" t="s">
        <v>952</v>
      </c>
      <c r="G1112" s="79" t="s">
        <v>969</v>
      </c>
      <c r="H1112" s="82" t="s">
        <v>1956</v>
      </c>
      <c r="I1112" s="79">
        <v>153.6</v>
      </c>
      <c r="J1112" s="79" t="s">
        <v>1927</v>
      </c>
      <c r="K1112" s="80" t="s">
        <v>469</v>
      </c>
      <c r="L1112" s="79">
        <f>VLOOKUP(H1112,Table2[#All],3,FALSE)</f>
        <v>596</v>
      </c>
      <c r="M1112" s="80">
        <f t="shared" si="310"/>
        <v>594</v>
      </c>
      <c r="N1112" s="81">
        <f t="shared" si="307"/>
        <v>-2</v>
      </c>
      <c r="P1112" s="82">
        <f>R1112-TIME(0,29,0)</f>
        <v>45783.776388888888</v>
      </c>
      <c r="Q1112" s="82">
        <v>45783.416666666664</v>
      </c>
      <c r="R1112" s="82">
        <v>45783.796527777777</v>
      </c>
      <c r="S1112" s="81">
        <f t="shared" si="308"/>
        <v>544.46759259444661</v>
      </c>
      <c r="T1112" s="81">
        <f t="shared" si="313"/>
        <v>28.865740740972495</v>
      </c>
      <c r="U1112" s="79"/>
      <c r="V1112" s="82">
        <v>45784.511111111111</v>
      </c>
      <c r="W1112" s="82">
        <v>45784.637499999997</v>
      </c>
      <c r="X1112" s="103">
        <f t="shared" si="314"/>
        <v>178.20833332945767</v>
      </c>
      <c r="Y1112" s="82"/>
      <c r="Z1112" s="82">
        <v>45785.37222222222</v>
      </c>
      <c r="AA1112" s="82">
        <f>Z1112+TIME(0,42,0)</f>
        <v>45785.401388888888</v>
      </c>
      <c r="AB1112" s="81">
        <f t="shared" si="315"/>
        <v>41.12500000068394</v>
      </c>
      <c r="AC1112" s="82"/>
      <c r="AD1112" s="83">
        <f t="shared" si="302"/>
        <v>1.5756944444437977</v>
      </c>
      <c r="AE1112" s="83">
        <f>VLOOKUP(H1112,'LIST 2'!$A$1:$E$27,4,FALSE)</f>
        <v>2</v>
      </c>
      <c r="AF1112" s="83">
        <f t="shared" si="303"/>
        <v>0.42430555555620231</v>
      </c>
      <c r="AG1112" s="83">
        <f t="shared" si="304"/>
        <v>37.816666666651145</v>
      </c>
      <c r="AH1112" s="83">
        <f t="shared" si="305"/>
        <v>12</v>
      </c>
      <c r="AI1112" s="83">
        <f t="shared" si="306"/>
        <v>25.816666666651145</v>
      </c>
      <c r="AJ1112" s="83">
        <f t="shared" si="316"/>
        <v>5.9496449322179084</v>
      </c>
      <c r="AK1112" s="122">
        <v>11.2</v>
      </c>
      <c r="AL1112" s="122">
        <v>11.45</v>
      </c>
      <c r="AM1112" s="122">
        <v>11.3</v>
      </c>
      <c r="AN1112" s="122"/>
    </row>
    <row r="1113" spans="1:40" ht="15" x14ac:dyDescent="0.25">
      <c r="A1113" s="82">
        <v>45783</v>
      </c>
      <c r="B1113" s="94" t="str">
        <f t="shared" si="309"/>
        <v>May</v>
      </c>
      <c r="C1113" s="79" t="s">
        <v>2161</v>
      </c>
      <c r="D1113" s="79" t="s">
        <v>1928</v>
      </c>
      <c r="E1113" s="79"/>
      <c r="F1113" s="79" t="s">
        <v>951</v>
      </c>
      <c r="G1113" s="79" t="s">
        <v>968</v>
      </c>
      <c r="H1113" s="82" t="s">
        <v>1989</v>
      </c>
      <c r="I1113" s="79">
        <v>153.6</v>
      </c>
      <c r="J1113" s="79" t="s">
        <v>1928</v>
      </c>
      <c r="K1113" s="80" t="s">
        <v>469</v>
      </c>
      <c r="L1113" s="79">
        <f>VLOOKUP(H1113,Table2[#All],3,FALSE)</f>
        <v>20</v>
      </c>
      <c r="M1113" s="80">
        <f t="shared" si="310"/>
        <v>18</v>
      </c>
      <c r="N1113" s="81">
        <f t="shared" si="307"/>
        <v>-2</v>
      </c>
      <c r="P1113" s="82">
        <f>R1113-TIME(0,29,0)</f>
        <v>45784.386805555558</v>
      </c>
      <c r="Q1113" s="82">
        <v>45784.176388888889</v>
      </c>
      <c r="R1113" s="82">
        <v>45784.406944444447</v>
      </c>
      <c r="S1113" s="81">
        <f t="shared" si="308"/>
        <v>330.46296296597575</v>
      </c>
      <c r="T1113" s="81">
        <f t="shared" si="313"/>
        <v>28.865740740972495</v>
      </c>
      <c r="U1113" s="79"/>
      <c r="V1113" s="82">
        <v>45783.434027777781</v>
      </c>
      <c r="W1113" s="82">
        <v>45783.575694444444</v>
      </c>
      <c r="X1113" s="103">
        <f t="shared" si="314"/>
        <v>199.74999999452848</v>
      </c>
      <c r="Y1113" s="82" t="s">
        <v>1047</v>
      </c>
      <c r="Z1113" s="82">
        <v>45783.628472222219</v>
      </c>
      <c r="AA1113" s="82">
        <f>Z1113+TIME(0,36,0)</f>
        <v>45783.65347222222</v>
      </c>
      <c r="AB1113" s="81">
        <f t="shared" si="315"/>
        <v>35.25000000205182</v>
      </c>
      <c r="AC1113" s="82"/>
      <c r="AD1113" s="83">
        <f t="shared" si="302"/>
        <v>-0.77847222222771961</v>
      </c>
      <c r="AE1113" s="83">
        <f>VLOOKUP(H1113,'LIST 2'!$A$1:$E$27,4,FALSE)</f>
        <v>1</v>
      </c>
      <c r="AF1113" s="83">
        <f t="shared" si="303"/>
        <v>1.7784722222277196</v>
      </c>
      <c r="AG1113" s="83">
        <f t="shared" si="304"/>
        <v>-18.683333333465271</v>
      </c>
      <c r="AH1113" s="83">
        <f t="shared" si="305"/>
        <v>-12</v>
      </c>
      <c r="AI1113" s="83">
        <f t="shared" si="306"/>
        <v>-6.6833333334652707</v>
      </c>
      <c r="AJ1113" s="83">
        <f t="shared" si="316"/>
        <v>-22.98254364044405</v>
      </c>
      <c r="AK1113" s="122">
        <v>7.15</v>
      </c>
      <c r="AL1113" s="122">
        <v>7.36</v>
      </c>
      <c r="AM1113" s="122"/>
      <c r="AN1113" s="122"/>
    </row>
    <row r="1114" spans="1:40" ht="15" x14ac:dyDescent="0.25">
      <c r="A1114" s="82">
        <v>45783</v>
      </c>
      <c r="B1114" s="94" t="str">
        <f t="shared" si="309"/>
        <v>May</v>
      </c>
      <c r="C1114" s="79" t="s">
        <v>2162</v>
      </c>
      <c r="D1114" s="79" t="s">
        <v>1929</v>
      </c>
      <c r="E1114" s="79" t="s">
        <v>1016</v>
      </c>
      <c r="F1114" s="79" t="s">
        <v>961</v>
      </c>
      <c r="G1114" s="79" t="s">
        <v>977</v>
      </c>
      <c r="H1114" s="82" t="s">
        <v>2181</v>
      </c>
      <c r="I1114" s="79">
        <v>156</v>
      </c>
      <c r="J1114" s="79" t="s">
        <v>1929</v>
      </c>
      <c r="K1114" s="80" t="s">
        <v>469</v>
      </c>
      <c r="L1114" s="79">
        <f>VLOOKUP(H1114,Table2[#All],3,FALSE)</f>
        <v>580</v>
      </c>
      <c r="M1114" s="80">
        <f t="shared" si="310"/>
        <v>578</v>
      </c>
      <c r="N1114" s="81">
        <f t="shared" si="307"/>
        <v>-2</v>
      </c>
      <c r="P1114" s="82">
        <f>R1114-TIME(0,23,0)</f>
        <v>45783.416666666664</v>
      </c>
      <c r="Q1114" s="82">
        <v>45783.416666666664</v>
      </c>
      <c r="R1114" s="82">
        <v>45783.432638888888</v>
      </c>
      <c r="S1114" s="81">
        <f t="shared" si="308"/>
        <v>22.893518520140788</v>
      </c>
      <c r="T1114" s="81">
        <f t="shared" si="313"/>
        <v>22.893518520140788</v>
      </c>
      <c r="U1114" s="79"/>
      <c r="V1114" s="82">
        <v>45783.792361111111</v>
      </c>
      <c r="W1114" s="82">
        <v>45784.609027777777</v>
      </c>
      <c r="X1114" s="103">
        <f t="shared" si="314"/>
        <v>1151.4999999986321</v>
      </c>
      <c r="Y1114" s="82" t="s">
        <v>1049</v>
      </c>
      <c r="Z1114" s="82">
        <v>45784.879861111112</v>
      </c>
      <c r="AA1114" s="82">
        <f>Z1114+TIME(0,40,0)</f>
        <v>45784.907638888893</v>
      </c>
      <c r="AB1114" s="81">
        <f t="shared" si="315"/>
        <v>39.166666671226267</v>
      </c>
      <c r="AC1114" s="82"/>
      <c r="AD1114" s="83">
        <f t="shared" si="302"/>
        <v>1.4472222222248092</v>
      </c>
      <c r="AE1114" s="83">
        <f>VLOOKUP(H1114,'LIST 2'!$A$1:$E$27,4,FALSE)</f>
        <v>2</v>
      </c>
      <c r="AF1114" s="83">
        <f t="shared" si="303"/>
        <v>0.55277777777519077</v>
      </c>
      <c r="AG1114" s="83">
        <f t="shared" si="304"/>
        <v>34.733333333395422</v>
      </c>
      <c r="AH1114" s="83">
        <f t="shared" si="305"/>
        <v>12</v>
      </c>
      <c r="AI1114" s="83">
        <f t="shared" si="306"/>
        <v>22.733333333395422</v>
      </c>
      <c r="AJ1114" s="83">
        <f t="shared" si="316"/>
        <v>6.8621700879577983</v>
      </c>
      <c r="AK1114" s="122"/>
      <c r="AL1114" s="122"/>
      <c r="AM1114" s="122"/>
      <c r="AN1114" s="122"/>
    </row>
    <row r="1115" spans="1:40" ht="15" x14ac:dyDescent="0.25">
      <c r="A1115" s="82">
        <v>45783</v>
      </c>
      <c r="B1115" s="94" t="str">
        <f t="shared" si="309"/>
        <v>May</v>
      </c>
      <c r="C1115" s="79" t="s">
        <v>2161</v>
      </c>
      <c r="D1115" s="79" t="s">
        <v>1930</v>
      </c>
      <c r="E1115" s="79"/>
      <c r="F1115" s="79" t="s">
        <v>951</v>
      </c>
      <c r="G1115" s="79" t="s">
        <v>968</v>
      </c>
      <c r="H1115" s="82" t="s">
        <v>1956</v>
      </c>
      <c r="I1115" s="79">
        <v>153.6</v>
      </c>
      <c r="J1115" s="79" t="s">
        <v>1930</v>
      </c>
      <c r="K1115" s="80" t="s">
        <v>469</v>
      </c>
      <c r="L1115" s="79">
        <f>VLOOKUP(H1115,Table2[#All],3,FALSE)</f>
        <v>596</v>
      </c>
      <c r="M1115" s="80">
        <f>L1115-3</f>
        <v>593</v>
      </c>
      <c r="N1115" s="81">
        <f t="shared" si="307"/>
        <v>-3</v>
      </c>
      <c r="P1115" s="82">
        <f>R1115-TIME(0,29,0)</f>
        <v>45783.381249999999</v>
      </c>
      <c r="Q1115" s="82">
        <v>45783.416666666664</v>
      </c>
      <c r="R1115" s="82">
        <v>45783.401388888888</v>
      </c>
      <c r="S1115" s="81">
        <f t="shared" si="308"/>
        <v>-21.89814814652588</v>
      </c>
      <c r="T1115" s="81">
        <f t="shared" si="313"/>
        <v>28.865740740972495</v>
      </c>
      <c r="U1115" s="79"/>
      <c r="V1115" s="82">
        <v>45784.751388888886</v>
      </c>
      <c r="W1115" s="82">
        <v>45784.885416666664</v>
      </c>
      <c r="X1115" s="103">
        <f t="shared" si="314"/>
        <v>188.97916666712263</v>
      </c>
      <c r="Y1115" s="82" t="s">
        <v>1044</v>
      </c>
      <c r="Z1115" s="82">
        <v>45785.68472222222</v>
      </c>
      <c r="AA1115" s="82">
        <f t="shared" ref="AA1115" si="320">Z1115+TIME(0,45,0)</f>
        <v>45785.71597222222</v>
      </c>
      <c r="AB1115" s="81">
        <f t="shared" si="315"/>
        <v>44.0625</v>
      </c>
      <c r="AC1115" s="82"/>
      <c r="AD1115" s="83">
        <f t="shared" si="302"/>
        <v>2.2833333333328483</v>
      </c>
      <c r="AE1115" s="83">
        <f>VLOOKUP(H1115,'LIST 2'!$A$1:$E$27,4,FALSE)</f>
        <v>2</v>
      </c>
      <c r="AF1115" s="83">
        <f t="shared" si="303"/>
        <v>-0.28333333333284827</v>
      </c>
      <c r="AG1115" s="83">
        <f t="shared" si="304"/>
        <v>54.799999999988358</v>
      </c>
      <c r="AH1115" s="83">
        <f t="shared" si="305"/>
        <v>24</v>
      </c>
      <c r="AI1115" s="83">
        <f t="shared" si="306"/>
        <v>30.799999999988358</v>
      </c>
      <c r="AJ1115" s="83">
        <f t="shared" si="316"/>
        <v>4.9870129870148716</v>
      </c>
      <c r="AK1115" s="122">
        <v>11.16</v>
      </c>
      <c r="AL1115" s="122">
        <v>10.4</v>
      </c>
      <c r="AM1115" s="122">
        <v>11.21</v>
      </c>
      <c r="AN1115" s="122"/>
    </row>
    <row r="1116" spans="1:40" ht="15" x14ac:dyDescent="0.25">
      <c r="A1116" s="82">
        <v>45783</v>
      </c>
      <c r="B1116" s="94" t="str">
        <f t="shared" si="309"/>
        <v>May</v>
      </c>
      <c r="C1116" s="79" t="s">
        <v>2162</v>
      </c>
      <c r="D1116" s="79" t="s">
        <v>1931</v>
      </c>
      <c r="E1116" s="79" t="s">
        <v>1016</v>
      </c>
      <c r="F1116" s="79" t="s">
        <v>1695</v>
      </c>
      <c r="G1116" s="79" t="s">
        <v>74</v>
      </c>
      <c r="H1116" s="82" t="s">
        <v>2177</v>
      </c>
      <c r="I1116" s="79">
        <v>156</v>
      </c>
      <c r="J1116" s="79" t="s">
        <v>1931</v>
      </c>
      <c r="K1116" s="80" t="s">
        <v>469</v>
      </c>
      <c r="L1116" s="79">
        <f>VLOOKUP(H1116,Table2[#All],3,FALSE)</f>
        <v>448</v>
      </c>
      <c r="M1116" s="80">
        <f t="shared" si="310"/>
        <v>446</v>
      </c>
      <c r="N1116" s="81">
        <f t="shared" si="307"/>
        <v>-2</v>
      </c>
      <c r="P1116" s="82">
        <f>R1116-TIME(0,23,0)</f>
        <v>45782.862499999996</v>
      </c>
      <c r="Q1116" s="82">
        <v>45783.0625</v>
      </c>
      <c r="R1116" s="82">
        <v>45782.878472222219</v>
      </c>
      <c r="S1116" s="81">
        <f t="shared" si="308"/>
        <v>-263.77314815278322</v>
      </c>
      <c r="T1116" s="81">
        <f t="shared" si="313"/>
        <v>22.893518520140788</v>
      </c>
      <c r="U1116" s="79"/>
      <c r="V1116" s="82">
        <v>45784.365972222222</v>
      </c>
      <c r="W1116" s="82">
        <v>45784.525694444441</v>
      </c>
      <c r="X1116" s="103">
        <f t="shared" si="314"/>
        <v>225.20833332877373</v>
      </c>
      <c r="Y1116" s="82" t="s">
        <v>1049</v>
      </c>
      <c r="Z1116" s="82">
        <v>45785.449305555558</v>
      </c>
      <c r="AA1116" s="82">
        <f>Z1116+TIME(0,44,0)</f>
        <v>45785.479861111111</v>
      </c>
      <c r="AB1116" s="81">
        <f t="shared" si="315"/>
        <v>43.083333330141613</v>
      </c>
      <c r="AC1116" s="82"/>
      <c r="AD1116" s="83">
        <f t="shared" si="302"/>
        <v>2.570833333338669</v>
      </c>
      <c r="AE1116" s="83">
        <f>VLOOKUP(H1116,'LIST 2'!$A$1:$E$27,4,FALSE)</f>
        <v>2</v>
      </c>
      <c r="AF1116" s="83">
        <f t="shared" si="303"/>
        <v>-0.57083333333866904</v>
      </c>
      <c r="AG1116" s="83">
        <f t="shared" si="304"/>
        <v>61.700000000128057</v>
      </c>
      <c r="AH1116" s="83">
        <f t="shared" si="305"/>
        <v>24</v>
      </c>
      <c r="AI1116" s="83">
        <f t="shared" si="306"/>
        <v>37.700000000128057</v>
      </c>
      <c r="AJ1116" s="83">
        <f t="shared" si="316"/>
        <v>4.1379310344687035</v>
      </c>
      <c r="AK1116" s="122"/>
      <c r="AL1116" s="122"/>
      <c r="AM1116" s="122"/>
      <c r="AN1116" s="122"/>
    </row>
    <row r="1117" spans="1:40" ht="15" x14ac:dyDescent="0.25">
      <c r="A1117" s="82">
        <v>45783</v>
      </c>
      <c r="B1117" s="94" t="str">
        <f t="shared" si="309"/>
        <v>May</v>
      </c>
      <c r="C1117" s="79" t="s">
        <v>2162</v>
      </c>
      <c r="D1117" s="79" t="s">
        <v>1932</v>
      </c>
      <c r="E1117" s="79" t="s">
        <v>1016</v>
      </c>
      <c r="F1117" s="79" t="s">
        <v>1692</v>
      </c>
      <c r="G1117" s="79" t="s">
        <v>50</v>
      </c>
      <c r="H1117" s="82" t="s">
        <v>1958</v>
      </c>
      <c r="I1117" s="79">
        <v>156</v>
      </c>
      <c r="J1117" s="79" t="s">
        <v>1932</v>
      </c>
      <c r="K1117" s="80" t="s">
        <v>469</v>
      </c>
      <c r="L1117" s="79">
        <f>VLOOKUP(H1117,Table2[#All],3,FALSE)</f>
        <v>304</v>
      </c>
      <c r="M1117" s="80">
        <f>L1117-1</f>
        <v>303</v>
      </c>
      <c r="N1117" s="81">
        <f t="shared" si="307"/>
        <v>-1</v>
      </c>
      <c r="P1117" s="82">
        <f>R1117-TIME(0,29,0)</f>
        <v>45783.421527777777</v>
      </c>
      <c r="Q1117" s="82">
        <v>45783.850694444445</v>
      </c>
      <c r="R1117" s="82">
        <v>45783.441666666666</v>
      </c>
      <c r="S1117" s="81">
        <f t="shared" si="308"/>
        <v>-586.27314815069747</v>
      </c>
      <c r="T1117" s="81">
        <f t="shared" si="313"/>
        <v>28.865740740972495</v>
      </c>
      <c r="U1117" s="79"/>
      <c r="V1117" s="82">
        <v>45783.920138888891</v>
      </c>
      <c r="W1117" s="82">
        <v>45784.791666666664</v>
      </c>
      <c r="X1117" s="103">
        <f t="shared" si="314"/>
        <v>1228.8541666609672</v>
      </c>
      <c r="Y1117" s="82" t="s">
        <v>1044</v>
      </c>
      <c r="Z1117" s="82">
        <v>45785.603472222225</v>
      </c>
      <c r="AA1117" s="82">
        <f>Z1117+TIME(0,36,0)</f>
        <v>45785.628472222226</v>
      </c>
      <c r="AB1117" s="81">
        <f t="shared" si="315"/>
        <v>35.25000000205182</v>
      </c>
      <c r="AC1117" s="82"/>
      <c r="AD1117" s="83">
        <f t="shared" si="302"/>
        <v>2.1618055555591127</v>
      </c>
      <c r="AE1117" s="83">
        <f>VLOOKUP(H1117,'LIST 2'!$A$1:$E$27,4,FALSE)</f>
        <v>2</v>
      </c>
      <c r="AF1117" s="83">
        <f t="shared" si="303"/>
        <v>-0.16180555555911269</v>
      </c>
      <c r="AG1117" s="83">
        <f t="shared" si="304"/>
        <v>51.883333333418705</v>
      </c>
      <c r="AH1117" s="83">
        <f t="shared" si="305"/>
        <v>24</v>
      </c>
      <c r="AI1117" s="83">
        <f t="shared" si="306"/>
        <v>27.883333333418705</v>
      </c>
      <c r="AJ1117" s="83">
        <f t="shared" si="316"/>
        <v>5.594739988028298</v>
      </c>
      <c r="AK1117" s="122">
        <v>11</v>
      </c>
      <c r="AL1117" s="122">
        <v>11.29</v>
      </c>
      <c r="AM1117" s="122">
        <v>10.47</v>
      </c>
      <c r="AN1117" s="122"/>
    </row>
    <row r="1118" spans="1:40" ht="15" x14ac:dyDescent="0.25">
      <c r="A1118" s="82">
        <v>45783</v>
      </c>
      <c r="B1118" s="94" t="str">
        <f t="shared" si="309"/>
        <v>May</v>
      </c>
      <c r="C1118" s="79" t="s">
        <v>2161</v>
      </c>
      <c r="D1118" s="79" t="s">
        <v>1933</v>
      </c>
      <c r="E1118" s="79"/>
      <c r="F1118" s="79" t="s">
        <v>965</v>
      </c>
      <c r="G1118" s="79" t="s">
        <v>980</v>
      </c>
      <c r="H1118" s="82" t="s">
        <v>2022</v>
      </c>
      <c r="I1118" s="79">
        <v>153.6</v>
      </c>
      <c r="J1118" s="79" t="s">
        <v>1933</v>
      </c>
      <c r="K1118" s="80" t="s">
        <v>469</v>
      </c>
      <c r="L1118" s="79">
        <f>VLOOKUP(H1118,Table2[#All],3,FALSE)</f>
        <v>150</v>
      </c>
      <c r="M1118" s="80">
        <f t="shared" si="310"/>
        <v>148</v>
      </c>
      <c r="N1118" s="81">
        <f t="shared" si="307"/>
        <v>-2</v>
      </c>
      <c r="P1118" s="82">
        <f>R1118-TIME(0,29,0)</f>
        <v>45782.752083333333</v>
      </c>
      <c r="Q1118" s="82">
        <v>45783.260416666664</v>
      </c>
      <c r="R1118" s="82">
        <v>45782.772222222222</v>
      </c>
      <c r="S1118" s="81">
        <f t="shared" si="308"/>
        <v>-699.74537036735762</v>
      </c>
      <c r="T1118" s="81">
        <f t="shared" si="313"/>
        <v>28.865740740972495</v>
      </c>
      <c r="U1118" s="79"/>
      <c r="V1118" s="82">
        <v>45783.365972222222</v>
      </c>
      <c r="W1118" s="82">
        <v>45783.577777777777</v>
      </c>
      <c r="X1118" s="103">
        <f t="shared" si="314"/>
        <v>298.64583333219343</v>
      </c>
      <c r="Y1118" s="82" t="s">
        <v>1044</v>
      </c>
      <c r="Z1118" s="82">
        <v>45783.695833333331</v>
      </c>
      <c r="AA1118" s="82">
        <f>Z1118+TIME(0,40,0)</f>
        <v>45783.723611111112</v>
      </c>
      <c r="AB1118" s="81">
        <f t="shared" si="315"/>
        <v>39.166666671226267</v>
      </c>
      <c r="AC1118" s="78"/>
      <c r="AD1118" s="83">
        <f t="shared" si="302"/>
        <v>0.92361111110949423</v>
      </c>
      <c r="AE1118" s="83">
        <f>VLOOKUP(H1118,'LIST 2'!$A$1:$E$27,4,FALSE)</f>
        <v>1</v>
      </c>
      <c r="AF1118" s="83">
        <f t="shared" si="303"/>
        <v>7.6388888890505768E-2</v>
      </c>
      <c r="AG1118" s="83">
        <f t="shared" si="304"/>
        <v>22.166666666627862</v>
      </c>
      <c r="AH1118" s="83">
        <f t="shared" si="305"/>
        <v>0</v>
      </c>
      <c r="AI1118" s="83">
        <f t="shared" si="306"/>
        <v>22.166666666627862</v>
      </c>
      <c r="AJ1118" s="83">
        <f t="shared" si="316"/>
        <v>6.9293233082828065</v>
      </c>
      <c r="AK1118" s="122">
        <v>9.3000000000000007</v>
      </c>
      <c r="AL1118" s="122">
        <v>8.4499999999999993</v>
      </c>
      <c r="AM1118" s="122"/>
      <c r="AN1118" s="122"/>
    </row>
    <row r="1119" spans="1:40" ht="15" x14ac:dyDescent="0.25">
      <c r="A1119" s="82">
        <v>45783</v>
      </c>
      <c r="B1119" s="94" t="str">
        <f t="shared" si="309"/>
        <v>May</v>
      </c>
      <c r="C1119" s="79" t="s">
        <v>2162</v>
      </c>
      <c r="D1119" s="79" t="s">
        <v>1934</v>
      </c>
      <c r="E1119" s="79" t="s">
        <v>1016</v>
      </c>
      <c r="F1119" s="79" t="s">
        <v>963</v>
      </c>
      <c r="G1119" s="79" t="s">
        <v>60</v>
      </c>
      <c r="H1119" s="82" t="s">
        <v>2190</v>
      </c>
      <c r="I1119" s="79">
        <v>156</v>
      </c>
      <c r="J1119" s="79" t="s">
        <v>1934</v>
      </c>
      <c r="K1119" s="80" t="s">
        <v>469</v>
      </c>
      <c r="L1119" s="79">
        <f>VLOOKUP(H1119,Table2[#All],3,FALSE)</f>
        <v>680</v>
      </c>
      <c r="M1119" s="80">
        <f t="shared" si="310"/>
        <v>678</v>
      </c>
      <c r="N1119" s="81">
        <f t="shared" si="307"/>
        <v>-2</v>
      </c>
      <c r="P1119" s="82">
        <f>R1119-TIME(0,42,0)</f>
        <v>45782.915277777778</v>
      </c>
      <c r="Q1119" s="82">
        <v>45783.817361111112</v>
      </c>
      <c r="R1119" s="82">
        <v>45782.944444444445</v>
      </c>
      <c r="S1119" s="81">
        <f t="shared" si="308"/>
        <v>-1251.1805555562507</v>
      </c>
      <c r="T1119" s="81">
        <f t="shared" si="313"/>
        <v>41.805555556250816</v>
      </c>
      <c r="U1119" s="79" t="s">
        <v>562</v>
      </c>
      <c r="V1119" s="82">
        <v>45783.738194444442</v>
      </c>
      <c r="W1119" s="82">
        <v>45784.48333333333</v>
      </c>
      <c r="X1119" s="103">
        <f t="shared" si="314"/>
        <v>1050.6458333315095</v>
      </c>
      <c r="Y1119" s="82" t="s">
        <v>1046</v>
      </c>
      <c r="Z1119" s="82">
        <v>45785.612500000003</v>
      </c>
      <c r="AA1119" s="82">
        <f>Z1119+TIME(0,44,0)</f>
        <v>45785.643055555556</v>
      </c>
      <c r="AB1119" s="81">
        <f t="shared" si="315"/>
        <v>43.083333330141613</v>
      </c>
      <c r="AC1119" s="78"/>
      <c r="AD1119" s="83">
        <f t="shared" si="302"/>
        <v>2.6680555555576575</v>
      </c>
      <c r="AE1119" s="83">
        <f>VLOOKUP(H1119,'LIST 2'!$A$1:$E$27,4,FALSE)</f>
        <v>3</v>
      </c>
      <c r="AF1119" s="83">
        <f t="shared" si="303"/>
        <v>0.3319444444423425</v>
      </c>
      <c r="AG1119" s="83">
        <f t="shared" si="304"/>
        <v>64.03333333338378</v>
      </c>
      <c r="AH1119" s="83">
        <f t="shared" si="305"/>
        <v>24</v>
      </c>
      <c r="AI1119" s="83">
        <f t="shared" si="306"/>
        <v>40.03333333338378</v>
      </c>
      <c r="AJ1119" s="83">
        <f t="shared" si="316"/>
        <v>3.8967527060733578</v>
      </c>
      <c r="AK1119" s="122"/>
      <c r="AL1119" s="122"/>
      <c r="AM1119" s="122"/>
      <c r="AN1119" s="122"/>
    </row>
    <row r="1120" spans="1:40" ht="15" x14ac:dyDescent="0.25">
      <c r="A1120" s="82">
        <v>45783</v>
      </c>
      <c r="B1120" s="94" t="str">
        <f t="shared" si="309"/>
        <v>May</v>
      </c>
      <c r="C1120" s="79" t="s">
        <v>2162</v>
      </c>
      <c r="D1120" s="79" t="s">
        <v>1935</v>
      </c>
      <c r="E1120" s="79" t="s">
        <v>1016</v>
      </c>
      <c r="F1120" s="79" t="s">
        <v>1693</v>
      </c>
      <c r="G1120" s="79" t="s">
        <v>59</v>
      </c>
      <c r="H1120" s="82" t="s">
        <v>1959</v>
      </c>
      <c r="I1120" s="79">
        <v>156</v>
      </c>
      <c r="J1120" s="79" t="s">
        <v>1935</v>
      </c>
      <c r="K1120" s="80" t="s">
        <v>469</v>
      </c>
      <c r="L1120" s="79">
        <f>VLOOKUP(H1120,Table2[#All],3,FALSE)</f>
        <v>304</v>
      </c>
      <c r="M1120" s="80">
        <f>L1120-3</f>
        <v>301</v>
      </c>
      <c r="N1120" s="81">
        <f t="shared" si="307"/>
        <v>-3</v>
      </c>
      <c r="P1120" s="82">
        <f>R1120-TIME(0,29,0)</f>
        <v>45782.935416666667</v>
      </c>
      <c r="Q1120" s="82">
        <v>45784.098611111112</v>
      </c>
      <c r="R1120" s="82">
        <v>45782.955555555556</v>
      </c>
      <c r="S1120" s="81">
        <f t="shared" si="308"/>
        <v>-1638.3796296305566</v>
      </c>
      <c r="T1120" s="81">
        <f t="shared" si="313"/>
        <v>28.865740740972495</v>
      </c>
      <c r="U1120" s="79"/>
      <c r="V1120" s="82">
        <v>45784.537499999999</v>
      </c>
      <c r="W1120" s="82">
        <v>45784.629861111112</v>
      </c>
      <c r="X1120" s="103">
        <f t="shared" si="314"/>
        <v>130.22916667054233</v>
      </c>
      <c r="Y1120" s="82"/>
      <c r="Z1120" s="82">
        <v>45784.644444444442</v>
      </c>
      <c r="AA1120" s="82">
        <f>Z1120+TIME(0,42,0)</f>
        <v>45784.673611111109</v>
      </c>
      <c r="AB1120" s="81">
        <f t="shared" si="315"/>
        <v>41.12500000068394</v>
      </c>
      <c r="AC1120" s="78"/>
      <c r="AD1120" s="83">
        <f t="shared" si="302"/>
        <v>1.6888888888861402</v>
      </c>
      <c r="AE1120" s="83">
        <f>VLOOKUP(H1120,'LIST 2'!$A$1:$E$27,4,FALSE)</f>
        <v>2</v>
      </c>
      <c r="AF1120" s="83">
        <f t="shared" si="303"/>
        <v>0.31111111111385981</v>
      </c>
      <c r="AG1120" s="83">
        <f t="shared" si="304"/>
        <v>40.533333333267365</v>
      </c>
      <c r="AH1120" s="83">
        <f t="shared" si="305"/>
        <v>12</v>
      </c>
      <c r="AI1120" s="83">
        <f t="shared" si="306"/>
        <v>28.533333333267365</v>
      </c>
      <c r="AJ1120" s="83">
        <f t="shared" si="316"/>
        <v>5.4672897196388082</v>
      </c>
      <c r="AK1120" s="122">
        <v>10.38</v>
      </c>
      <c r="AL1120" s="122">
        <v>9.49</v>
      </c>
      <c r="AM1120" s="122">
        <v>10.119999999999999</v>
      </c>
      <c r="AN1120" s="122"/>
    </row>
    <row r="1121" spans="1:40" ht="15" x14ac:dyDescent="0.25">
      <c r="A1121" s="82">
        <v>45784</v>
      </c>
      <c r="B1121" s="94" t="str">
        <f t="shared" si="309"/>
        <v>May</v>
      </c>
      <c r="C1121" s="79" t="s">
        <v>2161</v>
      </c>
      <c r="D1121" s="79" t="s">
        <v>1936</v>
      </c>
      <c r="E1121" s="79"/>
      <c r="F1121" s="79" t="s">
        <v>955</v>
      </c>
      <c r="G1121" s="79" t="s">
        <v>972</v>
      </c>
      <c r="H1121" s="82" t="s">
        <v>1989</v>
      </c>
      <c r="I1121" s="79">
        <v>153.6</v>
      </c>
      <c r="J1121" s="79" t="s">
        <v>1936</v>
      </c>
      <c r="K1121" s="80" t="s">
        <v>469</v>
      </c>
      <c r="L1121" s="79">
        <f>VLOOKUP(H1121,Table2[#All],3,FALSE)</f>
        <v>20</v>
      </c>
      <c r="M1121" s="80">
        <f>L1121-1</f>
        <v>19</v>
      </c>
      <c r="N1121" s="81">
        <f t="shared" si="307"/>
        <v>-1</v>
      </c>
      <c r="P1121" s="82">
        <f>R1121-TIME(0,27,0)</f>
        <v>45785.541666666664</v>
      </c>
      <c r="Q1121" s="82">
        <v>45784.333333333336</v>
      </c>
      <c r="R1121" s="82">
        <v>45785.560416666667</v>
      </c>
      <c r="S1121" s="81">
        <f t="shared" si="308"/>
        <v>1758.8194444416633</v>
      </c>
      <c r="T1121" s="81">
        <f t="shared" si="313"/>
        <v>26.87500000417155</v>
      </c>
      <c r="U1121" s="79"/>
      <c r="V1121" s="82">
        <v>45785.765277777777</v>
      </c>
      <c r="W1121" s="82">
        <v>45786.456944444442</v>
      </c>
      <c r="X1121" s="103">
        <f t="shared" si="314"/>
        <v>975.24999999863212</v>
      </c>
      <c r="Y1121" s="82" t="s">
        <v>1050</v>
      </c>
      <c r="Z1121" s="82">
        <v>45786.745833333334</v>
      </c>
      <c r="AA1121" s="82">
        <f>Z1121+TIME(0,36,0)</f>
        <v>45786.770833333336</v>
      </c>
      <c r="AB1121" s="81">
        <f t="shared" si="315"/>
        <v>35.25000000205182</v>
      </c>
      <c r="AC1121" s="78"/>
      <c r="AD1121" s="83">
        <f t="shared" si="302"/>
        <v>1.1854166666671517</v>
      </c>
      <c r="AE1121" s="83">
        <f>VLOOKUP(H1121,'LIST 2'!$A$1:$E$27,4,FALSE)</f>
        <v>1</v>
      </c>
      <c r="AF1121" s="83">
        <f t="shared" si="303"/>
        <v>-0.18541666666715173</v>
      </c>
      <c r="AG1121" s="83">
        <f t="shared" si="304"/>
        <v>28.450000000011642</v>
      </c>
      <c r="AH1121" s="83">
        <f t="shared" si="305"/>
        <v>12</v>
      </c>
      <c r="AI1121" s="83">
        <f t="shared" si="306"/>
        <v>16.450000000011642</v>
      </c>
      <c r="AJ1121" s="83">
        <f t="shared" si="316"/>
        <v>9.3373860182304735</v>
      </c>
      <c r="AK1121" s="122">
        <v>7.15</v>
      </c>
      <c r="AL1121" s="122">
        <v>7.36</v>
      </c>
      <c r="AM1121" s="122"/>
      <c r="AN1121" s="122"/>
    </row>
    <row r="1122" spans="1:40" ht="15" x14ac:dyDescent="0.25">
      <c r="A1122" s="82">
        <v>45784</v>
      </c>
      <c r="B1122" s="94" t="str">
        <f t="shared" si="309"/>
        <v>May</v>
      </c>
      <c r="C1122" s="79" t="s">
        <v>2161</v>
      </c>
      <c r="D1122" s="79" t="s">
        <v>1937</v>
      </c>
      <c r="E1122" s="79"/>
      <c r="F1122" s="79" t="s">
        <v>953</v>
      </c>
      <c r="G1122" s="79" t="s">
        <v>970</v>
      </c>
      <c r="H1122" s="82" t="s">
        <v>1957</v>
      </c>
      <c r="I1122" s="79">
        <v>153.6</v>
      </c>
      <c r="J1122" s="79" t="s">
        <v>1937</v>
      </c>
      <c r="K1122" s="80" t="s">
        <v>469</v>
      </c>
      <c r="L1122" s="79">
        <f>VLOOKUP(H1122,Table2[#All],3,FALSE)</f>
        <v>288</v>
      </c>
      <c r="M1122" s="80">
        <f t="shared" si="310"/>
        <v>286</v>
      </c>
      <c r="N1122" s="81">
        <f t="shared" si="307"/>
        <v>-2</v>
      </c>
      <c r="P1122" s="82">
        <f>R1122-TIME(0,23,0)</f>
        <v>45784.571527777778</v>
      </c>
      <c r="Q1122" s="82">
        <v>45784.154861111114</v>
      </c>
      <c r="R1122" s="82">
        <v>45784.587500000001</v>
      </c>
      <c r="S1122" s="81">
        <f t="shared" si="308"/>
        <v>620.11574073888676</v>
      </c>
      <c r="T1122" s="81">
        <f t="shared" si="313"/>
        <v>22.893518520140788</v>
      </c>
      <c r="U1122" s="79"/>
      <c r="V1122" s="82">
        <v>45785.481944444444</v>
      </c>
      <c r="W1122" s="82">
        <v>45785.623611111114</v>
      </c>
      <c r="X1122" s="103">
        <f t="shared" si="314"/>
        <v>199.75000000478758</v>
      </c>
      <c r="Y1122" s="82" t="s">
        <v>1044</v>
      </c>
      <c r="Z1122" s="82">
        <v>45786.572222222225</v>
      </c>
      <c r="AA1122" s="82">
        <f>Z1122+TIME(0,40,0)</f>
        <v>45786.600000000006</v>
      </c>
      <c r="AB1122" s="81">
        <f t="shared" si="315"/>
        <v>39.166666671226267</v>
      </c>
      <c r="AC1122" s="78"/>
      <c r="AD1122" s="83">
        <f t="shared" si="302"/>
        <v>1.984722222223354</v>
      </c>
      <c r="AE1122" s="83">
        <f>VLOOKUP(H1122,'LIST 2'!$A$1:$E$27,4,FALSE)</f>
        <v>2</v>
      </c>
      <c r="AF1122" s="83">
        <f t="shared" si="303"/>
        <v>1.5277777776645962E-2</v>
      </c>
      <c r="AG1122" s="83">
        <f t="shared" si="304"/>
        <v>47.633333333360497</v>
      </c>
      <c r="AH1122" s="83">
        <f t="shared" si="305"/>
        <v>12</v>
      </c>
      <c r="AI1122" s="83">
        <f t="shared" si="306"/>
        <v>35.633333333360497</v>
      </c>
      <c r="AJ1122" s="83">
        <f t="shared" si="316"/>
        <v>4.3105706267506898</v>
      </c>
      <c r="AK1122" s="122">
        <v>11.16</v>
      </c>
      <c r="AL1122" s="122">
        <v>11.33</v>
      </c>
      <c r="AM1122" s="122">
        <v>11.24</v>
      </c>
      <c r="AN1122" s="122"/>
    </row>
    <row r="1123" spans="1:40" ht="15" x14ac:dyDescent="0.25">
      <c r="A1123" s="82">
        <v>45784</v>
      </c>
      <c r="B1123" s="94" t="str">
        <f t="shared" si="309"/>
        <v>May</v>
      </c>
      <c r="C1123" s="79" t="s">
        <v>2161</v>
      </c>
      <c r="D1123" s="79" t="s">
        <v>1938</v>
      </c>
      <c r="E1123" s="79"/>
      <c r="F1123" s="79" t="s">
        <v>965</v>
      </c>
      <c r="G1123" s="79" t="s">
        <v>980</v>
      </c>
      <c r="H1123" s="82" t="s">
        <v>1991</v>
      </c>
      <c r="I1123" s="79">
        <v>153.6</v>
      </c>
      <c r="J1123" s="79" t="s">
        <v>1938</v>
      </c>
      <c r="K1123" s="80" t="s">
        <v>469</v>
      </c>
      <c r="L1123" s="79">
        <f>VLOOKUP(H1123,Table2[#All],3,FALSE)</f>
        <v>272</v>
      </c>
      <c r="M1123" s="80">
        <f t="shared" si="310"/>
        <v>270</v>
      </c>
      <c r="N1123" s="81">
        <f t="shared" si="307"/>
        <v>-2</v>
      </c>
      <c r="P1123" s="82">
        <f>R1123-TIME(0,54,0)</f>
        <v>45784.415277777778</v>
      </c>
      <c r="Q1123" s="82">
        <v>45784.082638888889</v>
      </c>
      <c r="R1123" s="82">
        <v>45784.452777777777</v>
      </c>
      <c r="S1123" s="81">
        <f t="shared" si="308"/>
        <v>530.53240740555339</v>
      </c>
      <c r="T1123" s="81">
        <f t="shared" si="313"/>
        <v>53.749999997914223</v>
      </c>
      <c r="U1123" s="79" t="s">
        <v>2165</v>
      </c>
      <c r="V1123" s="82">
        <v>45784.821527777778</v>
      </c>
      <c r="W1123" s="82">
        <v>45785.574305555558</v>
      </c>
      <c r="X1123" s="103">
        <f t="shared" si="314"/>
        <v>1061.4166666691744</v>
      </c>
      <c r="Y1123" s="82" t="s">
        <v>1044</v>
      </c>
      <c r="Z1123" s="82">
        <v>45786.442361111112</v>
      </c>
      <c r="AA1123" s="82">
        <f>Z1123+TIME(0,44,0)</f>
        <v>45786.472916666666</v>
      </c>
      <c r="AB1123" s="81">
        <f t="shared" si="315"/>
        <v>43.083333330141613</v>
      </c>
      <c r="AC1123" s="78"/>
      <c r="AD1123" s="83">
        <f t="shared" si="302"/>
        <v>1.9895833333357587</v>
      </c>
      <c r="AE1123" s="83">
        <f>VLOOKUP(H1123,'LIST 2'!$A$1:$E$27,4,FALSE)</f>
        <v>2</v>
      </c>
      <c r="AF1123" s="83">
        <f t="shared" si="303"/>
        <v>1.0416666664241347E-2</v>
      </c>
      <c r="AG1123" s="83">
        <f t="shared" si="304"/>
        <v>47.750000000058208</v>
      </c>
      <c r="AH1123" s="83">
        <f t="shared" si="305"/>
        <v>12</v>
      </c>
      <c r="AI1123" s="83">
        <f t="shared" si="306"/>
        <v>35.750000000058208</v>
      </c>
      <c r="AJ1123" s="83">
        <f t="shared" si="316"/>
        <v>4.2965034964965012</v>
      </c>
      <c r="AK1123" s="122"/>
      <c r="AL1123" s="122"/>
      <c r="AM1123" s="122"/>
      <c r="AN1123" s="122"/>
    </row>
    <row r="1124" spans="1:40" ht="15" x14ac:dyDescent="0.25">
      <c r="A1124" s="82">
        <v>45784</v>
      </c>
      <c r="B1124" s="94" t="str">
        <f t="shared" si="309"/>
        <v>May</v>
      </c>
      <c r="C1124" s="79" t="s">
        <v>2162</v>
      </c>
      <c r="D1124" s="79" t="s">
        <v>1939</v>
      </c>
      <c r="E1124" s="79" t="s">
        <v>1016</v>
      </c>
      <c r="F1124" s="79" t="s">
        <v>1691</v>
      </c>
      <c r="G1124" s="79" t="s">
        <v>55</v>
      </c>
      <c r="H1124" s="82" t="s">
        <v>2191</v>
      </c>
      <c r="I1124" s="79">
        <v>156</v>
      </c>
      <c r="J1124" s="79" t="s">
        <v>1939</v>
      </c>
      <c r="K1124" s="80" t="s">
        <v>469</v>
      </c>
      <c r="L1124" s="79">
        <f>VLOOKUP(H1124,Table2[#All],3,FALSE)</f>
        <v>790</v>
      </c>
      <c r="M1124" s="80">
        <f t="shared" si="310"/>
        <v>788</v>
      </c>
      <c r="N1124" s="81">
        <f t="shared" si="307"/>
        <v>-2</v>
      </c>
      <c r="P1124" s="82">
        <f>R1124-TIME(0,29,0)</f>
        <v>45783.794444444444</v>
      </c>
      <c r="Q1124" s="82">
        <v>45783.658333333333</v>
      </c>
      <c r="R1124" s="82">
        <v>45783.814583333333</v>
      </c>
      <c r="S1124" s="81">
        <f t="shared" si="308"/>
        <v>223.95833333333334</v>
      </c>
      <c r="T1124" s="81">
        <f t="shared" si="313"/>
        <v>28.865740740972495</v>
      </c>
      <c r="U1124" s="79"/>
      <c r="V1124" s="82">
        <v>45784.753472222219</v>
      </c>
      <c r="W1124" s="82">
        <v>45784.841666666667</v>
      </c>
      <c r="X1124" s="103">
        <f t="shared" si="314"/>
        <v>124.35416667191021</v>
      </c>
      <c r="Y1124" s="82"/>
      <c r="Z1124" s="82">
        <v>45786.459027777775</v>
      </c>
      <c r="AA1124" s="82">
        <f>Z1124+TIME(0,40,0)</f>
        <v>45786.486805555556</v>
      </c>
      <c r="AB1124" s="81">
        <f t="shared" si="315"/>
        <v>39.166666671226267</v>
      </c>
      <c r="AC1124" s="78"/>
      <c r="AD1124" s="83">
        <f t="shared" si="302"/>
        <v>2.6444444444423425</v>
      </c>
      <c r="AE1124" s="83">
        <f>VLOOKUP(H1124,'LIST 2'!$A$1:$E$27,4,FALSE)</f>
        <v>3</v>
      </c>
      <c r="AF1124" s="83">
        <f t="shared" si="303"/>
        <v>0.3555555555576575</v>
      </c>
      <c r="AG1124" s="83">
        <f t="shared" si="304"/>
        <v>63.46666666661622</v>
      </c>
      <c r="AH1124" s="83">
        <f t="shared" si="305"/>
        <v>24</v>
      </c>
      <c r="AI1124" s="83">
        <f t="shared" si="306"/>
        <v>39.46666666661622</v>
      </c>
      <c r="AJ1124" s="83">
        <f t="shared" si="316"/>
        <v>3.952702702707755</v>
      </c>
      <c r="AK1124" s="122"/>
      <c r="AL1124" s="122"/>
      <c r="AM1124" s="122"/>
      <c r="AN1124" s="122"/>
    </row>
    <row r="1125" spans="1:40" ht="15" x14ac:dyDescent="0.25">
      <c r="A1125" s="82">
        <v>45784</v>
      </c>
      <c r="B1125" s="94" t="str">
        <f t="shared" si="309"/>
        <v>May</v>
      </c>
      <c r="C1125" s="79" t="s">
        <v>2161</v>
      </c>
      <c r="D1125" s="79" t="s">
        <v>1940</v>
      </c>
      <c r="E1125" s="79"/>
      <c r="F1125" s="79" t="s">
        <v>966</v>
      </c>
      <c r="G1125" s="79" t="s">
        <v>981</v>
      </c>
      <c r="H1125" s="82" t="s">
        <v>2022</v>
      </c>
      <c r="I1125" s="79">
        <v>153.6</v>
      </c>
      <c r="J1125" s="79" t="s">
        <v>1940</v>
      </c>
      <c r="K1125" s="80" t="s">
        <v>469</v>
      </c>
      <c r="L1125" s="79">
        <f>VLOOKUP(H1125,Table2[#All],3,FALSE)</f>
        <v>150</v>
      </c>
      <c r="M1125" s="80">
        <f t="shared" si="310"/>
        <v>148</v>
      </c>
      <c r="N1125" s="81">
        <f t="shared" ref="N1125:N1188" si="321">M1125-L1125</f>
        <v>-2</v>
      </c>
      <c r="P1125" s="82">
        <f>R1125-TIME(0,38,0)</f>
        <v>45784.379861111112</v>
      </c>
      <c r="Q1125" s="82">
        <v>45784.260416666664</v>
      </c>
      <c r="R1125" s="82">
        <v>45784.40625</v>
      </c>
      <c r="S1125" s="81">
        <f t="shared" ref="S1125:S1130" si="322">(R1125-Q1125)*86000/60</f>
        <v>209.02777778125406</v>
      </c>
      <c r="T1125" s="81">
        <f t="shared" si="313"/>
        <v>37.82407407222005</v>
      </c>
      <c r="U1125" s="79" t="s">
        <v>562</v>
      </c>
      <c r="V1125" s="82">
        <v>45784.515277777777</v>
      </c>
      <c r="W1125" s="82">
        <v>45785.656944444447</v>
      </c>
      <c r="X1125" s="103">
        <f t="shared" si="314"/>
        <v>1609.7500000047876</v>
      </c>
      <c r="Y1125" s="82" t="s">
        <v>1046</v>
      </c>
      <c r="Z1125" s="82">
        <v>45785.742361111108</v>
      </c>
      <c r="AA1125" s="82">
        <f>Z1125+TIME(0,42,0)</f>
        <v>45785.771527777775</v>
      </c>
      <c r="AB1125" s="81">
        <f t="shared" si="315"/>
        <v>41.12500000068394</v>
      </c>
      <c r="AC1125" s="78"/>
      <c r="AD1125" s="83">
        <f t="shared" ref="AD1125:AD1130" si="323">Z1125-R1125</f>
        <v>1.336111111108039</v>
      </c>
      <c r="AE1125" s="83">
        <f>VLOOKUP(H1125,'LIST 2'!$A$1:$E$27,4,FALSE)</f>
        <v>1</v>
      </c>
      <c r="AF1125" s="83">
        <f t="shared" ref="AF1125:AF1130" si="324">AE1125-AD1125</f>
        <v>-0.33611111110803904</v>
      </c>
      <c r="AG1125" s="83">
        <f t="shared" ref="AG1125:AG1130" si="325">AD1125*24</f>
        <v>32.066666666592937</v>
      </c>
      <c r="AH1125" s="83">
        <f t="shared" ref="AH1125:AH1130" si="326">AG1125-AI1125</f>
        <v>12</v>
      </c>
      <c r="AI1125" s="83">
        <f t="shared" ref="AI1125:AI1130" si="327" xml:space="preserve"> ((Z1125 - R1125) * 24) - (INT(Z1125 - R1125) * 12)</f>
        <v>20.066666666592937</v>
      </c>
      <c r="AJ1125" s="83">
        <f t="shared" si="316"/>
        <v>7.6544850498620107</v>
      </c>
      <c r="AK1125" s="122">
        <v>10.3</v>
      </c>
      <c r="AL1125" s="122">
        <v>9.4499999999999993</v>
      </c>
      <c r="AM1125" s="122"/>
      <c r="AN1125" s="122"/>
    </row>
    <row r="1126" spans="1:40" ht="15" x14ac:dyDescent="0.25">
      <c r="A1126" s="82">
        <v>45784</v>
      </c>
      <c r="B1126" s="94" t="str">
        <f t="shared" si="309"/>
        <v>May</v>
      </c>
      <c r="C1126" s="79" t="s">
        <v>2161</v>
      </c>
      <c r="D1126" s="79" t="s">
        <v>1941</v>
      </c>
      <c r="E1126" s="79"/>
      <c r="F1126" s="79" t="s">
        <v>958</v>
      </c>
      <c r="G1126" s="79" t="s">
        <v>975</v>
      </c>
      <c r="H1126" s="82" t="s">
        <v>2185</v>
      </c>
      <c r="I1126" s="79">
        <v>156</v>
      </c>
      <c r="J1126" s="79" t="s">
        <v>1941</v>
      </c>
      <c r="K1126" s="80" t="s">
        <v>469</v>
      </c>
      <c r="L1126" s="79">
        <f>VLOOKUP(H1126,Table2[#All],3,FALSE)</f>
        <v>382</v>
      </c>
      <c r="M1126" s="80">
        <f>L1126-3</f>
        <v>379</v>
      </c>
      <c r="N1126" s="81">
        <f t="shared" si="321"/>
        <v>-3</v>
      </c>
      <c r="P1126" s="82">
        <f>R1126-TIME(0,21,0)</f>
        <v>45784.490972222229</v>
      </c>
      <c r="Q1126" s="82">
        <v>45784.416666666664</v>
      </c>
      <c r="R1126" s="82">
        <v>45784.505555555559</v>
      </c>
      <c r="S1126" s="81">
        <f t="shared" si="322"/>
        <v>127.40740741598226</v>
      </c>
      <c r="T1126" s="81">
        <f t="shared" si="313"/>
        <v>20.902777772910969</v>
      </c>
      <c r="U1126" s="79"/>
      <c r="V1126" s="82">
        <v>45784.811805555553</v>
      </c>
      <c r="W1126" s="82">
        <v>45785.668749999997</v>
      </c>
      <c r="X1126" s="103">
        <f t="shared" si="314"/>
        <v>1208.2916666657547</v>
      </c>
      <c r="Y1126" s="82" t="s">
        <v>1049</v>
      </c>
      <c r="Z1126" s="82">
        <v>45786.36041666667</v>
      </c>
      <c r="AA1126" s="82">
        <f>Z1126+TIME(0,44,0)</f>
        <v>45786.390972222223</v>
      </c>
      <c r="AB1126" s="81">
        <f t="shared" si="315"/>
        <v>43.083333330141613</v>
      </c>
      <c r="AC1126" s="78"/>
      <c r="AD1126" s="83">
        <f t="shared" si="323"/>
        <v>1.8548611111109494</v>
      </c>
      <c r="AE1126" s="83">
        <f>VLOOKUP(H1126,'LIST 2'!$A$1:$E$27,4,FALSE)</f>
        <v>2</v>
      </c>
      <c r="AF1126" s="83">
        <f t="shared" si="324"/>
        <v>0.14513888888905058</v>
      </c>
      <c r="AG1126" s="83">
        <f t="shared" si="325"/>
        <v>44.516666666662786</v>
      </c>
      <c r="AH1126" s="83">
        <f t="shared" si="326"/>
        <v>12</v>
      </c>
      <c r="AI1126" s="83">
        <f t="shared" si="327"/>
        <v>32.516666666662786</v>
      </c>
      <c r="AJ1126" s="83">
        <f t="shared" si="316"/>
        <v>4.797539723219435</v>
      </c>
      <c r="AK1126" s="122"/>
      <c r="AL1126" s="122"/>
      <c r="AM1126" s="122"/>
      <c r="AN1126" s="122"/>
    </row>
    <row r="1127" spans="1:40" ht="15" x14ac:dyDescent="0.25">
      <c r="A1127" s="82">
        <v>45784</v>
      </c>
      <c r="B1127" s="94" t="str">
        <f t="shared" si="309"/>
        <v>May</v>
      </c>
      <c r="C1127" s="79" t="s">
        <v>2162</v>
      </c>
      <c r="D1127" s="79" t="s">
        <v>1942</v>
      </c>
      <c r="E1127" s="79" t="s">
        <v>1016</v>
      </c>
      <c r="F1127" s="79" t="s">
        <v>1699</v>
      </c>
      <c r="G1127" s="79" t="s">
        <v>80</v>
      </c>
      <c r="H1127" s="82" t="s">
        <v>1959</v>
      </c>
      <c r="I1127" s="79">
        <v>156</v>
      </c>
      <c r="J1127" s="79" t="s">
        <v>1942</v>
      </c>
      <c r="K1127" s="80" t="s">
        <v>469</v>
      </c>
      <c r="L1127" s="79">
        <f>VLOOKUP(H1127,Table2[#All],3,FALSE)</f>
        <v>304</v>
      </c>
      <c r="M1127" s="80">
        <f>L1127-1</f>
        <v>303</v>
      </c>
      <c r="N1127" s="81">
        <f t="shared" si="321"/>
        <v>-1</v>
      </c>
      <c r="P1127" s="82">
        <f>R1127-TIME(0,27,0)</f>
        <v>45783.846527777772</v>
      </c>
      <c r="Q1127" s="82">
        <v>45784.098611111112</v>
      </c>
      <c r="R1127" s="82">
        <v>45783.865277777775</v>
      </c>
      <c r="S1127" s="81">
        <f t="shared" si="322"/>
        <v>-334.44444445000653</v>
      </c>
      <c r="T1127" s="81">
        <f t="shared" si="313"/>
        <v>26.87500000417155</v>
      </c>
      <c r="U1127" s="79"/>
      <c r="V1127" s="82">
        <v>45784.760416666664</v>
      </c>
      <c r="W1127" s="82">
        <v>45784.86041666667</v>
      </c>
      <c r="X1127" s="103">
        <f t="shared" si="314"/>
        <v>141.00000000820728</v>
      </c>
      <c r="Y1127" s="82"/>
      <c r="Z1127" s="82">
        <v>45785.754861111112</v>
      </c>
      <c r="AA1127" s="82">
        <f>Z1127+TIME(0,42,0)</f>
        <v>45785.78402777778</v>
      </c>
      <c r="AB1127" s="81">
        <f t="shared" si="315"/>
        <v>41.12500000068394</v>
      </c>
      <c r="AC1127" s="78"/>
      <c r="AD1127" s="83">
        <f t="shared" si="323"/>
        <v>1.8895833333372138</v>
      </c>
      <c r="AE1127" s="83">
        <f>VLOOKUP(H1127,'LIST 2'!$A$1:$E$27,4,FALSE)</f>
        <v>2</v>
      </c>
      <c r="AF1127" s="83">
        <f t="shared" si="324"/>
        <v>0.11041666666278616</v>
      </c>
      <c r="AG1127" s="83">
        <f t="shared" si="325"/>
        <v>45.350000000093132</v>
      </c>
      <c r="AH1127" s="83">
        <f t="shared" si="326"/>
        <v>12</v>
      </c>
      <c r="AI1127" s="83">
        <f t="shared" si="327"/>
        <v>33.350000000093132</v>
      </c>
      <c r="AJ1127" s="83">
        <f t="shared" si="316"/>
        <v>4.6776611694022296</v>
      </c>
      <c r="AK1127" s="122">
        <v>9.3800000000000008</v>
      </c>
      <c r="AL1127" s="122">
        <v>9.2899999999999991</v>
      </c>
      <c r="AM1127" s="122">
        <v>10.09</v>
      </c>
      <c r="AN1127" s="122"/>
    </row>
    <row r="1128" spans="1:40" ht="15" x14ac:dyDescent="0.25">
      <c r="A1128" s="82">
        <v>45784</v>
      </c>
      <c r="B1128" s="94" t="str">
        <f t="shared" si="309"/>
        <v>May</v>
      </c>
      <c r="C1128" s="79" t="s">
        <v>2162</v>
      </c>
      <c r="D1128" s="79" t="s">
        <v>1943</v>
      </c>
      <c r="E1128" s="79" t="s">
        <v>1016</v>
      </c>
      <c r="F1128" s="79" t="s">
        <v>1696</v>
      </c>
      <c r="G1128" s="79" t="s">
        <v>42</v>
      </c>
      <c r="H1128" s="82" t="s">
        <v>2180</v>
      </c>
      <c r="I1128" s="79">
        <v>156</v>
      </c>
      <c r="J1128" s="79" t="s">
        <v>1943</v>
      </c>
      <c r="K1128" s="80" t="s">
        <v>469</v>
      </c>
      <c r="L1128" s="79">
        <f>VLOOKUP(H1128,Table2[#All],3,FALSE)</f>
        <v>256</v>
      </c>
      <c r="M1128" s="80">
        <f t="shared" si="310"/>
        <v>254</v>
      </c>
      <c r="N1128" s="81">
        <f t="shared" si="321"/>
        <v>-2</v>
      </c>
      <c r="P1128" s="82">
        <f>R1128-TIME(0,53,0)</f>
        <v>45783.894444444442</v>
      </c>
      <c r="Q1128" s="82">
        <v>45784.169444444444</v>
      </c>
      <c r="R1128" s="82">
        <v>45783.931250000001</v>
      </c>
      <c r="S1128" s="81">
        <f t="shared" si="322"/>
        <v>-341.41203703402425</v>
      </c>
      <c r="T1128" s="81">
        <f t="shared" si="313"/>
        <v>52.75462963472819</v>
      </c>
      <c r="U1128" s="79" t="s">
        <v>562</v>
      </c>
      <c r="V1128" s="82">
        <v>45784.501388888886</v>
      </c>
      <c r="W1128" s="82">
        <v>45784.718055555553</v>
      </c>
      <c r="X1128" s="103">
        <f t="shared" si="314"/>
        <v>305.50000000068394</v>
      </c>
      <c r="Y1128" s="82" t="s">
        <v>1050</v>
      </c>
      <c r="Z1128" s="82">
        <v>45784.866666666669</v>
      </c>
      <c r="AA1128" s="82">
        <f>Z1128+TIME(0,44,0)</f>
        <v>45784.897222222222</v>
      </c>
      <c r="AB1128" s="81">
        <f t="shared" si="315"/>
        <v>43.083333330141613</v>
      </c>
      <c r="AC1128" s="78"/>
      <c r="AD1128" s="83">
        <f t="shared" si="323"/>
        <v>0.93541666666715173</v>
      </c>
      <c r="AE1128" s="83">
        <f>VLOOKUP(H1128,'LIST 2'!$A$1:$E$27,4,FALSE)</f>
        <v>2</v>
      </c>
      <c r="AF1128" s="83">
        <f t="shared" si="324"/>
        <v>1.0645833333328483</v>
      </c>
      <c r="AG1128" s="83">
        <f t="shared" si="325"/>
        <v>22.450000000011642</v>
      </c>
      <c r="AH1128" s="83">
        <f t="shared" si="326"/>
        <v>0</v>
      </c>
      <c r="AI1128" s="83">
        <f t="shared" si="327"/>
        <v>22.450000000011642</v>
      </c>
      <c r="AJ1128" s="83">
        <f t="shared" si="316"/>
        <v>6.948775055675684</v>
      </c>
      <c r="AK1128" s="122"/>
      <c r="AL1128" s="122"/>
      <c r="AM1128" s="122"/>
      <c r="AN1128" s="122"/>
    </row>
    <row r="1129" spans="1:40" ht="16.5" customHeight="1" x14ac:dyDescent="0.25">
      <c r="A1129" s="82">
        <v>45784</v>
      </c>
      <c r="B1129" s="94" t="str">
        <f t="shared" si="309"/>
        <v>May</v>
      </c>
      <c r="C1129" s="79" t="s">
        <v>2162</v>
      </c>
      <c r="D1129" s="79" t="s">
        <v>1944</v>
      </c>
      <c r="E1129" s="79" t="s">
        <v>1016</v>
      </c>
      <c r="F1129" s="79" t="s">
        <v>1700</v>
      </c>
      <c r="G1129" s="79" t="s">
        <v>54</v>
      </c>
      <c r="H1129" s="82" t="s">
        <v>2186</v>
      </c>
      <c r="I1129" s="79">
        <v>156</v>
      </c>
      <c r="J1129" s="79" t="s">
        <v>1944</v>
      </c>
      <c r="K1129" s="80" t="s">
        <v>469</v>
      </c>
      <c r="L1129" s="79">
        <f>VLOOKUP(H1129,Table2[#All],3,FALSE)</f>
        <v>228</v>
      </c>
      <c r="M1129" s="80">
        <f>L1129-3</f>
        <v>225</v>
      </c>
      <c r="N1129" s="81">
        <f t="shared" si="321"/>
        <v>-3</v>
      </c>
      <c r="P1129" s="82">
        <f>R1129-TIME(0,23,0)</f>
        <v>45783.613194444442</v>
      </c>
      <c r="Q1129" s="82">
        <v>45784.136805555558</v>
      </c>
      <c r="R1129" s="82">
        <v>45783.629166666666</v>
      </c>
      <c r="S1129" s="81">
        <f t="shared" si="322"/>
        <v>-727.61574074514408</v>
      </c>
      <c r="T1129" s="81">
        <f t="shared" si="313"/>
        <v>22.893518520140788</v>
      </c>
      <c r="U1129" s="79"/>
      <c r="V1129" s="82">
        <v>45783.872916666667</v>
      </c>
      <c r="W1129" s="82">
        <v>45784.469444444447</v>
      </c>
      <c r="X1129" s="103">
        <f t="shared" si="314"/>
        <v>841.10416666917445</v>
      </c>
      <c r="Y1129" s="82" t="s">
        <v>1044</v>
      </c>
      <c r="Z1129" s="82">
        <v>45784.584027777775</v>
      </c>
      <c r="AA1129" s="82">
        <f>Z1129+TIME(0,44,0)</f>
        <v>45784.614583333328</v>
      </c>
      <c r="AB1129" s="81">
        <f t="shared" si="315"/>
        <v>43.083333330141613</v>
      </c>
      <c r="AC1129" s="78"/>
      <c r="AD1129" s="83">
        <f t="shared" si="323"/>
        <v>0.95486111110949423</v>
      </c>
      <c r="AE1129" s="83">
        <f>VLOOKUP(H1129,'LIST 2'!$A$1:$E$27,4,FALSE)</f>
        <v>2</v>
      </c>
      <c r="AF1129" s="83">
        <f t="shared" si="324"/>
        <v>1.0451388888905058</v>
      </c>
      <c r="AG1129" s="83">
        <f t="shared" si="325"/>
        <v>22.916666666627862</v>
      </c>
      <c r="AH1129" s="83">
        <f t="shared" si="326"/>
        <v>0</v>
      </c>
      <c r="AI1129" s="83">
        <f t="shared" si="327"/>
        <v>22.916666666627862</v>
      </c>
      <c r="AJ1129" s="83">
        <f t="shared" si="316"/>
        <v>6.8072727272842544</v>
      </c>
      <c r="AK1129" s="122"/>
      <c r="AL1129" s="122"/>
      <c r="AM1129" s="122"/>
      <c r="AN1129" s="122"/>
    </row>
    <row r="1130" spans="1:40" ht="15" x14ac:dyDescent="0.25">
      <c r="A1130" s="82">
        <v>45784</v>
      </c>
      <c r="B1130" s="94" t="str">
        <f t="shared" si="309"/>
        <v>May</v>
      </c>
      <c r="C1130" s="79" t="s">
        <v>2161</v>
      </c>
      <c r="D1130" s="79" t="s">
        <v>1945</v>
      </c>
      <c r="E1130" s="79"/>
      <c r="F1130" s="79" t="s">
        <v>962</v>
      </c>
      <c r="G1130" s="79" t="s">
        <v>978</v>
      </c>
      <c r="H1130" s="82" t="s">
        <v>2022</v>
      </c>
      <c r="I1130" s="79">
        <v>153.6</v>
      </c>
      <c r="J1130" s="79" t="s">
        <v>1945</v>
      </c>
      <c r="K1130" s="80" t="s">
        <v>469</v>
      </c>
      <c r="L1130" s="79">
        <f>VLOOKUP(H1130,Table2[#All],3,FALSE)</f>
        <v>150</v>
      </c>
      <c r="M1130" s="80">
        <f t="shared" si="310"/>
        <v>148</v>
      </c>
      <c r="N1130" s="81">
        <f t="shared" si="321"/>
        <v>-2</v>
      </c>
      <c r="P1130" s="82">
        <f>R1130-TIME(0,42,0)</f>
        <v>45783.625</v>
      </c>
      <c r="Q1130" s="82">
        <v>45784.260416666664</v>
      </c>
      <c r="R1130" s="82">
        <v>45783.654166666667</v>
      </c>
      <c r="S1130" s="81">
        <f t="shared" si="322"/>
        <v>-868.95833332916175</v>
      </c>
      <c r="T1130" s="81">
        <f t="shared" si="313"/>
        <v>41.805555556250816</v>
      </c>
      <c r="U1130" s="79" t="s">
        <v>2166</v>
      </c>
      <c r="V1130" s="82">
        <v>45783.728472222225</v>
      </c>
      <c r="W1130" s="82">
        <v>45784.74722222222</v>
      </c>
      <c r="X1130" s="103">
        <f t="shared" si="314"/>
        <v>1436.4374999938445</v>
      </c>
      <c r="Y1130" s="82" t="s">
        <v>1044</v>
      </c>
      <c r="Z1130" s="82">
        <v>45784.841666666667</v>
      </c>
      <c r="AA1130" s="82">
        <f>Z1130+TIME(0,52,0)</f>
        <v>45784.87777777778</v>
      </c>
      <c r="AB1130" s="81">
        <f t="shared" si="315"/>
        <v>50.916666668490507</v>
      </c>
      <c r="AC1130" s="82" t="s">
        <v>2168</v>
      </c>
      <c r="AD1130" s="83">
        <f t="shared" si="323"/>
        <v>1.1875</v>
      </c>
      <c r="AE1130" s="83">
        <f>VLOOKUP(H1130,'LIST 2'!$A$1:$E$27,4,FALSE)</f>
        <v>1</v>
      </c>
      <c r="AF1130" s="92">
        <f t="shared" si="324"/>
        <v>-0.1875</v>
      </c>
      <c r="AG1130" s="83">
        <f t="shared" si="325"/>
        <v>28.5</v>
      </c>
      <c r="AH1130" s="83">
        <f t="shared" si="326"/>
        <v>12</v>
      </c>
      <c r="AI1130" s="83">
        <f t="shared" si="327"/>
        <v>16.5</v>
      </c>
      <c r="AJ1130" s="83">
        <f t="shared" si="316"/>
        <v>9.3090909090909086</v>
      </c>
      <c r="AK1130" s="122">
        <v>9.23</v>
      </c>
      <c r="AL1130" s="122">
        <v>8.56</v>
      </c>
      <c r="AM1130" s="122"/>
      <c r="AN1130" s="122"/>
    </row>
    <row r="1131" spans="1:40" ht="15" x14ac:dyDescent="0.25">
      <c r="A1131" s="82">
        <v>45785</v>
      </c>
      <c r="B1131" s="94" t="str">
        <f t="shared" si="309"/>
        <v>May</v>
      </c>
      <c r="C1131" s="79" t="s">
        <v>2161</v>
      </c>
      <c r="D1131" s="79" t="s">
        <v>1948</v>
      </c>
      <c r="E1131" s="79"/>
      <c r="F1131" s="79" t="s">
        <v>955</v>
      </c>
      <c r="G1131" s="79" t="s">
        <v>972</v>
      </c>
      <c r="H1131" s="82" t="s">
        <v>1956</v>
      </c>
      <c r="I1131" s="79">
        <v>153.6</v>
      </c>
      <c r="J1131" s="79" t="s">
        <v>1948</v>
      </c>
      <c r="K1131" s="80" t="s">
        <v>469</v>
      </c>
      <c r="L1131" s="79">
        <f>VLOOKUP(H1131,Table2[#All],3,FALSE)</f>
        <v>596</v>
      </c>
      <c r="M1131" s="80">
        <f t="shared" si="310"/>
        <v>594</v>
      </c>
      <c r="N1131" s="81">
        <f t="shared" si="321"/>
        <v>-2</v>
      </c>
      <c r="P1131" s="82">
        <f>R1131-TIME(0,27,0)</f>
        <v>45787.499305555553</v>
      </c>
      <c r="Q1131" s="82">
        <v>45785.416666666664</v>
      </c>
      <c r="R1131" s="82">
        <v>45787.518055555556</v>
      </c>
      <c r="T1131" s="81">
        <f t="shared" si="313"/>
        <v>26.87500000417155</v>
      </c>
      <c r="U1131" s="79"/>
      <c r="V1131" s="82">
        <v>45787.771527777775</v>
      </c>
      <c r="W1131" s="82">
        <v>45788.419444444444</v>
      </c>
      <c r="X1131" s="103">
        <f t="shared" si="314"/>
        <v>913.56250000273576</v>
      </c>
      <c r="Y1131" s="82" t="s">
        <v>1047</v>
      </c>
      <c r="Z1131" s="82">
        <v>45789.279861111114</v>
      </c>
      <c r="AA1131" s="82">
        <f>Z1131+TIME(0,44,0)</f>
        <v>45789.310416666667</v>
      </c>
      <c r="AB1131" s="81">
        <f t="shared" si="315"/>
        <v>43.083333330141613</v>
      </c>
      <c r="AC1131" s="82"/>
      <c r="AD1131" s="83">
        <f t="shared" ref="AD1131" si="328">Z1131-R1131</f>
        <v>1.7618055555576575</v>
      </c>
      <c r="AE1131" s="83">
        <f>VLOOKUP(H1131,'LIST 2'!$A$1:$E$27,4,FALSE)</f>
        <v>2</v>
      </c>
      <c r="AF1131" s="81">
        <f t="shared" ref="AF1131" si="329">AE1131-AD1131</f>
        <v>0.2381944444423425</v>
      </c>
      <c r="AG1131" s="81">
        <f t="shared" ref="AG1131" si="330">AD1131*24</f>
        <v>42.28333333338378</v>
      </c>
      <c r="AH1131" s="81">
        <f t="shared" ref="AH1131" si="331">AG1131-AI1131</f>
        <v>12</v>
      </c>
      <c r="AI1131" s="81">
        <f t="shared" ref="AI1131" si="332" xml:space="preserve"> ((Z1131 - R1131) * 24) - (INT(Z1131 - R1131) * 12)</f>
        <v>30.28333333338378</v>
      </c>
      <c r="AJ1131" s="83">
        <f t="shared" si="316"/>
        <v>5.072096862952475</v>
      </c>
      <c r="AK1131" s="122">
        <v>10.199999999999999</v>
      </c>
      <c r="AL1131" s="122">
        <v>10.45</v>
      </c>
      <c r="AM1131" s="122">
        <v>11.09</v>
      </c>
      <c r="AN1131" s="122"/>
    </row>
    <row r="1132" spans="1:40" ht="20.25" customHeight="1" x14ac:dyDescent="0.25">
      <c r="A1132" s="82">
        <v>45785</v>
      </c>
      <c r="B1132" s="94" t="str">
        <f t="shared" si="309"/>
        <v>May</v>
      </c>
      <c r="C1132" s="79" t="s">
        <v>2161</v>
      </c>
      <c r="D1132" s="79" t="s">
        <v>1949</v>
      </c>
      <c r="E1132" s="79" t="s">
        <v>1016</v>
      </c>
      <c r="F1132" s="79" t="s">
        <v>956</v>
      </c>
      <c r="G1132" s="79" t="s">
        <v>973</v>
      </c>
      <c r="H1132" s="82" t="s">
        <v>1957</v>
      </c>
      <c r="I1132" s="79">
        <v>153.6</v>
      </c>
      <c r="J1132" s="79" t="s">
        <v>1949</v>
      </c>
      <c r="K1132" s="80" t="s">
        <v>469</v>
      </c>
      <c r="L1132" s="79">
        <f>VLOOKUP(H1132,Table2[#All],3,FALSE)</f>
        <v>288</v>
      </c>
      <c r="M1132" s="80">
        <f t="shared" si="310"/>
        <v>286</v>
      </c>
      <c r="N1132" s="81">
        <f t="shared" si="321"/>
        <v>-2</v>
      </c>
      <c r="P1132" s="82">
        <f>R1132-TIME(0,23,0)</f>
        <v>45785.570833333331</v>
      </c>
      <c r="Q1132" s="82">
        <v>45785.416666666664</v>
      </c>
      <c r="R1132" s="82">
        <v>45785.586805555555</v>
      </c>
      <c r="T1132" s="81">
        <f t="shared" si="313"/>
        <v>22.893518520140788</v>
      </c>
      <c r="U1132" s="79"/>
      <c r="V1132" s="82">
        <v>45786.5</v>
      </c>
      <c r="W1132" s="82">
        <v>45786.719444444447</v>
      </c>
      <c r="X1132" s="103">
        <f t="shared" si="314"/>
        <v>309.41666666985839</v>
      </c>
      <c r="Y1132" s="82" t="s">
        <v>1049</v>
      </c>
      <c r="Z1132" s="82">
        <v>45787.394444444442</v>
      </c>
      <c r="AA1132" s="82">
        <f>Z1132+TIME(0,40,0)</f>
        <v>45787.422222222223</v>
      </c>
      <c r="AB1132" s="81">
        <f t="shared" si="315"/>
        <v>39.166666671226267</v>
      </c>
      <c r="AC1132" s="82"/>
      <c r="AD1132" s="83">
        <f t="shared" ref="AD1132:AD1194" si="333">Z1132-R1132</f>
        <v>1.8076388888875954</v>
      </c>
      <c r="AE1132" s="83">
        <f>VLOOKUP(H1132,'LIST 2'!$A$1:$E$27,4,FALSE)</f>
        <v>2</v>
      </c>
      <c r="AF1132" s="81">
        <f t="shared" ref="AF1132:AF1194" si="334">AE1132-AD1132</f>
        <v>0.19236111111240461</v>
      </c>
      <c r="AG1132" s="81">
        <f t="shared" ref="AG1132:AG1194" si="335">AD1132*24</f>
        <v>43.383333333302289</v>
      </c>
      <c r="AH1132" s="81">
        <f t="shared" ref="AH1132:AH1194" si="336">AG1132-AI1132</f>
        <v>12</v>
      </c>
      <c r="AI1132" s="81">
        <f t="shared" ref="AI1132:AI1194" si="337" xml:space="preserve"> ((Z1132 - R1132) * 24) - (INT(Z1132 - R1132) * 12)</f>
        <v>31.383333333302289</v>
      </c>
      <c r="AJ1132" s="83">
        <f t="shared" si="316"/>
        <v>4.8943175783372892</v>
      </c>
      <c r="AK1132" s="122">
        <v>9.34</v>
      </c>
      <c r="AL1132" s="122">
        <v>8.24</v>
      </c>
      <c r="AM1132" s="122">
        <v>9.3000000000000007</v>
      </c>
      <c r="AN1132" s="122"/>
    </row>
    <row r="1133" spans="1:40" ht="20.25" customHeight="1" x14ac:dyDescent="0.25">
      <c r="A1133" s="82">
        <v>45785</v>
      </c>
      <c r="B1133" s="94" t="str">
        <f t="shared" si="309"/>
        <v>May</v>
      </c>
      <c r="C1133" s="79" t="s">
        <v>2161</v>
      </c>
      <c r="D1133" s="79" t="s">
        <v>1950</v>
      </c>
      <c r="E1133" s="79"/>
      <c r="F1133" s="79" t="s">
        <v>962</v>
      </c>
      <c r="G1133" s="79" t="s">
        <v>978</v>
      </c>
      <c r="H1133" s="82" t="s">
        <v>1957</v>
      </c>
      <c r="I1133" s="79">
        <v>153.6</v>
      </c>
      <c r="J1133" s="79" t="s">
        <v>1950</v>
      </c>
      <c r="K1133" s="80" t="s">
        <v>469</v>
      </c>
      <c r="L1133" s="79">
        <f>VLOOKUP(H1133,Table2[#All],3,FALSE)</f>
        <v>288</v>
      </c>
      <c r="M1133" s="80">
        <f>L1133-1</f>
        <v>287</v>
      </c>
      <c r="N1133" s="81">
        <f t="shared" si="321"/>
        <v>-1</v>
      </c>
      <c r="P1133" s="82">
        <f>R1133-TIME(0,23,0)</f>
        <v>45785.487499999996</v>
      </c>
      <c r="Q1133" s="82">
        <v>45785.416666666664</v>
      </c>
      <c r="R1133" s="82">
        <v>45785.503472222219</v>
      </c>
      <c r="T1133" s="81">
        <f t="shared" si="313"/>
        <v>22.893518520140788</v>
      </c>
      <c r="U1133" s="79"/>
      <c r="V1133" s="82">
        <v>45785.722222222219</v>
      </c>
      <c r="W1133" s="82">
        <v>45786.354861111111</v>
      </c>
      <c r="X1133" s="103">
        <f t="shared" si="314"/>
        <v>892.02083333766495</v>
      </c>
      <c r="Y1133" s="82" t="s">
        <v>1044</v>
      </c>
      <c r="Z1133" s="82">
        <v>45788.793055555558</v>
      </c>
      <c r="AA1133" s="82">
        <f>Z1133+TIME(0,36,0)</f>
        <v>45788.818055555559</v>
      </c>
      <c r="AB1133" s="81">
        <f t="shared" si="315"/>
        <v>35.25000000205182</v>
      </c>
      <c r="AC1133" s="82"/>
      <c r="AD1133" s="83">
        <f t="shared" si="333"/>
        <v>3.289583333338669</v>
      </c>
      <c r="AE1133" s="83">
        <f>VLOOKUP(H1133,'LIST 2'!$A$1:$E$27,4,FALSE)</f>
        <v>2</v>
      </c>
      <c r="AF1133" s="81">
        <f t="shared" si="334"/>
        <v>-1.289583333338669</v>
      </c>
      <c r="AG1133" s="81">
        <f t="shared" si="335"/>
        <v>78.950000000128057</v>
      </c>
      <c r="AH1133" s="81">
        <f t="shared" si="336"/>
        <v>36</v>
      </c>
      <c r="AI1133" s="81">
        <f t="shared" si="337"/>
        <v>42.950000000128057</v>
      </c>
      <c r="AJ1133" s="83">
        <f t="shared" si="316"/>
        <v>3.5762514551697797</v>
      </c>
      <c r="AK1133" s="122">
        <v>10.16</v>
      </c>
      <c r="AL1133" s="122">
        <v>11.33</v>
      </c>
      <c r="AM1133" s="122">
        <v>10.24</v>
      </c>
      <c r="AN1133" s="122">
        <v>9.58</v>
      </c>
    </row>
    <row r="1134" spans="1:40" ht="20.25" customHeight="1" x14ac:dyDescent="0.25">
      <c r="A1134" s="82">
        <v>45785</v>
      </c>
      <c r="B1134" s="94" t="str">
        <f t="shared" si="309"/>
        <v>May</v>
      </c>
      <c r="C1134" s="79" t="s">
        <v>2161</v>
      </c>
      <c r="D1134" s="79" t="s">
        <v>1951</v>
      </c>
      <c r="E1134" s="79" t="s">
        <v>1016</v>
      </c>
      <c r="F1134" s="79" t="s">
        <v>950</v>
      </c>
      <c r="G1134" s="79" t="s">
        <v>967</v>
      </c>
      <c r="H1134" s="82" t="s">
        <v>1958</v>
      </c>
      <c r="I1134" s="79">
        <v>153.6</v>
      </c>
      <c r="J1134" s="79" t="s">
        <v>1951</v>
      </c>
      <c r="K1134" s="80" t="s">
        <v>469</v>
      </c>
      <c r="L1134" s="79">
        <f>VLOOKUP(H1134,Table2[#All],3,FALSE)</f>
        <v>304</v>
      </c>
      <c r="M1134" s="80">
        <f t="shared" si="310"/>
        <v>302</v>
      </c>
      <c r="N1134" s="81">
        <f t="shared" si="321"/>
        <v>-2</v>
      </c>
      <c r="P1134" s="82">
        <f>R1134-TIME(0,23,0)</f>
        <v>45784.506944444445</v>
      </c>
      <c r="Q1134" s="82">
        <v>45784.850694444445</v>
      </c>
      <c r="R1134" s="82">
        <v>45784.522916666669</v>
      </c>
      <c r="T1134" s="81">
        <f t="shared" si="313"/>
        <v>22.893518520140788</v>
      </c>
      <c r="U1134" s="79"/>
      <c r="V1134" s="82">
        <v>45784.806944444441</v>
      </c>
      <c r="W1134" s="82">
        <v>45786.625694444447</v>
      </c>
      <c r="X1134" s="103">
        <f t="shared" si="314"/>
        <v>2564.4375000082073</v>
      </c>
      <c r="Y1134" s="82" t="s">
        <v>1044</v>
      </c>
      <c r="Z1134" s="82">
        <v>45786.847916666666</v>
      </c>
      <c r="AA1134" s="82">
        <f>Z1134+TIME(0,42,0)</f>
        <v>45786.877083333333</v>
      </c>
      <c r="AB1134" s="81">
        <f t="shared" si="315"/>
        <v>41.12500000068394</v>
      </c>
      <c r="AC1134" s="82"/>
      <c r="AD1134" s="83">
        <f t="shared" si="333"/>
        <v>2.3249999999970896</v>
      </c>
      <c r="AE1134" s="83">
        <f>VLOOKUP(H1134,'LIST 2'!$A$1:$E$27,4,FALSE)</f>
        <v>2</v>
      </c>
      <c r="AF1134" s="81">
        <f t="shared" si="334"/>
        <v>-0.32499999999708962</v>
      </c>
      <c r="AG1134" s="81">
        <f t="shared" si="335"/>
        <v>55.799999999930151</v>
      </c>
      <c r="AH1134" s="81">
        <f t="shared" si="336"/>
        <v>24</v>
      </c>
      <c r="AI1134" s="81">
        <f t="shared" si="337"/>
        <v>31.799999999930151</v>
      </c>
      <c r="AJ1134" s="83">
        <f t="shared" si="316"/>
        <v>4.8301886792558921</v>
      </c>
      <c r="AK1134" s="122">
        <v>8.4</v>
      </c>
      <c r="AL1134" s="122">
        <v>11.48</v>
      </c>
      <c r="AM1134" s="122">
        <v>9.11</v>
      </c>
      <c r="AN1134" s="122"/>
    </row>
    <row r="1135" spans="1:40" ht="20.25" customHeight="1" x14ac:dyDescent="0.25">
      <c r="A1135" s="82">
        <v>45785</v>
      </c>
      <c r="B1135" s="94" t="str">
        <f t="shared" si="309"/>
        <v>May</v>
      </c>
      <c r="C1135" s="79" t="s">
        <v>2162</v>
      </c>
      <c r="D1135" s="79" t="s">
        <v>1952</v>
      </c>
      <c r="E1135" s="79" t="s">
        <v>1016</v>
      </c>
      <c r="F1135" s="79" t="s">
        <v>1694</v>
      </c>
      <c r="G1135" s="79" t="s">
        <v>39</v>
      </c>
      <c r="H1135" s="82" t="s">
        <v>2183</v>
      </c>
      <c r="I1135" s="79">
        <v>156</v>
      </c>
      <c r="J1135" s="79" t="s">
        <v>1952</v>
      </c>
      <c r="K1135" s="80" t="s">
        <v>469</v>
      </c>
      <c r="L1135" s="79">
        <f>VLOOKUP(H1135,Table2[#All],3,FALSE)</f>
        <v>690</v>
      </c>
      <c r="M1135" s="80">
        <f>L1135-3</f>
        <v>687</v>
      </c>
      <c r="N1135" s="81">
        <f t="shared" si="321"/>
        <v>-3</v>
      </c>
      <c r="P1135" s="82">
        <f>R1135-TIME(0,23,0)</f>
        <v>45785.451388888891</v>
      </c>
      <c r="Q1135" s="82">
        <v>45785.815972222219</v>
      </c>
      <c r="R1135" s="82">
        <v>45785.467361111114</v>
      </c>
      <c r="S1135" s="81">
        <f t="shared" ref="S1135" si="338">(R1135-Q1135)*86000/60</f>
        <v>-499.67592591735109</v>
      </c>
      <c r="T1135" s="81">
        <f t="shared" si="313"/>
        <v>22.893518520140788</v>
      </c>
      <c r="U1135" s="79"/>
      <c r="V1135" s="82">
        <v>45786.43472222222</v>
      </c>
      <c r="W1135" s="82">
        <v>45786.854166666664</v>
      </c>
      <c r="X1135" s="103">
        <f t="shared" si="314"/>
        <v>591.41666666575475</v>
      </c>
      <c r="Y1135" s="82" t="s">
        <v>1046</v>
      </c>
      <c r="Z1135" s="82">
        <v>45788.306250000001</v>
      </c>
      <c r="AA1135" s="82">
        <f>Z1135+TIME(0,44,0)</f>
        <v>45788.336805555555</v>
      </c>
      <c r="AB1135" s="81">
        <f t="shared" si="315"/>
        <v>43.083333330141613</v>
      </c>
      <c r="AC1135" s="82"/>
      <c r="AD1135" s="83">
        <f>Z1135-R1135</f>
        <v>2.8388888888875954</v>
      </c>
      <c r="AE1135" s="83">
        <f>VLOOKUP(H1135,'LIST 2'!$A$1:$E$27,4,FALSE)</f>
        <v>3</v>
      </c>
      <c r="AF1135" s="83">
        <f t="shared" si="334"/>
        <v>0.16111111111240461</v>
      </c>
      <c r="AG1135" s="81">
        <f t="shared" si="335"/>
        <v>68.133333333302289</v>
      </c>
      <c r="AH1135" s="81">
        <f t="shared" si="336"/>
        <v>24</v>
      </c>
      <c r="AI1135" s="81">
        <f t="shared" si="337"/>
        <v>44.133333333302289</v>
      </c>
      <c r="AJ1135" s="83">
        <f t="shared" si="316"/>
        <v>3.534743202419405</v>
      </c>
      <c r="AK1135" s="122">
        <v>11.09</v>
      </c>
      <c r="AL1135" s="122">
        <v>11.3</v>
      </c>
      <c r="AM1135" s="122">
        <v>10.24</v>
      </c>
      <c r="AN1135" s="122">
        <v>11.38</v>
      </c>
    </row>
    <row r="1136" spans="1:40" ht="20.25" customHeight="1" x14ac:dyDescent="0.25">
      <c r="A1136" s="82">
        <v>45786</v>
      </c>
      <c r="B1136" s="94" t="str">
        <f t="shared" ref="B1136:B1198" si="339">TEXT(A1136, "MMMM")</f>
        <v>May</v>
      </c>
      <c r="C1136" s="79" t="s">
        <v>2161</v>
      </c>
      <c r="D1136" s="79" t="s">
        <v>1953</v>
      </c>
      <c r="E1136" s="79"/>
      <c r="F1136" s="79" t="s">
        <v>951</v>
      </c>
      <c r="G1136" s="79" t="s">
        <v>968</v>
      </c>
      <c r="H1136" s="82" t="s">
        <v>1956</v>
      </c>
      <c r="I1136" s="79">
        <v>153.6</v>
      </c>
      <c r="J1136" s="79" t="s">
        <v>1953</v>
      </c>
      <c r="K1136" s="80" t="s">
        <v>469</v>
      </c>
      <c r="L1136" s="79">
        <f>VLOOKUP(H1136,Table2[#All],3,FALSE)</f>
        <v>596</v>
      </c>
      <c r="M1136" s="80">
        <f>L1136-1</f>
        <v>595</v>
      </c>
      <c r="N1136" s="81">
        <f t="shared" si="321"/>
        <v>-1</v>
      </c>
      <c r="P1136" s="82">
        <f>R1136-TIME(0,23,0)</f>
        <v>45785.820138888885</v>
      </c>
      <c r="Q1136" s="82">
        <v>45786.176388888889</v>
      </c>
      <c r="R1136" s="82">
        <v>45785.836111111108</v>
      </c>
      <c r="T1136" s="81">
        <f t="shared" si="313"/>
        <v>22.893518520140788</v>
      </c>
      <c r="V1136" s="82">
        <v>45786.441666666666</v>
      </c>
      <c r="W1136" s="82">
        <v>45786.584027777775</v>
      </c>
      <c r="X1136" s="103">
        <f t="shared" si="314"/>
        <v>200.72916666438687</v>
      </c>
      <c r="Y1136" s="82" t="s">
        <v>1049</v>
      </c>
      <c r="Z1136" s="82">
        <v>45787.472916666666</v>
      </c>
      <c r="AA1136" s="82">
        <f>Z1136+TIME(0,40,0)</f>
        <v>45787.500694444447</v>
      </c>
      <c r="AB1136" s="81">
        <f t="shared" si="315"/>
        <v>39.166666671226267</v>
      </c>
      <c r="AC1136" s="82"/>
      <c r="AD1136" s="83">
        <f t="shared" si="333"/>
        <v>1.6368055555576575</v>
      </c>
      <c r="AE1136" s="83">
        <f>VLOOKUP(H1136,'LIST 2'!$A$1:$E$27,4,FALSE)</f>
        <v>2</v>
      </c>
      <c r="AF1136" s="83">
        <f t="shared" si="334"/>
        <v>0.3631944444423425</v>
      </c>
      <c r="AG1136" s="81">
        <f t="shared" si="335"/>
        <v>39.28333333338378</v>
      </c>
      <c r="AH1136" s="81">
        <f t="shared" si="336"/>
        <v>12</v>
      </c>
      <c r="AI1136" s="81">
        <f t="shared" si="337"/>
        <v>27.28333333338378</v>
      </c>
      <c r="AJ1136" s="83">
        <f t="shared" si="316"/>
        <v>5.6298106291893459</v>
      </c>
      <c r="AK1136" s="122">
        <v>11.2</v>
      </c>
      <c r="AL1136" s="122">
        <v>10.55</v>
      </c>
      <c r="AM1136" s="122">
        <v>11.09</v>
      </c>
      <c r="AN1136" s="122"/>
    </row>
    <row r="1137" spans="1:40" ht="20.25" customHeight="1" x14ac:dyDescent="0.25">
      <c r="A1137" s="82">
        <v>45786</v>
      </c>
      <c r="B1137" s="94" t="str">
        <f t="shared" si="339"/>
        <v>May</v>
      </c>
      <c r="C1137" s="79" t="s">
        <v>2162</v>
      </c>
      <c r="D1137" s="79" t="s">
        <v>1954</v>
      </c>
      <c r="E1137" s="79" t="s">
        <v>1016</v>
      </c>
      <c r="F1137" s="79" t="s">
        <v>1700</v>
      </c>
      <c r="G1137" s="79" t="s">
        <v>54</v>
      </c>
      <c r="H1137" s="82" t="s">
        <v>1959</v>
      </c>
      <c r="I1137" s="79">
        <v>156</v>
      </c>
      <c r="J1137" s="79" t="s">
        <v>1954</v>
      </c>
      <c r="K1137" s="80" t="s">
        <v>469</v>
      </c>
      <c r="L1137" s="79">
        <f>VLOOKUP(H1137,Table2[#All],3,FALSE)</f>
        <v>304</v>
      </c>
      <c r="M1137" s="80">
        <f t="shared" si="310"/>
        <v>302</v>
      </c>
      <c r="N1137" s="81">
        <f t="shared" si="321"/>
        <v>-2</v>
      </c>
      <c r="P1137" s="82">
        <f>R1137-TIME(0,27,0)</f>
        <v>45786.490277777775</v>
      </c>
      <c r="Q1137" s="82">
        <v>45787.098611111112</v>
      </c>
      <c r="R1137" s="82">
        <v>45786.509027777778</v>
      </c>
      <c r="S1137" s="81">
        <f t="shared" ref="S1137" si="340">(R1137-Q1137)*86000/60</f>
        <v>-845.06944444583496</v>
      </c>
      <c r="T1137" s="81">
        <f t="shared" si="313"/>
        <v>26.87500000417155</v>
      </c>
      <c r="V1137" s="82">
        <v>45786.662499999999</v>
      </c>
      <c r="W1137" s="82">
        <v>45786.822916666664</v>
      </c>
      <c r="X1137" s="103">
        <f t="shared" si="314"/>
        <v>226.18749999863212</v>
      </c>
      <c r="Y1137" s="82" t="s">
        <v>1044</v>
      </c>
      <c r="Z1137" s="82">
        <v>45787.434027777781</v>
      </c>
      <c r="AA1137" s="82">
        <f>Z1137+TIME(0,44,0)</f>
        <v>45787.464583333334</v>
      </c>
      <c r="AB1137" s="81">
        <f t="shared" si="315"/>
        <v>43.083333330141613</v>
      </c>
      <c r="AC1137" s="82"/>
      <c r="AD1137" s="83">
        <f t="shared" si="333"/>
        <v>0.92500000000291038</v>
      </c>
      <c r="AE1137" s="83">
        <f>VLOOKUP(H1137,'LIST 2'!$A$1:$E$27,4,FALSE)</f>
        <v>2</v>
      </c>
      <c r="AF1137" s="83">
        <f t="shared" si="334"/>
        <v>1.0749999999970896</v>
      </c>
      <c r="AG1137" s="81">
        <f t="shared" si="335"/>
        <v>22.200000000069849</v>
      </c>
      <c r="AH1137" s="81">
        <f t="shared" si="336"/>
        <v>0</v>
      </c>
      <c r="AI1137" s="81">
        <f t="shared" si="337"/>
        <v>22.200000000069849</v>
      </c>
      <c r="AJ1137" s="83">
        <f t="shared" si="316"/>
        <v>7.0270270270049178</v>
      </c>
      <c r="AK1137" s="122">
        <v>9.33</v>
      </c>
      <c r="AL1137" s="122">
        <v>9.19</v>
      </c>
      <c r="AM1137" s="122"/>
      <c r="AN1137" s="122"/>
    </row>
    <row r="1138" spans="1:40" ht="20.25" customHeight="1" x14ac:dyDescent="0.25">
      <c r="A1138" s="82">
        <v>45787</v>
      </c>
      <c r="B1138" s="94" t="str">
        <f t="shared" si="339"/>
        <v>May</v>
      </c>
      <c r="C1138" s="79" t="s">
        <v>2161</v>
      </c>
      <c r="D1138" s="79" t="s">
        <v>1964</v>
      </c>
      <c r="E1138" s="79"/>
      <c r="F1138" s="79" t="s">
        <v>958</v>
      </c>
      <c r="G1138" s="79" t="s">
        <v>975</v>
      </c>
      <c r="H1138" s="82" t="s">
        <v>1989</v>
      </c>
      <c r="I1138" s="79">
        <v>153.6</v>
      </c>
      <c r="J1138" s="79" t="s">
        <v>1964</v>
      </c>
      <c r="K1138" s="80" t="s">
        <v>469</v>
      </c>
      <c r="L1138" s="79">
        <f>VLOOKUP(H1138,Table2[#All],3,FALSE)</f>
        <v>20</v>
      </c>
      <c r="M1138" s="80">
        <f>L1138-3</f>
        <v>17</v>
      </c>
      <c r="N1138" s="81">
        <f t="shared" si="321"/>
        <v>-3</v>
      </c>
      <c r="P1138" s="82">
        <f>R1138-TIME(0,23,0)</f>
        <v>45787.646527777775</v>
      </c>
      <c r="Q1138" s="82">
        <v>45787.416666666664</v>
      </c>
      <c r="R1138" s="82">
        <v>45787.662499999999</v>
      </c>
      <c r="T1138" s="81">
        <f t="shared" si="313"/>
        <v>22.893518520140788</v>
      </c>
      <c r="V1138" s="82">
        <v>45788.427777777775</v>
      </c>
      <c r="W1138" s="82">
        <v>45788.737500000003</v>
      </c>
      <c r="X1138" s="103">
        <f t="shared" si="314"/>
        <v>436.70833334108465</v>
      </c>
      <c r="Y1138" s="82" t="s">
        <v>1044</v>
      </c>
      <c r="Z1138" s="82">
        <v>45789.427777777775</v>
      </c>
      <c r="AA1138" s="82">
        <f>Z1138+TIME(0,50,0)</f>
        <v>45789.462499999994</v>
      </c>
      <c r="AB1138" s="81">
        <f t="shared" si="315"/>
        <v>48.958333328773733</v>
      </c>
      <c r="AC1138" s="82" t="s">
        <v>1673</v>
      </c>
      <c r="AD1138" s="83">
        <f t="shared" si="333"/>
        <v>1.765277777776646</v>
      </c>
      <c r="AE1138" s="83">
        <f>VLOOKUP(H1138,'LIST 2'!$A$1:$E$27,4,FALSE)</f>
        <v>1</v>
      </c>
      <c r="AF1138" s="83">
        <f t="shared" si="334"/>
        <v>-0.76527777777664596</v>
      </c>
      <c r="AG1138" s="81">
        <f t="shared" si="335"/>
        <v>42.366666666639503</v>
      </c>
      <c r="AH1138" s="81">
        <f t="shared" si="336"/>
        <v>12</v>
      </c>
      <c r="AI1138" s="81">
        <f t="shared" si="337"/>
        <v>30.366666666639503</v>
      </c>
      <c r="AJ1138" s="83">
        <f t="shared" si="316"/>
        <v>5.0581778265687394</v>
      </c>
      <c r="AK1138" s="122">
        <v>7.15</v>
      </c>
      <c r="AL1138" s="122">
        <v>8.41</v>
      </c>
      <c r="AM1138" s="122">
        <v>7.59</v>
      </c>
      <c r="AN1138" s="122"/>
    </row>
    <row r="1139" spans="1:40" ht="20.25" customHeight="1" x14ac:dyDescent="0.25">
      <c r="A1139" s="82">
        <v>45787</v>
      </c>
      <c r="B1139" s="94" t="str">
        <f t="shared" si="339"/>
        <v>May</v>
      </c>
      <c r="C1139" s="79" t="s">
        <v>2162</v>
      </c>
      <c r="D1139" s="79" t="s">
        <v>1965</v>
      </c>
      <c r="E1139" s="79" t="s">
        <v>1016</v>
      </c>
      <c r="F1139" s="79" t="s">
        <v>1693</v>
      </c>
      <c r="G1139" s="79" t="s">
        <v>59</v>
      </c>
      <c r="H1139" s="82" t="s">
        <v>2183</v>
      </c>
      <c r="I1139" s="79">
        <v>156</v>
      </c>
      <c r="J1139" s="79" t="s">
        <v>1965</v>
      </c>
      <c r="K1139" s="80" t="s">
        <v>469</v>
      </c>
      <c r="L1139" s="79">
        <f>VLOOKUP(H1139,Table2[#All],3,FALSE)</f>
        <v>690</v>
      </c>
      <c r="M1139" s="80">
        <f t="shared" si="310"/>
        <v>688</v>
      </c>
      <c r="N1139" s="81">
        <f t="shared" si="321"/>
        <v>-2</v>
      </c>
      <c r="P1139" s="82">
        <f>R1139-TIME(0,27,0)</f>
        <v>45786.877777777772</v>
      </c>
      <c r="Q1139" s="82">
        <v>45786.815972222219</v>
      </c>
      <c r="R1139" s="82">
        <v>45786.896527777775</v>
      </c>
      <c r="S1139" s="81">
        <f t="shared" ref="S1139" si="341">(R1139-Q1139)*86000/60</f>
        <v>115.46296296388998</v>
      </c>
      <c r="T1139" s="81">
        <f t="shared" si="313"/>
        <v>26.87500000417155</v>
      </c>
      <c r="V1139" s="82">
        <v>45788.347222222219</v>
      </c>
      <c r="W1139" s="82">
        <v>45788.672222222223</v>
      </c>
      <c r="X1139" s="103">
        <f t="shared" si="314"/>
        <v>458.25000000615546</v>
      </c>
      <c r="Y1139" s="82" t="s">
        <v>1046</v>
      </c>
      <c r="Z1139" s="82">
        <v>45789.688194444447</v>
      </c>
      <c r="AA1139" s="82">
        <f>Z1139+TIME(0,42,0)</f>
        <v>45789.717361111114</v>
      </c>
      <c r="AB1139" s="81">
        <f t="shared" si="315"/>
        <v>41.12500000068394</v>
      </c>
      <c r="AC1139" s="82"/>
      <c r="AD1139" s="83">
        <f t="shared" si="333"/>
        <v>2.7916666666715173</v>
      </c>
      <c r="AE1139" s="83">
        <f>VLOOKUP(H1139,'LIST 2'!$A$1:$E$27,4,FALSE)</f>
        <v>3</v>
      </c>
      <c r="AF1139" s="83">
        <f t="shared" si="334"/>
        <v>0.20833333332848269</v>
      </c>
      <c r="AG1139" s="81">
        <f t="shared" si="335"/>
        <v>67.000000000116415</v>
      </c>
      <c r="AH1139" s="81">
        <f t="shared" si="336"/>
        <v>24</v>
      </c>
      <c r="AI1139" s="81">
        <f t="shared" si="337"/>
        <v>43.000000000116415</v>
      </c>
      <c r="AJ1139" s="83">
        <f t="shared" si="316"/>
        <v>3.6279069767343639</v>
      </c>
      <c r="AK1139" s="122">
        <v>10.09</v>
      </c>
      <c r="AL1139" s="122">
        <v>11</v>
      </c>
      <c r="AM1139" s="122">
        <v>10.24</v>
      </c>
      <c r="AN1139" s="122"/>
    </row>
    <row r="1140" spans="1:40" ht="20.25" customHeight="1" x14ac:dyDescent="0.25">
      <c r="A1140" s="82">
        <v>45787</v>
      </c>
      <c r="B1140" s="94" t="str">
        <f t="shared" si="339"/>
        <v>May</v>
      </c>
      <c r="C1140" s="79" t="s">
        <v>2161</v>
      </c>
      <c r="D1140" s="79" t="s">
        <v>1966</v>
      </c>
      <c r="E1140" s="79"/>
      <c r="F1140" s="79" t="s">
        <v>958</v>
      </c>
      <c r="G1140" s="79" t="s">
        <v>975</v>
      </c>
      <c r="H1140" s="82" t="s">
        <v>1989</v>
      </c>
      <c r="I1140" s="79">
        <v>153.6</v>
      </c>
      <c r="J1140" s="79" t="s">
        <v>1966</v>
      </c>
      <c r="K1140" s="80" t="s">
        <v>469</v>
      </c>
      <c r="L1140" s="79">
        <f>VLOOKUP(H1140,Table2[#All],3,FALSE)</f>
        <v>20</v>
      </c>
      <c r="M1140" s="80">
        <f t="shared" ref="M1140:M1203" si="342">L1140-2</f>
        <v>18</v>
      </c>
      <c r="N1140" s="81">
        <f t="shared" si="321"/>
        <v>-2</v>
      </c>
      <c r="P1140" s="82">
        <f>R1140-TIME(0,27,0)</f>
        <v>45786.597916666666</v>
      </c>
      <c r="Q1140" s="82">
        <v>45786.583333333336</v>
      </c>
      <c r="R1140" s="82">
        <v>45786.616666666669</v>
      </c>
      <c r="T1140" s="81">
        <f t="shared" si="313"/>
        <v>26.87500000417155</v>
      </c>
      <c r="V1140" s="82">
        <v>45786.640972222223</v>
      </c>
      <c r="W1140" s="82">
        <v>45787.445138888892</v>
      </c>
      <c r="X1140" s="103">
        <f t="shared" si="314"/>
        <v>1133.8750000027358</v>
      </c>
      <c r="Y1140" s="82" t="s">
        <v>1049</v>
      </c>
      <c r="Z1140" s="82">
        <v>45787.470138888886</v>
      </c>
      <c r="AA1140" s="82">
        <f>Z1140+TIME(0,44,0)</f>
        <v>45787.500694444439</v>
      </c>
      <c r="AB1140" s="81">
        <f t="shared" si="315"/>
        <v>43.083333330141613</v>
      </c>
      <c r="AC1140" s="82"/>
      <c r="AD1140" s="83">
        <f t="shared" si="333"/>
        <v>0.85347222221753327</v>
      </c>
      <c r="AE1140" s="83">
        <f>VLOOKUP(H1140,'LIST 2'!$A$1:$E$27,4,FALSE)</f>
        <v>1</v>
      </c>
      <c r="AF1140" s="83">
        <f t="shared" si="334"/>
        <v>0.14652777778246673</v>
      </c>
      <c r="AG1140" s="81">
        <f t="shared" si="335"/>
        <v>20.483333333220799</v>
      </c>
      <c r="AH1140" s="81">
        <f t="shared" si="336"/>
        <v>0</v>
      </c>
      <c r="AI1140" s="81">
        <f t="shared" si="337"/>
        <v>20.483333333220799</v>
      </c>
      <c r="AJ1140" s="83">
        <f t="shared" si="316"/>
        <v>7.4987794955660148</v>
      </c>
      <c r="AK1140" s="122">
        <v>8.15</v>
      </c>
      <c r="AL1140" s="122">
        <v>7.41</v>
      </c>
      <c r="AM1140" s="122"/>
      <c r="AN1140" s="122"/>
    </row>
    <row r="1141" spans="1:40" ht="20.25" customHeight="1" x14ac:dyDescent="0.25">
      <c r="A1141" s="82">
        <v>45787</v>
      </c>
      <c r="B1141" s="94" t="str">
        <f t="shared" si="339"/>
        <v>May</v>
      </c>
      <c r="C1141" s="79" t="s">
        <v>2161</v>
      </c>
      <c r="D1141" s="79" t="s">
        <v>1967</v>
      </c>
      <c r="E1141" s="79"/>
      <c r="F1141" s="79" t="s">
        <v>957</v>
      </c>
      <c r="G1141" s="79" t="s">
        <v>974</v>
      </c>
      <c r="H1141" s="82" t="s">
        <v>1989</v>
      </c>
      <c r="I1141" s="79">
        <v>153.6</v>
      </c>
      <c r="J1141" s="79" t="s">
        <v>1967</v>
      </c>
      <c r="K1141" s="80" t="s">
        <v>469</v>
      </c>
      <c r="L1141" s="79">
        <f>VLOOKUP(H1141,Table2[#All],3,FALSE)</f>
        <v>20</v>
      </c>
      <c r="M1141" s="80">
        <f>L1141-1</f>
        <v>19</v>
      </c>
      <c r="N1141" s="81">
        <f t="shared" si="321"/>
        <v>-1</v>
      </c>
      <c r="P1141" s="82">
        <f>R1141-TIME(0,38,0)</f>
        <v>45786.565972222226</v>
      </c>
      <c r="Q1141" s="82">
        <v>45786.583333333336</v>
      </c>
      <c r="R1141" s="82">
        <v>45786.592361111114</v>
      </c>
      <c r="T1141" s="81">
        <f t="shared" si="313"/>
        <v>37.82407407222005</v>
      </c>
      <c r="U1141" s="79" t="s">
        <v>2164</v>
      </c>
      <c r="V1141" s="82">
        <v>45786.617361111108</v>
      </c>
      <c r="W1141" s="82">
        <v>45786.8</v>
      </c>
      <c r="X1141" s="103">
        <f t="shared" si="314"/>
        <v>257.52083334176859</v>
      </c>
      <c r="Y1141" s="82" t="s">
        <v>1050</v>
      </c>
      <c r="Z1141" s="82">
        <v>45787.354861111111</v>
      </c>
      <c r="AA1141" s="82">
        <f>Z1141+TIME(0,40,0)</f>
        <v>45787.382638888892</v>
      </c>
      <c r="AB1141" s="81">
        <f t="shared" si="315"/>
        <v>39.166666671226267</v>
      </c>
      <c r="AC1141" s="82"/>
      <c r="AD1141" s="83">
        <f t="shared" si="333"/>
        <v>0.76249999999708962</v>
      </c>
      <c r="AE1141" s="83">
        <f>VLOOKUP(H1141,'LIST 2'!$A$1:$E$27,4,FALSE)</f>
        <v>1</v>
      </c>
      <c r="AF1141" s="83">
        <f t="shared" si="334"/>
        <v>0.23750000000291038</v>
      </c>
      <c r="AG1141" s="81">
        <f t="shared" si="335"/>
        <v>18.299999999930151</v>
      </c>
      <c r="AH1141" s="81">
        <f t="shared" si="336"/>
        <v>0</v>
      </c>
      <c r="AI1141" s="81">
        <f t="shared" si="337"/>
        <v>18.299999999930151</v>
      </c>
      <c r="AJ1141" s="83">
        <f t="shared" si="316"/>
        <v>8.3934426229828567</v>
      </c>
      <c r="AK1141" s="122">
        <v>8.08</v>
      </c>
      <c r="AL1141" s="122">
        <v>8</v>
      </c>
      <c r="AM1141" s="122"/>
      <c r="AN1141" s="122"/>
    </row>
    <row r="1142" spans="1:40" ht="20.25" customHeight="1" x14ac:dyDescent="0.25">
      <c r="A1142" s="82">
        <v>45787</v>
      </c>
      <c r="B1142" s="94" t="str">
        <f t="shared" si="339"/>
        <v>May</v>
      </c>
      <c r="C1142" s="79" t="s">
        <v>2161</v>
      </c>
      <c r="D1142" s="79" t="s">
        <v>1968</v>
      </c>
      <c r="E1142" s="79"/>
      <c r="F1142" s="79" t="s">
        <v>953</v>
      </c>
      <c r="G1142" s="79" t="s">
        <v>970</v>
      </c>
      <c r="H1142" s="82" t="s">
        <v>1989</v>
      </c>
      <c r="I1142" s="79">
        <v>153.6</v>
      </c>
      <c r="J1142" s="79" t="s">
        <v>1968</v>
      </c>
      <c r="K1142" s="80" t="s">
        <v>469</v>
      </c>
      <c r="L1142" s="79">
        <f>VLOOKUP(H1142,Table2[#All],3,FALSE)</f>
        <v>20</v>
      </c>
      <c r="M1142" s="80">
        <f>L1142-3</f>
        <v>17</v>
      </c>
      <c r="N1142" s="81">
        <f t="shared" si="321"/>
        <v>-3</v>
      </c>
      <c r="P1142" s="82">
        <f>R1142-TIME(0,27,0)</f>
        <v>45787.373611111107</v>
      </c>
      <c r="Q1142" s="82">
        <v>45787.416666666664</v>
      </c>
      <c r="R1142" s="82">
        <v>45787.392361111109</v>
      </c>
      <c r="T1142" s="81">
        <f t="shared" si="313"/>
        <v>26.87500000417155</v>
      </c>
      <c r="U1142" s="79"/>
      <c r="V1142" s="82">
        <v>45787.418055555558</v>
      </c>
      <c r="W1142" s="82">
        <v>45787.586111111108</v>
      </c>
      <c r="X1142" s="103">
        <f t="shared" si="314"/>
        <v>236.95833332603797</v>
      </c>
      <c r="Y1142" s="82" t="s">
        <v>1044</v>
      </c>
      <c r="Z1142" s="82">
        <v>45787.611805555556</v>
      </c>
      <c r="AA1142" s="82">
        <f>Z1142+TIME(0,42,0)</f>
        <v>45787.640972222223</v>
      </c>
      <c r="AB1142" s="81">
        <f t="shared" si="315"/>
        <v>41.12500000068394</v>
      </c>
      <c r="AC1142" s="82"/>
      <c r="AD1142" s="83">
        <f t="shared" si="333"/>
        <v>0.21944444444670808</v>
      </c>
      <c r="AE1142" s="83">
        <f>VLOOKUP(H1142,'LIST 2'!$A$1:$E$27,4,FALSE)</f>
        <v>1</v>
      </c>
      <c r="AF1142" s="83">
        <f t="shared" si="334"/>
        <v>0.78055555555329192</v>
      </c>
      <c r="AG1142" s="81">
        <f t="shared" si="335"/>
        <v>5.2666666667209938</v>
      </c>
      <c r="AH1142" s="81">
        <f t="shared" si="336"/>
        <v>0</v>
      </c>
      <c r="AI1142" s="81">
        <f t="shared" si="337"/>
        <v>5.2666666667209938</v>
      </c>
      <c r="AJ1142" s="83">
        <f t="shared" si="316"/>
        <v>29.164556961724475</v>
      </c>
      <c r="AK1142" s="122">
        <v>10.36</v>
      </c>
      <c r="AL1142" s="122"/>
      <c r="AM1142" s="122"/>
      <c r="AN1142" s="122"/>
    </row>
    <row r="1143" spans="1:40" ht="20.25" customHeight="1" x14ac:dyDescent="0.25">
      <c r="A1143" s="82">
        <v>45787</v>
      </c>
      <c r="B1143" s="94" t="str">
        <f t="shared" si="339"/>
        <v>May</v>
      </c>
      <c r="C1143" s="79" t="s">
        <v>2162</v>
      </c>
      <c r="D1143" s="79" t="s">
        <v>1969</v>
      </c>
      <c r="E1143" s="79" t="s">
        <v>1016</v>
      </c>
      <c r="F1143" s="79" t="s">
        <v>1690</v>
      </c>
      <c r="G1143" s="79" t="s">
        <v>45</v>
      </c>
      <c r="H1143" s="82" t="s">
        <v>2179</v>
      </c>
      <c r="I1143" s="79">
        <v>156</v>
      </c>
      <c r="J1143" s="79" t="s">
        <v>1969</v>
      </c>
      <c r="K1143" s="80" t="s">
        <v>469</v>
      </c>
      <c r="L1143" s="79">
        <f>VLOOKUP(H1143,Table2[#All],3,FALSE)</f>
        <v>560</v>
      </c>
      <c r="M1143" s="80">
        <f t="shared" si="342"/>
        <v>558</v>
      </c>
      <c r="N1143" s="81">
        <f t="shared" si="321"/>
        <v>-2</v>
      </c>
      <c r="P1143" s="82">
        <f>R1143-TIME(0,54,0)</f>
        <v>45786.729861111111</v>
      </c>
      <c r="Q1143" s="82">
        <v>45787.104166666664</v>
      </c>
      <c r="R1143" s="82">
        <v>45786.767361111109</v>
      </c>
      <c r="S1143" s="81">
        <f t="shared" ref="S1143" si="343">(R1143-Q1143)*86000/60</f>
        <v>-482.75462962847087</v>
      </c>
      <c r="T1143" s="81">
        <f t="shared" si="313"/>
        <v>53.749999997914223</v>
      </c>
      <c r="U1143" s="79" t="s">
        <v>2163</v>
      </c>
      <c r="V1143" s="82">
        <v>45787.415277777778</v>
      </c>
      <c r="W1143" s="82">
        <v>45787.550694444442</v>
      </c>
      <c r="X1143" s="103">
        <f t="shared" si="314"/>
        <v>190.9374999965803</v>
      </c>
      <c r="Y1143" s="82" t="s">
        <v>1044</v>
      </c>
      <c r="Z1143" s="82">
        <v>45792.633333333331</v>
      </c>
      <c r="AA1143" s="82">
        <f t="shared" ref="AA1143:AA1144" si="344">Z1143+TIME(0,44,0)</f>
        <v>45792.663888888885</v>
      </c>
      <c r="AB1143" s="81">
        <f t="shared" si="315"/>
        <v>43.083333330141613</v>
      </c>
      <c r="AC1143" s="82"/>
      <c r="AD1143" s="83">
        <f t="shared" si="333"/>
        <v>5.8659722222218988</v>
      </c>
      <c r="AE1143" s="83">
        <f>VLOOKUP(H1143,'LIST 2'!$A$1:$E$27,4,FALSE)</f>
        <v>2</v>
      </c>
      <c r="AF1143" s="83">
        <f t="shared" si="334"/>
        <v>-3.8659722222218988</v>
      </c>
      <c r="AG1143" s="81">
        <f t="shared" si="335"/>
        <v>140.78333333332557</v>
      </c>
      <c r="AH1143" s="81">
        <f t="shared" si="336"/>
        <v>60</v>
      </c>
      <c r="AI1143" s="81">
        <f t="shared" si="337"/>
        <v>80.783333333325572</v>
      </c>
      <c r="AJ1143" s="83">
        <f t="shared" si="316"/>
        <v>1.9310913967404373</v>
      </c>
      <c r="AK1143" s="122"/>
      <c r="AL1143" s="122"/>
      <c r="AM1143" s="122"/>
      <c r="AN1143" s="122"/>
    </row>
    <row r="1144" spans="1:40" ht="20.25" customHeight="1" x14ac:dyDescent="0.25">
      <c r="A1144" s="82">
        <v>45787</v>
      </c>
      <c r="B1144" s="94" t="str">
        <f t="shared" si="339"/>
        <v>May</v>
      </c>
      <c r="C1144" s="79" t="s">
        <v>2161</v>
      </c>
      <c r="D1144" s="79" t="s">
        <v>1970</v>
      </c>
      <c r="E1144" s="79" t="s">
        <v>1016</v>
      </c>
      <c r="F1144" s="79" t="s">
        <v>950</v>
      </c>
      <c r="G1144" s="79" t="s">
        <v>967</v>
      </c>
      <c r="H1144" s="82" t="s">
        <v>1990</v>
      </c>
      <c r="I1144" s="79">
        <v>153.6</v>
      </c>
      <c r="J1144" s="79" t="s">
        <v>1970</v>
      </c>
      <c r="K1144" s="80" t="s">
        <v>469</v>
      </c>
      <c r="L1144" s="79">
        <f>VLOOKUP(H1144,Table2[#All],3,FALSE)</f>
        <v>810</v>
      </c>
      <c r="M1144" s="80">
        <f t="shared" si="342"/>
        <v>808</v>
      </c>
      <c r="N1144" s="81">
        <f t="shared" si="321"/>
        <v>-2</v>
      </c>
      <c r="P1144" s="82">
        <f>R1144-TIME(0,23,0)</f>
        <v>45787.338194444441</v>
      </c>
      <c r="Q1144" s="82">
        <v>45787.694444444445</v>
      </c>
      <c r="R1144" s="82">
        <v>45787.354166666664</v>
      </c>
      <c r="T1144" s="81">
        <f t="shared" si="313"/>
        <v>22.893518520140788</v>
      </c>
      <c r="U1144" s="79"/>
      <c r="V1144" s="82">
        <v>45788.51666666667</v>
      </c>
      <c r="W1144" s="82">
        <v>45788.697222222225</v>
      </c>
      <c r="X1144" s="103">
        <f t="shared" si="314"/>
        <v>254.58333333219343</v>
      </c>
      <c r="Y1144" s="82" t="s">
        <v>1044</v>
      </c>
      <c r="Z1144" s="82">
        <v>45790.913888888892</v>
      </c>
      <c r="AA1144" s="82">
        <f t="shared" si="344"/>
        <v>45790.944444444445</v>
      </c>
      <c r="AB1144" s="81">
        <f t="shared" si="315"/>
        <v>43.083333330141613</v>
      </c>
      <c r="AC1144" s="82"/>
      <c r="AD1144" s="83">
        <f t="shared" si="333"/>
        <v>3.5597222222277196</v>
      </c>
      <c r="AE1144" s="83">
        <f>VLOOKUP(H1144,'LIST 2'!$A$1:$E$27,4,FALSE)</f>
        <v>3</v>
      </c>
      <c r="AF1144" s="83">
        <f t="shared" si="334"/>
        <v>-0.55972222222771961</v>
      </c>
      <c r="AG1144" s="81">
        <f t="shared" si="335"/>
        <v>85.433333333465271</v>
      </c>
      <c r="AH1144" s="81">
        <f t="shared" si="336"/>
        <v>36</v>
      </c>
      <c r="AI1144" s="81">
        <f t="shared" si="337"/>
        <v>49.433333333465271</v>
      </c>
      <c r="AJ1144" s="83">
        <f t="shared" si="316"/>
        <v>3.1072151045095757</v>
      </c>
      <c r="AK1144" s="122">
        <v>11.02</v>
      </c>
      <c r="AL1144" s="122">
        <v>11.43</v>
      </c>
      <c r="AM1144" s="122">
        <v>11.15</v>
      </c>
      <c r="AN1144" s="122"/>
    </row>
    <row r="1145" spans="1:40" ht="20.25" customHeight="1" x14ac:dyDescent="0.25">
      <c r="A1145" s="82">
        <v>45787</v>
      </c>
      <c r="B1145" s="94" t="str">
        <f t="shared" si="339"/>
        <v>May</v>
      </c>
      <c r="C1145" s="79" t="s">
        <v>2161</v>
      </c>
      <c r="D1145" s="79" t="s">
        <v>1971</v>
      </c>
      <c r="E1145" s="79"/>
      <c r="F1145" s="79" t="s">
        <v>965</v>
      </c>
      <c r="G1145" s="79" t="s">
        <v>980</v>
      </c>
      <c r="H1145" s="82" t="s">
        <v>1959</v>
      </c>
      <c r="I1145" s="79">
        <v>153.6</v>
      </c>
      <c r="J1145" s="79" t="s">
        <v>1971</v>
      </c>
      <c r="K1145" s="80" t="s">
        <v>469</v>
      </c>
      <c r="L1145" s="79">
        <f>VLOOKUP(H1145,Table2[#All],3,FALSE)</f>
        <v>304</v>
      </c>
      <c r="M1145" s="80">
        <f>L1145-1</f>
        <v>303</v>
      </c>
      <c r="N1145" s="81">
        <f t="shared" si="321"/>
        <v>-1</v>
      </c>
      <c r="P1145" s="82">
        <f>R1145-TIME(0,42,0)</f>
        <v>45786.726388888892</v>
      </c>
      <c r="Q1145" s="82">
        <v>45787.098611111112</v>
      </c>
      <c r="R1145" s="82">
        <v>45786.755555555559</v>
      </c>
      <c r="T1145" s="81">
        <f t="shared" si="313"/>
        <v>41.805555556250816</v>
      </c>
      <c r="U1145" s="79" t="s">
        <v>2165</v>
      </c>
      <c r="V1145" s="82">
        <v>45787.456250000003</v>
      </c>
      <c r="W1145" s="82">
        <v>45787.600694444445</v>
      </c>
      <c r="X1145" s="103">
        <f t="shared" si="314"/>
        <v>203.66666666370293</v>
      </c>
      <c r="Y1145" s="82" t="s">
        <v>1046</v>
      </c>
      <c r="Z1145" s="82">
        <v>45788.495138888888</v>
      </c>
      <c r="AA1145" s="82">
        <f>Z1145+TIME(0,40,0)</f>
        <v>45788.522916666669</v>
      </c>
      <c r="AB1145" s="81">
        <f t="shared" si="315"/>
        <v>39.166666671226267</v>
      </c>
      <c r="AC1145" s="82"/>
      <c r="AD1145" s="83">
        <f t="shared" si="333"/>
        <v>1.7395833333284827</v>
      </c>
      <c r="AE1145" s="83">
        <f>VLOOKUP(H1145,'LIST 2'!$A$1:$E$27,4,FALSE)</f>
        <v>2</v>
      </c>
      <c r="AF1145" s="83">
        <f t="shared" si="334"/>
        <v>0.26041666667151731</v>
      </c>
      <c r="AG1145" s="81">
        <f t="shared" si="335"/>
        <v>41.749999999883585</v>
      </c>
      <c r="AH1145" s="81">
        <f t="shared" si="336"/>
        <v>12</v>
      </c>
      <c r="AI1145" s="81">
        <f t="shared" si="337"/>
        <v>29.749999999883585</v>
      </c>
      <c r="AJ1145" s="83">
        <f t="shared" si="316"/>
        <v>5.1630252101042373</v>
      </c>
      <c r="AK1145" s="122"/>
      <c r="AL1145" s="122"/>
      <c r="AM1145" s="122"/>
      <c r="AN1145" s="122"/>
    </row>
    <row r="1146" spans="1:40" ht="20.25" customHeight="1" x14ac:dyDescent="0.25">
      <c r="A1146" s="82">
        <v>45787</v>
      </c>
      <c r="B1146" s="94" t="str">
        <f t="shared" si="339"/>
        <v>May</v>
      </c>
      <c r="C1146" s="79" t="s">
        <v>2161</v>
      </c>
      <c r="D1146" s="79" t="s">
        <v>1972</v>
      </c>
      <c r="E1146" s="79" t="s">
        <v>1016</v>
      </c>
      <c r="F1146" s="79" t="s">
        <v>1689</v>
      </c>
      <c r="G1146" s="79" t="s">
        <v>1262</v>
      </c>
      <c r="H1146" s="82" t="s">
        <v>1956</v>
      </c>
      <c r="I1146" s="79">
        <v>153.6</v>
      </c>
      <c r="J1146" s="79" t="s">
        <v>1972</v>
      </c>
      <c r="K1146" s="80" t="s">
        <v>469</v>
      </c>
      <c r="L1146" s="79">
        <f>VLOOKUP(H1146,Table2[#All],3,FALSE)</f>
        <v>596</v>
      </c>
      <c r="M1146" s="80">
        <f t="shared" si="342"/>
        <v>594</v>
      </c>
      <c r="N1146" s="81">
        <f t="shared" si="321"/>
        <v>-2</v>
      </c>
      <c r="P1146" s="82">
        <f>R1146-TIME(0,27,0)</f>
        <v>45786.694444444438</v>
      </c>
      <c r="Q1146" s="82">
        <v>45787.176388888889</v>
      </c>
      <c r="R1146" s="82">
        <v>45786.713194444441</v>
      </c>
      <c r="T1146" s="81">
        <f t="shared" si="313"/>
        <v>26.87500000417155</v>
      </c>
      <c r="U1146" s="79"/>
      <c r="V1146" s="82">
        <v>45787.359722222223</v>
      </c>
      <c r="W1146" s="82">
        <v>45787.693749999999</v>
      </c>
      <c r="X1146" s="103">
        <f t="shared" si="314"/>
        <v>470.97916666301899</v>
      </c>
      <c r="Y1146" s="82" t="s">
        <v>1049</v>
      </c>
      <c r="Z1146" s="82">
        <v>45788.518750000003</v>
      </c>
      <c r="AA1146" s="82">
        <f>Z1146+TIME(0,44,0)</f>
        <v>45788.549305555556</v>
      </c>
      <c r="AB1146" s="81">
        <f t="shared" si="315"/>
        <v>43.083333330141613</v>
      </c>
      <c r="AC1146" s="82"/>
      <c r="AD1146" s="83">
        <f t="shared" si="333"/>
        <v>1.8055555555620231</v>
      </c>
      <c r="AE1146" s="83">
        <f>VLOOKUP(H1146,'LIST 2'!$A$1:$E$27,4,FALSE)</f>
        <v>2</v>
      </c>
      <c r="AF1146" s="83">
        <f t="shared" si="334"/>
        <v>0.19444444443797693</v>
      </c>
      <c r="AG1146" s="81">
        <f t="shared" si="335"/>
        <v>43.333333333488554</v>
      </c>
      <c r="AH1146" s="81">
        <f t="shared" si="336"/>
        <v>12</v>
      </c>
      <c r="AI1146" s="81">
        <f t="shared" si="337"/>
        <v>31.333333333488554</v>
      </c>
      <c r="AJ1146" s="83">
        <f t="shared" si="316"/>
        <v>4.9021276595501835</v>
      </c>
      <c r="AK1146" s="122">
        <v>9.5500000000000007</v>
      </c>
      <c r="AL1146" s="122">
        <v>4.42</v>
      </c>
      <c r="AM1146" s="122">
        <v>4.38</v>
      </c>
      <c r="AN1146" s="122"/>
    </row>
    <row r="1147" spans="1:40" ht="20.25" customHeight="1" x14ac:dyDescent="0.25">
      <c r="A1147" s="82">
        <v>45787</v>
      </c>
      <c r="B1147" s="94" t="str">
        <f t="shared" si="339"/>
        <v>May</v>
      </c>
      <c r="C1147" s="79" t="s">
        <v>2162</v>
      </c>
      <c r="D1147" s="79" t="s">
        <v>1973</v>
      </c>
      <c r="E1147" s="79" t="s">
        <v>1016</v>
      </c>
      <c r="F1147" s="79" t="s">
        <v>1696</v>
      </c>
      <c r="G1147" s="79" t="s">
        <v>42</v>
      </c>
      <c r="H1147" s="82" t="s">
        <v>2179</v>
      </c>
      <c r="I1147" s="79">
        <v>156</v>
      </c>
      <c r="J1147" s="79" t="s">
        <v>1973</v>
      </c>
      <c r="K1147" s="80" t="s">
        <v>469</v>
      </c>
      <c r="L1147" s="79">
        <f>VLOOKUP(H1147,Table2[#All],3,FALSE)</f>
        <v>560</v>
      </c>
      <c r="M1147" s="80">
        <f t="shared" si="342"/>
        <v>558</v>
      </c>
      <c r="N1147" s="81">
        <f t="shared" si="321"/>
        <v>-2</v>
      </c>
      <c r="P1147" s="82">
        <f>R1147-TIME(0,42,0)</f>
        <v>45786.904166666667</v>
      </c>
      <c r="Q1147" s="82">
        <v>45787.416666666664</v>
      </c>
      <c r="R1147" s="82">
        <v>45786.933333333334</v>
      </c>
      <c r="S1147" s="81">
        <f t="shared" ref="S1147" si="345">(R1147-Q1147)*86000/60</f>
        <v>-692.77777777291101</v>
      </c>
      <c r="T1147" s="81">
        <f t="shared" si="313"/>
        <v>41.805555556250816</v>
      </c>
      <c r="U1147" s="79" t="s">
        <v>1671</v>
      </c>
      <c r="V1147" s="82">
        <v>45789.288888888892</v>
      </c>
      <c r="W1147" s="82">
        <v>45789.532638888886</v>
      </c>
      <c r="X1147" s="103">
        <f t="shared" si="314"/>
        <v>343.68749999179272</v>
      </c>
      <c r="Y1147" s="82" t="s">
        <v>1051</v>
      </c>
      <c r="Z1147" s="82">
        <v>45790.409722222219</v>
      </c>
      <c r="AA1147" s="82">
        <f>Z1147+TIME(0,44,0)</f>
        <v>45790.440277777772</v>
      </c>
      <c r="AB1147" s="81">
        <f>(AA1147-Z1147)*84600/60</f>
        <v>43.083333330141613</v>
      </c>
      <c r="AC1147" s="82"/>
      <c r="AD1147" s="83">
        <f t="shared" si="333"/>
        <v>3.476388888884685</v>
      </c>
      <c r="AE1147" s="83">
        <f>VLOOKUP(H1147,'LIST 2'!$A$1:$E$27,4,FALSE)</f>
        <v>2</v>
      </c>
      <c r="AF1147" s="83">
        <f t="shared" si="334"/>
        <v>-1.476388888884685</v>
      </c>
      <c r="AG1147" s="81">
        <f t="shared" si="335"/>
        <v>83.43333333323244</v>
      </c>
      <c r="AH1147" s="81">
        <f t="shared" si="336"/>
        <v>36</v>
      </c>
      <c r="AI1147" s="81">
        <f t="shared" si="337"/>
        <v>47.43333333323244</v>
      </c>
      <c r="AJ1147" s="83">
        <f t="shared" si="316"/>
        <v>3.2888264230568902</v>
      </c>
      <c r="AK1147" s="122">
        <v>10.09</v>
      </c>
      <c r="AL1147" s="122">
        <v>11.3</v>
      </c>
      <c r="AM1147" s="122">
        <v>10.37</v>
      </c>
      <c r="AN1147" s="122">
        <v>10.18</v>
      </c>
    </row>
    <row r="1148" spans="1:40" ht="20.25" customHeight="1" x14ac:dyDescent="0.25">
      <c r="A1148" s="82">
        <v>45787</v>
      </c>
      <c r="B1148" s="94" t="str">
        <f t="shared" si="339"/>
        <v>May</v>
      </c>
      <c r="C1148" s="79" t="s">
        <v>2161</v>
      </c>
      <c r="D1148" s="79" t="s">
        <v>1974</v>
      </c>
      <c r="E1148" s="79"/>
      <c r="F1148" s="79" t="s">
        <v>957</v>
      </c>
      <c r="G1148" s="79" t="s">
        <v>974</v>
      </c>
      <c r="H1148" s="82" t="s">
        <v>1959</v>
      </c>
      <c r="I1148" s="79">
        <v>153.6</v>
      </c>
      <c r="J1148" s="79" t="s">
        <v>1974</v>
      </c>
      <c r="K1148" s="80" t="s">
        <v>469</v>
      </c>
      <c r="L1148" s="79">
        <f>VLOOKUP(H1148,Table2[#All],3,FALSE)</f>
        <v>304</v>
      </c>
      <c r="M1148" s="80">
        <f t="shared" si="342"/>
        <v>302</v>
      </c>
      <c r="N1148" s="81">
        <f t="shared" si="321"/>
        <v>-2</v>
      </c>
      <c r="P1148" s="82">
        <f>R1148-TIME(0,27,0)</f>
        <v>45787.568055555552</v>
      </c>
      <c r="Q1148" s="82">
        <v>45788.098611111112</v>
      </c>
      <c r="R1148" s="82">
        <v>45787.586805555555</v>
      </c>
      <c r="T1148" s="81">
        <f t="shared" ref="T1148:T1210" si="346">(R1148-P1148)*86000/60</f>
        <v>26.87500000417155</v>
      </c>
      <c r="U1148" s="79"/>
      <c r="V1148" s="82">
        <v>45787.688888888886</v>
      </c>
      <c r="W1148" s="82">
        <v>45788.447222222225</v>
      </c>
      <c r="X1148" s="103">
        <f t="shared" ref="X1148:X1210" si="347">(W1148-V1148)*84600/60</f>
        <v>1069.2500000075233</v>
      </c>
      <c r="Y1148" s="82" t="s">
        <v>1050</v>
      </c>
      <c r="Z1148" s="82">
        <v>45790.409722222219</v>
      </c>
      <c r="AA1148" s="82">
        <f>Z1148+TIME(0,42,0)</f>
        <v>45790.438888888886</v>
      </c>
      <c r="AB1148" s="81">
        <f t="shared" si="315"/>
        <v>41.12500000068394</v>
      </c>
      <c r="AC1148" s="82"/>
      <c r="AD1148" s="83">
        <f t="shared" si="333"/>
        <v>2.8229166666642413</v>
      </c>
      <c r="AE1148" s="83">
        <f>VLOOKUP(H1148,'LIST 2'!$A$1:$E$27,4,FALSE)</f>
        <v>2</v>
      </c>
      <c r="AF1148" s="83">
        <f t="shared" si="334"/>
        <v>-0.82291666666424135</v>
      </c>
      <c r="AG1148" s="81">
        <f t="shared" si="335"/>
        <v>67.749999999941792</v>
      </c>
      <c r="AH1148" s="81">
        <f t="shared" si="336"/>
        <v>24</v>
      </c>
      <c r="AI1148" s="81">
        <f t="shared" si="337"/>
        <v>43.749999999941792</v>
      </c>
      <c r="AJ1148" s="83">
        <f t="shared" ref="AJ1148:AJ1210" si="348">I1148/AI1148</f>
        <v>3.5108571428618136</v>
      </c>
      <c r="AK1148" s="122">
        <v>0.39861111111111108</v>
      </c>
      <c r="AL1148" s="122"/>
      <c r="AM1148" s="122"/>
      <c r="AN1148" s="122"/>
    </row>
    <row r="1149" spans="1:40" ht="20.25" customHeight="1" x14ac:dyDescent="0.25">
      <c r="A1149" s="82">
        <v>45787</v>
      </c>
      <c r="B1149" s="94" t="str">
        <f t="shared" si="339"/>
        <v>May</v>
      </c>
      <c r="C1149" s="79" t="s">
        <v>2162</v>
      </c>
      <c r="D1149" s="79" t="s">
        <v>1975</v>
      </c>
      <c r="E1149" s="79" t="s">
        <v>1016</v>
      </c>
      <c r="F1149" s="79" t="s">
        <v>961</v>
      </c>
      <c r="G1149" s="79" t="s">
        <v>977</v>
      </c>
      <c r="H1149" s="82" t="s">
        <v>2185</v>
      </c>
      <c r="I1149" s="79">
        <v>156</v>
      </c>
      <c r="J1149" s="79" t="s">
        <v>1975</v>
      </c>
      <c r="K1149" s="80" t="s">
        <v>469</v>
      </c>
      <c r="L1149" s="79">
        <f>VLOOKUP(H1149,Table2[#All],3,FALSE)</f>
        <v>382</v>
      </c>
      <c r="M1149" s="80">
        <f>L1149-1</f>
        <v>381</v>
      </c>
      <c r="N1149" s="81">
        <f t="shared" si="321"/>
        <v>-1</v>
      </c>
      <c r="P1149" s="82">
        <f>R1149-TIME(0,23,0)</f>
        <v>45786.881944444445</v>
      </c>
      <c r="Q1149" s="82">
        <v>45787.416666666664</v>
      </c>
      <c r="R1149" s="82">
        <v>45786.897916666669</v>
      </c>
      <c r="S1149" s="81">
        <f t="shared" ref="S1149" si="349">(R1149-Q1149)*86000/60</f>
        <v>-743.54166666040931</v>
      </c>
      <c r="T1149" s="81">
        <f t="shared" si="346"/>
        <v>22.893518520140788</v>
      </c>
      <c r="U1149" s="79"/>
      <c r="V1149" s="82">
        <v>45787.693055555559</v>
      </c>
      <c r="W1149" s="82">
        <v>45788.484722222223</v>
      </c>
      <c r="X1149" s="103">
        <f t="shared" si="347"/>
        <v>1116.2499999965803</v>
      </c>
      <c r="Y1149" s="82" t="s">
        <v>1044</v>
      </c>
      <c r="Z1149" s="82">
        <v>45788.714583333334</v>
      </c>
      <c r="AA1149" s="82">
        <f>Z1149+TIME(0,40,0)</f>
        <v>45788.742361111115</v>
      </c>
      <c r="AB1149" s="81">
        <f t="shared" si="315"/>
        <v>39.166666671226267</v>
      </c>
      <c r="AC1149" s="82"/>
      <c r="AD1149" s="83">
        <f t="shared" si="333"/>
        <v>1.8166666666656965</v>
      </c>
      <c r="AE1149" s="83">
        <f>VLOOKUP(H1149,'LIST 2'!$A$1:$E$27,4,FALSE)</f>
        <v>2</v>
      </c>
      <c r="AF1149" s="83">
        <f t="shared" si="334"/>
        <v>0.18333333333430346</v>
      </c>
      <c r="AG1149" s="81">
        <f t="shared" si="335"/>
        <v>43.599999999976717</v>
      </c>
      <c r="AH1149" s="81">
        <f t="shared" si="336"/>
        <v>12</v>
      </c>
      <c r="AI1149" s="81">
        <f t="shared" si="337"/>
        <v>31.599999999976717</v>
      </c>
      <c r="AJ1149" s="83">
        <f t="shared" si="348"/>
        <v>4.9367088607631313</v>
      </c>
      <c r="AK1149" s="122"/>
      <c r="AL1149" s="122"/>
      <c r="AM1149" s="122"/>
      <c r="AN1149" s="122"/>
    </row>
    <row r="1150" spans="1:40" ht="20.25" customHeight="1" x14ac:dyDescent="0.25">
      <c r="A1150" s="82">
        <v>45788</v>
      </c>
      <c r="B1150" s="94" t="str">
        <f t="shared" si="339"/>
        <v>May</v>
      </c>
      <c r="C1150" s="79" t="s">
        <v>2161</v>
      </c>
      <c r="D1150" s="79" t="s">
        <v>1976</v>
      </c>
      <c r="E1150" s="79"/>
      <c r="F1150" s="79" t="s">
        <v>951</v>
      </c>
      <c r="G1150" s="79" t="s">
        <v>968</v>
      </c>
      <c r="H1150" s="82" t="s">
        <v>1989</v>
      </c>
      <c r="I1150" s="79">
        <v>153.6</v>
      </c>
      <c r="J1150" s="79" t="s">
        <v>1976</v>
      </c>
      <c r="K1150" s="80" t="s">
        <v>469</v>
      </c>
      <c r="L1150" s="79">
        <f>VLOOKUP(H1150,Table2[#All],3,FALSE)</f>
        <v>20</v>
      </c>
      <c r="M1150" s="80">
        <f t="shared" si="342"/>
        <v>18</v>
      </c>
      <c r="N1150" s="81">
        <f t="shared" si="321"/>
        <v>-2</v>
      </c>
      <c r="P1150" s="82">
        <f t="shared" ref="P1150:P1151" si="350">R1150-TIME(0,27,0)</f>
        <v>45789.74722222222</v>
      </c>
      <c r="Q1150" s="82">
        <v>45788.320833333331</v>
      </c>
      <c r="R1150" s="82">
        <v>45789.765972222223</v>
      </c>
      <c r="T1150" s="81">
        <f t="shared" si="346"/>
        <v>26.87500000417155</v>
      </c>
      <c r="U1150" s="79"/>
      <c r="V1150" s="82">
        <v>45787.707638888889</v>
      </c>
      <c r="W1150" s="82">
        <v>45787.834722222222</v>
      </c>
      <c r="X1150" s="103">
        <f t="shared" si="347"/>
        <v>179.18749999931606</v>
      </c>
      <c r="Y1150" s="82"/>
      <c r="Z1150" s="82">
        <v>45787.857638888891</v>
      </c>
      <c r="AA1150" s="82">
        <f t="shared" ref="AA1150:AA1151" si="351">Z1150+TIME(0,44,0)</f>
        <v>45787.888194444444</v>
      </c>
      <c r="AB1150" s="81">
        <f t="shared" ref="AB1150:AB1212" si="352">(AA1150-Z1150)*84600/60</f>
        <v>43.083333330141613</v>
      </c>
      <c r="AC1150" s="82"/>
      <c r="AD1150" s="83">
        <f t="shared" si="333"/>
        <v>-1.9083333333328483</v>
      </c>
      <c r="AE1150" s="83">
        <f>VLOOKUP(H1150,'LIST 2'!$A$1:$E$27,4,FALSE)</f>
        <v>1</v>
      </c>
      <c r="AF1150" s="83">
        <f t="shared" si="334"/>
        <v>2.9083333333328483</v>
      </c>
      <c r="AG1150" s="81">
        <f t="shared" si="335"/>
        <v>-45.799999999988358</v>
      </c>
      <c r="AH1150" s="81">
        <f t="shared" si="336"/>
        <v>-24</v>
      </c>
      <c r="AI1150" s="81">
        <f t="shared" si="337"/>
        <v>-21.799999999988358</v>
      </c>
      <c r="AJ1150" s="83">
        <f t="shared" si="348"/>
        <v>-7.0458715596367902</v>
      </c>
      <c r="AK1150" s="122">
        <v>7.08</v>
      </c>
      <c r="AL1150" s="122">
        <v>8</v>
      </c>
      <c r="AM1150" s="122"/>
      <c r="AN1150" s="122"/>
    </row>
    <row r="1151" spans="1:40" ht="20.25" customHeight="1" x14ac:dyDescent="0.25">
      <c r="A1151" s="82">
        <v>45788</v>
      </c>
      <c r="B1151" s="94" t="str">
        <f t="shared" si="339"/>
        <v>May</v>
      </c>
      <c r="C1151" s="79" t="s">
        <v>2161</v>
      </c>
      <c r="D1151" s="79" t="s">
        <v>1977</v>
      </c>
      <c r="E1151" s="79"/>
      <c r="F1151" s="79" t="s">
        <v>951</v>
      </c>
      <c r="G1151" s="79" t="s">
        <v>968</v>
      </c>
      <c r="H1151" s="82" t="s">
        <v>1989</v>
      </c>
      <c r="I1151" s="79">
        <v>153.6</v>
      </c>
      <c r="J1151" s="79" t="s">
        <v>1977</v>
      </c>
      <c r="K1151" s="80" t="s">
        <v>469</v>
      </c>
      <c r="L1151" s="79">
        <f>VLOOKUP(H1151,Table2[#All],3,FALSE)</f>
        <v>20</v>
      </c>
      <c r="M1151" s="80">
        <f t="shared" si="342"/>
        <v>18</v>
      </c>
      <c r="N1151" s="81">
        <f t="shared" si="321"/>
        <v>-2</v>
      </c>
      <c r="P1151" s="82">
        <f t="shared" si="350"/>
        <v>45787.659722222219</v>
      </c>
      <c r="Q1151" s="82">
        <v>45787.604166666664</v>
      </c>
      <c r="R1151" s="82">
        <v>45787.678472222222</v>
      </c>
      <c r="T1151" s="81">
        <f t="shared" si="346"/>
        <v>26.87500000417155</v>
      </c>
      <c r="U1151" s="79"/>
      <c r="V1151" s="82">
        <v>45790.511805555558</v>
      </c>
      <c r="W1151" s="82">
        <v>45790.64166666667</v>
      </c>
      <c r="X1151" s="103">
        <f t="shared" si="347"/>
        <v>183.10416666849051</v>
      </c>
      <c r="Y1151" s="82" t="s">
        <v>1047</v>
      </c>
      <c r="Z1151" s="82">
        <v>45791.387499999997</v>
      </c>
      <c r="AA1151" s="82">
        <f t="shared" si="351"/>
        <v>45791.41805555555</v>
      </c>
      <c r="AB1151" s="81">
        <f t="shared" si="352"/>
        <v>43.083333330141613</v>
      </c>
      <c r="AC1151" s="82"/>
      <c r="AD1151" s="83">
        <f t="shared" si="333"/>
        <v>3.7090277777751908</v>
      </c>
      <c r="AE1151" s="83">
        <f>VLOOKUP(H1151,'LIST 2'!$A$1:$E$27,4,FALSE)</f>
        <v>1</v>
      </c>
      <c r="AF1151" s="83">
        <f t="shared" si="334"/>
        <v>-2.7090277777751908</v>
      </c>
      <c r="AG1151" s="81">
        <f t="shared" si="335"/>
        <v>89.016666666604578</v>
      </c>
      <c r="AH1151" s="81">
        <f t="shared" si="336"/>
        <v>36</v>
      </c>
      <c r="AI1151" s="81">
        <f t="shared" si="337"/>
        <v>53.016666666604578</v>
      </c>
      <c r="AJ1151" s="83">
        <f t="shared" si="348"/>
        <v>2.8972021376959423</v>
      </c>
      <c r="AK1151" s="122">
        <v>7.38</v>
      </c>
      <c r="AL1151" s="122">
        <v>8.2200000000000006</v>
      </c>
      <c r="AM1151" s="122">
        <v>8.18</v>
      </c>
      <c r="AN1151" s="122">
        <v>7.54</v>
      </c>
    </row>
    <row r="1152" spans="1:40" ht="20.25" customHeight="1" x14ac:dyDescent="0.25">
      <c r="A1152" s="82">
        <v>45788</v>
      </c>
      <c r="B1152" s="94" t="str">
        <f t="shared" si="339"/>
        <v>May</v>
      </c>
      <c r="C1152" s="79" t="s">
        <v>2162</v>
      </c>
      <c r="D1152" s="79" t="s">
        <v>1978</v>
      </c>
      <c r="E1152" s="79" t="s">
        <v>1016</v>
      </c>
      <c r="F1152" s="79" t="s">
        <v>1960</v>
      </c>
      <c r="G1152" s="79" t="s">
        <v>1961</v>
      </c>
      <c r="H1152" s="82" t="s">
        <v>2190</v>
      </c>
      <c r="I1152" s="79">
        <v>156</v>
      </c>
      <c r="J1152" s="79" t="s">
        <v>1978</v>
      </c>
      <c r="K1152" s="80" t="s">
        <v>469</v>
      </c>
      <c r="L1152" s="79">
        <f>VLOOKUP(H1152,Table2[#All],3,FALSE)</f>
        <v>680</v>
      </c>
      <c r="M1152" s="80">
        <f t="shared" si="342"/>
        <v>678</v>
      </c>
      <c r="N1152" s="81">
        <f t="shared" si="321"/>
        <v>-2</v>
      </c>
      <c r="P1152" s="82">
        <f>R1152-TIME(0,38,0)</f>
        <v>45787.908333333333</v>
      </c>
      <c r="Q1152" s="82">
        <v>45787.875</v>
      </c>
      <c r="R1152" s="82">
        <v>45787.93472222222</v>
      </c>
      <c r="S1152" s="81">
        <f t="shared" ref="S1152" si="353">(R1152-Q1152)*86000/60</f>
        <v>85.601851849302577</v>
      </c>
      <c r="T1152" s="81">
        <f t="shared" si="346"/>
        <v>37.82407407222005</v>
      </c>
      <c r="U1152" s="79" t="s">
        <v>562</v>
      </c>
      <c r="V1152" s="82">
        <v>45788.807638888888</v>
      </c>
      <c r="W1152" s="82">
        <v>45789.631944444445</v>
      </c>
      <c r="X1152" s="103">
        <f t="shared" si="347"/>
        <v>1162.2708333362971</v>
      </c>
      <c r="Y1152" s="82" t="s">
        <v>1049</v>
      </c>
      <c r="Z1152" s="82">
        <v>45790.286111111112</v>
      </c>
      <c r="AA1152" s="82">
        <f>Z1152+TIME(0,40,0)</f>
        <v>45790.313888888893</v>
      </c>
      <c r="AB1152" s="81">
        <f t="shared" si="352"/>
        <v>39.166666671226267</v>
      </c>
      <c r="AC1152" s="82"/>
      <c r="AD1152" s="83">
        <f t="shared" si="333"/>
        <v>2.351388888891961</v>
      </c>
      <c r="AE1152" s="83">
        <f>VLOOKUP(H1152,'LIST 2'!$A$1:$E$27,4,FALSE)</f>
        <v>3</v>
      </c>
      <c r="AF1152" s="83">
        <f t="shared" si="334"/>
        <v>0.64861111110803904</v>
      </c>
      <c r="AG1152" s="81">
        <f t="shared" si="335"/>
        <v>56.433333333407063</v>
      </c>
      <c r="AH1152" s="81">
        <f t="shared" si="336"/>
        <v>24</v>
      </c>
      <c r="AI1152" s="81">
        <f t="shared" si="337"/>
        <v>32.433333333407063</v>
      </c>
      <c r="AJ1152" s="83">
        <f t="shared" si="348"/>
        <v>4.8098663925892717</v>
      </c>
      <c r="AK1152" s="122"/>
      <c r="AL1152" s="122"/>
      <c r="AM1152" s="122"/>
      <c r="AN1152" s="122"/>
    </row>
    <row r="1153" spans="1:40" ht="20.25" customHeight="1" x14ac:dyDescent="0.25">
      <c r="A1153" s="82">
        <v>45788</v>
      </c>
      <c r="B1153" s="94" t="str">
        <f t="shared" si="339"/>
        <v>May</v>
      </c>
      <c r="C1153" s="79" t="s">
        <v>2161</v>
      </c>
      <c r="D1153" s="79" t="s">
        <v>1979</v>
      </c>
      <c r="E1153" s="79"/>
      <c r="F1153" s="79" t="s">
        <v>952</v>
      </c>
      <c r="G1153" s="79" t="s">
        <v>969</v>
      </c>
      <c r="H1153" s="82" t="s">
        <v>1989</v>
      </c>
      <c r="I1153" s="79">
        <v>153.6</v>
      </c>
      <c r="J1153" s="79" t="s">
        <v>1979</v>
      </c>
      <c r="K1153" s="80" t="s">
        <v>469</v>
      </c>
      <c r="L1153" s="79">
        <f>VLOOKUP(H1153,Table2[#All],3,FALSE)</f>
        <v>20</v>
      </c>
      <c r="M1153" s="80">
        <f t="shared" si="342"/>
        <v>18</v>
      </c>
      <c r="N1153" s="81">
        <f t="shared" si="321"/>
        <v>-2</v>
      </c>
      <c r="P1153" s="82">
        <f>R1153-TIME(0,50,0)</f>
        <v>45787.597916666673</v>
      </c>
      <c r="Q1153" s="82">
        <v>45787.583333333336</v>
      </c>
      <c r="R1153" s="82">
        <v>45787.632638888892</v>
      </c>
      <c r="T1153" s="81">
        <f t="shared" si="346"/>
        <v>49.768518513883464</v>
      </c>
      <c r="U1153" s="79" t="s">
        <v>2167</v>
      </c>
      <c r="V1153" s="82">
        <v>45787.711805555555</v>
      </c>
      <c r="W1153" s="82">
        <v>45787.796527777777</v>
      </c>
      <c r="X1153" s="103">
        <f t="shared" si="347"/>
        <v>119.45833333287737</v>
      </c>
      <c r="Y1153" s="82"/>
      <c r="Z1153" s="82">
        <v>45790.286111111112</v>
      </c>
      <c r="AA1153" s="82">
        <f>Z1153+TIME(0,44,0)</f>
        <v>45790.316666666666</v>
      </c>
      <c r="AB1153" s="81">
        <f t="shared" si="352"/>
        <v>43.083333330141613</v>
      </c>
      <c r="AC1153" s="82"/>
      <c r="AD1153" s="83">
        <f t="shared" si="333"/>
        <v>2.6534722222204437</v>
      </c>
      <c r="AE1153" s="83">
        <f>VLOOKUP(H1153,'LIST 2'!$A$1:$E$27,4,FALSE)</f>
        <v>1</v>
      </c>
      <c r="AF1153" s="83">
        <f t="shared" si="334"/>
        <v>-1.6534722222204437</v>
      </c>
      <c r="AG1153" s="81">
        <f t="shared" si="335"/>
        <v>63.683333333290648</v>
      </c>
      <c r="AH1153" s="81">
        <f t="shared" si="336"/>
        <v>24</v>
      </c>
      <c r="AI1153" s="81">
        <f t="shared" si="337"/>
        <v>39.683333333290648</v>
      </c>
      <c r="AJ1153" s="83">
        <f t="shared" si="348"/>
        <v>3.8706425871524202</v>
      </c>
      <c r="AK1153" s="122">
        <v>7.38</v>
      </c>
      <c r="AL1153" s="122">
        <v>7.22</v>
      </c>
      <c r="AM1153" s="122">
        <v>8.18</v>
      </c>
      <c r="AN1153" s="122">
        <v>7.34</v>
      </c>
    </row>
    <row r="1154" spans="1:40" ht="20.25" customHeight="1" x14ac:dyDescent="0.25">
      <c r="A1154" s="82">
        <v>45788</v>
      </c>
      <c r="B1154" s="94" t="str">
        <f t="shared" si="339"/>
        <v>May</v>
      </c>
      <c r="C1154" s="79" t="s">
        <v>2162</v>
      </c>
      <c r="D1154" s="79" t="s">
        <v>1980</v>
      </c>
      <c r="E1154" s="79" t="s">
        <v>1016</v>
      </c>
      <c r="F1154" s="79" t="s">
        <v>1962</v>
      </c>
      <c r="G1154" s="79" t="s">
        <v>56</v>
      </c>
      <c r="H1154" s="82" t="s">
        <v>2183</v>
      </c>
      <c r="I1154" s="79">
        <v>156</v>
      </c>
      <c r="J1154" s="79" t="s">
        <v>1980</v>
      </c>
      <c r="K1154" s="80" t="s">
        <v>469</v>
      </c>
      <c r="L1154" s="79">
        <f>VLOOKUP(H1154,Table2[#All],3,FALSE)</f>
        <v>690</v>
      </c>
      <c r="M1154" s="80">
        <f t="shared" si="342"/>
        <v>688</v>
      </c>
      <c r="N1154" s="81">
        <f t="shared" si="321"/>
        <v>-2</v>
      </c>
      <c r="P1154" s="82">
        <f>R1154-TIME(0,42,0)</f>
        <v>45787.73333333333</v>
      </c>
      <c r="Q1154" s="82">
        <v>45787.815972222219</v>
      </c>
      <c r="R1154" s="82">
        <v>45787.762499999997</v>
      </c>
      <c r="S1154" s="81">
        <f t="shared" ref="S1154:S1158" si="354">(R1154-Q1154)*86000/60</f>
        <v>-76.643518518055018</v>
      </c>
      <c r="T1154" s="81">
        <f t="shared" si="346"/>
        <v>41.805555556250816</v>
      </c>
      <c r="U1154" s="79" t="s">
        <v>2163</v>
      </c>
      <c r="V1154" s="82">
        <v>45789.470833333333</v>
      </c>
      <c r="W1154" s="82">
        <v>45789.617361111108</v>
      </c>
      <c r="X1154" s="103">
        <f t="shared" si="347"/>
        <v>206.60416666301899</v>
      </c>
      <c r="Y1154" s="82" t="s">
        <v>1044</v>
      </c>
      <c r="Z1154" s="82">
        <v>45790.526388888888</v>
      </c>
      <c r="AA1154" s="82">
        <f>Z1154+TIME(0,42,0)</f>
        <v>45790.555555555555</v>
      </c>
      <c r="AB1154" s="81">
        <f t="shared" si="352"/>
        <v>41.12500000068394</v>
      </c>
      <c r="AC1154" s="82"/>
      <c r="AD1154" s="83">
        <f t="shared" si="333"/>
        <v>2.7638888888905058</v>
      </c>
      <c r="AE1154" s="83">
        <f>VLOOKUP(H1154,'LIST 2'!$A$1:$E$27,4,FALSE)</f>
        <v>3</v>
      </c>
      <c r="AF1154" s="83">
        <f t="shared" si="334"/>
        <v>0.23611111110949423</v>
      </c>
      <c r="AG1154" s="81">
        <f t="shared" si="335"/>
        <v>66.333333333372138</v>
      </c>
      <c r="AH1154" s="81">
        <f t="shared" si="336"/>
        <v>24</v>
      </c>
      <c r="AI1154" s="81">
        <f t="shared" si="337"/>
        <v>42.333333333372138</v>
      </c>
      <c r="AJ1154" s="83">
        <f t="shared" si="348"/>
        <v>3.6850393700753621</v>
      </c>
      <c r="AK1154" s="122"/>
      <c r="AL1154" s="122"/>
      <c r="AM1154" s="122"/>
      <c r="AN1154" s="122"/>
    </row>
    <row r="1155" spans="1:40" ht="20.25" customHeight="1" x14ac:dyDescent="0.25">
      <c r="A1155" s="82">
        <v>45788</v>
      </c>
      <c r="B1155" s="94" t="str">
        <f t="shared" si="339"/>
        <v>May</v>
      </c>
      <c r="C1155" s="79" t="s">
        <v>2162</v>
      </c>
      <c r="D1155" s="79" t="s">
        <v>1981</v>
      </c>
      <c r="E1155" s="79" t="s">
        <v>1016</v>
      </c>
      <c r="F1155" s="79" t="s">
        <v>963</v>
      </c>
      <c r="G1155" s="79" t="s">
        <v>60</v>
      </c>
      <c r="H1155" s="82" t="s">
        <v>2177</v>
      </c>
      <c r="I1155" s="79">
        <v>156</v>
      </c>
      <c r="J1155" s="79" t="s">
        <v>1981</v>
      </c>
      <c r="K1155" s="80" t="s">
        <v>469</v>
      </c>
      <c r="L1155" s="79">
        <f>VLOOKUP(H1155,Table2[#All],3,FALSE)</f>
        <v>448</v>
      </c>
      <c r="M1155" s="80">
        <f t="shared" si="342"/>
        <v>446</v>
      </c>
      <c r="N1155" s="81">
        <f t="shared" si="321"/>
        <v>-2</v>
      </c>
      <c r="P1155" s="82">
        <f>R1155-TIME(0,23,0)</f>
        <v>45787.895833333336</v>
      </c>
      <c r="Q1155" s="82">
        <v>45788.0625</v>
      </c>
      <c r="R1155" s="82">
        <v>45787.911805555559</v>
      </c>
      <c r="S1155" s="81">
        <f t="shared" si="354"/>
        <v>-215.99537036527181</v>
      </c>
      <c r="T1155" s="81">
        <f t="shared" si="346"/>
        <v>22.893518520140788</v>
      </c>
      <c r="U1155" s="79"/>
      <c r="V1155" s="82">
        <v>45789.387499999997</v>
      </c>
      <c r="W1155" s="82">
        <v>45789.588194444441</v>
      </c>
      <c r="X1155" s="103">
        <f t="shared" si="347"/>
        <v>282.97916666575475</v>
      </c>
      <c r="Y1155" s="82" t="s">
        <v>1046</v>
      </c>
      <c r="Z1155" s="82">
        <v>45790.352083333331</v>
      </c>
      <c r="AA1155" s="82">
        <f>Z1155+TIME(0,44,0)</f>
        <v>45790.382638888885</v>
      </c>
      <c r="AB1155" s="81">
        <f t="shared" si="352"/>
        <v>43.083333330141613</v>
      </c>
      <c r="AC1155" s="82"/>
      <c r="AD1155" s="83">
        <f t="shared" si="333"/>
        <v>2.4402777777722804</v>
      </c>
      <c r="AE1155" s="83">
        <f>VLOOKUP(H1155,'LIST 2'!$A$1:$E$27,4,FALSE)</f>
        <v>2</v>
      </c>
      <c r="AF1155" s="83">
        <f t="shared" si="334"/>
        <v>-0.44027777777228039</v>
      </c>
      <c r="AG1155" s="81">
        <f t="shared" si="335"/>
        <v>58.566666666534729</v>
      </c>
      <c r="AH1155" s="81">
        <f t="shared" si="336"/>
        <v>24</v>
      </c>
      <c r="AI1155" s="81">
        <f t="shared" si="337"/>
        <v>34.566666666534729</v>
      </c>
      <c r="AJ1155" s="83">
        <f t="shared" si="348"/>
        <v>4.513018322100157</v>
      </c>
      <c r="AK1155" s="122"/>
      <c r="AL1155" s="122"/>
      <c r="AM1155" s="122"/>
      <c r="AN1155" s="122"/>
    </row>
    <row r="1156" spans="1:40" ht="20.25" customHeight="1" x14ac:dyDescent="0.25">
      <c r="A1156" s="82">
        <v>45788</v>
      </c>
      <c r="B1156" s="94" t="str">
        <f t="shared" si="339"/>
        <v>May</v>
      </c>
      <c r="C1156" s="79" t="s">
        <v>2162</v>
      </c>
      <c r="D1156" s="79" t="s">
        <v>1982</v>
      </c>
      <c r="E1156" s="79" t="s">
        <v>1016</v>
      </c>
      <c r="F1156" s="79" t="s">
        <v>1695</v>
      </c>
      <c r="G1156" s="79" t="s">
        <v>74</v>
      </c>
      <c r="H1156" s="82" t="s">
        <v>1959</v>
      </c>
      <c r="I1156" s="79">
        <v>156</v>
      </c>
      <c r="J1156" s="79" t="s">
        <v>1982</v>
      </c>
      <c r="K1156" s="80" t="s">
        <v>469</v>
      </c>
      <c r="L1156" s="79">
        <f>VLOOKUP(H1156,Table2[#All],3,FALSE)</f>
        <v>304</v>
      </c>
      <c r="M1156" s="80">
        <f t="shared" si="342"/>
        <v>302</v>
      </c>
      <c r="N1156" s="81">
        <f t="shared" si="321"/>
        <v>-2</v>
      </c>
      <c r="P1156" s="82">
        <f>R1156-TIME(0,23,0)</f>
        <v>45787.907638888886</v>
      </c>
      <c r="Q1156" s="82">
        <v>45788.098611111112</v>
      </c>
      <c r="R1156" s="82">
        <v>45787.923611111109</v>
      </c>
      <c r="S1156" s="81">
        <f t="shared" si="354"/>
        <v>-250.83333333750488</v>
      </c>
      <c r="T1156" s="81">
        <f t="shared" si="346"/>
        <v>22.893518520140788</v>
      </c>
      <c r="U1156" s="79"/>
      <c r="V1156" s="82">
        <v>45789.320138888892</v>
      </c>
      <c r="W1156" s="82">
        <v>45789.504166666666</v>
      </c>
      <c r="X1156" s="103">
        <f t="shared" si="347"/>
        <v>259.47916666096717</v>
      </c>
      <c r="Y1156" s="82" t="s">
        <v>1049</v>
      </c>
      <c r="Z1156" s="82">
        <v>45789.865972222222</v>
      </c>
      <c r="AA1156" s="82">
        <f>Z1156+TIME(0,52,0)</f>
        <v>45789.902083333334</v>
      </c>
      <c r="AB1156" s="81">
        <f t="shared" si="352"/>
        <v>50.916666668490507</v>
      </c>
      <c r="AC1156" s="82" t="s">
        <v>2168</v>
      </c>
      <c r="AD1156" s="83">
        <f t="shared" si="333"/>
        <v>1.9423611111124046</v>
      </c>
      <c r="AE1156" s="83">
        <f>VLOOKUP(H1156,'LIST 2'!$A$1:$E$27,4,FALSE)</f>
        <v>2</v>
      </c>
      <c r="AF1156" s="83">
        <f t="shared" si="334"/>
        <v>5.7638888887595385E-2</v>
      </c>
      <c r="AG1156" s="81">
        <f t="shared" si="335"/>
        <v>46.616666666697711</v>
      </c>
      <c r="AH1156" s="81">
        <f t="shared" si="336"/>
        <v>12</v>
      </c>
      <c r="AI1156" s="81">
        <f t="shared" si="337"/>
        <v>34.616666666697711</v>
      </c>
      <c r="AJ1156" s="83">
        <f t="shared" si="348"/>
        <v>4.506499759264134</v>
      </c>
      <c r="AK1156" s="122"/>
      <c r="AL1156" s="122"/>
      <c r="AM1156" s="122"/>
      <c r="AN1156" s="122"/>
    </row>
    <row r="1157" spans="1:40" ht="20.25" customHeight="1" x14ac:dyDescent="0.25">
      <c r="A1157" s="82">
        <v>45788</v>
      </c>
      <c r="B1157" s="94" t="str">
        <f t="shared" si="339"/>
        <v>May</v>
      </c>
      <c r="C1157" s="79" t="s">
        <v>2162</v>
      </c>
      <c r="D1157" s="79" t="s">
        <v>1983</v>
      </c>
      <c r="E1157" s="79" t="s">
        <v>1016</v>
      </c>
      <c r="F1157" s="79" t="s">
        <v>1963</v>
      </c>
      <c r="G1157" s="79" t="s">
        <v>43</v>
      </c>
      <c r="H1157" s="82" t="s">
        <v>2177</v>
      </c>
      <c r="I1157" s="79">
        <v>156</v>
      </c>
      <c r="J1157" s="79" t="s">
        <v>1983</v>
      </c>
      <c r="K1157" s="80" t="s">
        <v>469</v>
      </c>
      <c r="L1157" s="79">
        <f>VLOOKUP(H1157,Table2[#All],3,FALSE)</f>
        <v>448</v>
      </c>
      <c r="M1157" s="80">
        <f t="shared" si="342"/>
        <v>446</v>
      </c>
      <c r="N1157" s="81">
        <f t="shared" si="321"/>
        <v>-2</v>
      </c>
      <c r="P1157" s="82">
        <f>R1157-TIME(0,54,0)</f>
        <v>45787.84097222222</v>
      </c>
      <c r="Q1157" s="82">
        <v>45788.0625</v>
      </c>
      <c r="R1157" s="82">
        <v>45787.878472222219</v>
      </c>
      <c r="S1157" s="81">
        <f t="shared" si="354"/>
        <v>-263.77314815278322</v>
      </c>
      <c r="T1157" s="81">
        <f t="shared" si="346"/>
        <v>53.749999997914223</v>
      </c>
      <c r="U1157" s="79" t="s">
        <v>2166</v>
      </c>
      <c r="V1157" s="82">
        <v>45788.549305555556</v>
      </c>
      <c r="W1157" s="82">
        <v>45789.570833333331</v>
      </c>
      <c r="X1157" s="103">
        <f t="shared" si="347"/>
        <v>1440.354166663019</v>
      </c>
      <c r="Y1157" s="82" t="s">
        <v>1050</v>
      </c>
      <c r="Z1157" s="82">
        <v>45790.493750000001</v>
      </c>
      <c r="AA1157" s="82">
        <f>Z1157+TIME(0,40,0)</f>
        <v>45790.521527777782</v>
      </c>
      <c r="AB1157" s="81">
        <f t="shared" si="352"/>
        <v>39.166666671226267</v>
      </c>
      <c r="AC1157" s="82"/>
      <c r="AD1157" s="83">
        <f t="shared" si="333"/>
        <v>2.6152777777824667</v>
      </c>
      <c r="AE1157" s="83">
        <f>VLOOKUP(H1157,'LIST 2'!$A$1:$E$27,4,FALSE)</f>
        <v>2</v>
      </c>
      <c r="AF1157" s="83">
        <f t="shared" si="334"/>
        <v>-0.61527777778246673</v>
      </c>
      <c r="AG1157" s="81">
        <f t="shared" si="335"/>
        <v>62.766666666779201</v>
      </c>
      <c r="AH1157" s="81">
        <f t="shared" si="336"/>
        <v>24</v>
      </c>
      <c r="AI1157" s="81">
        <f t="shared" si="337"/>
        <v>38.766666666779201</v>
      </c>
      <c r="AJ1157" s="83">
        <f t="shared" si="348"/>
        <v>4.0240756663683701</v>
      </c>
      <c r="AK1157" s="122"/>
      <c r="AL1157" s="122"/>
      <c r="AM1157" s="122"/>
      <c r="AN1157" s="122"/>
    </row>
    <row r="1158" spans="1:40" ht="20.25" customHeight="1" x14ac:dyDescent="0.25">
      <c r="A1158" s="82">
        <v>45788</v>
      </c>
      <c r="B1158" s="94" t="str">
        <f t="shared" si="339"/>
        <v>May</v>
      </c>
      <c r="C1158" s="79" t="s">
        <v>2162</v>
      </c>
      <c r="D1158" s="79" t="s">
        <v>1984</v>
      </c>
      <c r="E1158" s="79" t="s">
        <v>1016</v>
      </c>
      <c r="F1158" s="79" t="s">
        <v>1692</v>
      </c>
      <c r="G1158" s="79" t="s">
        <v>50</v>
      </c>
      <c r="H1158" s="82" t="s">
        <v>2185</v>
      </c>
      <c r="I1158" s="79">
        <v>156</v>
      </c>
      <c r="J1158" s="79" t="s">
        <v>1984</v>
      </c>
      <c r="K1158" s="80" t="s">
        <v>469</v>
      </c>
      <c r="L1158" s="79">
        <f>VLOOKUP(H1158,Table2[#All],3,FALSE)</f>
        <v>382</v>
      </c>
      <c r="M1158" s="80">
        <f t="shared" si="342"/>
        <v>380</v>
      </c>
      <c r="N1158" s="81">
        <f t="shared" si="321"/>
        <v>-2</v>
      </c>
      <c r="P1158" s="82">
        <f t="shared" ref="P1158:P1159" si="355">R1158-TIME(0,23,0)</f>
        <v>45787.931944444441</v>
      </c>
      <c r="Q1158" s="82">
        <v>45788.179861111108</v>
      </c>
      <c r="R1158" s="82">
        <v>45787.947916666664</v>
      </c>
      <c r="S1158" s="81">
        <f t="shared" si="354"/>
        <v>-332.45370370277669</v>
      </c>
      <c r="T1158" s="81">
        <f t="shared" si="346"/>
        <v>22.893518520140788</v>
      </c>
      <c r="U1158" s="79"/>
      <c r="V1158" s="82">
        <v>45788.765972222223</v>
      </c>
      <c r="W1158" s="82">
        <v>45789.478472222225</v>
      </c>
      <c r="X1158" s="103">
        <f t="shared" si="347"/>
        <v>1004.6250000020518</v>
      </c>
      <c r="Y1158" s="82" t="s">
        <v>1049</v>
      </c>
      <c r="Z1158" s="82"/>
      <c r="AA1158" s="82">
        <f>Z1158+TIME(0,42,0)</f>
        <v>2.9166666666666664E-2</v>
      </c>
      <c r="AB1158" s="81">
        <f t="shared" si="352"/>
        <v>41.124999999999993</v>
      </c>
      <c r="AC1158" s="82"/>
      <c r="AD1158" s="83">
        <f t="shared" si="333"/>
        <v>-45787.947916666664</v>
      </c>
      <c r="AE1158" s="83">
        <f>VLOOKUP(H1158,'LIST 2'!$A$1:$E$27,4,FALSE)</f>
        <v>2</v>
      </c>
      <c r="AF1158" s="83">
        <f t="shared" si="334"/>
        <v>45789.947916666664</v>
      </c>
      <c r="AG1158" s="81">
        <f t="shared" si="335"/>
        <v>-1098910.75</v>
      </c>
      <c r="AH1158" s="81">
        <f t="shared" si="336"/>
        <v>-549456</v>
      </c>
      <c r="AI1158" s="81">
        <f t="shared" si="337"/>
        <v>-549454.75</v>
      </c>
      <c r="AJ1158" s="83">
        <f t="shared" si="348"/>
        <v>-2.8391782944819384E-4</v>
      </c>
      <c r="AK1158" s="122"/>
      <c r="AL1158" s="122"/>
      <c r="AM1158" s="122"/>
      <c r="AN1158" s="122"/>
    </row>
    <row r="1159" spans="1:40" ht="20.25" customHeight="1" x14ac:dyDescent="0.25">
      <c r="A1159" s="82">
        <v>45788</v>
      </c>
      <c r="B1159" s="94" t="str">
        <f t="shared" si="339"/>
        <v>May</v>
      </c>
      <c r="C1159" s="79" t="s">
        <v>2161</v>
      </c>
      <c r="D1159" s="79" t="s">
        <v>1985</v>
      </c>
      <c r="E1159" s="79" t="s">
        <v>1016</v>
      </c>
      <c r="F1159" s="79" t="s">
        <v>952</v>
      </c>
      <c r="G1159" s="79" t="s">
        <v>969</v>
      </c>
      <c r="H1159" s="82" t="s">
        <v>1957</v>
      </c>
      <c r="I1159" s="79">
        <v>153.6</v>
      </c>
      <c r="J1159" s="79" t="s">
        <v>1985</v>
      </c>
      <c r="K1159" s="80" t="s">
        <v>469</v>
      </c>
      <c r="L1159" s="79">
        <f>VLOOKUP(H1159,Table2[#All],3,FALSE)</f>
        <v>288</v>
      </c>
      <c r="M1159" s="80">
        <f t="shared" si="342"/>
        <v>286</v>
      </c>
      <c r="N1159" s="81">
        <f t="shared" si="321"/>
        <v>-2</v>
      </c>
      <c r="P1159" s="82">
        <f t="shared" si="355"/>
        <v>45787.847222222219</v>
      </c>
      <c r="Q1159" s="82">
        <v>45788.154861111114</v>
      </c>
      <c r="R1159" s="82">
        <v>45787.863194444442</v>
      </c>
      <c r="T1159" s="81">
        <f t="shared" si="346"/>
        <v>22.893518520140788</v>
      </c>
      <c r="U1159" s="79"/>
      <c r="V1159" s="82">
        <v>45788.495833333334</v>
      </c>
      <c r="W1159" s="82">
        <v>45788.623611111114</v>
      </c>
      <c r="X1159" s="103">
        <f t="shared" si="347"/>
        <v>180.16666666917445</v>
      </c>
      <c r="Y1159" s="82" t="s">
        <v>1051</v>
      </c>
      <c r="Z1159" s="82">
        <v>45789.549305555556</v>
      </c>
      <c r="AA1159" s="82">
        <f>Z1159+TIME(0,57,0)</f>
        <v>45789.588888888888</v>
      </c>
      <c r="AB1159" s="81">
        <f t="shared" si="352"/>
        <v>55.81249999726424</v>
      </c>
      <c r="AC1159" s="82" t="s">
        <v>1676</v>
      </c>
      <c r="AD1159" s="83">
        <f t="shared" si="333"/>
        <v>1.6861111111138598</v>
      </c>
      <c r="AE1159" s="83">
        <f>VLOOKUP(H1159,'LIST 2'!$A$1:$E$27,4,FALSE)</f>
        <v>2</v>
      </c>
      <c r="AF1159" s="83">
        <f t="shared" si="334"/>
        <v>0.31388888888614019</v>
      </c>
      <c r="AG1159" s="81">
        <f t="shared" si="335"/>
        <v>40.466666666732635</v>
      </c>
      <c r="AH1159" s="81">
        <f t="shared" si="336"/>
        <v>12</v>
      </c>
      <c r="AI1159" s="81">
        <f t="shared" si="337"/>
        <v>28.466666666732635</v>
      </c>
      <c r="AJ1159" s="83">
        <f t="shared" si="348"/>
        <v>5.3957845433130229</v>
      </c>
      <c r="AK1159" s="122">
        <v>11.13</v>
      </c>
      <c r="AL1159" s="122">
        <v>11.4</v>
      </c>
      <c r="AM1159" s="122">
        <v>11</v>
      </c>
      <c r="AN1159" s="122"/>
    </row>
    <row r="1160" spans="1:40" ht="20.25" customHeight="1" x14ac:dyDescent="0.25">
      <c r="A1160" s="82">
        <v>45788</v>
      </c>
      <c r="B1160" s="94" t="str">
        <f t="shared" si="339"/>
        <v>May</v>
      </c>
      <c r="C1160" s="79" t="s">
        <v>2161</v>
      </c>
      <c r="D1160" s="79" t="s">
        <v>1986</v>
      </c>
      <c r="E1160" s="79" t="s">
        <v>1016</v>
      </c>
      <c r="F1160" s="79" t="s">
        <v>953</v>
      </c>
      <c r="G1160" s="79" t="s">
        <v>970</v>
      </c>
      <c r="H1160" s="82" t="s">
        <v>1991</v>
      </c>
      <c r="I1160" s="79">
        <v>153.6</v>
      </c>
      <c r="J1160" s="79" t="s">
        <v>1986</v>
      </c>
      <c r="K1160" s="80" t="s">
        <v>469</v>
      </c>
      <c r="L1160" s="79">
        <f>VLOOKUP(H1160,Table2[#All],3,FALSE)</f>
        <v>272</v>
      </c>
      <c r="M1160" s="80">
        <f t="shared" si="342"/>
        <v>270</v>
      </c>
      <c r="N1160" s="81">
        <f t="shared" si="321"/>
        <v>-2</v>
      </c>
      <c r="P1160" s="82">
        <f>R1160-TIME(0,23,0)</f>
        <v>45787.71597222222</v>
      </c>
      <c r="Q1160" s="82">
        <v>45788.082638888889</v>
      </c>
      <c r="R1160" s="82">
        <v>45787.731944444444</v>
      </c>
      <c r="T1160" s="81">
        <f t="shared" si="346"/>
        <v>22.893518520140788</v>
      </c>
      <c r="U1160" s="79"/>
      <c r="V1160" s="82">
        <v>45788.478472222225</v>
      </c>
      <c r="W1160" s="82">
        <v>45788.681250000001</v>
      </c>
      <c r="X1160" s="103">
        <f t="shared" si="347"/>
        <v>285.91666666507081</v>
      </c>
      <c r="Y1160" s="82" t="s">
        <v>1050</v>
      </c>
      <c r="Z1160" s="82">
        <v>45789.442361111112</v>
      </c>
      <c r="AA1160" s="82">
        <f>Z1160+TIME(0,40,0)</f>
        <v>45789.470138888893</v>
      </c>
      <c r="AB1160" s="81">
        <f t="shared" si="352"/>
        <v>39.166666671226267</v>
      </c>
      <c r="AC1160" s="82"/>
      <c r="AD1160" s="83">
        <f t="shared" si="333"/>
        <v>1.7104166666686069</v>
      </c>
      <c r="AE1160" s="83">
        <f>VLOOKUP(H1160,'LIST 2'!$A$1:$E$27,4,FALSE)</f>
        <v>2</v>
      </c>
      <c r="AF1160" s="83">
        <f t="shared" si="334"/>
        <v>0.28958333333139308</v>
      </c>
      <c r="AG1160" s="81">
        <f t="shared" si="335"/>
        <v>41.050000000046566</v>
      </c>
      <c r="AH1160" s="81">
        <f t="shared" si="336"/>
        <v>12</v>
      </c>
      <c r="AI1160" s="81">
        <f t="shared" si="337"/>
        <v>29.050000000046566</v>
      </c>
      <c r="AJ1160" s="83">
        <f t="shared" si="348"/>
        <v>5.2874354561016794</v>
      </c>
      <c r="AK1160" s="122">
        <v>10.36</v>
      </c>
      <c r="AL1160" s="122">
        <v>11.47</v>
      </c>
      <c r="AM1160" s="122">
        <v>10.36</v>
      </c>
      <c r="AN1160" s="122"/>
    </row>
    <row r="1161" spans="1:40" ht="20.25" customHeight="1" x14ac:dyDescent="0.25">
      <c r="A1161" s="82">
        <v>45788</v>
      </c>
      <c r="B1161" s="94" t="str">
        <f t="shared" si="339"/>
        <v>May</v>
      </c>
      <c r="C1161" s="79" t="s">
        <v>2161</v>
      </c>
      <c r="D1161" s="79" t="s">
        <v>1987</v>
      </c>
      <c r="E1161" s="79" t="s">
        <v>1016</v>
      </c>
      <c r="F1161" s="79" t="s">
        <v>956</v>
      </c>
      <c r="G1161" s="79" t="s">
        <v>973</v>
      </c>
      <c r="H1161" s="82" t="s">
        <v>1956</v>
      </c>
      <c r="I1161" s="79">
        <v>153.6</v>
      </c>
      <c r="J1161" s="79" t="s">
        <v>1987</v>
      </c>
      <c r="K1161" s="80" t="s">
        <v>469</v>
      </c>
      <c r="L1161" s="79">
        <f>VLOOKUP(H1161,Table2[#All],3,FALSE)</f>
        <v>596</v>
      </c>
      <c r="M1161" s="80">
        <f t="shared" si="342"/>
        <v>594</v>
      </c>
      <c r="N1161" s="81">
        <f t="shared" si="321"/>
        <v>-2</v>
      </c>
      <c r="P1161" s="82">
        <f>R1161-TIME(0,21,0)</f>
        <v>45787.667361111111</v>
      </c>
      <c r="Q1161" s="82">
        <v>45788.176388888889</v>
      </c>
      <c r="R1161" s="82">
        <v>45787.681944444441</v>
      </c>
      <c r="T1161" s="81">
        <f t="shared" si="346"/>
        <v>20.902777772910969</v>
      </c>
      <c r="U1161" s="79"/>
      <c r="V1161" s="82">
        <v>45788.507638888892</v>
      </c>
      <c r="W1161" s="82">
        <v>45788.75</v>
      </c>
      <c r="X1161" s="103">
        <f t="shared" si="347"/>
        <v>341.72916666233505</v>
      </c>
      <c r="Y1161" s="82" t="s">
        <v>1047</v>
      </c>
      <c r="Z1161" s="82">
        <v>45790.808333333334</v>
      </c>
      <c r="AA1161" s="82">
        <f>Z1161+TIME(0,44,0)</f>
        <v>45790.838888888888</v>
      </c>
      <c r="AB1161" s="81">
        <f t="shared" si="352"/>
        <v>43.083333330141613</v>
      </c>
      <c r="AC1161" s="82"/>
      <c r="AD1161" s="83">
        <f t="shared" si="333"/>
        <v>3.1263888888934162</v>
      </c>
      <c r="AE1161" s="83">
        <f>VLOOKUP(H1161,'LIST 2'!$A$1:$E$27,4,FALSE)</f>
        <v>2</v>
      </c>
      <c r="AF1161" s="83">
        <f t="shared" si="334"/>
        <v>-1.1263888888934162</v>
      </c>
      <c r="AG1161" s="81">
        <f t="shared" si="335"/>
        <v>75.033333333441988</v>
      </c>
      <c r="AH1161" s="81">
        <f t="shared" si="336"/>
        <v>36</v>
      </c>
      <c r="AI1161" s="81">
        <f t="shared" si="337"/>
        <v>39.033333333441988</v>
      </c>
      <c r="AJ1161" s="83">
        <f t="shared" si="348"/>
        <v>3.9350982066500197</v>
      </c>
      <c r="AK1161" s="122">
        <v>9.52</v>
      </c>
      <c r="AL1161" s="122">
        <v>10.3</v>
      </c>
      <c r="AM1161" s="122">
        <v>9.1199999999999992</v>
      </c>
      <c r="AN1161" s="122">
        <v>8.48</v>
      </c>
    </row>
    <row r="1162" spans="1:40" ht="20.25" customHeight="1" x14ac:dyDescent="0.25">
      <c r="A1162" s="82">
        <v>45789</v>
      </c>
      <c r="B1162" s="94" t="str">
        <f t="shared" si="339"/>
        <v>May</v>
      </c>
      <c r="C1162" s="79" t="s">
        <v>2161</v>
      </c>
      <c r="D1162" s="79" t="s">
        <v>1992</v>
      </c>
      <c r="E1162" s="79" t="s">
        <v>1016</v>
      </c>
      <c r="F1162" s="79" t="s">
        <v>955</v>
      </c>
      <c r="G1162" s="79" t="s">
        <v>972</v>
      </c>
      <c r="H1162" s="82" t="s">
        <v>1989</v>
      </c>
      <c r="I1162" s="79">
        <v>153.6</v>
      </c>
      <c r="J1162" s="79" t="s">
        <v>1992</v>
      </c>
      <c r="K1162" s="80" t="s">
        <v>469</v>
      </c>
      <c r="L1162" s="79">
        <f>VLOOKUP(H1162,Table2[#All],3,FALSE)</f>
        <v>20</v>
      </c>
      <c r="M1162" s="80">
        <f t="shared" si="342"/>
        <v>18</v>
      </c>
      <c r="N1162" s="81">
        <f t="shared" si="321"/>
        <v>-2</v>
      </c>
      <c r="P1162" s="82">
        <f t="shared" ref="P1162" si="356">R1162-TIME(0,23,0)</f>
        <v>45790.391666666663</v>
      </c>
      <c r="Q1162" s="82">
        <v>45789.416666666664</v>
      </c>
      <c r="R1162" s="82">
        <v>45790.407638888886</v>
      </c>
      <c r="T1162" s="81">
        <f t="shared" si="346"/>
        <v>22.893518520140788</v>
      </c>
      <c r="V1162" s="82">
        <v>45790.618055555555</v>
      </c>
      <c r="W1162" s="82">
        <v>45790.77847222222</v>
      </c>
      <c r="X1162" s="103">
        <f t="shared" si="347"/>
        <v>226.18749999863212</v>
      </c>
      <c r="Y1162" s="82" t="s">
        <v>1044</v>
      </c>
      <c r="Z1162" s="82">
        <v>45791.397222222222</v>
      </c>
      <c r="AA1162" s="82">
        <f>Z1162+TIME(0,36,0)</f>
        <v>45791.422222222223</v>
      </c>
      <c r="AB1162" s="81">
        <f t="shared" si="352"/>
        <v>35.25000000205182</v>
      </c>
      <c r="AC1162" s="82"/>
      <c r="AD1162" s="83">
        <f t="shared" si="333"/>
        <v>0.98958333333575865</v>
      </c>
      <c r="AE1162" s="83">
        <f>VLOOKUP(H1162,'LIST 2'!$A$1:$E$27,4,FALSE)</f>
        <v>1</v>
      </c>
      <c r="AF1162" s="83">
        <f t="shared" si="334"/>
        <v>1.0416666664241347E-2</v>
      </c>
      <c r="AG1162" s="81">
        <f t="shared" si="335"/>
        <v>23.750000000058208</v>
      </c>
      <c r="AH1162" s="81">
        <f t="shared" si="336"/>
        <v>0</v>
      </c>
      <c r="AI1162" s="81">
        <f t="shared" si="337"/>
        <v>23.750000000058208</v>
      </c>
      <c r="AJ1162" s="83">
        <f t="shared" si="348"/>
        <v>6.467368421036781</v>
      </c>
      <c r="AK1162" s="122">
        <v>9.33</v>
      </c>
      <c r="AL1162" s="122">
        <v>8.19</v>
      </c>
      <c r="AM1162" s="122"/>
      <c r="AN1162" s="122"/>
    </row>
    <row r="1163" spans="1:40" ht="20.25" customHeight="1" x14ac:dyDescent="0.25">
      <c r="A1163" s="82">
        <v>45789</v>
      </c>
      <c r="B1163" s="94" t="str">
        <f t="shared" si="339"/>
        <v>May</v>
      </c>
      <c r="C1163" s="79" t="s">
        <v>2161</v>
      </c>
      <c r="D1163" s="79" t="s">
        <v>1993</v>
      </c>
      <c r="E1163" s="79" t="s">
        <v>1016</v>
      </c>
      <c r="F1163" s="79" t="s">
        <v>958</v>
      </c>
      <c r="G1163" s="79" t="s">
        <v>975</v>
      </c>
      <c r="H1163" s="82" t="s">
        <v>1956</v>
      </c>
      <c r="I1163" s="79">
        <v>153.6</v>
      </c>
      <c r="J1163" s="79" t="s">
        <v>1993</v>
      </c>
      <c r="K1163" s="80" t="s">
        <v>469</v>
      </c>
      <c r="L1163" s="79">
        <f>VLOOKUP(H1163,Table2[#All],3,FALSE)</f>
        <v>596</v>
      </c>
      <c r="M1163" s="80">
        <f>L1163-3</f>
        <v>593</v>
      </c>
      <c r="N1163" s="81">
        <f t="shared" si="321"/>
        <v>-3</v>
      </c>
      <c r="P1163" s="82">
        <f>R1163-TIME(0,54,0)</f>
        <v>45789.84375</v>
      </c>
      <c r="Q1163" s="82">
        <v>45789.458333333336</v>
      </c>
      <c r="R1163" s="82">
        <v>45789.881249999999</v>
      </c>
      <c r="T1163" s="81">
        <f t="shared" si="346"/>
        <v>53.749999997914223</v>
      </c>
      <c r="U1163" s="79" t="s">
        <v>2164</v>
      </c>
      <c r="V1163" s="82">
        <v>45790.488194444442</v>
      </c>
      <c r="W1163" s="82">
        <v>45790.613194444442</v>
      </c>
      <c r="X1163" s="103">
        <f t="shared" si="347"/>
        <v>176.25</v>
      </c>
      <c r="Y1163" s="82"/>
      <c r="Z1163" s="82">
        <v>45791.325694444444</v>
      </c>
      <c r="AA1163" s="82">
        <f>Z1163+TIME(0,40,0)</f>
        <v>45791.353472222225</v>
      </c>
      <c r="AB1163" s="81">
        <f t="shared" si="352"/>
        <v>39.166666671226267</v>
      </c>
      <c r="AC1163" s="82"/>
      <c r="AD1163" s="83">
        <f t="shared" si="333"/>
        <v>1.4444444444452529</v>
      </c>
      <c r="AE1163" s="83">
        <f>VLOOKUP(H1163,'LIST 2'!$A$1:$E$27,4,FALSE)</f>
        <v>2</v>
      </c>
      <c r="AF1163" s="83">
        <f t="shared" si="334"/>
        <v>0.55555555555474712</v>
      </c>
      <c r="AG1163" s="81">
        <f t="shared" si="335"/>
        <v>34.666666666686069</v>
      </c>
      <c r="AH1163" s="81">
        <f t="shared" si="336"/>
        <v>12</v>
      </c>
      <c r="AI1163" s="81">
        <f t="shared" si="337"/>
        <v>22.666666666686069</v>
      </c>
      <c r="AJ1163" s="83">
        <f t="shared" si="348"/>
        <v>6.7764705882294933</v>
      </c>
      <c r="AK1163" s="122">
        <v>11.16</v>
      </c>
      <c r="AL1163" s="122">
        <v>11.33</v>
      </c>
      <c r="AM1163" s="122">
        <v>11.24</v>
      </c>
      <c r="AN1163" s="122"/>
    </row>
    <row r="1164" spans="1:40" ht="20.25" customHeight="1" x14ac:dyDescent="0.25">
      <c r="A1164" s="82">
        <v>45789</v>
      </c>
      <c r="B1164" s="94" t="str">
        <f t="shared" si="339"/>
        <v>May</v>
      </c>
      <c r="C1164" s="79" t="s">
        <v>2161</v>
      </c>
      <c r="D1164" s="79" t="s">
        <v>1994</v>
      </c>
      <c r="E1164" s="79" t="s">
        <v>1016</v>
      </c>
      <c r="F1164" s="79" t="s">
        <v>952</v>
      </c>
      <c r="G1164" s="79" t="s">
        <v>969</v>
      </c>
      <c r="H1164" s="82" t="s">
        <v>1957</v>
      </c>
      <c r="I1164" s="79">
        <v>153.6</v>
      </c>
      <c r="J1164" s="79" t="s">
        <v>1994</v>
      </c>
      <c r="K1164" s="80" t="s">
        <v>469</v>
      </c>
      <c r="L1164" s="79">
        <f>VLOOKUP(H1164,Table2[#All],3,FALSE)</f>
        <v>288</v>
      </c>
      <c r="M1164" s="80">
        <f t="shared" si="342"/>
        <v>286</v>
      </c>
      <c r="N1164" s="81">
        <f t="shared" si="321"/>
        <v>-2</v>
      </c>
      <c r="P1164" s="82">
        <f>R1164-TIME(0,29,0)</f>
        <v>45788.782638888886</v>
      </c>
      <c r="Q1164" s="82">
        <v>45788.850694444445</v>
      </c>
      <c r="R1164" s="82">
        <v>45788.802777777775</v>
      </c>
      <c r="T1164" s="81">
        <f t="shared" si="346"/>
        <v>28.865740740972495</v>
      </c>
      <c r="U1164" s="79"/>
      <c r="V1164" s="82">
        <v>45790.536111111112</v>
      </c>
      <c r="W1164" s="82">
        <v>45790.68472222222</v>
      </c>
      <c r="X1164" s="103">
        <f t="shared" si="347"/>
        <v>209.54166666233505</v>
      </c>
      <c r="Y1164" s="82" t="s">
        <v>1044</v>
      </c>
      <c r="Z1164" s="82">
        <v>45791.626388888886</v>
      </c>
      <c r="AA1164" s="82">
        <f>Z1164+TIME(0,44,0)</f>
        <v>45791.656944444439</v>
      </c>
      <c r="AB1164" s="81">
        <f t="shared" si="352"/>
        <v>43.083333330141613</v>
      </c>
      <c r="AC1164" s="82"/>
      <c r="AD1164" s="83">
        <f t="shared" si="333"/>
        <v>2.8236111111109494</v>
      </c>
      <c r="AE1164" s="83">
        <f>VLOOKUP(H1164,'LIST 2'!$A$1:$E$27,4,FALSE)</f>
        <v>2</v>
      </c>
      <c r="AF1164" s="83">
        <f t="shared" si="334"/>
        <v>-0.82361111111094942</v>
      </c>
      <c r="AG1164" s="81">
        <f t="shared" si="335"/>
        <v>67.766666666662786</v>
      </c>
      <c r="AH1164" s="81">
        <f t="shared" si="336"/>
        <v>24</v>
      </c>
      <c r="AI1164" s="81">
        <f t="shared" si="337"/>
        <v>43.766666666662786</v>
      </c>
      <c r="AJ1164" s="83">
        <f t="shared" si="348"/>
        <v>3.5095201827878206</v>
      </c>
      <c r="AK1164" s="122">
        <v>11.4</v>
      </c>
      <c r="AL1164" s="122">
        <v>11</v>
      </c>
      <c r="AM1164" s="122">
        <v>10.210000000000001</v>
      </c>
      <c r="AN1164" s="122">
        <v>11.5</v>
      </c>
    </row>
    <row r="1165" spans="1:40" ht="20.25" customHeight="1" x14ac:dyDescent="0.25">
      <c r="A1165" s="82">
        <v>45789</v>
      </c>
      <c r="B1165" s="94" t="str">
        <f t="shared" si="339"/>
        <v>May</v>
      </c>
      <c r="C1165" s="79" t="s">
        <v>2162</v>
      </c>
      <c r="D1165" s="79" t="s">
        <v>1995</v>
      </c>
      <c r="E1165" s="79" t="s">
        <v>1016</v>
      </c>
      <c r="F1165" s="79" t="s">
        <v>1694</v>
      </c>
      <c r="G1165" s="79" t="s">
        <v>39</v>
      </c>
      <c r="H1165" s="82" t="s">
        <v>1958</v>
      </c>
      <c r="I1165" s="79">
        <v>156</v>
      </c>
      <c r="J1165" s="79" t="s">
        <v>1995</v>
      </c>
      <c r="K1165" s="80" t="s">
        <v>469</v>
      </c>
      <c r="L1165" s="79">
        <f>VLOOKUP(H1165,Table2[#All],3,FALSE)</f>
        <v>304</v>
      </c>
      <c r="M1165" s="80">
        <f t="shared" si="342"/>
        <v>302</v>
      </c>
      <c r="N1165" s="81">
        <f t="shared" si="321"/>
        <v>-2</v>
      </c>
      <c r="P1165" s="82">
        <f>R1165-TIME(0,23,0)</f>
        <v>45788.806250000001</v>
      </c>
      <c r="Q1165" s="82">
        <v>45789.098611111112</v>
      </c>
      <c r="R1165" s="82">
        <v>45788.822222222225</v>
      </c>
      <c r="S1165" s="81">
        <f t="shared" ref="S1165:S1167" si="357">(R1165-Q1165)*86000/60</f>
        <v>-396.15740740555339</v>
      </c>
      <c r="T1165" s="81">
        <f t="shared" si="346"/>
        <v>22.893518520140788</v>
      </c>
      <c r="U1165" s="79"/>
      <c r="V1165" s="82">
        <v>45789.977777777778</v>
      </c>
      <c r="W1165" s="82">
        <v>45790.663194444445</v>
      </c>
      <c r="X1165" s="103">
        <f t="shared" si="347"/>
        <v>966.43750000068394</v>
      </c>
      <c r="Y1165" s="82" t="s">
        <v>1044</v>
      </c>
      <c r="Z1165" s="82">
        <v>45791.4375</v>
      </c>
      <c r="AA1165" s="82">
        <f>Z1165+TIME(0,40,0)</f>
        <v>45791.465277777781</v>
      </c>
      <c r="AB1165" s="81">
        <f t="shared" si="352"/>
        <v>39.166666671226267</v>
      </c>
      <c r="AC1165" s="82"/>
      <c r="AD1165" s="83">
        <f t="shared" si="333"/>
        <v>2.6152777777751908</v>
      </c>
      <c r="AE1165" s="83">
        <f>VLOOKUP(H1165,'LIST 2'!$A$1:$E$27,4,FALSE)</f>
        <v>2</v>
      </c>
      <c r="AF1165" s="83">
        <f t="shared" si="334"/>
        <v>-0.61527777777519077</v>
      </c>
      <c r="AG1165" s="81">
        <f t="shared" si="335"/>
        <v>62.766666666604578</v>
      </c>
      <c r="AH1165" s="81">
        <f t="shared" si="336"/>
        <v>24</v>
      </c>
      <c r="AI1165" s="81">
        <f t="shared" si="337"/>
        <v>38.766666666604578</v>
      </c>
      <c r="AJ1165" s="83">
        <f t="shared" si="348"/>
        <v>4.0240756663864961</v>
      </c>
      <c r="AK1165" s="122"/>
      <c r="AL1165" s="122"/>
      <c r="AM1165" s="122"/>
      <c r="AN1165" s="122"/>
    </row>
    <row r="1166" spans="1:40" ht="20.25" customHeight="1" x14ac:dyDescent="0.25">
      <c r="A1166" s="82">
        <v>45789</v>
      </c>
      <c r="B1166" s="94" t="str">
        <f t="shared" si="339"/>
        <v>May</v>
      </c>
      <c r="C1166" s="79" t="s">
        <v>2162</v>
      </c>
      <c r="D1166" s="79" t="s">
        <v>1996</v>
      </c>
      <c r="E1166" s="79" t="s">
        <v>1016</v>
      </c>
      <c r="F1166" s="79" t="s">
        <v>1700</v>
      </c>
      <c r="G1166" s="79" t="s">
        <v>54</v>
      </c>
      <c r="H1166" s="82" t="s">
        <v>1959</v>
      </c>
      <c r="I1166" s="79">
        <v>156</v>
      </c>
      <c r="J1166" s="79" t="s">
        <v>1996</v>
      </c>
      <c r="K1166" s="80" t="s">
        <v>469</v>
      </c>
      <c r="L1166" s="79">
        <f>VLOOKUP(H1166,Table2[#All],3,FALSE)</f>
        <v>304</v>
      </c>
      <c r="M1166" s="80">
        <f t="shared" si="342"/>
        <v>302</v>
      </c>
      <c r="N1166" s="81">
        <f t="shared" si="321"/>
        <v>-2</v>
      </c>
      <c r="P1166" s="82">
        <f>R1166-TIME(0,23,0)</f>
        <v>45788.813888888886</v>
      </c>
      <c r="Q1166" s="82">
        <v>45789.136805555558</v>
      </c>
      <c r="R1166" s="82">
        <v>45788.829861111109</v>
      </c>
      <c r="S1166" s="81">
        <f t="shared" si="357"/>
        <v>-439.95370370903402</v>
      </c>
      <c r="T1166" s="81">
        <f t="shared" si="346"/>
        <v>22.893518520140788</v>
      </c>
      <c r="U1166" s="79"/>
      <c r="V1166" s="82">
        <v>45789.79791666667</v>
      </c>
      <c r="W1166" s="82">
        <v>45790.709027777775</v>
      </c>
      <c r="X1166" s="103">
        <f t="shared" si="347"/>
        <v>1284.6666666582314</v>
      </c>
      <c r="Y1166" s="82" t="s">
        <v>1047</v>
      </c>
      <c r="Z1166" s="82"/>
      <c r="AA1166" s="82">
        <f>Z1166+TIME(0,44,0)</f>
        <v>3.0555555555555555E-2</v>
      </c>
      <c r="AB1166" s="81">
        <f t="shared" si="352"/>
        <v>43.083333333333336</v>
      </c>
      <c r="AC1166" s="82"/>
      <c r="AD1166" s="83">
        <f t="shared" si="333"/>
        <v>-45788.829861111109</v>
      </c>
      <c r="AE1166" s="83">
        <f>VLOOKUP(H1166,'LIST 2'!$A$1:$E$27,4,FALSE)</f>
        <v>2</v>
      </c>
      <c r="AF1166" s="83">
        <f t="shared" si="334"/>
        <v>45790.829861111109</v>
      </c>
      <c r="AG1166" s="81">
        <f t="shared" si="335"/>
        <v>-1098931.9166666665</v>
      </c>
      <c r="AH1166" s="81">
        <f t="shared" si="336"/>
        <v>-549468</v>
      </c>
      <c r="AI1166" s="81">
        <f t="shared" si="337"/>
        <v>-549463.91666666651</v>
      </c>
      <c r="AJ1166" s="83">
        <f t="shared" si="348"/>
        <v>-2.8391309286763909E-4</v>
      </c>
      <c r="AK1166" s="122"/>
      <c r="AL1166" s="122"/>
      <c r="AM1166" s="122"/>
      <c r="AN1166" s="122"/>
    </row>
    <row r="1167" spans="1:40" ht="20.25" customHeight="1" x14ac:dyDescent="0.25">
      <c r="A1167" s="82">
        <v>45789</v>
      </c>
      <c r="B1167" s="94" t="str">
        <f t="shared" si="339"/>
        <v>May</v>
      </c>
      <c r="C1167" s="79" t="s">
        <v>2162</v>
      </c>
      <c r="D1167" s="79" t="s">
        <v>1997</v>
      </c>
      <c r="E1167" s="79" t="s">
        <v>1016</v>
      </c>
      <c r="F1167" s="79" t="s">
        <v>1691</v>
      </c>
      <c r="G1167" s="79" t="s">
        <v>55</v>
      </c>
      <c r="H1167" s="82" t="s">
        <v>2186</v>
      </c>
      <c r="I1167" s="79">
        <v>156</v>
      </c>
      <c r="J1167" s="79" t="s">
        <v>1997</v>
      </c>
      <c r="K1167" s="80" t="s">
        <v>469</v>
      </c>
      <c r="L1167" s="79">
        <f>VLOOKUP(H1167,Table2[#All],3,FALSE)</f>
        <v>228</v>
      </c>
      <c r="M1167" s="80">
        <f t="shared" si="342"/>
        <v>226</v>
      </c>
      <c r="N1167" s="81">
        <f t="shared" si="321"/>
        <v>-2</v>
      </c>
      <c r="P1167" s="82">
        <f>R1167-TIME(0,50,0)</f>
        <v>45789.81527777778</v>
      </c>
      <c r="Q1167" s="82">
        <v>45790.176388888889</v>
      </c>
      <c r="R1167" s="82">
        <v>45789.85</v>
      </c>
      <c r="S1167" s="81">
        <f t="shared" si="357"/>
        <v>-467.82407407639158</v>
      </c>
      <c r="T1167" s="81">
        <f t="shared" si="346"/>
        <v>49.768518513883464</v>
      </c>
      <c r="U1167" s="79" t="s">
        <v>2165</v>
      </c>
      <c r="V1167" s="82">
        <v>45790.489583333336</v>
      </c>
      <c r="W1167" s="82">
        <v>45790.575694444444</v>
      </c>
      <c r="X1167" s="103">
        <f t="shared" si="347"/>
        <v>121.41666666233505</v>
      </c>
      <c r="Y1167" s="82"/>
      <c r="Z1167" s="82">
        <v>45790.854861111111</v>
      </c>
      <c r="AA1167" s="82">
        <f>Z1167+TIME(0,42,0)</f>
        <v>45790.884027777778</v>
      </c>
      <c r="AB1167" s="81">
        <f t="shared" si="352"/>
        <v>41.12500000068394</v>
      </c>
      <c r="AC1167" s="82"/>
      <c r="AD1167" s="83">
        <f t="shared" si="333"/>
        <v>1.0048611111124046</v>
      </c>
      <c r="AE1167" s="83">
        <f>VLOOKUP(H1167,'LIST 2'!$A$1:$E$27,4,FALSE)</f>
        <v>2</v>
      </c>
      <c r="AF1167" s="83">
        <f t="shared" si="334"/>
        <v>0.99513888888759539</v>
      </c>
      <c r="AG1167" s="81">
        <f t="shared" si="335"/>
        <v>24.116666666697711</v>
      </c>
      <c r="AH1167" s="81">
        <f t="shared" si="336"/>
        <v>12</v>
      </c>
      <c r="AI1167" s="81">
        <f t="shared" si="337"/>
        <v>12.116666666697711</v>
      </c>
      <c r="AJ1167" s="83">
        <f t="shared" si="348"/>
        <v>12.87482806048971</v>
      </c>
      <c r="AK1167" s="122"/>
      <c r="AL1167" s="122"/>
      <c r="AM1167" s="122"/>
      <c r="AN1167" s="122"/>
    </row>
    <row r="1168" spans="1:40" ht="20.25" customHeight="1" x14ac:dyDescent="0.25">
      <c r="A1168" s="82">
        <v>45789</v>
      </c>
      <c r="B1168" s="94" t="str">
        <f t="shared" si="339"/>
        <v>May</v>
      </c>
      <c r="C1168" s="79" t="s">
        <v>2161</v>
      </c>
      <c r="D1168" s="79" t="s">
        <v>1998</v>
      </c>
      <c r="E1168" s="79" t="s">
        <v>1016</v>
      </c>
      <c r="F1168" s="79" t="s">
        <v>962</v>
      </c>
      <c r="G1168" s="79" t="s">
        <v>978</v>
      </c>
      <c r="H1168" s="82" t="s">
        <v>1989</v>
      </c>
      <c r="I1168" s="79">
        <v>153.6</v>
      </c>
      <c r="J1168" s="79" t="s">
        <v>1998</v>
      </c>
      <c r="K1168" s="80" t="s">
        <v>469</v>
      </c>
      <c r="L1168" s="79">
        <f>VLOOKUP(H1168,Table2[#All],3,FALSE)</f>
        <v>20</v>
      </c>
      <c r="M1168" s="80">
        <f t="shared" si="342"/>
        <v>18</v>
      </c>
      <c r="N1168" s="81">
        <f t="shared" si="321"/>
        <v>-2</v>
      </c>
      <c r="P1168" s="82">
        <f>R1168-TIME(0,42,0)</f>
        <v>45789.434027777774</v>
      </c>
      <c r="Q1168" s="82">
        <v>45789.815972222219</v>
      </c>
      <c r="R1168" s="82">
        <v>45789.463194444441</v>
      </c>
      <c r="T1168" s="81">
        <f t="shared" si="346"/>
        <v>41.805555556250816</v>
      </c>
      <c r="U1168" s="79" t="s">
        <v>2166</v>
      </c>
      <c r="V1168" s="82">
        <v>45788.9</v>
      </c>
      <c r="W1168" s="82">
        <v>45789.522222222222</v>
      </c>
      <c r="X1168" s="103">
        <f t="shared" si="347"/>
        <v>877.33333333082555</v>
      </c>
      <c r="Y1168" s="82" t="s">
        <v>1044</v>
      </c>
      <c r="Z1168" s="82">
        <v>45789.550694444442</v>
      </c>
      <c r="AA1168" s="82">
        <f>Z1168+TIME(0,44,0)</f>
        <v>45789.581249999996</v>
      </c>
      <c r="AB1168" s="81">
        <f t="shared" si="352"/>
        <v>43.083333330141613</v>
      </c>
      <c r="AC1168" s="82"/>
      <c r="AD1168" s="83">
        <f t="shared" si="333"/>
        <v>8.7500000001455192E-2</v>
      </c>
      <c r="AE1168" s="83">
        <f>VLOOKUP(H1168,'LIST 2'!$A$1:$E$27,4,FALSE)</f>
        <v>1</v>
      </c>
      <c r="AF1168" s="83">
        <f t="shared" si="334"/>
        <v>0.91249999999854481</v>
      </c>
      <c r="AG1168" s="81">
        <f t="shared" si="335"/>
        <v>2.1000000000349246</v>
      </c>
      <c r="AH1168" s="81">
        <f t="shared" si="336"/>
        <v>0</v>
      </c>
      <c r="AI1168" s="81">
        <f t="shared" si="337"/>
        <v>2.1000000000349246</v>
      </c>
      <c r="AJ1168" s="83">
        <f t="shared" si="348"/>
        <v>73.142857141640718</v>
      </c>
      <c r="AK1168" s="122"/>
      <c r="AL1168" s="122"/>
      <c r="AM1168" s="122"/>
      <c r="AN1168" s="122"/>
    </row>
    <row r="1169" spans="1:40" ht="20.25" customHeight="1" x14ac:dyDescent="0.25">
      <c r="A1169" s="82">
        <v>45789</v>
      </c>
      <c r="B1169" s="94" t="str">
        <f t="shared" si="339"/>
        <v>May</v>
      </c>
      <c r="C1169" s="79" t="s">
        <v>2162</v>
      </c>
      <c r="D1169" s="79" t="s">
        <v>1999</v>
      </c>
      <c r="E1169" s="79" t="s">
        <v>1016</v>
      </c>
      <c r="F1169" s="79" t="s">
        <v>1698</v>
      </c>
      <c r="G1169" s="79" t="s">
        <v>1665</v>
      </c>
      <c r="H1169" s="82" t="s">
        <v>2183</v>
      </c>
      <c r="I1169" s="79">
        <v>156</v>
      </c>
      <c r="J1169" s="79" t="s">
        <v>1999</v>
      </c>
      <c r="K1169" s="80" t="s">
        <v>469</v>
      </c>
      <c r="L1169" s="79">
        <f>VLOOKUP(H1169,Table2[#All],3,FALSE)</f>
        <v>690</v>
      </c>
      <c r="M1169" s="80">
        <f t="shared" si="342"/>
        <v>688</v>
      </c>
      <c r="N1169" s="81">
        <f t="shared" si="321"/>
        <v>-2</v>
      </c>
      <c r="P1169" s="82">
        <f>R1169-TIME(0,29,0)</f>
        <v>45788.760416666664</v>
      </c>
      <c r="Q1169" s="82">
        <v>45789.179861111108</v>
      </c>
      <c r="R1169" s="82">
        <v>45788.780555555553</v>
      </c>
      <c r="S1169" s="81">
        <f t="shared" ref="S1169:S1170" si="358">(R1169-Q1169)*86000/60</f>
        <v>-572.33796296180424</v>
      </c>
      <c r="T1169" s="81">
        <f t="shared" si="346"/>
        <v>28.865740740972495</v>
      </c>
      <c r="U1169" s="79"/>
      <c r="V1169" s="82">
        <v>45790.303472222222</v>
      </c>
      <c r="W1169" s="82">
        <v>45790.87222222222</v>
      </c>
      <c r="X1169" s="103">
        <f t="shared" si="347"/>
        <v>801.93749999794818</v>
      </c>
      <c r="Y1169" s="82" t="s">
        <v>1047</v>
      </c>
      <c r="Z1169" s="82">
        <v>45791.709027777775</v>
      </c>
      <c r="AA1169" s="82">
        <f t="shared" ref="AA1169" si="359">Z1169+TIME(0,40,0)</f>
        <v>45791.736805555556</v>
      </c>
      <c r="AB1169" s="81">
        <f t="shared" si="352"/>
        <v>39.166666671226267</v>
      </c>
      <c r="AC1169" s="82"/>
      <c r="AD1169" s="83">
        <f t="shared" si="333"/>
        <v>2.9284722222218988</v>
      </c>
      <c r="AE1169" s="83">
        <f>VLOOKUP(H1169,'LIST 2'!$A$1:$E$27,4,FALSE)</f>
        <v>3</v>
      </c>
      <c r="AF1169" s="83">
        <f t="shared" si="334"/>
        <v>7.1527777778101154E-2</v>
      </c>
      <c r="AG1169" s="81">
        <f t="shared" si="335"/>
        <v>70.283333333325572</v>
      </c>
      <c r="AH1169" s="81">
        <f t="shared" si="336"/>
        <v>24</v>
      </c>
      <c r="AI1169" s="81">
        <f t="shared" si="337"/>
        <v>46.283333333325572</v>
      </c>
      <c r="AJ1169" s="83">
        <f t="shared" si="348"/>
        <v>3.3705437522511952</v>
      </c>
      <c r="AK1169" s="122"/>
      <c r="AL1169" s="122"/>
      <c r="AM1169" s="122"/>
      <c r="AN1169" s="122"/>
    </row>
    <row r="1170" spans="1:40" ht="20.25" customHeight="1" x14ac:dyDescent="0.25">
      <c r="A1170" s="82">
        <v>45789</v>
      </c>
      <c r="B1170" s="94" t="str">
        <f t="shared" si="339"/>
        <v>May</v>
      </c>
      <c r="C1170" s="79" t="s">
        <v>2162</v>
      </c>
      <c r="D1170" s="79" t="s">
        <v>2000</v>
      </c>
      <c r="E1170" s="79" t="s">
        <v>1016</v>
      </c>
      <c r="F1170" s="79" t="s">
        <v>960</v>
      </c>
      <c r="G1170" s="79" t="s">
        <v>62</v>
      </c>
      <c r="H1170" s="82" t="s">
        <v>2185</v>
      </c>
      <c r="I1170" s="79">
        <v>156</v>
      </c>
      <c r="J1170" s="79" t="s">
        <v>2000</v>
      </c>
      <c r="K1170" s="80" t="s">
        <v>469</v>
      </c>
      <c r="L1170" s="79">
        <f>VLOOKUP(H1170,Table2[#All],3,FALSE)</f>
        <v>382</v>
      </c>
      <c r="M1170" s="80">
        <f>L1170-3</f>
        <v>379</v>
      </c>
      <c r="N1170" s="81">
        <f t="shared" si="321"/>
        <v>-3</v>
      </c>
      <c r="P1170" s="82">
        <f>R1170-TIME(0,23,0)</f>
        <v>45788.861805555556</v>
      </c>
      <c r="Q1170" s="82">
        <v>45789.320833333331</v>
      </c>
      <c r="R1170" s="82">
        <v>45788.87777777778</v>
      </c>
      <c r="S1170" s="81">
        <f t="shared" si="358"/>
        <v>-635.04629629096598</v>
      </c>
      <c r="T1170" s="81">
        <f t="shared" si="346"/>
        <v>22.893518520140788</v>
      </c>
      <c r="U1170" s="79"/>
      <c r="V1170" s="82">
        <v>45789.885416666664</v>
      </c>
      <c r="W1170" s="82">
        <v>45790.472222222219</v>
      </c>
      <c r="X1170" s="103">
        <f t="shared" si="347"/>
        <v>827.39583333219343</v>
      </c>
      <c r="Y1170" s="82" t="s">
        <v>1046</v>
      </c>
      <c r="Z1170" s="82">
        <v>45790.746527777781</v>
      </c>
      <c r="AA1170" s="82">
        <f>Z1170+TIME(0,40,0)</f>
        <v>45790.774305555562</v>
      </c>
      <c r="AB1170" s="81">
        <f t="shared" si="352"/>
        <v>39.166666671226267</v>
      </c>
      <c r="AC1170" s="82"/>
      <c r="AD1170" s="83">
        <f t="shared" si="333"/>
        <v>1.8687500000014552</v>
      </c>
      <c r="AE1170" s="83">
        <f>VLOOKUP(H1170,'LIST 2'!$A$1:$E$27,4,FALSE)</f>
        <v>2</v>
      </c>
      <c r="AF1170" s="83">
        <f t="shared" si="334"/>
        <v>0.13124999999854481</v>
      </c>
      <c r="AG1170" s="81">
        <f t="shared" si="335"/>
        <v>44.850000000034925</v>
      </c>
      <c r="AH1170" s="81">
        <f t="shared" si="336"/>
        <v>12</v>
      </c>
      <c r="AI1170" s="81">
        <f t="shared" si="337"/>
        <v>32.850000000034925</v>
      </c>
      <c r="AJ1170" s="83">
        <f t="shared" si="348"/>
        <v>4.7488584474835358</v>
      </c>
      <c r="AK1170" s="122"/>
      <c r="AL1170" s="122"/>
      <c r="AM1170" s="122"/>
      <c r="AN1170" s="122"/>
    </row>
    <row r="1171" spans="1:40" ht="20.25" customHeight="1" x14ac:dyDescent="0.25">
      <c r="A1171" s="82">
        <v>45789</v>
      </c>
      <c r="B1171" s="94" t="str">
        <f t="shared" si="339"/>
        <v>May</v>
      </c>
      <c r="C1171" s="79" t="s">
        <v>2161</v>
      </c>
      <c r="D1171" s="79" t="s">
        <v>2001</v>
      </c>
      <c r="E1171" s="79" t="s">
        <v>1016</v>
      </c>
      <c r="F1171" s="79" t="s">
        <v>962</v>
      </c>
      <c r="G1171" s="79" t="s">
        <v>978</v>
      </c>
      <c r="H1171" s="82" t="s">
        <v>1956</v>
      </c>
      <c r="I1171" s="79">
        <v>153.6</v>
      </c>
      <c r="J1171" s="79" t="s">
        <v>2001</v>
      </c>
      <c r="K1171" s="80" t="s">
        <v>469</v>
      </c>
      <c r="L1171" s="79">
        <f>VLOOKUP(H1171,Table2[#All],3,FALSE)</f>
        <v>596</v>
      </c>
      <c r="M1171" s="80">
        <f t="shared" si="342"/>
        <v>594</v>
      </c>
      <c r="N1171" s="81">
        <f t="shared" si="321"/>
        <v>-2</v>
      </c>
      <c r="P1171" s="82">
        <f>R1171-TIME(0,29,0)</f>
        <v>45789.665972222225</v>
      </c>
      <c r="Q1171" s="82">
        <v>45790.154861111114</v>
      </c>
      <c r="R1171" s="82">
        <v>45789.686111111114</v>
      </c>
      <c r="T1171" s="81">
        <f t="shared" si="346"/>
        <v>28.865740740972495</v>
      </c>
      <c r="U1171" s="79"/>
      <c r="V1171" s="82">
        <v>45790.506944444445</v>
      </c>
      <c r="W1171" s="82">
        <v>45790.75277777778</v>
      </c>
      <c r="X1171" s="103">
        <f t="shared" si="347"/>
        <v>346.62500000136788</v>
      </c>
      <c r="Y1171" s="82" t="s">
        <v>1049</v>
      </c>
      <c r="Z1171" s="82">
        <v>45791.511111111111</v>
      </c>
      <c r="AA1171" s="82">
        <f>Z1171+TIME(0,40,0)</f>
        <v>45791.538888888892</v>
      </c>
      <c r="AB1171" s="81">
        <f t="shared" si="352"/>
        <v>39.166666671226267</v>
      </c>
      <c r="AC1171" s="82"/>
      <c r="AD1171" s="83">
        <f t="shared" si="333"/>
        <v>1.8249999999970896</v>
      </c>
      <c r="AE1171" s="83">
        <f>VLOOKUP(H1171,'LIST 2'!$A$1:$E$27,4,FALSE)</f>
        <v>2</v>
      </c>
      <c r="AF1171" s="83">
        <f t="shared" si="334"/>
        <v>0.17500000000291038</v>
      </c>
      <c r="AG1171" s="81">
        <f t="shared" si="335"/>
        <v>43.799999999930151</v>
      </c>
      <c r="AH1171" s="81">
        <f t="shared" si="336"/>
        <v>12</v>
      </c>
      <c r="AI1171" s="81">
        <f t="shared" si="337"/>
        <v>31.799999999930151</v>
      </c>
      <c r="AJ1171" s="83">
        <f t="shared" si="348"/>
        <v>4.8301886792558921</v>
      </c>
      <c r="AK1171" s="122">
        <v>10.130000000000001</v>
      </c>
      <c r="AL1171" s="122">
        <v>11.07</v>
      </c>
      <c r="AM1171" s="122">
        <v>10.34</v>
      </c>
      <c r="AN1171" s="122"/>
    </row>
    <row r="1172" spans="1:40" ht="20.25" customHeight="1" x14ac:dyDescent="0.25">
      <c r="A1172" s="82">
        <v>45789</v>
      </c>
      <c r="B1172" s="94" t="str">
        <f t="shared" si="339"/>
        <v>May</v>
      </c>
      <c r="C1172" s="79" t="s">
        <v>2161</v>
      </c>
      <c r="D1172" s="79" t="s">
        <v>2002</v>
      </c>
      <c r="E1172" s="79" t="s">
        <v>1016</v>
      </c>
      <c r="F1172" s="79" t="s">
        <v>1689</v>
      </c>
      <c r="G1172" s="79" t="s">
        <v>1262</v>
      </c>
      <c r="H1172" s="82" t="s">
        <v>1957</v>
      </c>
      <c r="I1172" s="79">
        <v>153.6</v>
      </c>
      <c r="J1172" s="79" t="s">
        <v>2002</v>
      </c>
      <c r="K1172" s="80" t="s">
        <v>469</v>
      </c>
      <c r="L1172" s="79">
        <f>VLOOKUP(H1172,Table2[#All],3,FALSE)</f>
        <v>288</v>
      </c>
      <c r="M1172" s="80">
        <f>L1172-3</f>
        <v>285</v>
      </c>
      <c r="N1172" s="81">
        <f t="shared" si="321"/>
        <v>-3</v>
      </c>
      <c r="P1172" s="82">
        <f>R1172-TIME(0,50,0)</f>
        <v>45789.479861111111</v>
      </c>
      <c r="Q1172" s="82">
        <v>45790.154861111114</v>
      </c>
      <c r="R1172" s="82">
        <v>45789.51458333333</v>
      </c>
      <c r="T1172" s="81">
        <f t="shared" si="346"/>
        <v>49.768518513883464</v>
      </c>
      <c r="U1172" s="79" t="s">
        <v>2163</v>
      </c>
      <c r="V1172" s="82">
        <v>45789.924305555556</v>
      </c>
      <c r="W1172" s="82">
        <v>45790.560416666667</v>
      </c>
      <c r="X1172" s="103">
        <f t="shared" si="347"/>
        <v>896.91666666643869</v>
      </c>
      <c r="Y1172" s="82" t="s">
        <v>1051</v>
      </c>
      <c r="Z1172" s="82">
        <v>45790.761111111111</v>
      </c>
      <c r="AA1172" s="82">
        <f>Z1172+TIME(0,50,0)</f>
        <v>45790.79583333333</v>
      </c>
      <c r="AB1172" s="81">
        <f t="shared" si="352"/>
        <v>48.958333328773733</v>
      </c>
      <c r="AC1172" s="82" t="s">
        <v>2168</v>
      </c>
      <c r="AD1172" s="83">
        <f t="shared" si="333"/>
        <v>1.2465277777810115</v>
      </c>
      <c r="AE1172" s="83">
        <f>VLOOKUP(H1172,'LIST 2'!$A$1:$E$27,4,FALSE)</f>
        <v>2</v>
      </c>
      <c r="AF1172" s="83">
        <f t="shared" si="334"/>
        <v>0.75347222221898846</v>
      </c>
      <c r="AG1172" s="81">
        <f t="shared" si="335"/>
        <v>29.916666666744277</v>
      </c>
      <c r="AH1172" s="81">
        <f t="shared" si="336"/>
        <v>12</v>
      </c>
      <c r="AI1172" s="81">
        <f t="shared" si="337"/>
        <v>17.916666666744277</v>
      </c>
      <c r="AJ1172" s="83">
        <f t="shared" si="348"/>
        <v>8.5730232557768176</v>
      </c>
      <c r="AK1172" s="122">
        <v>11.58</v>
      </c>
      <c r="AL1172" s="122">
        <v>11.34</v>
      </c>
      <c r="AM1172" s="122"/>
      <c r="AN1172" s="122"/>
    </row>
    <row r="1173" spans="1:40" ht="20.25" customHeight="1" x14ac:dyDescent="0.25">
      <c r="A1173" s="82">
        <v>45789</v>
      </c>
      <c r="B1173" s="94" t="str">
        <f t="shared" si="339"/>
        <v>May</v>
      </c>
      <c r="C1173" s="79" t="s">
        <v>2161</v>
      </c>
      <c r="D1173" s="79" t="s">
        <v>2003</v>
      </c>
      <c r="E1173" s="79" t="s">
        <v>1016</v>
      </c>
      <c r="F1173" s="79" t="s">
        <v>965</v>
      </c>
      <c r="G1173" s="79" t="s">
        <v>980</v>
      </c>
      <c r="H1173" s="82" t="s">
        <v>1957</v>
      </c>
      <c r="I1173" s="79">
        <v>153.6</v>
      </c>
      <c r="J1173" s="79" t="s">
        <v>2003</v>
      </c>
      <c r="K1173" s="80" t="s">
        <v>469</v>
      </c>
      <c r="L1173" s="79">
        <f>VLOOKUP(H1173,Table2[#All],3,FALSE)</f>
        <v>288</v>
      </c>
      <c r="M1173" s="80">
        <f t="shared" si="342"/>
        <v>286</v>
      </c>
      <c r="N1173" s="81">
        <f t="shared" si="321"/>
        <v>-2</v>
      </c>
      <c r="P1173" s="82">
        <f>R1173-TIME(0,23,0)</f>
        <v>45789.474305555552</v>
      </c>
      <c r="Q1173" s="82">
        <v>45790.176388888889</v>
      </c>
      <c r="R1173" s="82">
        <v>45789.490277777775</v>
      </c>
      <c r="T1173" s="81">
        <f t="shared" si="346"/>
        <v>22.893518520140788</v>
      </c>
      <c r="U1173" s="79"/>
      <c r="V1173" s="82">
        <v>45789.773611111108</v>
      </c>
      <c r="W1173" s="82">
        <v>45790.446527777778</v>
      </c>
      <c r="X1173" s="103">
        <f t="shared" si="347"/>
        <v>948.81250000478758</v>
      </c>
      <c r="Y1173" s="82" t="s">
        <v>1050</v>
      </c>
      <c r="Z1173" s="82">
        <v>45790.758333333331</v>
      </c>
      <c r="AA1173" s="82">
        <f>Z1173+TIME(0,44,0)</f>
        <v>45790.788888888885</v>
      </c>
      <c r="AB1173" s="81">
        <f t="shared" si="352"/>
        <v>43.083333330141613</v>
      </c>
      <c r="AC1173" s="82"/>
      <c r="AD1173" s="83">
        <f t="shared" si="333"/>
        <v>1.2680555555562023</v>
      </c>
      <c r="AE1173" s="83">
        <f>VLOOKUP(H1173,'LIST 2'!$A$1:$E$27,4,FALSE)</f>
        <v>2</v>
      </c>
      <c r="AF1173" s="83">
        <f t="shared" si="334"/>
        <v>0.73194444444379769</v>
      </c>
      <c r="AG1173" s="81">
        <f t="shared" si="335"/>
        <v>30.433333333348855</v>
      </c>
      <c r="AH1173" s="81">
        <f t="shared" si="336"/>
        <v>12</v>
      </c>
      <c r="AI1173" s="81">
        <f t="shared" si="337"/>
        <v>18.433333333348855</v>
      </c>
      <c r="AJ1173" s="83">
        <f t="shared" si="348"/>
        <v>8.332730560571644</v>
      </c>
      <c r="AK1173" s="122">
        <v>11.16</v>
      </c>
      <c r="AL1173" s="122">
        <v>11.33</v>
      </c>
      <c r="AM1173" s="122"/>
      <c r="AN1173" s="122"/>
    </row>
    <row r="1174" spans="1:40" ht="20.25" customHeight="1" x14ac:dyDescent="0.25">
      <c r="A1174" s="82">
        <v>45789</v>
      </c>
      <c r="B1174" s="94" t="str">
        <f t="shared" si="339"/>
        <v>May</v>
      </c>
      <c r="C1174" s="79" t="s">
        <v>2161</v>
      </c>
      <c r="D1174" s="79" t="s">
        <v>2004</v>
      </c>
      <c r="E1174" s="79" t="s">
        <v>1016</v>
      </c>
      <c r="F1174" s="79" t="s">
        <v>957</v>
      </c>
      <c r="G1174" s="79" t="s">
        <v>974</v>
      </c>
      <c r="H1174" s="82" t="s">
        <v>1956</v>
      </c>
      <c r="I1174" s="79">
        <v>153.6</v>
      </c>
      <c r="J1174" s="79" t="s">
        <v>2004</v>
      </c>
      <c r="K1174" s="80" t="s">
        <v>469</v>
      </c>
      <c r="L1174" s="79">
        <f>VLOOKUP(H1174,Table2[#All],3,FALSE)</f>
        <v>596</v>
      </c>
      <c r="M1174" s="80">
        <f t="shared" si="342"/>
        <v>594</v>
      </c>
      <c r="N1174" s="81">
        <f t="shared" si="321"/>
        <v>-2</v>
      </c>
      <c r="P1174" s="82">
        <f>R1174-TIME(0,54,0)</f>
        <v>45789.472916666666</v>
      </c>
      <c r="Q1174" s="82">
        <v>45790.320833333331</v>
      </c>
      <c r="R1174" s="82">
        <v>45789.510416666664</v>
      </c>
      <c r="T1174" s="81">
        <f t="shared" si="346"/>
        <v>53.749999997914223</v>
      </c>
      <c r="U1174" s="79" t="s">
        <v>2164</v>
      </c>
      <c r="V1174" s="82">
        <v>45790.560416666667</v>
      </c>
      <c r="W1174" s="82">
        <v>45790.750694444447</v>
      </c>
      <c r="X1174" s="103">
        <f t="shared" si="347"/>
        <v>268.29166666917445</v>
      </c>
      <c r="Y1174" s="82" t="s">
        <v>1044</v>
      </c>
      <c r="Z1174" s="82">
        <v>45791.554861111108</v>
      </c>
      <c r="AA1174" s="82">
        <f>Z1174+TIME(0,42,0)</f>
        <v>45791.584027777775</v>
      </c>
      <c r="AB1174" s="81">
        <f t="shared" si="352"/>
        <v>41.12500000068394</v>
      </c>
      <c r="AC1174" s="82"/>
      <c r="AD1174" s="83">
        <f t="shared" si="333"/>
        <v>2.0444444444437977</v>
      </c>
      <c r="AE1174" s="83">
        <f>VLOOKUP(H1174,'LIST 2'!$A$1:$E$27,4,FALSE)</f>
        <v>2</v>
      </c>
      <c r="AF1174" s="83">
        <f t="shared" si="334"/>
        <v>-4.4444444443797693E-2</v>
      </c>
      <c r="AG1174" s="81">
        <f t="shared" si="335"/>
        <v>49.066666666651145</v>
      </c>
      <c r="AH1174" s="81">
        <f t="shared" si="336"/>
        <v>24</v>
      </c>
      <c r="AI1174" s="81">
        <f t="shared" si="337"/>
        <v>25.066666666651145</v>
      </c>
      <c r="AJ1174" s="83">
        <f t="shared" si="348"/>
        <v>6.1276595744718794</v>
      </c>
      <c r="AK1174" s="122">
        <v>10.47</v>
      </c>
      <c r="AL1174" s="122">
        <v>10.59</v>
      </c>
      <c r="AM1174" s="122"/>
      <c r="AN1174" s="122"/>
    </row>
    <row r="1175" spans="1:40" ht="20.25" customHeight="1" x14ac:dyDescent="0.25">
      <c r="A1175" s="82">
        <v>45789</v>
      </c>
      <c r="B1175" s="94" t="str">
        <f t="shared" si="339"/>
        <v>May</v>
      </c>
      <c r="C1175" s="79" t="s">
        <v>2161</v>
      </c>
      <c r="D1175" s="79" t="s">
        <v>1988</v>
      </c>
      <c r="E1175" s="79" t="s">
        <v>1016</v>
      </c>
      <c r="F1175" s="79" t="s">
        <v>959</v>
      </c>
      <c r="G1175" s="79" t="s">
        <v>976</v>
      </c>
      <c r="H1175" s="82" t="s">
        <v>1989</v>
      </c>
      <c r="I1175" s="79">
        <v>153.6</v>
      </c>
      <c r="J1175" s="79" t="s">
        <v>1988</v>
      </c>
      <c r="K1175" s="80" t="s">
        <v>469</v>
      </c>
      <c r="L1175" s="79">
        <f>VLOOKUP(H1175,Table2[#All],3,FALSE)</f>
        <v>20</v>
      </c>
      <c r="M1175" s="80">
        <f>L1175-3</f>
        <v>17</v>
      </c>
      <c r="N1175" s="81">
        <f t="shared" si="321"/>
        <v>-3</v>
      </c>
      <c r="P1175" s="82">
        <f>R1175-TIME(0,23,0)</f>
        <v>45791.783333333333</v>
      </c>
      <c r="Q1175" s="82">
        <v>45790.260416666664</v>
      </c>
      <c r="R1175" s="82">
        <v>45791.799305555556</v>
      </c>
      <c r="T1175" s="81">
        <f t="shared" si="346"/>
        <v>22.893518520140788</v>
      </c>
      <c r="U1175" s="79"/>
      <c r="V1175" s="82">
        <v>45789.625694444447</v>
      </c>
      <c r="W1175" s="82">
        <v>45789.747916666667</v>
      </c>
      <c r="X1175" s="103">
        <f t="shared" si="347"/>
        <v>172.33333333082555</v>
      </c>
      <c r="Y1175" s="82"/>
      <c r="Z1175" s="82">
        <v>45791.554861111108</v>
      </c>
      <c r="AA1175" s="82">
        <f>Z1175+TIME(0,42,0)</f>
        <v>45791.584027777775</v>
      </c>
      <c r="AB1175" s="81">
        <f t="shared" si="352"/>
        <v>41.12500000068394</v>
      </c>
      <c r="AC1175" s="82"/>
      <c r="AD1175" s="83">
        <f t="shared" si="333"/>
        <v>-0.24444444444816327</v>
      </c>
      <c r="AE1175" s="83">
        <f>VLOOKUP(H1175,'LIST 2'!$A$1:$E$27,4,FALSE)</f>
        <v>1</v>
      </c>
      <c r="AF1175" s="83">
        <f t="shared" si="334"/>
        <v>1.2444444444481633</v>
      </c>
      <c r="AG1175" s="81">
        <f t="shared" si="335"/>
        <v>-5.8666666667559184</v>
      </c>
      <c r="AH1175" s="81">
        <f t="shared" si="336"/>
        <v>-12</v>
      </c>
      <c r="AI1175" s="81">
        <f t="shared" si="337"/>
        <v>6.1333333332440816</v>
      </c>
      <c r="AJ1175" s="83">
        <f t="shared" si="348"/>
        <v>25.043478261233997</v>
      </c>
      <c r="AK1175" s="122">
        <v>9.0299999999999994</v>
      </c>
      <c r="AL1175" s="122"/>
      <c r="AM1175" s="122"/>
      <c r="AN1175" s="122"/>
    </row>
    <row r="1176" spans="1:40" ht="20.25" customHeight="1" x14ac:dyDescent="0.25">
      <c r="A1176" s="82">
        <v>45790</v>
      </c>
      <c r="B1176" s="94" t="str">
        <f t="shared" si="339"/>
        <v>May</v>
      </c>
      <c r="C1176" s="79" t="s">
        <v>2161</v>
      </c>
      <c r="D1176" s="79" t="s">
        <v>2005</v>
      </c>
      <c r="E1176" s="79" t="s">
        <v>1016</v>
      </c>
      <c r="F1176" s="79" t="s">
        <v>956</v>
      </c>
      <c r="G1176" s="79" t="s">
        <v>973</v>
      </c>
      <c r="H1176" s="82" t="s">
        <v>2022</v>
      </c>
      <c r="I1176" s="79">
        <v>153.6</v>
      </c>
      <c r="J1176" s="79" t="s">
        <v>2005</v>
      </c>
      <c r="K1176" s="80" t="s">
        <v>469</v>
      </c>
      <c r="L1176" s="79">
        <f>VLOOKUP(H1176,Table2[#All],3,FALSE)</f>
        <v>150</v>
      </c>
      <c r="M1176" s="80">
        <f t="shared" si="342"/>
        <v>148</v>
      </c>
      <c r="N1176" s="81">
        <f t="shared" si="321"/>
        <v>-2</v>
      </c>
      <c r="P1176" s="82">
        <f>R1176-TIME(0,27,0)</f>
        <v>45791.602083333331</v>
      </c>
      <c r="Q1176" s="82">
        <v>45790.260416666664</v>
      </c>
      <c r="R1176" s="82">
        <v>45791.620833333334</v>
      </c>
      <c r="T1176" s="81">
        <f t="shared" si="346"/>
        <v>26.87500000417155</v>
      </c>
      <c r="U1176" s="79"/>
      <c r="V1176" s="82">
        <v>45792.325694444444</v>
      </c>
      <c r="W1176" s="82">
        <v>45792.691666666666</v>
      </c>
      <c r="X1176" s="103">
        <f t="shared" si="347"/>
        <v>516.02083333287737</v>
      </c>
      <c r="Y1176" s="82" t="s">
        <v>1044</v>
      </c>
      <c r="Z1176" s="82">
        <v>45792.763194444444</v>
      </c>
      <c r="AA1176" s="82">
        <f t="shared" ref="AA1176:AA1177" si="360">Z1176+TIME(0,44,0)</f>
        <v>45792.793749999997</v>
      </c>
      <c r="AB1176" s="81">
        <f t="shared" si="352"/>
        <v>43.083333330141613</v>
      </c>
      <c r="AC1176" s="82"/>
      <c r="AD1176" s="83">
        <f t="shared" si="333"/>
        <v>1.1423611111094942</v>
      </c>
      <c r="AE1176" s="83">
        <f>VLOOKUP(H1176,'LIST 2'!$A$1:$E$27,4,FALSE)</f>
        <v>1</v>
      </c>
      <c r="AF1176" s="83">
        <f t="shared" si="334"/>
        <v>-0.14236111110949423</v>
      </c>
      <c r="AG1176" s="81">
        <f t="shared" si="335"/>
        <v>27.416666666627862</v>
      </c>
      <c r="AH1176" s="81">
        <f t="shared" si="336"/>
        <v>12</v>
      </c>
      <c r="AI1176" s="81">
        <f t="shared" si="337"/>
        <v>15.416666666627862</v>
      </c>
      <c r="AJ1176" s="83">
        <f t="shared" si="348"/>
        <v>9.9632432432683213</v>
      </c>
      <c r="AK1176" s="122">
        <v>11.28</v>
      </c>
      <c r="AL1176" s="122">
        <v>11.41</v>
      </c>
      <c r="AM1176" s="122"/>
      <c r="AN1176" s="122"/>
    </row>
    <row r="1177" spans="1:40" ht="20.25" customHeight="1" x14ac:dyDescent="0.25">
      <c r="A1177" s="82">
        <v>45790</v>
      </c>
      <c r="B1177" s="94" t="str">
        <f t="shared" si="339"/>
        <v>May</v>
      </c>
      <c r="C1177" s="79" t="s">
        <v>2161</v>
      </c>
      <c r="D1177" s="79" t="s">
        <v>2006</v>
      </c>
      <c r="E1177" s="79" t="s">
        <v>1016</v>
      </c>
      <c r="F1177" s="79" t="s">
        <v>950</v>
      </c>
      <c r="G1177" s="79" t="s">
        <v>967</v>
      </c>
      <c r="H1177" s="82" t="s">
        <v>2022</v>
      </c>
      <c r="I1177" s="79">
        <v>153.6</v>
      </c>
      <c r="J1177" s="79" t="s">
        <v>2006</v>
      </c>
      <c r="K1177" s="80" t="s">
        <v>469</v>
      </c>
      <c r="L1177" s="79">
        <f>VLOOKUP(H1177,Table2[#All],3,FALSE)</f>
        <v>150</v>
      </c>
      <c r="M1177" s="80">
        <f>L1177-3</f>
        <v>147</v>
      </c>
      <c r="N1177" s="81">
        <f t="shared" si="321"/>
        <v>-3</v>
      </c>
      <c r="P1177" s="82">
        <f>R1177-TIME(0,29,0)</f>
        <v>45791.395138888889</v>
      </c>
      <c r="Q1177" s="82">
        <v>45790.494444444441</v>
      </c>
      <c r="R1177" s="82">
        <v>45791.415277777778</v>
      </c>
      <c r="T1177" s="81">
        <f t="shared" si="346"/>
        <v>28.865740740972495</v>
      </c>
      <c r="U1177" s="79"/>
      <c r="V1177" s="82">
        <v>45791.724305555559</v>
      </c>
      <c r="W1177" s="82">
        <v>45792.592361111114</v>
      </c>
      <c r="X1177" s="103">
        <f t="shared" si="347"/>
        <v>1223.9583333321934</v>
      </c>
      <c r="Y1177" s="82" t="s">
        <v>1047</v>
      </c>
      <c r="Z1177" s="82">
        <v>45792.72152777778</v>
      </c>
      <c r="AA1177" s="82">
        <f t="shared" si="360"/>
        <v>45792.752083333333</v>
      </c>
      <c r="AB1177" s="81">
        <f t="shared" si="352"/>
        <v>43.083333330141613</v>
      </c>
      <c r="AC1177" s="82"/>
      <c r="AD1177" s="83">
        <f t="shared" si="333"/>
        <v>1.3062500000014552</v>
      </c>
      <c r="AE1177" s="83">
        <f>VLOOKUP(H1177,'LIST 2'!$A$1:$E$27,4,FALSE)</f>
        <v>1</v>
      </c>
      <c r="AF1177" s="83">
        <f t="shared" si="334"/>
        <v>-0.30625000000145519</v>
      </c>
      <c r="AG1177" s="81">
        <f t="shared" si="335"/>
        <v>31.350000000034925</v>
      </c>
      <c r="AH1177" s="81">
        <f t="shared" si="336"/>
        <v>12</v>
      </c>
      <c r="AI1177" s="81">
        <f t="shared" si="337"/>
        <v>19.350000000034925</v>
      </c>
      <c r="AJ1177" s="83">
        <f t="shared" si="348"/>
        <v>7.9379844961097037</v>
      </c>
      <c r="AK1177" s="122">
        <v>11.49</v>
      </c>
      <c r="AL1177" s="122">
        <v>12</v>
      </c>
      <c r="AM1177" s="122"/>
      <c r="AN1177" s="122"/>
    </row>
    <row r="1178" spans="1:40" ht="20.25" customHeight="1" x14ac:dyDescent="0.25">
      <c r="A1178" s="82">
        <v>45790</v>
      </c>
      <c r="B1178" s="94" t="str">
        <f t="shared" si="339"/>
        <v>May</v>
      </c>
      <c r="C1178" s="79" t="s">
        <v>2161</v>
      </c>
      <c r="D1178" s="79" t="s">
        <v>2007</v>
      </c>
      <c r="E1178" s="79" t="s">
        <v>1016</v>
      </c>
      <c r="F1178" s="79" t="s">
        <v>953</v>
      </c>
      <c r="G1178" s="79" t="s">
        <v>970</v>
      </c>
      <c r="H1178" s="82" t="s">
        <v>1989</v>
      </c>
      <c r="I1178" s="79">
        <v>153.6</v>
      </c>
      <c r="J1178" s="79" t="s">
        <v>2007</v>
      </c>
      <c r="K1178" s="80" t="s">
        <v>469</v>
      </c>
      <c r="L1178" s="79">
        <f>VLOOKUP(H1178,Table2[#All],3,FALSE)</f>
        <v>20</v>
      </c>
      <c r="M1178" s="80">
        <f t="shared" si="342"/>
        <v>18</v>
      </c>
      <c r="N1178" s="81">
        <f t="shared" si="321"/>
        <v>-2</v>
      </c>
      <c r="P1178" s="82">
        <f>R1178-TIME(0,23,0)</f>
        <v>45790.761805555558</v>
      </c>
      <c r="Q1178" s="82">
        <v>45789.916666666664</v>
      </c>
      <c r="R1178" s="82">
        <v>45790.777777777781</v>
      </c>
      <c r="T1178" s="81">
        <f t="shared" si="346"/>
        <v>22.893518520140788</v>
      </c>
      <c r="U1178" s="79"/>
      <c r="V1178" s="82">
        <v>45790.503472222219</v>
      </c>
      <c r="W1178" s="82">
        <v>45790.74722222222</v>
      </c>
      <c r="X1178" s="103">
        <f t="shared" si="347"/>
        <v>343.68750000205182</v>
      </c>
      <c r="Y1178" s="82" t="s">
        <v>1044</v>
      </c>
      <c r="Z1178" s="82">
        <v>45790.76458333333</v>
      </c>
      <c r="AA1178" s="82">
        <f>Z1178+TIME(0,44,0)</f>
        <v>45790.795138888883</v>
      </c>
      <c r="AB1178" s="81">
        <f t="shared" si="352"/>
        <v>43.083333330141613</v>
      </c>
      <c r="AC1178" s="82"/>
      <c r="AD1178" s="83">
        <f t="shared" si="333"/>
        <v>-1.319444445107365E-2</v>
      </c>
      <c r="AE1178" s="83">
        <f>VLOOKUP(H1178,'LIST 2'!$A$1:$E$27,4,FALSE)</f>
        <v>1</v>
      </c>
      <c r="AF1178" s="83">
        <f t="shared" si="334"/>
        <v>1.0131944444510737</v>
      </c>
      <c r="AG1178" s="81">
        <f t="shared" si="335"/>
        <v>-0.31666666682576761</v>
      </c>
      <c r="AH1178" s="81">
        <f t="shared" si="336"/>
        <v>-12</v>
      </c>
      <c r="AI1178" s="81">
        <f t="shared" si="337"/>
        <v>11.683333333174232</v>
      </c>
      <c r="AJ1178" s="83">
        <f t="shared" si="348"/>
        <v>13.146932953103425</v>
      </c>
      <c r="AK1178" s="122">
        <v>11.44</v>
      </c>
      <c r="AL1178" s="122"/>
      <c r="AM1178" s="122"/>
      <c r="AN1178" s="122"/>
    </row>
    <row r="1179" spans="1:40" ht="20.25" customHeight="1" x14ac:dyDescent="0.25">
      <c r="A1179" s="82">
        <v>45790</v>
      </c>
      <c r="B1179" s="94" t="str">
        <f t="shared" si="339"/>
        <v>May</v>
      </c>
      <c r="C1179" s="79" t="s">
        <v>2162</v>
      </c>
      <c r="D1179" s="79" t="s">
        <v>2008</v>
      </c>
      <c r="E1179" s="79" t="s">
        <v>1016</v>
      </c>
      <c r="F1179" s="79" t="s">
        <v>1963</v>
      </c>
      <c r="G1179" s="79" t="s">
        <v>43</v>
      </c>
      <c r="H1179" s="82" t="s">
        <v>2189</v>
      </c>
      <c r="I1179" s="79">
        <v>156</v>
      </c>
      <c r="J1179" s="79" t="s">
        <v>2008</v>
      </c>
      <c r="K1179" s="80" t="s">
        <v>469</v>
      </c>
      <c r="L1179" s="79">
        <f>VLOOKUP(H1179,Table2[#All],3,FALSE)</f>
        <v>524</v>
      </c>
      <c r="M1179" s="80">
        <f t="shared" si="342"/>
        <v>522</v>
      </c>
      <c r="N1179" s="81">
        <f t="shared" si="321"/>
        <v>-2</v>
      </c>
      <c r="P1179" s="82">
        <f>R1179-TIME(0,29,0)</f>
        <v>45790.619444444441</v>
      </c>
      <c r="Q1179" s="82">
        <v>45790.136805555558</v>
      </c>
      <c r="R1179" s="82">
        <v>45790.63958333333</v>
      </c>
      <c r="S1179" s="81">
        <f t="shared" ref="S1179:S1184" si="361">(R1179-Q1179)*86000/60</f>
        <v>720.64814814026852</v>
      </c>
      <c r="T1179" s="81">
        <f t="shared" si="346"/>
        <v>28.865740740972495</v>
      </c>
      <c r="U1179" s="79"/>
      <c r="V1179" s="82">
        <v>45791.546527777777</v>
      </c>
      <c r="W1179" s="82">
        <v>45792.654166666667</v>
      </c>
      <c r="X1179" s="103">
        <f t="shared" si="347"/>
        <v>1561.7708333356131</v>
      </c>
      <c r="Y1179" s="82" t="s">
        <v>1044</v>
      </c>
      <c r="Z1179" s="82">
        <v>45793.462500000001</v>
      </c>
      <c r="AA1179" s="82">
        <f>Z1179+TIME(0,36,0)</f>
        <v>45793.487500000003</v>
      </c>
      <c r="AB1179" s="81">
        <f t="shared" si="352"/>
        <v>35.25000000205182</v>
      </c>
      <c r="AC1179" s="82"/>
      <c r="AD1179" s="83">
        <f t="shared" si="333"/>
        <v>2.8229166666715173</v>
      </c>
      <c r="AE1179" s="83">
        <f>VLOOKUP(H1179,'LIST 2'!$A$1:$E$27,4,FALSE)</f>
        <v>3</v>
      </c>
      <c r="AF1179" s="83">
        <f t="shared" si="334"/>
        <v>0.17708333332848269</v>
      </c>
      <c r="AG1179" s="81">
        <f t="shared" si="335"/>
        <v>67.750000000116415</v>
      </c>
      <c r="AH1179" s="81">
        <f t="shared" si="336"/>
        <v>24</v>
      </c>
      <c r="AI1179" s="81">
        <f t="shared" si="337"/>
        <v>43.750000000116415</v>
      </c>
      <c r="AJ1179" s="83">
        <f t="shared" si="348"/>
        <v>3.5657142857047974</v>
      </c>
      <c r="AK1179" s="122"/>
      <c r="AL1179" s="122"/>
      <c r="AM1179" s="122"/>
      <c r="AN1179" s="122"/>
    </row>
    <row r="1180" spans="1:40" ht="20.25" customHeight="1" x14ac:dyDescent="0.25">
      <c r="A1180" s="82">
        <v>45790</v>
      </c>
      <c r="B1180" s="94" t="str">
        <f t="shared" si="339"/>
        <v>May</v>
      </c>
      <c r="C1180" s="79" t="s">
        <v>2162</v>
      </c>
      <c r="D1180" s="79" t="s">
        <v>2009</v>
      </c>
      <c r="E1180" s="79" t="s">
        <v>1016</v>
      </c>
      <c r="F1180" s="79" t="s">
        <v>1962</v>
      </c>
      <c r="G1180" s="79" t="s">
        <v>56</v>
      </c>
      <c r="H1180" s="82" t="s">
        <v>2186</v>
      </c>
      <c r="I1180" s="79">
        <v>156</v>
      </c>
      <c r="J1180" s="79" t="s">
        <v>2009</v>
      </c>
      <c r="K1180" s="80" t="s">
        <v>469</v>
      </c>
      <c r="L1180" s="79">
        <f>VLOOKUP(H1180,Table2[#All],3,FALSE)</f>
        <v>228</v>
      </c>
      <c r="M1180" s="80">
        <f t="shared" si="342"/>
        <v>226</v>
      </c>
      <c r="N1180" s="81">
        <f t="shared" si="321"/>
        <v>-2</v>
      </c>
      <c r="P1180" s="82">
        <f>R1180-TIME(0,23,0)</f>
        <v>45790.540972222218</v>
      </c>
      <c r="Q1180" s="82">
        <v>45790.136805555558</v>
      </c>
      <c r="R1180" s="82">
        <v>45790.556944444441</v>
      </c>
      <c r="S1180" s="81">
        <f t="shared" si="361"/>
        <v>602.19907406596269</v>
      </c>
      <c r="T1180" s="81">
        <f t="shared" si="346"/>
        <v>22.893518520140788</v>
      </c>
      <c r="U1180" s="79"/>
      <c r="V1180" s="82">
        <v>45791.504166666666</v>
      </c>
      <c r="W1180" s="82">
        <v>45791.623611111114</v>
      </c>
      <c r="X1180" s="103">
        <f t="shared" si="347"/>
        <v>168.41666667191021</v>
      </c>
      <c r="Y1180" s="82"/>
      <c r="Z1180" s="82">
        <v>45791.704861111109</v>
      </c>
      <c r="AA1180" s="82">
        <f>Z1180+TIME(0,42,0)</f>
        <v>45791.734027777777</v>
      </c>
      <c r="AB1180" s="81">
        <f t="shared" si="352"/>
        <v>41.12500000068394</v>
      </c>
      <c r="AC1180" s="82"/>
      <c r="AD1180" s="83">
        <f t="shared" si="333"/>
        <v>1.1479166666686069</v>
      </c>
      <c r="AE1180" s="83">
        <f>VLOOKUP(H1180,'LIST 2'!$A$1:$E$27,4,FALSE)</f>
        <v>2</v>
      </c>
      <c r="AF1180" s="83">
        <f t="shared" si="334"/>
        <v>0.85208333333139308</v>
      </c>
      <c r="AG1180" s="81">
        <f t="shared" si="335"/>
        <v>27.550000000046566</v>
      </c>
      <c r="AH1180" s="81">
        <f t="shared" si="336"/>
        <v>12</v>
      </c>
      <c r="AI1180" s="81">
        <f t="shared" si="337"/>
        <v>15.550000000046566</v>
      </c>
      <c r="AJ1180" s="83">
        <f t="shared" si="348"/>
        <v>10.03215434080597</v>
      </c>
      <c r="AK1180" s="122"/>
      <c r="AL1180" s="122"/>
      <c r="AM1180" s="122"/>
      <c r="AN1180" s="122"/>
    </row>
    <row r="1181" spans="1:40" ht="20.25" customHeight="1" x14ac:dyDescent="0.25">
      <c r="A1181" s="82">
        <v>45790</v>
      </c>
      <c r="B1181" s="94" t="str">
        <f t="shared" si="339"/>
        <v>May</v>
      </c>
      <c r="C1181" s="79" t="s">
        <v>2162</v>
      </c>
      <c r="D1181" s="79" t="s">
        <v>2010</v>
      </c>
      <c r="E1181" s="79" t="s">
        <v>1016</v>
      </c>
      <c r="F1181" s="79" t="s">
        <v>963</v>
      </c>
      <c r="G1181" s="79" t="s">
        <v>60</v>
      </c>
      <c r="H1181" s="82" t="s">
        <v>2181</v>
      </c>
      <c r="I1181" s="79">
        <v>156</v>
      </c>
      <c r="J1181" s="79" t="s">
        <v>2010</v>
      </c>
      <c r="K1181" s="80" t="s">
        <v>469</v>
      </c>
      <c r="L1181" s="79">
        <f>VLOOKUP(H1181,Table2[#All],3,FALSE)</f>
        <v>580</v>
      </c>
      <c r="M1181" s="80">
        <f t="shared" si="342"/>
        <v>578</v>
      </c>
      <c r="N1181" s="81">
        <f t="shared" si="321"/>
        <v>-2</v>
      </c>
      <c r="P1181" s="82">
        <f>R1181-TIME(0,29,0)</f>
        <v>45790.482638888891</v>
      </c>
      <c r="Q1181" s="82">
        <v>45790.098611111112</v>
      </c>
      <c r="R1181" s="82">
        <v>45790.50277777778</v>
      </c>
      <c r="S1181" s="81">
        <f t="shared" si="361"/>
        <v>579.30555555625085</v>
      </c>
      <c r="T1181" s="81">
        <f t="shared" si="346"/>
        <v>28.865740740972495</v>
      </c>
      <c r="U1181" s="79"/>
      <c r="V1181" s="82">
        <v>45790.972222222219</v>
      </c>
      <c r="W1181" s="82">
        <v>45791.645138888889</v>
      </c>
      <c r="X1181" s="103">
        <f t="shared" si="347"/>
        <v>948.81250000478758</v>
      </c>
      <c r="Y1181" s="82" t="s">
        <v>1047</v>
      </c>
      <c r="Z1181" s="82">
        <v>45792.369444444441</v>
      </c>
      <c r="AA1181" s="82">
        <f>Z1181+TIME(0,39,0)</f>
        <v>45792.396527777775</v>
      </c>
      <c r="AB1181" s="81">
        <f t="shared" si="352"/>
        <v>38.18750000136788</v>
      </c>
      <c r="AC1181" s="82"/>
      <c r="AD1181" s="83">
        <f t="shared" si="333"/>
        <v>1.866666666661331</v>
      </c>
      <c r="AE1181" s="83">
        <f>VLOOKUP(H1181,'LIST 2'!$A$1:$E$27,4,FALSE)</f>
        <v>2</v>
      </c>
      <c r="AF1181" s="83">
        <f t="shared" si="334"/>
        <v>0.13333333333866904</v>
      </c>
      <c r="AG1181" s="81">
        <f t="shared" si="335"/>
        <v>44.799999999871943</v>
      </c>
      <c r="AH1181" s="81">
        <f t="shared" si="336"/>
        <v>12</v>
      </c>
      <c r="AI1181" s="81">
        <f t="shared" si="337"/>
        <v>32.799999999871943</v>
      </c>
      <c r="AJ1181" s="83">
        <f t="shared" si="348"/>
        <v>4.7560975609941787</v>
      </c>
      <c r="AK1181" s="122"/>
      <c r="AL1181" s="122"/>
      <c r="AM1181" s="122"/>
      <c r="AN1181" s="122"/>
    </row>
    <row r="1182" spans="1:40" ht="20.25" customHeight="1" x14ac:dyDescent="0.25">
      <c r="A1182" s="82">
        <v>45790</v>
      </c>
      <c r="B1182" s="94" t="str">
        <f t="shared" si="339"/>
        <v>May</v>
      </c>
      <c r="C1182" s="79" t="s">
        <v>2162</v>
      </c>
      <c r="D1182" s="79" t="s">
        <v>2011</v>
      </c>
      <c r="E1182" s="79" t="s">
        <v>1016</v>
      </c>
      <c r="F1182" s="79" t="s">
        <v>1960</v>
      </c>
      <c r="G1182" s="79" t="s">
        <v>1961</v>
      </c>
      <c r="H1182" s="82" t="s">
        <v>1959</v>
      </c>
      <c r="I1182" s="79">
        <v>156</v>
      </c>
      <c r="J1182" s="79" t="s">
        <v>2011</v>
      </c>
      <c r="K1182" s="80" t="s">
        <v>469</v>
      </c>
      <c r="L1182" s="79">
        <f>VLOOKUP(H1182,Table2[#All],3,FALSE)</f>
        <v>304</v>
      </c>
      <c r="M1182" s="80">
        <f t="shared" si="342"/>
        <v>302</v>
      </c>
      <c r="N1182" s="81">
        <f t="shared" si="321"/>
        <v>-2</v>
      </c>
      <c r="P1182" s="82">
        <f t="shared" ref="P1182:P1183" si="362">R1182-TIME(0,50,0)</f>
        <v>45790.433333333334</v>
      </c>
      <c r="Q1182" s="82">
        <v>45790.098611111112</v>
      </c>
      <c r="R1182" s="82">
        <v>45790.468055555553</v>
      </c>
      <c r="S1182" s="81">
        <f t="shared" si="361"/>
        <v>529.53703703193844</v>
      </c>
      <c r="T1182" s="81">
        <f t="shared" si="346"/>
        <v>49.768518513883464</v>
      </c>
      <c r="U1182" s="79" t="s">
        <v>550</v>
      </c>
      <c r="V1182" s="82">
        <v>45790.790277777778</v>
      </c>
      <c r="W1182" s="82">
        <v>45790.901388888888</v>
      </c>
      <c r="X1182" s="103">
        <f t="shared" si="347"/>
        <v>156.66666666438687</v>
      </c>
      <c r="Y1182" s="82"/>
      <c r="Z1182" s="82">
        <v>45790.895833333336</v>
      </c>
      <c r="AA1182" s="82">
        <f>Z1182+TIME(0,44,0)</f>
        <v>45790.926388888889</v>
      </c>
      <c r="AB1182" s="81">
        <f t="shared" si="352"/>
        <v>43.083333330141613</v>
      </c>
      <c r="AC1182" s="82"/>
      <c r="AD1182" s="83">
        <f t="shared" si="333"/>
        <v>0.42777777778246673</v>
      </c>
      <c r="AE1182" s="83">
        <f>VLOOKUP(H1182,'LIST 2'!$A$1:$E$27,4,FALSE)</f>
        <v>2</v>
      </c>
      <c r="AF1182" s="83">
        <f t="shared" si="334"/>
        <v>1.5722222222175333</v>
      </c>
      <c r="AG1182" s="81">
        <f t="shared" si="335"/>
        <v>10.266666666779201</v>
      </c>
      <c r="AH1182" s="81">
        <f t="shared" si="336"/>
        <v>0</v>
      </c>
      <c r="AI1182" s="81">
        <f t="shared" si="337"/>
        <v>10.266666666779201</v>
      </c>
      <c r="AJ1182" s="83">
        <f t="shared" si="348"/>
        <v>15.194805194638642</v>
      </c>
      <c r="AK1182" s="122"/>
      <c r="AL1182" s="122"/>
      <c r="AM1182" s="122"/>
      <c r="AN1182" s="122"/>
    </row>
    <row r="1183" spans="1:40" ht="20.25" customHeight="1" x14ac:dyDescent="0.25">
      <c r="A1183" s="82">
        <v>45790</v>
      </c>
      <c r="B1183" s="94" t="str">
        <f t="shared" si="339"/>
        <v>May</v>
      </c>
      <c r="C1183" s="79" t="s">
        <v>2162</v>
      </c>
      <c r="D1183" s="79" t="s">
        <v>2012</v>
      </c>
      <c r="E1183" s="79" t="s">
        <v>1016</v>
      </c>
      <c r="F1183" s="79" t="s">
        <v>1692</v>
      </c>
      <c r="G1183" s="79" t="s">
        <v>50</v>
      </c>
      <c r="H1183" s="82" t="s">
        <v>1959</v>
      </c>
      <c r="I1183" s="79">
        <v>156</v>
      </c>
      <c r="J1183" s="79" t="s">
        <v>2012</v>
      </c>
      <c r="K1183" s="80" t="s">
        <v>469</v>
      </c>
      <c r="L1183" s="79">
        <f>VLOOKUP(H1183,Table2[#All],3,FALSE)</f>
        <v>304</v>
      </c>
      <c r="M1183" s="80">
        <f t="shared" si="342"/>
        <v>302</v>
      </c>
      <c r="N1183" s="81">
        <f t="shared" si="321"/>
        <v>-2</v>
      </c>
      <c r="P1183" s="82">
        <f t="shared" si="362"/>
        <v>45790.474305555559</v>
      </c>
      <c r="Q1183" s="82">
        <v>45790.179861111108</v>
      </c>
      <c r="R1183" s="82">
        <v>45790.509027777778</v>
      </c>
      <c r="S1183" s="81">
        <f t="shared" si="361"/>
        <v>471.80555556042236</v>
      </c>
      <c r="T1183" s="81">
        <f t="shared" si="346"/>
        <v>49.768518513883464</v>
      </c>
      <c r="U1183" s="79" t="s">
        <v>2163</v>
      </c>
      <c r="V1183" s="82">
        <v>45790.742361111108</v>
      </c>
      <c r="W1183" s="82">
        <v>45791.532638888886</v>
      </c>
      <c r="X1183" s="103">
        <f t="shared" si="347"/>
        <v>1114.2916666671226</v>
      </c>
      <c r="Y1183" s="82" t="s">
        <v>1050</v>
      </c>
      <c r="Z1183" s="82">
        <v>45791.717361111114</v>
      </c>
      <c r="AA1183" s="82">
        <f t="shared" ref="AA1183" si="363">Z1183+TIME(0,45,0)</f>
        <v>45791.748611111114</v>
      </c>
      <c r="AB1183" s="81">
        <f t="shared" si="352"/>
        <v>44.0625</v>
      </c>
      <c r="AC1183" s="82"/>
      <c r="AD1183" s="83">
        <f t="shared" si="333"/>
        <v>1.2083333333357587</v>
      </c>
      <c r="AE1183" s="83">
        <f>VLOOKUP(H1183,'LIST 2'!$A$1:$E$27,4,FALSE)</f>
        <v>2</v>
      </c>
      <c r="AF1183" s="83">
        <f t="shared" si="334"/>
        <v>0.79166666666424135</v>
      </c>
      <c r="AG1183" s="81">
        <f t="shared" si="335"/>
        <v>29.000000000058208</v>
      </c>
      <c r="AH1183" s="81">
        <f t="shared" si="336"/>
        <v>12</v>
      </c>
      <c r="AI1183" s="81">
        <f t="shared" si="337"/>
        <v>17.000000000058208</v>
      </c>
      <c r="AJ1183" s="83">
        <f t="shared" si="348"/>
        <v>9.1764705882038733</v>
      </c>
      <c r="AK1183" s="122"/>
      <c r="AL1183" s="122"/>
      <c r="AM1183" s="122"/>
      <c r="AN1183" s="122"/>
    </row>
    <row r="1184" spans="1:40" ht="20.25" customHeight="1" x14ac:dyDescent="0.25">
      <c r="A1184" s="82">
        <v>45790</v>
      </c>
      <c r="B1184" s="94" t="str">
        <f t="shared" si="339"/>
        <v>May</v>
      </c>
      <c r="C1184" s="79" t="s">
        <v>2162</v>
      </c>
      <c r="D1184" s="79" t="s">
        <v>2013</v>
      </c>
      <c r="E1184" s="79" t="s">
        <v>1016</v>
      </c>
      <c r="F1184" s="79" t="s">
        <v>2021</v>
      </c>
      <c r="G1184" s="79" t="s">
        <v>44</v>
      </c>
      <c r="H1184" s="82" t="s">
        <v>2185</v>
      </c>
      <c r="I1184" s="79">
        <v>156</v>
      </c>
      <c r="J1184" s="79" t="s">
        <v>2013</v>
      </c>
      <c r="K1184" s="80" t="s">
        <v>469</v>
      </c>
      <c r="L1184" s="79">
        <f>VLOOKUP(H1184,Table2[#All],3,FALSE)</f>
        <v>382</v>
      </c>
      <c r="M1184" s="80">
        <f t="shared" si="342"/>
        <v>380</v>
      </c>
      <c r="N1184" s="81">
        <f t="shared" si="321"/>
        <v>-2</v>
      </c>
      <c r="P1184" s="82">
        <f>R1184-TIME(0,29,0)</f>
        <v>45790.457638888889</v>
      </c>
      <c r="Q1184" s="82">
        <v>45790.320833333331</v>
      </c>
      <c r="R1184" s="82">
        <v>45790.477777777778</v>
      </c>
      <c r="S1184" s="81">
        <f t="shared" si="361"/>
        <v>224.95370370694823</v>
      </c>
      <c r="T1184" s="81">
        <f t="shared" si="346"/>
        <v>28.865740740972495</v>
      </c>
      <c r="U1184" s="79"/>
      <c r="V1184" s="82">
        <v>45791.336805555555</v>
      </c>
      <c r="W1184" s="82">
        <v>45791.513888888891</v>
      </c>
      <c r="X1184" s="103">
        <f t="shared" si="347"/>
        <v>249.6875000034197</v>
      </c>
      <c r="Y1184" s="82" t="s">
        <v>1044</v>
      </c>
      <c r="Z1184" s="82">
        <v>45791.792361111111</v>
      </c>
      <c r="AA1184" s="82">
        <f>Z1184+TIME(0,42,0)</f>
        <v>45791.821527777778</v>
      </c>
      <c r="AB1184" s="81">
        <f t="shared" si="352"/>
        <v>41.12500000068394</v>
      </c>
      <c r="AC1184" s="82"/>
      <c r="AD1184" s="83">
        <f t="shared" si="333"/>
        <v>1.3145833333328483</v>
      </c>
      <c r="AE1184" s="83">
        <f>VLOOKUP(H1184,'LIST 2'!$A$1:$E$27,4,FALSE)</f>
        <v>2</v>
      </c>
      <c r="AF1184" s="83">
        <f t="shared" si="334"/>
        <v>0.68541666666715173</v>
      </c>
      <c r="AG1184" s="81">
        <f t="shared" si="335"/>
        <v>31.549999999988358</v>
      </c>
      <c r="AH1184" s="81">
        <f t="shared" si="336"/>
        <v>12</v>
      </c>
      <c r="AI1184" s="81">
        <f t="shared" si="337"/>
        <v>19.549999999988358</v>
      </c>
      <c r="AJ1184" s="83">
        <f t="shared" si="348"/>
        <v>7.9795396419484854</v>
      </c>
      <c r="AK1184" s="122"/>
      <c r="AL1184" s="122"/>
      <c r="AM1184" s="122"/>
      <c r="AN1184" s="122"/>
    </row>
    <row r="1185" spans="1:40" ht="20.25" customHeight="1" x14ac:dyDescent="0.25">
      <c r="A1185" s="82">
        <v>45790</v>
      </c>
      <c r="B1185" s="94" t="str">
        <f t="shared" si="339"/>
        <v>May</v>
      </c>
      <c r="C1185" s="79" t="s">
        <v>2161</v>
      </c>
      <c r="D1185" s="79" t="s">
        <v>2014</v>
      </c>
      <c r="E1185" s="79"/>
      <c r="F1185" s="79" t="s">
        <v>953</v>
      </c>
      <c r="G1185" s="79" t="s">
        <v>970</v>
      </c>
      <c r="H1185" s="82" t="s">
        <v>1989</v>
      </c>
      <c r="I1185" s="79">
        <v>153.6</v>
      </c>
      <c r="J1185" s="79" t="s">
        <v>2014</v>
      </c>
      <c r="K1185" s="80" t="s">
        <v>469</v>
      </c>
      <c r="L1185" s="79">
        <f>VLOOKUP(H1185,Table2[#All],3,FALSE)</f>
        <v>20</v>
      </c>
      <c r="M1185" s="80">
        <f t="shared" si="342"/>
        <v>18</v>
      </c>
      <c r="N1185" s="81">
        <f t="shared" si="321"/>
        <v>-2</v>
      </c>
      <c r="P1185" s="82">
        <f>R1185-TIME(0,23,0)</f>
        <v>45789.945138888885</v>
      </c>
      <c r="Q1185" s="82">
        <v>45789.947916666664</v>
      </c>
      <c r="R1185" s="82">
        <v>45789.961111111108</v>
      </c>
      <c r="T1185" s="81">
        <f t="shared" si="346"/>
        <v>22.893518520140788</v>
      </c>
      <c r="V1185" s="82">
        <v>45791.603472222225</v>
      </c>
      <c r="W1185" s="82">
        <v>45791.689583333333</v>
      </c>
      <c r="X1185" s="103">
        <f t="shared" si="347"/>
        <v>121.41666666233505</v>
      </c>
      <c r="Y1185" s="82"/>
      <c r="Z1185" s="82">
        <v>45792.549305555556</v>
      </c>
      <c r="AA1185" s="82">
        <f>Z1185+TIME(0,44,0)</f>
        <v>45792.579861111109</v>
      </c>
      <c r="AB1185" s="81">
        <f t="shared" si="352"/>
        <v>43.083333330141613</v>
      </c>
      <c r="AC1185" s="82"/>
      <c r="AD1185" s="83">
        <f t="shared" si="333"/>
        <v>2.5881944444481633</v>
      </c>
      <c r="AE1185" s="83">
        <f>VLOOKUP(H1185,'LIST 2'!$A$1:$E$27,4,FALSE)</f>
        <v>1</v>
      </c>
      <c r="AF1185" s="83">
        <f t="shared" si="334"/>
        <v>-1.5881944444481633</v>
      </c>
      <c r="AG1185" s="81">
        <f t="shared" si="335"/>
        <v>62.116666666755918</v>
      </c>
      <c r="AH1185" s="81">
        <f t="shared" si="336"/>
        <v>24</v>
      </c>
      <c r="AI1185" s="81">
        <f t="shared" si="337"/>
        <v>38.116666666755918</v>
      </c>
      <c r="AJ1185" s="83">
        <f t="shared" si="348"/>
        <v>4.0297332750233581</v>
      </c>
      <c r="AK1185" s="122">
        <v>10.36</v>
      </c>
      <c r="AL1185" s="122">
        <v>11.44</v>
      </c>
      <c r="AM1185" s="122">
        <v>10.36</v>
      </c>
      <c r="AN1185" s="122">
        <v>9.27</v>
      </c>
    </row>
    <row r="1186" spans="1:40" ht="20.25" customHeight="1" x14ac:dyDescent="0.25">
      <c r="A1186" s="82">
        <v>45790</v>
      </c>
      <c r="B1186" s="94" t="str">
        <f t="shared" si="339"/>
        <v>May</v>
      </c>
      <c r="C1186" s="79" t="s">
        <v>2162</v>
      </c>
      <c r="D1186" s="79" t="s">
        <v>2015</v>
      </c>
      <c r="E1186" s="79" t="s">
        <v>1016</v>
      </c>
      <c r="F1186" s="79" t="s">
        <v>1695</v>
      </c>
      <c r="G1186" s="79" t="s">
        <v>74</v>
      </c>
      <c r="H1186" s="82" t="s">
        <v>2178</v>
      </c>
      <c r="I1186" s="79">
        <v>156</v>
      </c>
      <c r="J1186" s="79" t="s">
        <v>2015</v>
      </c>
      <c r="K1186" s="80" t="s">
        <v>469</v>
      </c>
      <c r="L1186" s="79">
        <f>VLOOKUP(H1186,Table2[#All],3,FALSE)</f>
        <v>510</v>
      </c>
      <c r="M1186" s="80">
        <f>L1186-1</f>
        <v>509</v>
      </c>
      <c r="N1186" s="81">
        <f t="shared" si="321"/>
        <v>-1</v>
      </c>
      <c r="P1186" s="82">
        <f>R1186-TIME(0,54,0)</f>
        <v>45789.887500000004</v>
      </c>
      <c r="Q1186" s="82">
        <v>45789.916666666664</v>
      </c>
      <c r="R1186" s="82">
        <v>45789.925000000003</v>
      </c>
      <c r="S1186" s="81">
        <f t="shared" ref="S1186:S1187" si="364">(R1186-Q1186)*86000/60</f>
        <v>11.944444452092284</v>
      </c>
      <c r="T1186" s="81">
        <f t="shared" si="346"/>
        <v>53.749999997914223</v>
      </c>
      <c r="U1186" s="79" t="s">
        <v>2164</v>
      </c>
      <c r="V1186" s="82">
        <v>45791.356944444444</v>
      </c>
      <c r="W1186" s="82">
        <v>45791.78125</v>
      </c>
      <c r="X1186" s="103">
        <f t="shared" si="347"/>
        <v>598.27083333424525</v>
      </c>
      <c r="Y1186" s="82" t="s">
        <v>1044</v>
      </c>
      <c r="Z1186" s="82">
        <v>45792.505555555559</v>
      </c>
      <c r="AA1186" s="82">
        <f>Z1186+TIME(0,39,0)</f>
        <v>45792.532638888893</v>
      </c>
      <c r="AB1186" s="81">
        <f t="shared" si="352"/>
        <v>38.18750000136788</v>
      </c>
      <c r="AC1186" s="82"/>
      <c r="AD1186" s="83">
        <f t="shared" si="333"/>
        <v>2.5805555555562023</v>
      </c>
      <c r="AE1186" s="83">
        <f>VLOOKUP(H1186,'LIST 2'!$A$1:$E$27,4,FALSE)</f>
        <v>3</v>
      </c>
      <c r="AF1186" s="83">
        <f t="shared" si="334"/>
        <v>0.41944444444379769</v>
      </c>
      <c r="AG1186" s="81">
        <f t="shared" si="335"/>
        <v>61.933333333348855</v>
      </c>
      <c r="AH1186" s="81">
        <f t="shared" si="336"/>
        <v>24</v>
      </c>
      <c r="AI1186" s="81">
        <f t="shared" si="337"/>
        <v>37.933333333348855</v>
      </c>
      <c r="AJ1186" s="83">
        <f t="shared" si="348"/>
        <v>4.1124780316327634</v>
      </c>
      <c r="AK1186" s="122"/>
      <c r="AL1186" s="122"/>
      <c r="AM1186" s="122"/>
      <c r="AN1186" s="122"/>
    </row>
    <row r="1187" spans="1:40" ht="20.25" customHeight="1" x14ac:dyDescent="0.25">
      <c r="A1187" s="82">
        <v>45790</v>
      </c>
      <c r="B1187" s="94" t="str">
        <f t="shared" si="339"/>
        <v>May</v>
      </c>
      <c r="C1187" s="79" t="s">
        <v>2162</v>
      </c>
      <c r="D1187" s="79" t="s">
        <v>2016</v>
      </c>
      <c r="E1187" s="79" t="s">
        <v>1016</v>
      </c>
      <c r="F1187" s="79" t="s">
        <v>961</v>
      </c>
      <c r="G1187" s="79" t="s">
        <v>977</v>
      </c>
      <c r="H1187" s="82" t="s">
        <v>1958</v>
      </c>
      <c r="I1187" s="79">
        <v>156</v>
      </c>
      <c r="J1187" s="79" t="s">
        <v>2016</v>
      </c>
      <c r="K1187" s="80" t="s">
        <v>469</v>
      </c>
      <c r="L1187" s="79">
        <f>VLOOKUP(H1187,Table2[#All],3,FALSE)</f>
        <v>304</v>
      </c>
      <c r="M1187" s="80">
        <f t="shared" si="342"/>
        <v>302</v>
      </c>
      <c r="N1187" s="81">
        <f t="shared" si="321"/>
        <v>-2</v>
      </c>
      <c r="P1187" s="82">
        <f>R1187-TIME(0,23,0)</f>
        <v>45790.422222222223</v>
      </c>
      <c r="Q1187" s="82">
        <v>45790.494444444441</v>
      </c>
      <c r="R1187" s="82">
        <v>45790.438194444447</v>
      </c>
      <c r="S1187" s="81">
        <f t="shared" si="364"/>
        <v>-80.624999991656907</v>
      </c>
      <c r="T1187" s="81">
        <f t="shared" si="346"/>
        <v>22.893518520140788</v>
      </c>
      <c r="U1187" s="79"/>
      <c r="V1187" s="82">
        <v>45790.379861111112</v>
      </c>
      <c r="W1187" s="82">
        <v>45791.470138888886</v>
      </c>
      <c r="X1187" s="103">
        <f t="shared" si="347"/>
        <v>1537.2916666609672</v>
      </c>
      <c r="Y1187" s="82" t="s">
        <v>1047</v>
      </c>
      <c r="Z1187" s="82">
        <v>45791.71597222222</v>
      </c>
      <c r="AA1187" s="82">
        <f>Z1187+TIME(0,44,0)</f>
        <v>45791.746527777774</v>
      </c>
      <c r="AB1187" s="81">
        <f t="shared" si="352"/>
        <v>43.083333330141613</v>
      </c>
      <c r="AC1187" s="82"/>
      <c r="AD1187" s="83">
        <f t="shared" si="333"/>
        <v>1.2777777777737356</v>
      </c>
      <c r="AE1187" s="83">
        <f>VLOOKUP(H1187,'LIST 2'!$A$1:$E$27,4,FALSE)</f>
        <v>2</v>
      </c>
      <c r="AF1187" s="83">
        <f t="shared" si="334"/>
        <v>0.72222222222626442</v>
      </c>
      <c r="AG1187" s="81">
        <f t="shared" si="335"/>
        <v>30.666666666569654</v>
      </c>
      <c r="AH1187" s="81">
        <f t="shared" si="336"/>
        <v>12</v>
      </c>
      <c r="AI1187" s="81">
        <f t="shared" si="337"/>
        <v>18.666666666569654</v>
      </c>
      <c r="AJ1187" s="83">
        <f t="shared" si="348"/>
        <v>8.3571428571862896</v>
      </c>
      <c r="AK1187" s="122"/>
      <c r="AL1187" s="122"/>
      <c r="AM1187" s="122"/>
      <c r="AN1187" s="122"/>
    </row>
    <row r="1188" spans="1:40" ht="20.25" customHeight="1" x14ac:dyDescent="0.25">
      <c r="A1188" s="82">
        <v>45790</v>
      </c>
      <c r="B1188" s="94" t="str">
        <f t="shared" si="339"/>
        <v>May</v>
      </c>
      <c r="C1188" s="79" t="s">
        <v>2161</v>
      </c>
      <c r="D1188" s="79" t="s">
        <v>2017</v>
      </c>
      <c r="E1188" s="79"/>
      <c r="F1188" s="79" t="s">
        <v>959</v>
      </c>
      <c r="G1188" s="79" t="s">
        <v>976</v>
      </c>
      <c r="H1188" s="82" t="s">
        <v>1956</v>
      </c>
      <c r="I1188" s="79">
        <v>153.6</v>
      </c>
      <c r="J1188" s="79" t="s">
        <v>2017</v>
      </c>
      <c r="K1188" s="80" t="s">
        <v>469</v>
      </c>
      <c r="L1188" s="79">
        <f>VLOOKUP(H1188,Table2[#All],3,FALSE)</f>
        <v>596</v>
      </c>
      <c r="M1188" s="80">
        <f t="shared" si="342"/>
        <v>594</v>
      </c>
      <c r="N1188" s="81">
        <f t="shared" si="321"/>
        <v>-2</v>
      </c>
      <c r="P1188" s="82">
        <f>R1188-TIME(0,54,0)</f>
        <v>45789.880555555559</v>
      </c>
      <c r="Q1188" s="82">
        <v>45790.098611111112</v>
      </c>
      <c r="R1188" s="82">
        <v>45789.918055555558</v>
      </c>
      <c r="T1188" s="81">
        <f t="shared" si="346"/>
        <v>53.749999997914223</v>
      </c>
      <c r="U1188" s="79" t="s">
        <v>2163</v>
      </c>
      <c r="V1188" s="82">
        <v>45791.415972222225</v>
      </c>
      <c r="W1188" s="82">
        <v>45791.865277777775</v>
      </c>
      <c r="X1188" s="103">
        <f t="shared" si="347"/>
        <v>633.52083332603797</v>
      </c>
      <c r="Y1188" s="82" t="s">
        <v>1049</v>
      </c>
      <c r="Z1188" s="82">
        <v>45792.467361111114</v>
      </c>
      <c r="AA1188" s="82">
        <f>Z1188+TIME(0,42,0)</f>
        <v>45792.496527777781</v>
      </c>
      <c r="AB1188" s="81">
        <f t="shared" si="352"/>
        <v>41.12500000068394</v>
      </c>
      <c r="AC1188" s="82"/>
      <c r="AD1188" s="83">
        <f t="shared" si="333"/>
        <v>2.5493055555562023</v>
      </c>
      <c r="AE1188" s="83">
        <f>VLOOKUP(H1188,'LIST 2'!$A$1:$E$27,4,FALSE)</f>
        <v>2</v>
      </c>
      <c r="AF1188" s="83">
        <f t="shared" si="334"/>
        <v>-0.54930555555620231</v>
      </c>
      <c r="AG1188" s="81">
        <f t="shared" si="335"/>
        <v>61.183333333348855</v>
      </c>
      <c r="AH1188" s="81">
        <f t="shared" si="336"/>
        <v>24</v>
      </c>
      <c r="AI1188" s="81">
        <f t="shared" si="337"/>
        <v>37.183333333348855</v>
      </c>
      <c r="AJ1188" s="83">
        <f t="shared" si="348"/>
        <v>4.1308830121004716</v>
      </c>
      <c r="AK1188" s="122"/>
      <c r="AL1188" s="122"/>
      <c r="AM1188" s="122"/>
      <c r="AN1188" s="122"/>
    </row>
    <row r="1189" spans="1:40" ht="20.25" customHeight="1" x14ac:dyDescent="0.25">
      <c r="A1189" s="82">
        <v>45790</v>
      </c>
      <c r="B1189" s="94" t="str">
        <f t="shared" si="339"/>
        <v>May</v>
      </c>
      <c r="C1189" s="79" t="s">
        <v>2162</v>
      </c>
      <c r="D1189" s="79" t="s">
        <v>2018</v>
      </c>
      <c r="E1189" s="79" t="s">
        <v>1016</v>
      </c>
      <c r="F1189" s="79" t="s">
        <v>1268</v>
      </c>
      <c r="G1189" s="79" t="s">
        <v>52</v>
      </c>
      <c r="H1189" s="82" t="s">
        <v>1959</v>
      </c>
      <c r="I1189" s="79">
        <v>156</v>
      </c>
      <c r="J1189" s="79" t="s">
        <v>2018</v>
      </c>
      <c r="K1189" s="80" t="s">
        <v>469</v>
      </c>
      <c r="L1189" s="79">
        <f>VLOOKUP(H1189,Table2[#All],3,FALSE)</f>
        <v>304</v>
      </c>
      <c r="M1189" s="80">
        <f t="shared" si="342"/>
        <v>302</v>
      </c>
      <c r="N1189" s="81">
        <f t="shared" ref="N1189:N1252" si="365">M1189-L1189</f>
        <v>-2</v>
      </c>
      <c r="P1189" s="82">
        <f>R1189-TIME(0,53,0)</f>
        <v>45789.90625</v>
      </c>
      <c r="Q1189" s="82">
        <v>45790.136805555558</v>
      </c>
      <c r="R1189" s="82">
        <v>45789.943055555559</v>
      </c>
      <c r="S1189" s="81">
        <f t="shared" ref="S1189:S1190" si="366">(R1189-Q1189)*86000/60</f>
        <v>-277.70833333124756</v>
      </c>
      <c r="T1189" s="81">
        <f t="shared" si="346"/>
        <v>52.75462963472819</v>
      </c>
      <c r="U1189" s="79" t="s">
        <v>562</v>
      </c>
      <c r="V1189" s="82">
        <v>45790.669444444444</v>
      </c>
      <c r="W1189" s="82">
        <v>45791.536111111112</v>
      </c>
      <c r="X1189" s="103">
        <f t="shared" si="347"/>
        <v>1222.0000000027358</v>
      </c>
      <c r="Y1189" s="82" t="s">
        <v>1044</v>
      </c>
      <c r="Z1189" s="82">
        <v>45791.78125</v>
      </c>
      <c r="AA1189" s="82">
        <f>Z1189+TIME(0,36,0)</f>
        <v>45791.806250000001</v>
      </c>
      <c r="AB1189" s="81">
        <f t="shared" si="352"/>
        <v>35.25000000205182</v>
      </c>
      <c r="AC1189" s="82"/>
      <c r="AD1189" s="83">
        <f t="shared" si="333"/>
        <v>1.8381944444408873</v>
      </c>
      <c r="AE1189" s="83">
        <f>VLOOKUP(H1189,'LIST 2'!$A$1:$E$27,4,FALSE)</f>
        <v>2</v>
      </c>
      <c r="AF1189" s="83">
        <f t="shared" si="334"/>
        <v>0.16180555555911269</v>
      </c>
      <c r="AG1189" s="81">
        <f t="shared" si="335"/>
        <v>44.116666666581295</v>
      </c>
      <c r="AH1189" s="81">
        <f t="shared" si="336"/>
        <v>12</v>
      </c>
      <c r="AI1189" s="81">
        <f t="shared" si="337"/>
        <v>32.116666666581295</v>
      </c>
      <c r="AJ1189" s="83">
        <f t="shared" si="348"/>
        <v>4.8572911261156619</v>
      </c>
      <c r="AK1189" s="122"/>
      <c r="AL1189" s="122"/>
      <c r="AM1189" s="122"/>
      <c r="AN1189" s="122"/>
    </row>
    <row r="1190" spans="1:40" ht="20.25" customHeight="1" x14ac:dyDescent="0.25">
      <c r="A1190" s="82">
        <v>45790</v>
      </c>
      <c r="B1190" s="94" t="str">
        <f t="shared" si="339"/>
        <v>May</v>
      </c>
      <c r="C1190" s="79" t="s">
        <v>2162</v>
      </c>
      <c r="D1190" s="79" t="s">
        <v>2019</v>
      </c>
      <c r="E1190" s="79" t="s">
        <v>1016</v>
      </c>
      <c r="F1190" s="79" t="s">
        <v>1693</v>
      </c>
      <c r="G1190" s="79" t="s">
        <v>59</v>
      </c>
      <c r="H1190" s="82" t="s">
        <v>2186</v>
      </c>
      <c r="I1190" s="79">
        <v>156</v>
      </c>
      <c r="J1190" s="79" t="s">
        <v>2019</v>
      </c>
      <c r="K1190" s="80" t="s">
        <v>469</v>
      </c>
      <c r="L1190" s="79">
        <f>VLOOKUP(H1190,Table2[#All],3,FALSE)</f>
        <v>228</v>
      </c>
      <c r="M1190" s="80">
        <f t="shared" si="342"/>
        <v>226</v>
      </c>
      <c r="N1190" s="81">
        <f t="shared" si="365"/>
        <v>-2</v>
      </c>
      <c r="P1190" s="82">
        <f>R1190-TIME(0,54,0)</f>
        <v>45790.741666666669</v>
      </c>
      <c r="Q1190" s="82">
        <v>45791.176388888889</v>
      </c>
      <c r="R1190" s="82">
        <v>45790.779166666667</v>
      </c>
      <c r="S1190" s="81">
        <f t="shared" si="366"/>
        <v>-569.35185185138835</v>
      </c>
      <c r="T1190" s="81">
        <f t="shared" si="346"/>
        <v>53.749999997914223</v>
      </c>
      <c r="U1190" s="79" t="s">
        <v>2165</v>
      </c>
      <c r="V1190" s="82">
        <v>45790.65625</v>
      </c>
      <c r="W1190" s="82">
        <v>45790.745833333334</v>
      </c>
      <c r="X1190" s="103">
        <f t="shared" si="347"/>
        <v>126.31250000136788</v>
      </c>
      <c r="Y1190" s="82"/>
      <c r="Z1190" s="82">
        <v>45790.779861111114</v>
      </c>
      <c r="AA1190" s="82">
        <f>Z1190+TIME(0,44,0)</f>
        <v>45790.810416666667</v>
      </c>
      <c r="AB1190" s="81">
        <f t="shared" si="352"/>
        <v>43.083333330141613</v>
      </c>
      <c r="AC1190" s="82"/>
      <c r="AD1190" s="83">
        <f t="shared" si="333"/>
        <v>6.944444467080757E-4</v>
      </c>
      <c r="AE1190" s="83">
        <f>VLOOKUP(H1190,'LIST 2'!$A$1:$E$27,4,FALSE)</f>
        <v>2</v>
      </c>
      <c r="AF1190" s="83">
        <f t="shared" si="334"/>
        <v>1.9993055555532919</v>
      </c>
      <c r="AG1190" s="81">
        <f t="shared" si="335"/>
        <v>1.6666666720993817E-2</v>
      </c>
      <c r="AH1190" s="81">
        <f t="shared" si="336"/>
        <v>0</v>
      </c>
      <c r="AI1190" s="81">
        <f t="shared" si="337"/>
        <v>1.6666666720993817E-2</v>
      </c>
      <c r="AJ1190" s="83">
        <f t="shared" si="348"/>
        <v>9359.9999694898725</v>
      </c>
      <c r="AK1190" s="122"/>
      <c r="AL1190" s="122"/>
      <c r="AM1190" s="122"/>
      <c r="AN1190" s="122"/>
    </row>
    <row r="1191" spans="1:40" ht="20.25" customHeight="1" x14ac:dyDescent="0.25">
      <c r="A1191" s="82">
        <v>45790</v>
      </c>
      <c r="B1191" s="94" t="str">
        <f t="shared" si="339"/>
        <v>May</v>
      </c>
      <c r="C1191" s="79" t="s">
        <v>2161</v>
      </c>
      <c r="D1191" s="79" t="s">
        <v>2020</v>
      </c>
      <c r="E1191" s="79"/>
      <c r="F1191" s="79" t="s">
        <v>959</v>
      </c>
      <c r="G1191" s="79" t="s">
        <v>976</v>
      </c>
      <c r="H1191" s="82" t="s">
        <v>1989</v>
      </c>
      <c r="I1191" s="79">
        <v>153.6</v>
      </c>
      <c r="J1191" s="79" t="s">
        <v>2020</v>
      </c>
      <c r="K1191" s="80" t="s">
        <v>469</v>
      </c>
      <c r="L1191" s="79">
        <f>VLOOKUP(H1191,Table2[#All],3,FALSE)</f>
        <v>20</v>
      </c>
      <c r="M1191" s="80">
        <f>L1191-1</f>
        <v>19</v>
      </c>
      <c r="N1191" s="81">
        <f t="shared" si="365"/>
        <v>-1</v>
      </c>
      <c r="P1191" s="82">
        <f>R1191-TIME(0,29,0)</f>
        <v>-2.013888888888889E-2</v>
      </c>
      <c r="Q1191" s="82"/>
      <c r="R1191" s="82"/>
      <c r="T1191" s="81">
        <f t="shared" si="346"/>
        <v>28.865740740740744</v>
      </c>
      <c r="U1191" s="79"/>
      <c r="V1191" s="82">
        <v>45790.464583333334</v>
      </c>
      <c r="W1191" s="82">
        <v>45790.62777777778</v>
      </c>
      <c r="X1191" s="103">
        <f t="shared" si="347"/>
        <v>230.10416666780657</v>
      </c>
      <c r="Y1191" s="82" t="s">
        <v>1046</v>
      </c>
      <c r="Z1191" s="82">
        <v>45790.646527777775</v>
      </c>
      <c r="AA1191" s="82">
        <f>Z1191+TIME(0,42,0)</f>
        <v>45790.675694444442</v>
      </c>
      <c r="AB1191" s="81">
        <f t="shared" si="352"/>
        <v>41.12500000068394</v>
      </c>
      <c r="AC1191" s="82"/>
      <c r="AD1191" s="83">
        <f t="shared" si="333"/>
        <v>45790.646527777775</v>
      </c>
      <c r="AE1191" s="83">
        <f>VLOOKUP(H1191,'LIST 2'!$A$1:$E$27,4,FALSE)</f>
        <v>1</v>
      </c>
      <c r="AF1191" s="83">
        <f t="shared" si="334"/>
        <v>-45789.646527777775</v>
      </c>
      <c r="AG1191" s="81">
        <f t="shared" si="335"/>
        <v>1098975.5166666666</v>
      </c>
      <c r="AH1191" s="81">
        <f t="shared" si="336"/>
        <v>549480</v>
      </c>
      <c r="AI1191" s="81">
        <f t="shared" si="337"/>
        <v>549495.5166666666</v>
      </c>
      <c r="AJ1191" s="83">
        <f t="shared" si="348"/>
        <v>2.795291232433774E-4</v>
      </c>
      <c r="AK1191" s="122"/>
      <c r="AL1191" s="122"/>
      <c r="AM1191" s="122"/>
      <c r="AN1191" s="122"/>
    </row>
    <row r="1192" spans="1:40" ht="20.25" customHeight="1" x14ac:dyDescent="0.25">
      <c r="A1192" s="82">
        <v>45791</v>
      </c>
      <c r="B1192" s="94" t="str">
        <f t="shared" si="339"/>
        <v>May</v>
      </c>
      <c r="C1192" s="79" t="s">
        <v>2161</v>
      </c>
      <c r="D1192" s="79" t="s">
        <v>2023</v>
      </c>
      <c r="E1192" s="79"/>
      <c r="F1192" s="79" t="s">
        <v>952</v>
      </c>
      <c r="G1192" s="79" t="s">
        <v>969</v>
      </c>
      <c r="H1192" s="82" t="s">
        <v>1956</v>
      </c>
      <c r="I1192" s="79">
        <v>153.6</v>
      </c>
      <c r="J1192" s="79" t="s">
        <v>2023</v>
      </c>
      <c r="K1192" s="80" t="s">
        <v>469</v>
      </c>
      <c r="L1192" s="79">
        <f>VLOOKUP(H1192,Table2[#All],3,FALSE)</f>
        <v>596</v>
      </c>
      <c r="M1192" s="80">
        <f t="shared" si="342"/>
        <v>594</v>
      </c>
      <c r="N1192" s="81">
        <f t="shared" si="365"/>
        <v>-2</v>
      </c>
      <c r="P1192" s="82">
        <f>R1192-TIME(0,30,0)</f>
        <v>45791.810416666667</v>
      </c>
      <c r="Q1192" s="82">
        <v>45791.176388888889</v>
      </c>
      <c r="R1192" s="82">
        <v>45791.831250000003</v>
      </c>
      <c r="T1192" s="81">
        <f t="shared" si="346"/>
        <v>29.861111114587402</v>
      </c>
      <c r="U1192" s="79"/>
      <c r="V1192" s="82">
        <v>45792.324305555558</v>
      </c>
      <c r="W1192" s="82">
        <v>45792.475694444445</v>
      </c>
      <c r="X1192" s="103">
        <f t="shared" si="347"/>
        <v>213.45833333150949</v>
      </c>
      <c r="Y1192" s="82" t="s">
        <v>1049</v>
      </c>
      <c r="Z1192" s="82">
        <v>45792.582638888889</v>
      </c>
      <c r="AA1192" s="82">
        <f>Z1192+TIME(0,42,0)</f>
        <v>45792.611805555556</v>
      </c>
      <c r="AB1192" s="81">
        <f t="shared" si="352"/>
        <v>41.12500000068394</v>
      </c>
      <c r="AC1192" s="82"/>
      <c r="AD1192" s="83">
        <f t="shared" si="333"/>
        <v>0.75138888888614019</v>
      </c>
      <c r="AE1192" s="83">
        <f>VLOOKUP(H1192,'LIST 2'!$A$1:$E$27,4,FALSE)</f>
        <v>2</v>
      </c>
      <c r="AF1192" s="83">
        <f t="shared" si="334"/>
        <v>1.2486111111138598</v>
      </c>
      <c r="AG1192" s="81">
        <f t="shared" si="335"/>
        <v>18.033333333267365</v>
      </c>
      <c r="AH1192" s="81">
        <f t="shared" si="336"/>
        <v>0</v>
      </c>
      <c r="AI1192" s="81">
        <f t="shared" si="337"/>
        <v>18.033333333267365</v>
      </c>
      <c r="AJ1192" s="83">
        <f t="shared" si="348"/>
        <v>8.5175600739683119</v>
      </c>
      <c r="AK1192" s="122">
        <v>11.5</v>
      </c>
      <c r="AL1192" s="122">
        <v>10.11</v>
      </c>
      <c r="AM1192" s="122"/>
      <c r="AN1192" s="122"/>
    </row>
    <row r="1193" spans="1:40" ht="20.25" customHeight="1" x14ac:dyDescent="0.25">
      <c r="A1193" s="82">
        <v>45791</v>
      </c>
      <c r="B1193" s="94" t="str">
        <f t="shared" si="339"/>
        <v>May</v>
      </c>
      <c r="C1193" s="79" t="s">
        <v>2162</v>
      </c>
      <c r="D1193" s="79" t="s">
        <v>2024</v>
      </c>
      <c r="E1193" s="79" t="s">
        <v>1016</v>
      </c>
      <c r="F1193" s="79" t="s">
        <v>1691</v>
      </c>
      <c r="G1193" s="79" t="s">
        <v>55</v>
      </c>
      <c r="H1193" s="82" t="s">
        <v>2183</v>
      </c>
      <c r="I1193" s="79">
        <v>156</v>
      </c>
      <c r="J1193" s="79" t="s">
        <v>2024</v>
      </c>
      <c r="K1193" s="80" t="s">
        <v>469</v>
      </c>
      <c r="L1193" s="79">
        <f>VLOOKUP(H1193,Table2[#All],3,FALSE)</f>
        <v>690</v>
      </c>
      <c r="M1193" s="80">
        <f t="shared" si="342"/>
        <v>688</v>
      </c>
      <c r="N1193" s="81">
        <f t="shared" si="365"/>
        <v>-2</v>
      </c>
      <c r="P1193" s="82">
        <f>R1193-TIME(0,29,0)</f>
        <v>45791.406944444447</v>
      </c>
      <c r="Q1193" s="82">
        <v>45790.875</v>
      </c>
      <c r="R1193" s="82">
        <v>45791.427083333336</v>
      </c>
      <c r="S1193" s="81">
        <f t="shared" ref="S1193:S1194" si="367">(R1193-Q1193)*86000/60</f>
        <v>791.31944444792077</v>
      </c>
      <c r="T1193" s="81">
        <f t="shared" si="346"/>
        <v>28.865740740972495</v>
      </c>
      <c r="U1193" s="79"/>
      <c r="V1193" s="82">
        <v>45792.665277777778</v>
      </c>
      <c r="W1193" s="82">
        <v>45792.75277777778</v>
      </c>
      <c r="X1193" s="103">
        <f t="shared" si="347"/>
        <v>123.37500000205182</v>
      </c>
      <c r="Y1193" s="82"/>
      <c r="Z1193" s="82">
        <v>45794.339583333334</v>
      </c>
      <c r="AA1193" s="82">
        <f>Z1193+TIME(0,36,0)</f>
        <v>45794.364583333336</v>
      </c>
      <c r="AB1193" s="81">
        <f t="shared" si="352"/>
        <v>35.25000000205182</v>
      </c>
      <c r="AC1193" s="82"/>
      <c r="AD1193" s="83">
        <f t="shared" si="333"/>
        <v>2.9124999999985448</v>
      </c>
      <c r="AE1193" s="83">
        <f>VLOOKUP(H1193,'LIST 2'!$A$1:$E$27,4,FALSE)</f>
        <v>3</v>
      </c>
      <c r="AF1193" s="83">
        <f t="shared" si="334"/>
        <v>8.7500000001455192E-2</v>
      </c>
      <c r="AG1193" s="81">
        <f t="shared" si="335"/>
        <v>69.899999999965075</v>
      </c>
      <c r="AH1193" s="81">
        <f t="shared" si="336"/>
        <v>24</v>
      </c>
      <c r="AI1193" s="81">
        <f t="shared" si="337"/>
        <v>45.899999999965075</v>
      </c>
      <c r="AJ1193" s="83">
        <f t="shared" si="348"/>
        <v>3.3986928104601022</v>
      </c>
      <c r="AK1193" s="122"/>
      <c r="AL1193" s="122"/>
      <c r="AM1193" s="122"/>
      <c r="AN1193" s="122"/>
    </row>
    <row r="1194" spans="1:40" ht="20.25" customHeight="1" x14ac:dyDescent="0.25">
      <c r="A1194" s="82">
        <v>45791</v>
      </c>
      <c r="B1194" s="94" t="str">
        <f t="shared" si="339"/>
        <v>May</v>
      </c>
      <c r="C1194" s="79" t="s">
        <v>2162</v>
      </c>
      <c r="D1194" s="79" t="s">
        <v>2025</v>
      </c>
      <c r="E1194" s="79" t="s">
        <v>1016</v>
      </c>
      <c r="F1194" s="79" t="s">
        <v>1960</v>
      </c>
      <c r="G1194" s="79" t="s">
        <v>1961</v>
      </c>
      <c r="H1194" s="82" t="s">
        <v>2187</v>
      </c>
      <c r="I1194" s="79">
        <v>156</v>
      </c>
      <c r="J1194" s="79" t="s">
        <v>2025</v>
      </c>
      <c r="K1194" s="80" t="s">
        <v>469</v>
      </c>
      <c r="L1194" s="79">
        <f>VLOOKUP(H1194,Table2[#All],3,FALSE)</f>
        <v>670</v>
      </c>
      <c r="M1194" s="80">
        <f t="shared" si="342"/>
        <v>668</v>
      </c>
      <c r="N1194" s="81">
        <f t="shared" si="365"/>
        <v>-2</v>
      </c>
      <c r="P1194" s="82">
        <f>R1194-TIME(0,50,0)</f>
        <v>45791.368750000001</v>
      </c>
      <c r="Q1194" s="82">
        <v>45790.875</v>
      </c>
      <c r="R1194" s="82">
        <v>45791.40347222222</v>
      </c>
      <c r="S1194" s="81">
        <f t="shared" si="367"/>
        <v>757.47685184930253</v>
      </c>
      <c r="T1194" s="81">
        <f t="shared" si="346"/>
        <v>49.768518513883464</v>
      </c>
      <c r="U1194" s="79" t="s">
        <v>550</v>
      </c>
      <c r="V1194" s="82">
        <v>45791.852777777778</v>
      </c>
      <c r="W1194" s="82">
        <v>45792.466666666667</v>
      </c>
      <c r="X1194" s="103">
        <f t="shared" si="347"/>
        <v>865.58333333356131</v>
      </c>
      <c r="Y1194" s="82" t="s">
        <v>1044</v>
      </c>
      <c r="Z1194" s="82">
        <v>45792.852777777778</v>
      </c>
      <c r="AA1194" s="82">
        <f>Z1194+TIME(0,39,0)</f>
        <v>45792.879861111112</v>
      </c>
      <c r="AB1194" s="81">
        <f t="shared" si="352"/>
        <v>38.18750000136788</v>
      </c>
      <c r="AC1194" s="82"/>
      <c r="AD1194" s="83">
        <f t="shared" si="333"/>
        <v>1.4493055555576575</v>
      </c>
      <c r="AE1194" s="83">
        <f>VLOOKUP(H1194,'LIST 2'!$A$1:$E$27,4,FALSE)</f>
        <v>2</v>
      </c>
      <c r="AF1194" s="83">
        <f t="shared" si="334"/>
        <v>0.5506944444423425</v>
      </c>
      <c r="AG1194" s="81">
        <f t="shared" si="335"/>
        <v>34.78333333338378</v>
      </c>
      <c r="AH1194" s="81">
        <f t="shared" si="336"/>
        <v>12</v>
      </c>
      <c r="AI1194" s="81">
        <f t="shared" si="337"/>
        <v>22.78333333338378</v>
      </c>
      <c r="AJ1194" s="83">
        <f t="shared" si="348"/>
        <v>6.8471104608480431</v>
      </c>
      <c r="AK1194" s="122"/>
      <c r="AL1194" s="122"/>
      <c r="AM1194" s="122"/>
      <c r="AN1194" s="122"/>
    </row>
    <row r="1195" spans="1:40" ht="20.25" customHeight="1" x14ac:dyDescent="0.25">
      <c r="A1195" s="82">
        <v>45791</v>
      </c>
      <c r="B1195" s="94" t="str">
        <f t="shared" si="339"/>
        <v>May</v>
      </c>
      <c r="C1195" s="79" t="s">
        <v>2161</v>
      </c>
      <c r="D1195" s="79" t="s">
        <v>2026</v>
      </c>
      <c r="E1195" s="79"/>
      <c r="F1195" s="79" t="s">
        <v>951</v>
      </c>
      <c r="G1195" s="79" t="s">
        <v>968</v>
      </c>
      <c r="H1195" s="82" t="s">
        <v>1957</v>
      </c>
      <c r="I1195" s="79">
        <v>153.6</v>
      </c>
      <c r="J1195" s="79" t="s">
        <v>2026</v>
      </c>
      <c r="K1195" s="80" t="s">
        <v>469</v>
      </c>
      <c r="L1195" s="79">
        <f>VLOOKUP(H1195,Table2[#All],3,FALSE)</f>
        <v>288</v>
      </c>
      <c r="M1195" s="80">
        <f t="shared" si="342"/>
        <v>286</v>
      </c>
      <c r="N1195" s="81">
        <f t="shared" si="365"/>
        <v>-2</v>
      </c>
      <c r="P1195" s="82">
        <f>R1195-TIME(0,28,0)</f>
        <v>45791.615972222222</v>
      </c>
      <c r="Q1195" s="82">
        <v>45791.154861111114</v>
      </c>
      <c r="R1195" s="82">
        <v>45791.635416666664</v>
      </c>
      <c r="T1195" s="81">
        <f t="shared" si="346"/>
        <v>27.870370367357584</v>
      </c>
      <c r="U1195" s="79"/>
      <c r="V1195" s="82">
        <v>45792.383333333331</v>
      </c>
      <c r="W1195" s="82">
        <v>45792.601388888892</v>
      </c>
      <c r="X1195" s="103">
        <f t="shared" si="347"/>
        <v>307.45833334040071</v>
      </c>
      <c r="Y1195" s="82" t="s">
        <v>1047</v>
      </c>
      <c r="Z1195" s="82">
        <v>45793.43472222222</v>
      </c>
      <c r="AA1195" s="82">
        <f>Z1195+TIME(0,51,0)</f>
        <v>45793.470138888886</v>
      </c>
      <c r="AB1195" s="81">
        <f t="shared" si="352"/>
        <v>49.93749999863212</v>
      </c>
      <c r="AC1195" s="82" t="s">
        <v>2168</v>
      </c>
      <c r="AD1195" s="83">
        <f t="shared" ref="AD1195:AD1258" si="368">Z1195-R1195</f>
        <v>1.7993055555562023</v>
      </c>
      <c r="AE1195" s="83">
        <f>VLOOKUP(H1195,'LIST 2'!$A$1:$E$27,4,FALSE)</f>
        <v>2</v>
      </c>
      <c r="AF1195" s="83">
        <f t="shared" ref="AF1195:AF1258" si="369">AE1195-AD1195</f>
        <v>0.20069444444379769</v>
      </c>
      <c r="AG1195" s="81">
        <f t="shared" ref="AG1195:AG1258" si="370">AD1195*24</f>
        <v>43.183333333348855</v>
      </c>
      <c r="AH1195" s="81">
        <f t="shared" ref="AH1195:AH1258" si="371">AG1195-AI1195</f>
        <v>12</v>
      </c>
      <c r="AI1195" s="81">
        <f t="shared" ref="AI1195:AI1258" si="372" xml:space="preserve"> ((Z1195 - R1195) * 24) - (INT(Z1195 - R1195) * 12)</f>
        <v>31.183333333348855</v>
      </c>
      <c r="AJ1195" s="83">
        <f t="shared" si="348"/>
        <v>4.9257081774427647</v>
      </c>
      <c r="AK1195" s="122"/>
      <c r="AL1195" s="122"/>
      <c r="AM1195" s="122"/>
      <c r="AN1195" s="122"/>
    </row>
    <row r="1196" spans="1:40" ht="20.25" customHeight="1" x14ac:dyDescent="0.25">
      <c r="A1196" s="82">
        <v>45791</v>
      </c>
      <c r="B1196" s="94" t="str">
        <f t="shared" si="339"/>
        <v>May</v>
      </c>
      <c r="C1196" s="79" t="s">
        <v>2161</v>
      </c>
      <c r="D1196" s="79" t="s">
        <v>2027</v>
      </c>
      <c r="E1196" s="79"/>
      <c r="F1196" s="79" t="s">
        <v>966</v>
      </c>
      <c r="G1196" s="79" t="s">
        <v>981</v>
      </c>
      <c r="H1196" s="82" t="s">
        <v>1989</v>
      </c>
      <c r="I1196" s="79">
        <v>153.6</v>
      </c>
      <c r="J1196" s="79" t="s">
        <v>2027</v>
      </c>
      <c r="K1196" s="80" t="s">
        <v>469</v>
      </c>
      <c r="L1196" s="79">
        <f>VLOOKUP(H1196,Table2[#All],3,FALSE)</f>
        <v>20</v>
      </c>
      <c r="M1196" s="80">
        <f>L1196-1</f>
        <v>19</v>
      </c>
      <c r="N1196" s="81">
        <f t="shared" si="365"/>
        <v>-1</v>
      </c>
      <c r="P1196" s="82">
        <f>R1196-TIME(0,53,0)</f>
        <v>45791.749305555553</v>
      </c>
      <c r="Q1196" s="82">
        <v>45791.320833333331</v>
      </c>
      <c r="R1196" s="82">
        <v>45791.786111111112</v>
      </c>
      <c r="T1196" s="81">
        <f t="shared" si="346"/>
        <v>52.75462963472819</v>
      </c>
      <c r="U1196" s="79" t="s">
        <v>2164</v>
      </c>
      <c r="V1196" s="82">
        <v>45791.813888888886</v>
      </c>
      <c r="W1196" s="82">
        <v>45792.375</v>
      </c>
      <c r="X1196" s="103">
        <f t="shared" si="347"/>
        <v>791.16666667054233</v>
      </c>
      <c r="Y1196" s="82" t="s">
        <v>1044</v>
      </c>
      <c r="Z1196" s="82">
        <v>45792.445833333331</v>
      </c>
      <c r="AA1196" s="82">
        <f>Z1196+TIME(0,42,0)</f>
        <v>45792.474999999999</v>
      </c>
      <c r="AB1196" s="81">
        <f t="shared" si="352"/>
        <v>41.12500000068394</v>
      </c>
      <c r="AC1196" s="82"/>
      <c r="AD1196" s="83">
        <f t="shared" si="368"/>
        <v>0.65972222221898846</v>
      </c>
      <c r="AE1196" s="83">
        <f>VLOOKUP(H1196,'LIST 2'!$A$1:$E$27,4,FALSE)</f>
        <v>1</v>
      </c>
      <c r="AF1196" s="83">
        <f t="shared" si="369"/>
        <v>0.34027777778101154</v>
      </c>
      <c r="AG1196" s="81">
        <f t="shared" si="370"/>
        <v>15.833333333255723</v>
      </c>
      <c r="AH1196" s="81">
        <f t="shared" si="371"/>
        <v>0</v>
      </c>
      <c r="AI1196" s="81">
        <f t="shared" si="372"/>
        <v>15.833333333255723</v>
      </c>
      <c r="AJ1196" s="83">
        <f t="shared" si="348"/>
        <v>9.7010526316264993</v>
      </c>
      <c r="AK1196" s="122"/>
      <c r="AL1196" s="122"/>
      <c r="AM1196" s="122"/>
      <c r="AN1196" s="122"/>
    </row>
    <row r="1197" spans="1:40" ht="20.25" customHeight="1" x14ac:dyDescent="0.25">
      <c r="A1197" s="82">
        <v>45791</v>
      </c>
      <c r="B1197" s="94" t="str">
        <f t="shared" si="339"/>
        <v>May</v>
      </c>
      <c r="C1197" s="79" t="s">
        <v>2161</v>
      </c>
      <c r="D1197" s="79" t="s">
        <v>2028</v>
      </c>
      <c r="E1197" s="79"/>
      <c r="F1197" s="79" t="s">
        <v>958</v>
      </c>
      <c r="G1197" s="79" t="s">
        <v>975</v>
      </c>
      <c r="H1197" s="82" t="s">
        <v>1956</v>
      </c>
      <c r="I1197" s="79">
        <v>153.6</v>
      </c>
      <c r="J1197" s="79" t="s">
        <v>2028</v>
      </c>
      <c r="K1197" s="80" t="s">
        <v>469</v>
      </c>
      <c r="L1197" s="79">
        <f>VLOOKUP(H1197,Table2[#All],3,FALSE)</f>
        <v>596</v>
      </c>
      <c r="M1197" s="80">
        <f t="shared" si="342"/>
        <v>594</v>
      </c>
      <c r="N1197" s="81">
        <f t="shared" si="365"/>
        <v>-2</v>
      </c>
      <c r="P1197" s="82">
        <f>R1197-TIME(0,27,0)</f>
        <v>45791.54583333333</v>
      </c>
      <c r="Q1197" s="82">
        <v>45791.176388888889</v>
      </c>
      <c r="R1197" s="82">
        <v>45791.564583333333</v>
      </c>
      <c r="T1197" s="81">
        <f t="shared" si="346"/>
        <v>26.87500000417155</v>
      </c>
      <c r="U1197" s="79"/>
      <c r="V1197" s="82">
        <v>45791.744444444441</v>
      </c>
      <c r="W1197" s="82">
        <v>45792.474999999999</v>
      </c>
      <c r="X1197" s="103">
        <f t="shared" si="347"/>
        <v>1030.0833333362971</v>
      </c>
      <c r="Y1197" s="82" t="s">
        <v>1044</v>
      </c>
      <c r="Z1197" s="82">
        <v>45792.65625</v>
      </c>
      <c r="AA1197" s="82">
        <f>Z1197+TIME(0,57,0)</f>
        <v>45792.695833333331</v>
      </c>
      <c r="AB1197" s="81">
        <f t="shared" si="352"/>
        <v>55.81249999726424</v>
      </c>
      <c r="AC1197" s="82" t="s">
        <v>1673</v>
      </c>
      <c r="AD1197" s="83">
        <f t="shared" si="368"/>
        <v>1.0916666666671517</v>
      </c>
      <c r="AE1197" s="83">
        <f>VLOOKUP(H1197,'LIST 2'!$A$1:$E$27,4,FALSE)</f>
        <v>2</v>
      </c>
      <c r="AF1197" s="83">
        <f t="shared" si="369"/>
        <v>0.90833333333284827</v>
      </c>
      <c r="AG1197" s="81">
        <f t="shared" si="370"/>
        <v>26.200000000011642</v>
      </c>
      <c r="AH1197" s="81">
        <f t="shared" si="371"/>
        <v>12</v>
      </c>
      <c r="AI1197" s="81">
        <f t="shared" si="372"/>
        <v>14.200000000011642</v>
      </c>
      <c r="AJ1197" s="83">
        <f t="shared" si="348"/>
        <v>10.816901408441836</v>
      </c>
      <c r="AK1197" s="122"/>
      <c r="AL1197" s="122"/>
      <c r="AM1197" s="122"/>
      <c r="AN1197" s="122"/>
    </row>
    <row r="1198" spans="1:40" ht="20.25" customHeight="1" x14ac:dyDescent="0.25">
      <c r="A1198" s="82">
        <v>45791</v>
      </c>
      <c r="B1198" s="94" t="str">
        <f t="shared" si="339"/>
        <v>May</v>
      </c>
      <c r="C1198" s="79" t="s">
        <v>2162</v>
      </c>
      <c r="D1198" s="79" t="s">
        <v>2029</v>
      </c>
      <c r="E1198" s="79" t="s">
        <v>1016</v>
      </c>
      <c r="F1198" s="79" t="s">
        <v>1699</v>
      </c>
      <c r="G1198" s="79" t="s">
        <v>80</v>
      </c>
      <c r="H1198" s="82" t="s">
        <v>2183</v>
      </c>
      <c r="I1198" s="79">
        <v>156</v>
      </c>
      <c r="J1198" s="79" t="s">
        <v>2029</v>
      </c>
      <c r="K1198" s="80" t="s">
        <v>469</v>
      </c>
      <c r="L1198" s="79">
        <f>VLOOKUP(H1198,Table2[#All],3,FALSE)</f>
        <v>690</v>
      </c>
      <c r="M1198" s="80">
        <f t="shared" si="342"/>
        <v>688</v>
      </c>
      <c r="N1198" s="81">
        <f t="shared" si="365"/>
        <v>-2</v>
      </c>
      <c r="P1198" s="82">
        <f>R1198-TIME(0,27,0)</f>
        <v>45790.800694444442</v>
      </c>
      <c r="Q1198" s="82">
        <v>45790.833333333336</v>
      </c>
      <c r="R1198" s="82">
        <v>45790.819444444445</v>
      </c>
      <c r="S1198" s="81">
        <f t="shared" ref="S1198:S1201" si="373">(R1198-Q1198)*86000/60</f>
        <v>-19.907407409724936</v>
      </c>
      <c r="T1198" s="81">
        <f t="shared" si="346"/>
        <v>26.87500000417155</v>
      </c>
      <c r="U1198" s="79"/>
      <c r="V1198" s="82">
        <v>45792.356944444444</v>
      </c>
      <c r="W1198" s="82">
        <v>45792.461111111108</v>
      </c>
      <c r="X1198" s="103">
        <f t="shared" si="347"/>
        <v>146.8749999965803</v>
      </c>
      <c r="Y1198" s="82"/>
      <c r="Z1198" s="82">
        <v>45792.77847222222</v>
      </c>
      <c r="AA1198" s="82">
        <f>Z1198+TIME(0,50,0)</f>
        <v>45792.813194444439</v>
      </c>
      <c r="AB1198" s="81">
        <f t="shared" si="352"/>
        <v>48.958333328773733</v>
      </c>
      <c r="AC1198" s="82" t="s">
        <v>1676</v>
      </c>
      <c r="AD1198" s="83">
        <f t="shared" si="368"/>
        <v>1.9590277777751908</v>
      </c>
      <c r="AE1198" s="83">
        <f>VLOOKUP(H1198,'LIST 2'!$A$1:$E$27,4,FALSE)</f>
        <v>3</v>
      </c>
      <c r="AF1198" s="83">
        <f t="shared" si="369"/>
        <v>1.0409722222248092</v>
      </c>
      <c r="AG1198" s="81">
        <f t="shared" si="370"/>
        <v>47.016666666604578</v>
      </c>
      <c r="AH1198" s="81">
        <f t="shared" si="371"/>
        <v>12</v>
      </c>
      <c r="AI1198" s="81">
        <f t="shared" si="372"/>
        <v>35.016666666604578</v>
      </c>
      <c r="AJ1198" s="83">
        <f t="shared" si="348"/>
        <v>4.4550214183801033</v>
      </c>
      <c r="AK1198" s="122"/>
      <c r="AL1198" s="122"/>
      <c r="AM1198" s="122"/>
      <c r="AN1198" s="122"/>
    </row>
    <row r="1199" spans="1:40" ht="20.25" customHeight="1" x14ac:dyDescent="0.25">
      <c r="A1199" s="82">
        <v>45791</v>
      </c>
      <c r="B1199" s="94" t="str">
        <f t="shared" ref="B1199:B1262" si="374">TEXT(A1199, "MMMM")</f>
        <v>May</v>
      </c>
      <c r="C1199" s="79" t="s">
        <v>2162</v>
      </c>
      <c r="D1199" s="79" t="s">
        <v>2030</v>
      </c>
      <c r="E1199" s="79" t="s">
        <v>1016</v>
      </c>
      <c r="F1199" s="79" t="s">
        <v>1693</v>
      </c>
      <c r="G1199" s="79" t="s">
        <v>59</v>
      </c>
      <c r="H1199" s="82" t="s">
        <v>2177</v>
      </c>
      <c r="I1199" s="79">
        <v>156</v>
      </c>
      <c r="J1199" s="79" t="s">
        <v>2030</v>
      </c>
      <c r="K1199" s="80" t="s">
        <v>469</v>
      </c>
      <c r="L1199" s="79">
        <f>VLOOKUP(H1199,Table2[#All],3,FALSE)</f>
        <v>448</v>
      </c>
      <c r="M1199" s="80">
        <f t="shared" si="342"/>
        <v>446</v>
      </c>
      <c r="N1199" s="81">
        <f t="shared" si="365"/>
        <v>-2</v>
      </c>
      <c r="P1199" s="82">
        <f>R1199-TIME(0,27,0)</f>
        <v>45790.909722222219</v>
      </c>
      <c r="Q1199" s="82">
        <v>45791.0625</v>
      </c>
      <c r="R1199" s="82">
        <v>45790.928472222222</v>
      </c>
      <c r="S1199" s="81">
        <f t="shared" si="373"/>
        <v>-192.106481481945</v>
      </c>
      <c r="T1199" s="81">
        <f t="shared" si="346"/>
        <v>26.87500000417155</v>
      </c>
      <c r="U1199" s="79"/>
      <c r="V1199" s="82">
        <v>45792.626388888886</v>
      </c>
      <c r="W1199" s="82">
        <v>45792.711805555555</v>
      </c>
      <c r="X1199" s="103">
        <f t="shared" si="347"/>
        <v>120.43750000273576</v>
      </c>
      <c r="Y1199" s="82"/>
      <c r="Z1199" s="82">
        <v>45793.482638888891</v>
      </c>
      <c r="AA1199" s="82">
        <f>Z1199+TIME(0,42,0)</f>
        <v>45793.511805555558</v>
      </c>
      <c r="AB1199" s="81">
        <f t="shared" si="352"/>
        <v>41.12500000068394</v>
      </c>
      <c r="AC1199" s="82"/>
      <c r="AD1199" s="83">
        <f t="shared" si="368"/>
        <v>2.5541666666686069</v>
      </c>
      <c r="AE1199" s="83">
        <f>VLOOKUP(H1199,'LIST 2'!$A$1:$E$27,4,FALSE)</f>
        <v>2</v>
      </c>
      <c r="AF1199" s="83">
        <f t="shared" si="369"/>
        <v>-0.55416666666860692</v>
      </c>
      <c r="AG1199" s="81">
        <f t="shared" si="370"/>
        <v>61.300000000046566</v>
      </c>
      <c r="AH1199" s="81">
        <f t="shared" si="371"/>
        <v>24</v>
      </c>
      <c r="AI1199" s="81">
        <f t="shared" si="372"/>
        <v>37.300000000046566</v>
      </c>
      <c r="AJ1199" s="83">
        <f t="shared" si="348"/>
        <v>4.1823056300215882</v>
      </c>
      <c r="AK1199" s="122"/>
      <c r="AL1199" s="122"/>
      <c r="AM1199" s="122"/>
      <c r="AN1199" s="122"/>
    </row>
    <row r="1200" spans="1:40" ht="20.25" customHeight="1" x14ac:dyDescent="0.25">
      <c r="A1200" s="82">
        <v>45791</v>
      </c>
      <c r="B1200" s="94" t="str">
        <f t="shared" si="374"/>
        <v>May</v>
      </c>
      <c r="C1200" s="79" t="s">
        <v>2162</v>
      </c>
      <c r="D1200" s="79" t="s">
        <v>2031</v>
      </c>
      <c r="E1200" s="79" t="s">
        <v>1016</v>
      </c>
      <c r="F1200" s="79" t="s">
        <v>960</v>
      </c>
      <c r="G1200" s="79" t="s">
        <v>62</v>
      </c>
      <c r="H1200" s="82" t="s">
        <v>2177</v>
      </c>
      <c r="I1200" s="79">
        <v>156</v>
      </c>
      <c r="J1200" s="79" t="s">
        <v>2031</v>
      </c>
      <c r="K1200" s="80" t="s">
        <v>469</v>
      </c>
      <c r="L1200" s="79">
        <f>VLOOKUP(H1200,Table2[#All],3,FALSE)</f>
        <v>448</v>
      </c>
      <c r="M1200" s="80">
        <f t="shared" si="342"/>
        <v>446</v>
      </c>
      <c r="N1200" s="81">
        <f t="shared" si="365"/>
        <v>-2</v>
      </c>
      <c r="P1200" s="82">
        <f>R1200-TIME(0,28,0)</f>
        <v>45790.8125</v>
      </c>
      <c r="Q1200" s="82">
        <v>45791.0625</v>
      </c>
      <c r="R1200" s="82">
        <v>45790.831944444442</v>
      </c>
      <c r="S1200" s="81">
        <f t="shared" si="373"/>
        <v>-330.46296296597575</v>
      </c>
      <c r="T1200" s="81">
        <f t="shared" si="346"/>
        <v>27.870370367357584</v>
      </c>
      <c r="U1200" s="79"/>
      <c r="V1200" s="82">
        <v>45791.699305555558</v>
      </c>
      <c r="W1200" s="82">
        <v>45792.724305555559</v>
      </c>
      <c r="X1200" s="103">
        <f t="shared" si="347"/>
        <v>1445.2500000020518</v>
      </c>
      <c r="Y1200" s="82" t="s">
        <v>1049</v>
      </c>
      <c r="Z1200" s="82">
        <v>45793.63958333333</v>
      </c>
      <c r="AA1200" s="82">
        <f>Z1200+TIME(0,39,0)</f>
        <v>45793.666666666664</v>
      </c>
      <c r="AB1200" s="81">
        <f t="shared" si="352"/>
        <v>38.18750000136788</v>
      </c>
      <c r="AC1200" s="82"/>
      <c r="AD1200" s="83">
        <f t="shared" si="368"/>
        <v>2.8076388888875954</v>
      </c>
      <c r="AE1200" s="83">
        <f>VLOOKUP(H1200,'LIST 2'!$A$1:$E$27,4,FALSE)</f>
        <v>2</v>
      </c>
      <c r="AF1200" s="83">
        <f t="shared" si="369"/>
        <v>-0.80763888888759539</v>
      </c>
      <c r="AG1200" s="81">
        <f t="shared" si="370"/>
        <v>67.383333333302289</v>
      </c>
      <c r="AH1200" s="81">
        <f t="shared" si="371"/>
        <v>24</v>
      </c>
      <c r="AI1200" s="81">
        <f t="shared" si="372"/>
        <v>43.383333333302289</v>
      </c>
      <c r="AJ1200" s="83">
        <f t="shared" si="348"/>
        <v>3.5958509412242403</v>
      </c>
      <c r="AK1200" s="122"/>
      <c r="AL1200" s="122"/>
      <c r="AM1200" s="122"/>
      <c r="AN1200" s="122"/>
    </row>
    <row r="1201" spans="1:40" ht="20.25" customHeight="1" x14ac:dyDescent="0.25">
      <c r="A1201" s="82">
        <v>45791</v>
      </c>
      <c r="B1201" s="94" t="str">
        <f t="shared" si="374"/>
        <v>May</v>
      </c>
      <c r="C1201" s="79" t="s">
        <v>2162</v>
      </c>
      <c r="D1201" s="79" t="s">
        <v>2032</v>
      </c>
      <c r="E1201" s="79" t="s">
        <v>1016</v>
      </c>
      <c r="F1201" s="79" t="s">
        <v>1696</v>
      </c>
      <c r="G1201" s="79" t="s">
        <v>42</v>
      </c>
      <c r="H1201" s="82" t="s">
        <v>1958</v>
      </c>
      <c r="I1201" s="79">
        <v>156</v>
      </c>
      <c r="J1201" s="79" t="s">
        <v>2032</v>
      </c>
      <c r="K1201" s="80" t="s">
        <v>469</v>
      </c>
      <c r="L1201" s="79">
        <f>VLOOKUP(H1201,Table2[#All],3,FALSE)</f>
        <v>304</v>
      </c>
      <c r="M1201" s="80">
        <f>L1201-1</f>
        <v>303</v>
      </c>
      <c r="N1201" s="81">
        <f t="shared" si="365"/>
        <v>-1</v>
      </c>
      <c r="P1201" s="82">
        <f>R1201-TIME(0,27,0)</f>
        <v>45790.533333333333</v>
      </c>
      <c r="Q1201" s="82">
        <v>45790.850694444445</v>
      </c>
      <c r="R1201" s="82">
        <v>45790.552083333336</v>
      </c>
      <c r="S1201" s="81">
        <f t="shared" si="373"/>
        <v>-428.00925925694173</v>
      </c>
      <c r="T1201" s="81">
        <f t="shared" si="346"/>
        <v>26.87500000417155</v>
      </c>
      <c r="U1201" s="79"/>
      <c r="V1201" s="82">
        <v>45791.356249999997</v>
      </c>
      <c r="W1201" s="82">
        <v>45791.756249999999</v>
      </c>
      <c r="X1201" s="103">
        <f t="shared" si="347"/>
        <v>564.00000000205182</v>
      </c>
      <c r="Y1201" s="82" t="s">
        <v>1051</v>
      </c>
      <c r="Z1201" s="82">
        <v>45792.356249999997</v>
      </c>
      <c r="AA1201" s="82">
        <f>Z1201+TIME(0,36,0)</f>
        <v>45792.381249999999</v>
      </c>
      <c r="AB1201" s="81">
        <f t="shared" si="352"/>
        <v>35.25000000205182</v>
      </c>
      <c r="AC1201" s="82"/>
      <c r="AD1201" s="83">
        <f t="shared" si="368"/>
        <v>1.804166666661331</v>
      </c>
      <c r="AE1201" s="83">
        <f>VLOOKUP(H1201,'LIST 2'!$A$1:$E$27,4,FALSE)</f>
        <v>2</v>
      </c>
      <c r="AF1201" s="83">
        <f t="shared" si="369"/>
        <v>0.19583333333866904</v>
      </c>
      <c r="AG1201" s="81">
        <f t="shared" si="370"/>
        <v>43.299999999871943</v>
      </c>
      <c r="AH1201" s="81">
        <f t="shared" si="371"/>
        <v>12</v>
      </c>
      <c r="AI1201" s="81">
        <f t="shared" si="372"/>
        <v>31.299999999871943</v>
      </c>
      <c r="AJ1201" s="83">
        <f t="shared" si="348"/>
        <v>4.984025559125822</v>
      </c>
      <c r="AK1201" s="122"/>
      <c r="AL1201" s="122"/>
      <c r="AM1201" s="122"/>
      <c r="AN1201" s="122"/>
    </row>
    <row r="1202" spans="1:40" ht="20.25" customHeight="1" x14ac:dyDescent="0.25">
      <c r="A1202" s="82">
        <v>45791</v>
      </c>
      <c r="B1202" s="94" t="str">
        <f t="shared" si="374"/>
        <v>May</v>
      </c>
      <c r="C1202" s="79" t="s">
        <v>2161</v>
      </c>
      <c r="D1202" s="79" t="s">
        <v>2033</v>
      </c>
      <c r="E1202" s="79"/>
      <c r="F1202" s="79" t="s">
        <v>965</v>
      </c>
      <c r="G1202" s="79" t="s">
        <v>980</v>
      </c>
      <c r="H1202" s="82" t="s">
        <v>1956</v>
      </c>
      <c r="I1202" s="79">
        <v>153.6</v>
      </c>
      <c r="J1202" s="79" t="s">
        <v>2033</v>
      </c>
      <c r="K1202" s="80" t="s">
        <v>469</v>
      </c>
      <c r="L1202" s="79">
        <f>VLOOKUP(H1202,Table2[#All],3,FALSE)</f>
        <v>596</v>
      </c>
      <c r="M1202" s="80">
        <f t="shared" si="342"/>
        <v>594</v>
      </c>
      <c r="N1202" s="81">
        <f t="shared" si="365"/>
        <v>-2</v>
      </c>
      <c r="P1202" s="82">
        <f>R1202-TIME(0,27,0)</f>
        <v>45790.824999999997</v>
      </c>
      <c r="Q1202" s="82">
        <v>45791.176388888889</v>
      </c>
      <c r="R1202" s="82">
        <v>45790.84375</v>
      </c>
      <c r="T1202" s="81">
        <f t="shared" si="346"/>
        <v>26.87500000417155</v>
      </c>
      <c r="U1202" s="79"/>
      <c r="V1202" s="82">
        <v>45791.418055555558</v>
      </c>
      <c r="W1202" s="82">
        <v>45791.60833333333</v>
      </c>
      <c r="X1202" s="103">
        <f t="shared" si="347"/>
        <v>268.29166665891535</v>
      </c>
      <c r="Y1202" s="82" t="s">
        <v>1050</v>
      </c>
      <c r="Z1202" s="82">
        <v>45791.731249999997</v>
      </c>
      <c r="AA1202" s="82">
        <f t="shared" ref="AA1202:AA1203" si="375">Z1202+TIME(0,42,0)</f>
        <v>45791.760416666664</v>
      </c>
      <c r="AB1202" s="81">
        <f t="shared" si="352"/>
        <v>41.12500000068394</v>
      </c>
      <c r="AC1202" s="82"/>
      <c r="AD1202" s="83">
        <f t="shared" si="368"/>
        <v>0.88749999999708962</v>
      </c>
      <c r="AE1202" s="83">
        <f>VLOOKUP(H1202,'LIST 2'!$A$1:$E$27,4,FALSE)</f>
        <v>2</v>
      </c>
      <c r="AF1202" s="83">
        <f t="shared" si="369"/>
        <v>1.1125000000029104</v>
      </c>
      <c r="AG1202" s="81">
        <f t="shared" si="370"/>
        <v>21.299999999930151</v>
      </c>
      <c r="AH1202" s="81">
        <f t="shared" si="371"/>
        <v>0</v>
      </c>
      <c r="AI1202" s="81">
        <f t="shared" si="372"/>
        <v>21.299999999930151</v>
      </c>
      <c r="AJ1202" s="83">
        <f t="shared" si="348"/>
        <v>7.2112676056574507</v>
      </c>
      <c r="AK1202" s="122"/>
      <c r="AL1202" s="122"/>
      <c r="AM1202" s="122"/>
      <c r="AN1202" s="122"/>
    </row>
    <row r="1203" spans="1:40" ht="20.25" customHeight="1" x14ac:dyDescent="0.25">
      <c r="A1203" s="82">
        <v>45791</v>
      </c>
      <c r="B1203" s="94" t="str">
        <f t="shared" si="374"/>
        <v>May</v>
      </c>
      <c r="C1203" s="79" t="s">
        <v>2161</v>
      </c>
      <c r="D1203" s="79" t="s">
        <v>2034</v>
      </c>
      <c r="E1203" s="79" t="s">
        <v>1016</v>
      </c>
      <c r="F1203" s="79" t="s">
        <v>1689</v>
      </c>
      <c r="G1203" s="79" t="s">
        <v>1262</v>
      </c>
      <c r="H1203" s="82" t="s">
        <v>1989</v>
      </c>
      <c r="I1203" s="79">
        <v>153.6</v>
      </c>
      <c r="J1203" s="79" t="s">
        <v>2034</v>
      </c>
      <c r="K1203" s="80" t="s">
        <v>469</v>
      </c>
      <c r="L1203" s="79">
        <f>VLOOKUP(H1203,Table2[#All],3,FALSE)</f>
        <v>20</v>
      </c>
      <c r="M1203" s="80">
        <f t="shared" si="342"/>
        <v>18</v>
      </c>
      <c r="N1203" s="81">
        <f t="shared" si="365"/>
        <v>-2</v>
      </c>
      <c r="P1203" s="82">
        <f t="shared" ref="P1203:P1204" si="376">R1203-TIME(0,28,0)</f>
        <v>45790.845138888893</v>
      </c>
      <c r="Q1203" s="82">
        <v>45791.320833333331</v>
      </c>
      <c r="R1203" s="82">
        <v>45790.864583333336</v>
      </c>
      <c r="T1203" s="81">
        <f t="shared" si="346"/>
        <v>27.870370367357584</v>
      </c>
      <c r="U1203" s="79"/>
      <c r="V1203" s="82">
        <v>45790.894444444442</v>
      </c>
      <c r="W1203" s="82">
        <v>45791.451388888891</v>
      </c>
      <c r="X1203" s="103">
        <f t="shared" si="347"/>
        <v>785.29166667191021</v>
      </c>
      <c r="Y1203" s="82" t="s">
        <v>1047</v>
      </c>
      <c r="Z1203" s="82">
        <v>45791.477777777778</v>
      </c>
      <c r="AA1203" s="82">
        <f t="shared" si="375"/>
        <v>45791.506944444445</v>
      </c>
      <c r="AB1203" s="81">
        <f t="shared" si="352"/>
        <v>41.12500000068394</v>
      </c>
      <c r="AC1203" s="82"/>
      <c r="AD1203" s="83">
        <f t="shared" si="368"/>
        <v>0.6131944444423425</v>
      </c>
      <c r="AE1203" s="83">
        <f>VLOOKUP(H1203,'LIST 2'!$A$1:$E$27,4,FALSE)</f>
        <v>1</v>
      </c>
      <c r="AF1203" s="83">
        <f t="shared" si="369"/>
        <v>0.3868055555576575</v>
      </c>
      <c r="AG1203" s="81">
        <f t="shared" si="370"/>
        <v>14.71666666661622</v>
      </c>
      <c r="AH1203" s="81">
        <f t="shared" si="371"/>
        <v>0</v>
      </c>
      <c r="AI1203" s="81">
        <f t="shared" si="372"/>
        <v>14.71666666661622</v>
      </c>
      <c r="AJ1203" s="83">
        <f t="shared" si="348"/>
        <v>10.437146092901008</v>
      </c>
      <c r="AK1203" s="122">
        <v>11.37</v>
      </c>
      <c r="AL1203" s="122">
        <v>10.34</v>
      </c>
      <c r="AM1203" s="122"/>
      <c r="AN1203" s="122"/>
    </row>
    <row r="1204" spans="1:40" ht="20.25" customHeight="1" x14ac:dyDescent="0.25">
      <c r="A1204" s="82">
        <v>45792</v>
      </c>
      <c r="B1204" s="94" t="str">
        <f t="shared" si="374"/>
        <v>May</v>
      </c>
      <c r="C1204" s="79" t="s">
        <v>2161</v>
      </c>
      <c r="D1204" s="79" t="s">
        <v>2035</v>
      </c>
      <c r="E1204" s="79"/>
      <c r="F1204" s="79" t="s">
        <v>965</v>
      </c>
      <c r="G1204" s="79" t="s">
        <v>980</v>
      </c>
      <c r="H1204" s="82" t="s">
        <v>1956</v>
      </c>
      <c r="I1204" s="79">
        <v>153.6</v>
      </c>
      <c r="J1204" s="79" t="s">
        <v>2035</v>
      </c>
      <c r="K1204" s="80" t="s">
        <v>469</v>
      </c>
      <c r="L1204" s="79">
        <f>VLOOKUP(H1204,Table2[#All],3,FALSE)</f>
        <v>596</v>
      </c>
      <c r="M1204" s="80">
        <f t="shared" ref="M1204:M1267" si="377">L1204-2</f>
        <v>594</v>
      </c>
      <c r="N1204" s="81">
        <f t="shared" si="365"/>
        <v>-2</v>
      </c>
      <c r="P1204" s="82">
        <f t="shared" si="376"/>
        <v>45793.365277777782</v>
      </c>
      <c r="Q1204" s="82">
        <v>45792.260416666664</v>
      </c>
      <c r="R1204" s="82">
        <v>45793.384722222225</v>
      </c>
      <c r="T1204" s="81">
        <f t="shared" si="346"/>
        <v>27.870370367357584</v>
      </c>
      <c r="U1204" s="79"/>
      <c r="V1204" s="82">
        <v>45793.463194444441</v>
      </c>
      <c r="W1204" s="82">
        <v>45793.713194444441</v>
      </c>
      <c r="X1204" s="103">
        <f t="shared" si="347"/>
        <v>352.5</v>
      </c>
      <c r="Y1204" s="82" t="s">
        <v>1050</v>
      </c>
      <c r="Z1204" s="82">
        <v>45793.780555555553</v>
      </c>
      <c r="AA1204" s="82">
        <f>Z1204+TIME(0,44,0)</f>
        <v>45793.811111111107</v>
      </c>
      <c r="AB1204" s="81">
        <f t="shared" si="352"/>
        <v>43.083333330141613</v>
      </c>
      <c r="AC1204" s="82"/>
      <c r="AD1204" s="83">
        <f t="shared" si="368"/>
        <v>0.39583333332848269</v>
      </c>
      <c r="AE1204" s="83">
        <f>VLOOKUP(H1204,'LIST 2'!$A$1:$E$27,4,FALSE)</f>
        <v>2</v>
      </c>
      <c r="AF1204" s="83">
        <f t="shared" si="369"/>
        <v>1.6041666666715173</v>
      </c>
      <c r="AG1204" s="81">
        <f t="shared" si="370"/>
        <v>9.4999999998835847</v>
      </c>
      <c r="AH1204" s="81">
        <f t="shared" si="371"/>
        <v>0</v>
      </c>
      <c r="AI1204" s="81">
        <f t="shared" si="372"/>
        <v>9.4999999998835847</v>
      </c>
      <c r="AJ1204" s="83">
        <f t="shared" si="348"/>
        <v>16.168421052829711</v>
      </c>
      <c r="AK1204" s="122"/>
      <c r="AL1204" s="122"/>
      <c r="AM1204" s="122"/>
      <c r="AN1204" s="122"/>
    </row>
    <row r="1205" spans="1:40" ht="20.25" customHeight="1" x14ac:dyDescent="0.25">
      <c r="A1205" s="82">
        <v>45792</v>
      </c>
      <c r="B1205" s="94" t="str">
        <f t="shared" si="374"/>
        <v>May</v>
      </c>
      <c r="C1205" s="79" t="s">
        <v>2162</v>
      </c>
      <c r="D1205" s="79" t="s">
        <v>2036</v>
      </c>
      <c r="E1205" s="79" t="s">
        <v>1016</v>
      </c>
      <c r="F1205" s="79" t="s">
        <v>1690</v>
      </c>
      <c r="G1205" s="79" t="s">
        <v>45</v>
      </c>
      <c r="H1205" s="82" t="s">
        <v>2189</v>
      </c>
      <c r="I1205" s="79">
        <v>156</v>
      </c>
      <c r="J1205" s="79" t="s">
        <v>2036</v>
      </c>
      <c r="K1205" s="80" t="s">
        <v>469</v>
      </c>
      <c r="L1205" s="79">
        <f>VLOOKUP(H1205,Table2[#All],3,FALSE)</f>
        <v>524</v>
      </c>
      <c r="M1205" s="80">
        <f>L1205-1</f>
        <v>523</v>
      </c>
      <c r="N1205" s="81">
        <f t="shared" si="365"/>
        <v>-1</v>
      </c>
      <c r="P1205" s="82">
        <f>R1205-TIME(0,50,0)</f>
        <v>45792.741666666669</v>
      </c>
      <c r="Q1205" s="82">
        <v>45791.75</v>
      </c>
      <c r="R1205" s="82">
        <v>45792.776388888888</v>
      </c>
      <c r="S1205" s="81">
        <f t="shared" ref="S1205:S1206" si="378">(R1205-Q1205)*86000/60</f>
        <v>1471.1574074055534</v>
      </c>
      <c r="T1205" s="81">
        <f t="shared" si="346"/>
        <v>49.768518513883464</v>
      </c>
      <c r="U1205" s="79" t="s">
        <v>2167</v>
      </c>
      <c r="V1205" s="82">
        <v>45793.909722222219</v>
      </c>
      <c r="W1205" s="82">
        <v>45794.852777777778</v>
      </c>
      <c r="X1205" s="103">
        <f t="shared" si="347"/>
        <v>1329.7083333383489</v>
      </c>
      <c r="Y1205" s="82" t="s">
        <v>1046</v>
      </c>
      <c r="Z1205" s="82">
        <v>45795.399305555555</v>
      </c>
      <c r="AA1205" s="82">
        <f>Z1205+TIME(0,51,0)</f>
        <v>45795.43472222222</v>
      </c>
      <c r="AB1205" s="81">
        <f t="shared" si="352"/>
        <v>49.93749999863212</v>
      </c>
      <c r="AC1205" s="82" t="s">
        <v>2168</v>
      </c>
      <c r="AD1205" s="83">
        <f t="shared" si="368"/>
        <v>2.6229166666671517</v>
      </c>
      <c r="AE1205" s="83">
        <f>VLOOKUP(H1205,'LIST 2'!$A$1:$E$27,4,FALSE)</f>
        <v>3</v>
      </c>
      <c r="AF1205" s="83">
        <f t="shared" si="369"/>
        <v>0.37708333333284827</v>
      </c>
      <c r="AG1205" s="81">
        <f t="shared" si="370"/>
        <v>62.950000000011642</v>
      </c>
      <c r="AH1205" s="81">
        <f t="shared" si="371"/>
        <v>24</v>
      </c>
      <c r="AI1205" s="81">
        <f t="shared" si="372"/>
        <v>38.950000000011642</v>
      </c>
      <c r="AJ1205" s="83">
        <f t="shared" si="348"/>
        <v>4.0051347881887898</v>
      </c>
      <c r="AK1205" s="122"/>
      <c r="AL1205" s="122"/>
      <c r="AM1205" s="122"/>
      <c r="AN1205" s="122"/>
    </row>
    <row r="1206" spans="1:40" ht="20.25" customHeight="1" x14ac:dyDescent="0.25">
      <c r="A1206" s="82">
        <v>45792</v>
      </c>
      <c r="B1206" s="94" t="str">
        <f t="shared" si="374"/>
        <v>May</v>
      </c>
      <c r="C1206" s="79" t="s">
        <v>2162</v>
      </c>
      <c r="D1206" s="79" t="s">
        <v>2037</v>
      </c>
      <c r="E1206" s="79" t="s">
        <v>1016</v>
      </c>
      <c r="F1206" s="79" t="s">
        <v>1696</v>
      </c>
      <c r="G1206" s="79" t="s">
        <v>42</v>
      </c>
      <c r="H1206" s="82" t="s">
        <v>2184</v>
      </c>
      <c r="I1206" s="79">
        <v>156</v>
      </c>
      <c r="J1206" s="79" t="s">
        <v>2037</v>
      </c>
      <c r="K1206" s="80" t="s">
        <v>469</v>
      </c>
      <c r="L1206" s="79">
        <f>VLOOKUP(H1206,Table2[#All],3,FALSE)</f>
        <v>600</v>
      </c>
      <c r="M1206" s="80">
        <f>L1206-3</f>
        <v>597</v>
      </c>
      <c r="N1206" s="81">
        <f t="shared" si="365"/>
        <v>-3</v>
      </c>
      <c r="P1206" s="82">
        <f>R1206-TIME(0,27,0)</f>
        <v>45792.725694444438</v>
      </c>
      <c r="Q1206" s="82">
        <v>45791.895833333336</v>
      </c>
      <c r="R1206" s="82">
        <v>45792.744444444441</v>
      </c>
      <c r="S1206" s="81">
        <f t="shared" si="378"/>
        <v>1216.3425925840177</v>
      </c>
      <c r="T1206" s="81">
        <f t="shared" si="346"/>
        <v>26.87500000417155</v>
      </c>
      <c r="U1206" s="79"/>
      <c r="V1206" s="82">
        <v>45794.44027777778</v>
      </c>
      <c r="W1206" s="82">
        <v>45794.556944444441</v>
      </c>
      <c r="X1206" s="103">
        <f t="shared" si="347"/>
        <v>164.49999999247666</v>
      </c>
      <c r="Y1206" s="82"/>
      <c r="Z1206" s="82">
        <v>45795.529861111114</v>
      </c>
      <c r="AA1206" s="82">
        <f>Z1206+TIME(0,39,0)</f>
        <v>45795.556944444448</v>
      </c>
      <c r="AB1206" s="81">
        <f t="shared" si="352"/>
        <v>38.18750000136788</v>
      </c>
      <c r="AC1206" s="82"/>
      <c r="AD1206" s="83">
        <f t="shared" si="368"/>
        <v>2.7854166666729725</v>
      </c>
      <c r="AE1206" s="83">
        <f>VLOOKUP(H1206,'LIST 2'!$A$1:$E$27,4,FALSE)</f>
        <v>2</v>
      </c>
      <c r="AF1206" s="83">
        <f t="shared" si="369"/>
        <v>-0.7854166666729725</v>
      </c>
      <c r="AG1206" s="81">
        <f t="shared" si="370"/>
        <v>66.85000000015134</v>
      </c>
      <c r="AH1206" s="81">
        <f t="shared" si="371"/>
        <v>24</v>
      </c>
      <c r="AI1206" s="81">
        <f t="shared" si="372"/>
        <v>42.85000000015134</v>
      </c>
      <c r="AJ1206" s="83">
        <f t="shared" si="348"/>
        <v>3.6406067677817742</v>
      </c>
      <c r="AK1206" s="122"/>
      <c r="AL1206" s="122"/>
      <c r="AM1206" s="122"/>
      <c r="AN1206" s="122"/>
    </row>
    <row r="1207" spans="1:40" ht="20.25" customHeight="1" x14ac:dyDescent="0.25">
      <c r="A1207" s="82">
        <v>45792</v>
      </c>
      <c r="B1207" s="94" t="str">
        <f t="shared" si="374"/>
        <v>May</v>
      </c>
      <c r="C1207" s="79" t="s">
        <v>2161</v>
      </c>
      <c r="D1207" s="79" t="s">
        <v>2038</v>
      </c>
      <c r="E1207" s="79"/>
      <c r="F1207" s="79" t="s">
        <v>953</v>
      </c>
      <c r="G1207" s="79" t="s">
        <v>970</v>
      </c>
      <c r="H1207" s="82" t="s">
        <v>2054</v>
      </c>
      <c r="I1207" s="79">
        <v>153.6</v>
      </c>
      <c r="J1207" s="79" t="s">
        <v>2038</v>
      </c>
      <c r="K1207" s="80" t="s">
        <v>469</v>
      </c>
      <c r="L1207" s="79">
        <f>VLOOKUP(H1207,Table2[#All],3,FALSE)</f>
        <v>514</v>
      </c>
      <c r="M1207" s="80">
        <f t="shared" si="377"/>
        <v>512</v>
      </c>
      <c r="N1207" s="81">
        <f t="shared" si="365"/>
        <v>-2</v>
      </c>
      <c r="P1207" s="82">
        <f t="shared" ref="P1207:P1208" si="379">R1207-TIME(0,28,0)</f>
        <v>45793.568055555559</v>
      </c>
      <c r="Q1207" s="82">
        <v>45792.842361111114</v>
      </c>
      <c r="R1207" s="82">
        <v>45793.587500000001</v>
      </c>
      <c r="T1207" s="81">
        <f t="shared" si="346"/>
        <v>27.870370367357584</v>
      </c>
      <c r="U1207" s="79"/>
      <c r="V1207" s="82">
        <v>45794.463194444441</v>
      </c>
      <c r="W1207" s="82">
        <v>45794.70208333333</v>
      </c>
      <c r="X1207" s="103">
        <f t="shared" si="347"/>
        <v>336.83333333356131</v>
      </c>
      <c r="Y1207" s="82" t="s">
        <v>1044</v>
      </c>
      <c r="Z1207" s="82">
        <v>45796.813888888886</v>
      </c>
      <c r="AA1207" s="82">
        <f>Z1207+TIME(0,42,0)</f>
        <v>45796.843055555553</v>
      </c>
      <c r="AB1207" s="81">
        <f t="shared" si="352"/>
        <v>41.12500000068394</v>
      </c>
      <c r="AC1207" s="82"/>
      <c r="AD1207" s="83">
        <f t="shared" si="368"/>
        <v>3.226388888884685</v>
      </c>
      <c r="AE1207" s="83">
        <f>VLOOKUP(H1207,'LIST 2'!$A$1:$E$27,4,FALSE)</f>
        <v>3</v>
      </c>
      <c r="AF1207" s="83">
        <f t="shared" si="369"/>
        <v>-0.226388888884685</v>
      </c>
      <c r="AG1207" s="81">
        <f t="shared" si="370"/>
        <v>77.43333333323244</v>
      </c>
      <c r="AH1207" s="81">
        <f t="shared" si="371"/>
        <v>36</v>
      </c>
      <c r="AI1207" s="81">
        <f t="shared" si="372"/>
        <v>41.43333333323244</v>
      </c>
      <c r="AJ1207" s="83">
        <f t="shared" si="348"/>
        <v>3.7071600965496545</v>
      </c>
      <c r="AK1207" s="122">
        <v>9.33</v>
      </c>
      <c r="AL1207" s="122">
        <v>9</v>
      </c>
      <c r="AM1207" s="122">
        <v>10.29</v>
      </c>
      <c r="AN1207" s="122">
        <v>8.5399999999999991</v>
      </c>
    </row>
    <row r="1208" spans="1:40" ht="20.25" customHeight="1" x14ac:dyDescent="0.25">
      <c r="A1208" s="82">
        <v>45792</v>
      </c>
      <c r="B1208" s="94" t="str">
        <f t="shared" si="374"/>
        <v>May</v>
      </c>
      <c r="C1208" s="79" t="s">
        <v>2161</v>
      </c>
      <c r="D1208" s="79" t="s">
        <v>2039</v>
      </c>
      <c r="E1208" s="79"/>
      <c r="F1208" s="79" t="s">
        <v>953</v>
      </c>
      <c r="G1208" s="79" t="s">
        <v>970</v>
      </c>
      <c r="H1208" s="82" t="s">
        <v>1989</v>
      </c>
      <c r="I1208" s="79">
        <v>153.6</v>
      </c>
      <c r="J1208" s="79" t="s">
        <v>2039</v>
      </c>
      <c r="K1208" s="80" t="s">
        <v>469</v>
      </c>
      <c r="L1208" s="79">
        <f>VLOOKUP(H1208,Table2[#All],3,FALSE)</f>
        <v>20</v>
      </c>
      <c r="M1208" s="80">
        <f t="shared" si="377"/>
        <v>18</v>
      </c>
      <c r="N1208" s="81">
        <f t="shared" si="365"/>
        <v>-2</v>
      </c>
      <c r="P1208" s="82">
        <f t="shared" si="379"/>
        <v>45792.69027777778</v>
      </c>
      <c r="Q1208" s="82">
        <v>45792.320833333331</v>
      </c>
      <c r="R1208" s="82">
        <v>45792.709722222222</v>
      </c>
      <c r="T1208" s="81">
        <f t="shared" si="346"/>
        <v>27.870370367357584</v>
      </c>
      <c r="U1208" s="79"/>
      <c r="V1208" s="82">
        <v>45792.737500000003</v>
      </c>
      <c r="W1208" s="82">
        <v>45793.396527777775</v>
      </c>
      <c r="X1208" s="103">
        <f t="shared" si="347"/>
        <v>929.22916665891535</v>
      </c>
      <c r="Y1208" s="82" t="s">
        <v>1050</v>
      </c>
      <c r="Z1208" s="82">
        <v>45793.42083333333</v>
      </c>
      <c r="AA1208" s="82">
        <f>Z1208+TIME(0,39,0)</f>
        <v>45793.447916666664</v>
      </c>
      <c r="AB1208" s="81">
        <f t="shared" si="352"/>
        <v>38.18750000136788</v>
      </c>
      <c r="AC1208" s="82"/>
      <c r="AD1208" s="83">
        <f t="shared" si="368"/>
        <v>0.71111111110803904</v>
      </c>
      <c r="AE1208" s="83">
        <f>VLOOKUP(H1208,'LIST 2'!$A$1:$E$27,4,FALSE)</f>
        <v>1</v>
      </c>
      <c r="AF1208" s="83">
        <f t="shared" si="369"/>
        <v>0.28888888889196096</v>
      </c>
      <c r="AG1208" s="81">
        <f t="shared" si="370"/>
        <v>17.066666666592937</v>
      </c>
      <c r="AH1208" s="81">
        <f t="shared" si="371"/>
        <v>0</v>
      </c>
      <c r="AI1208" s="81">
        <f t="shared" si="372"/>
        <v>17.066666666592937</v>
      </c>
      <c r="AJ1208" s="83">
        <f t="shared" si="348"/>
        <v>9.0000000000388809</v>
      </c>
      <c r="AK1208" s="122">
        <v>9.27</v>
      </c>
      <c r="AL1208" s="122">
        <v>10</v>
      </c>
      <c r="AM1208" s="122"/>
      <c r="AN1208" s="122"/>
    </row>
    <row r="1209" spans="1:40" ht="20.25" customHeight="1" x14ac:dyDescent="0.25">
      <c r="A1209" s="82">
        <v>45792</v>
      </c>
      <c r="B1209" s="94" t="str">
        <f t="shared" si="374"/>
        <v>May</v>
      </c>
      <c r="C1209" s="79" t="s">
        <v>2161</v>
      </c>
      <c r="D1209" s="79" t="s">
        <v>2040</v>
      </c>
      <c r="E1209" s="79" t="s">
        <v>1016</v>
      </c>
      <c r="F1209" s="79" t="s">
        <v>1689</v>
      </c>
      <c r="G1209" s="79" t="s">
        <v>1262</v>
      </c>
      <c r="H1209" s="82" t="s">
        <v>2022</v>
      </c>
      <c r="I1209" s="79">
        <v>153.6</v>
      </c>
      <c r="J1209" s="79" t="s">
        <v>2040</v>
      </c>
      <c r="K1209" s="80" t="s">
        <v>469</v>
      </c>
      <c r="L1209" s="79">
        <f>VLOOKUP(H1209,Table2[#All],3,FALSE)</f>
        <v>150</v>
      </c>
      <c r="M1209" s="80">
        <f t="shared" si="377"/>
        <v>148</v>
      </c>
      <c r="N1209" s="81">
        <f t="shared" si="365"/>
        <v>-2</v>
      </c>
      <c r="P1209" s="82">
        <f>R1209-TIME(0,38,0)</f>
        <v>45792.599305555559</v>
      </c>
      <c r="Q1209" s="82">
        <v>45792.260416666664</v>
      </c>
      <c r="R1209" s="82">
        <v>45792.625694444447</v>
      </c>
      <c r="T1209" s="81">
        <f t="shared" si="346"/>
        <v>37.82407407222005</v>
      </c>
      <c r="U1209" s="79" t="s">
        <v>2165</v>
      </c>
      <c r="V1209" s="82">
        <v>45792.739583333336</v>
      </c>
      <c r="W1209" s="82">
        <v>45793.536111111112</v>
      </c>
      <c r="X1209" s="103">
        <f t="shared" si="347"/>
        <v>1123.1041666650708</v>
      </c>
      <c r="Y1209" s="82" t="s">
        <v>1044</v>
      </c>
      <c r="Z1209" s="82">
        <v>45793.671527777777</v>
      </c>
      <c r="AA1209" s="82">
        <f>Z1209+TIME(0,42,0)</f>
        <v>45793.700694444444</v>
      </c>
      <c r="AB1209" s="81">
        <f t="shared" si="352"/>
        <v>41.12500000068394</v>
      </c>
      <c r="AC1209" s="82"/>
      <c r="AD1209" s="83">
        <f t="shared" si="368"/>
        <v>1.0458333333299379</v>
      </c>
      <c r="AE1209" s="83">
        <f>VLOOKUP(H1209,'LIST 2'!$A$1:$E$27,4,FALSE)</f>
        <v>1</v>
      </c>
      <c r="AF1209" s="83">
        <f t="shared" si="369"/>
        <v>-4.5833333329937886E-2</v>
      </c>
      <c r="AG1209" s="81">
        <f t="shared" si="370"/>
        <v>25.099999999918509</v>
      </c>
      <c r="AH1209" s="81">
        <f t="shared" si="371"/>
        <v>12</v>
      </c>
      <c r="AI1209" s="81">
        <f t="shared" si="372"/>
        <v>13.099999999918509</v>
      </c>
      <c r="AJ1209" s="83">
        <f t="shared" si="348"/>
        <v>11.725190839767594</v>
      </c>
      <c r="AK1209" s="122">
        <v>8.33</v>
      </c>
      <c r="AL1209" s="122">
        <v>11.38</v>
      </c>
      <c r="AM1209" s="122"/>
      <c r="AN1209" s="122"/>
    </row>
    <row r="1210" spans="1:40" ht="20.25" customHeight="1" x14ac:dyDescent="0.25">
      <c r="A1210" s="82">
        <v>45792</v>
      </c>
      <c r="B1210" s="94" t="str">
        <f t="shared" si="374"/>
        <v>May</v>
      </c>
      <c r="C1210" s="79" t="s">
        <v>2161</v>
      </c>
      <c r="D1210" s="79" t="s">
        <v>2041</v>
      </c>
      <c r="E1210" s="79"/>
      <c r="F1210" s="79" t="s">
        <v>957</v>
      </c>
      <c r="G1210" s="79" t="s">
        <v>974</v>
      </c>
      <c r="H1210" s="82" t="s">
        <v>1991</v>
      </c>
      <c r="I1210" s="79">
        <v>153.6</v>
      </c>
      <c r="J1210" s="79" t="s">
        <v>2041</v>
      </c>
      <c r="K1210" s="80" t="s">
        <v>469</v>
      </c>
      <c r="L1210" s="79">
        <f>VLOOKUP(H1210,Table2[#All],3,FALSE)</f>
        <v>272</v>
      </c>
      <c r="M1210" s="80">
        <f>L1210-1</f>
        <v>271</v>
      </c>
      <c r="N1210" s="81">
        <f t="shared" si="365"/>
        <v>-1</v>
      </c>
      <c r="P1210" s="82">
        <f>R1210-TIME(0,38,0)</f>
        <v>45792.343055555553</v>
      </c>
      <c r="Q1210" s="82">
        <v>45792.082638888889</v>
      </c>
      <c r="R1210" s="82">
        <v>45792.369444444441</v>
      </c>
      <c r="T1210" s="81">
        <f t="shared" si="346"/>
        <v>37.82407407222005</v>
      </c>
      <c r="U1210" s="79" t="s">
        <v>2166</v>
      </c>
      <c r="V1210" s="82">
        <v>45792.73541666667</v>
      </c>
      <c r="W1210" s="82">
        <v>45793.574999999997</v>
      </c>
      <c r="X1210" s="103">
        <f t="shared" si="347"/>
        <v>1183.8124999911088</v>
      </c>
      <c r="Y1210" s="82" t="s">
        <v>1047</v>
      </c>
      <c r="Z1210" s="82">
        <v>45794.354861111111</v>
      </c>
      <c r="AA1210" s="82">
        <f>Z1210+TIME(0,39,0)</f>
        <v>45794.381944444445</v>
      </c>
      <c r="AB1210" s="81">
        <f t="shared" si="352"/>
        <v>38.18750000136788</v>
      </c>
      <c r="AC1210" s="82"/>
      <c r="AD1210" s="83">
        <f t="shared" si="368"/>
        <v>1.9854166666700621</v>
      </c>
      <c r="AE1210" s="83">
        <f>VLOOKUP(H1210,'LIST 2'!$A$1:$E$27,4,FALSE)</f>
        <v>2</v>
      </c>
      <c r="AF1210" s="83">
        <f t="shared" si="369"/>
        <v>1.4583333329937886E-2</v>
      </c>
      <c r="AG1210" s="81">
        <f t="shared" si="370"/>
        <v>47.650000000081491</v>
      </c>
      <c r="AH1210" s="81">
        <f t="shared" si="371"/>
        <v>12</v>
      </c>
      <c r="AI1210" s="81">
        <f t="shared" si="372"/>
        <v>35.650000000081491</v>
      </c>
      <c r="AJ1210" s="83">
        <f t="shared" si="348"/>
        <v>4.308555399709646</v>
      </c>
      <c r="AK1210" s="122"/>
      <c r="AL1210" s="122"/>
      <c r="AM1210" s="122"/>
      <c r="AN1210" s="122"/>
    </row>
    <row r="1211" spans="1:40" ht="20.25" customHeight="1" x14ac:dyDescent="0.25">
      <c r="A1211" s="82">
        <v>45792</v>
      </c>
      <c r="B1211" s="94" t="str">
        <f t="shared" si="374"/>
        <v>May</v>
      </c>
      <c r="C1211" s="79" t="s">
        <v>2161</v>
      </c>
      <c r="D1211" s="79" t="s">
        <v>2042</v>
      </c>
      <c r="E1211" s="79"/>
      <c r="F1211" s="79" t="s">
        <v>966</v>
      </c>
      <c r="G1211" s="79" t="s">
        <v>981</v>
      </c>
      <c r="H1211" s="82" t="s">
        <v>1989</v>
      </c>
      <c r="I1211" s="79">
        <v>153.6</v>
      </c>
      <c r="J1211" s="79" t="s">
        <v>2042</v>
      </c>
      <c r="K1211" s="80" t="s">
        <v>469</v>
      </c>
      <c r="L1211" s="79">
        <f>VLOOKUP(H1211,Table2[#All],3,FALSE)</f>
        <v>20</v>
      </c>
      <c r="M1211" s="80">
        <f t="shared" si="377"/>
        <v>18</v>
      </c>
      <c r="N1211" s="81">
        <f t="shared" si="365"/>
        <v>-2</v>
      </c>
      <c r="P1211" s="82">
        <f>R1211-TIME(0,27,0)</f>
        <v>45792.5625</v>
      </c>
      <c r="Q1211" s="82">
        <v>45792.320833333331</v>
      </c>
      <c r="R1211" s="82">
        <v>45792.581250000003</v>
      </c>
      <c r="T1211" s="81">
        <f t="shared" ref="T1211:T1274" si="380">(R1211-P1211)*86000/60</f>
        <v>26.87500000417155</v>
      </c>
      <c r="U1211" s="79"/>
      <c r="V1211" s="82">
        <v>45792.792361111111</v>
      </c>
      <c r="W1211" s="82">
        <v>45793.554166666669</v>
      </c>
      <c r="X1211" s="103">
        <f t="shared" ref="X1211:X1274" si="381">(W1211-V1211)*84600/60</f>
        <v>1074.1458333362971</v>
      </c>
      <c r="Y1211" s="82" t="s">
        <v>1044</v>
      </c>
      <c r="Z1211" s="82">
        <v>45793.804166666669</v>
      </c>
      <c r="AA1211" s="82">
        <f>Z1211+TIME(0,44,0)</f>
        <v>45793.834722222222</v>
      </c>
      <c r="AB1211" s="81">
        <f t="shared" si="352"/>
        <v>43.083333330141613</v>
      </c>
      <c r="AC1211" s="82"/>
      <c r="AD1211" s="83">
        <f t="shared" si="368"/>
        <v>1.2229166666656965</v>
      </c>
      <c r="AE1211" s="83">
        <f>VLOOKUP(H1211,'LIST 2'!$A$1:$E$27,4,FALSE)</f>
        <v>1</v>
      </c>
      <c r="AF1211" s="83">
        <f t="shared" si="369"/>
        <v>-0.22291666666569654</v>
      </c>
      <c r="AG1211" s="81">
        <f t="shared" si="370"/>
        <v>29.349999999976717</v>
      </c>
      <c r="AH1211" s="81">
        <f t="shared" si="371"/>
        <v>12</v>
      </c>
      <c r="AI1211" s="81">
        <f t="shared" si="372"/>
        <v>17.349999999976717</v>
      </c>
      <c r="AJ1211" s="83">
        <f t="shared" ref="AJ1211:AJ1274" si="382">I1211/AI1211</f>
        <v>8.8530259366113029</v>
      </c>
      <c r="AK1211" s="122">
        <v>11.59</v>
      </c>
      <c r="AL1211" s="122">
        <v>11.58</v>
      </c>
      <c r="AM1211" s="122"/>
      <c r="AN1211" s="122"/>
    </row>
    <row r="1212" spans="1:40" ht="20.25" customHeight="1" x14ac:dyDescent="0.25">
      <c r="A1212" s="82">
        <v>45792</v>
      </c>
      <c r="B1212" s="94" t="str">
        <f t="shared" si="374"/>
        <v>May</v>
      </c>
      <c r="C1212" s="79" t="s">
        <v>2162</v>
      </c>
      <c r="D1212" s="79" t="s">
        <v>2043</v>
      </c>
      <c r="E1212" s="79" t="s">
        <v>1016</v>
      </c>
      <c r="F1212" s="79" t="s">
        <v>1697</v>
      </c>
      <c r="G1212" s="79" t="s">
        <v>77</v>
      </c>
      <c r="H1212" s="82" t="s">
        <v>1959</v>
      </c>
      <c r="I1212" s="79">
        <v>156</v>
      </c>
      <c r="J1212" s="79" t="s">
        <v>2043</v>
      </c>
      <c r="K1212" s="80" t="s">
        <v>469</v>
      </c>
      <c r="L1212" s="79">
        <f>VLOOKUP(H1212,Table2[#All],3,FALSE)</f>
        <v>304</v>
      </c>
      <c r="M1212" s="80">
        <f t="shared" si="377"/>
        <v>302</v>
      </c>
      <c r="N1212" s="81">
        <f t="shared" si="365"/>
        <v>-2</v>
      </c>
      <c r="P1212" s="82">
        <f>R1212-TIME(0,23,0)</f>
        <v>45792.28402777778</v>
      </c>
      <c r="Q1212" s="82">
        <v>45792.098611111112</v>
      </c>
      <c r="R1212" s="82">
        <v>45792.3</v>
      </c>
      <c r="S1212" s="81">
        <f t="shared" ref="S1212" si="383">(R1212-Q1212)*86000/60</f>
        <v>288.65740740972495</v>
      </c>
      <c r="T1212" s="81">
        <f t="shared" si="380"/>
        <v>22.893518520140788</v>
      </c>
      <c r="U1212" s="79"/>
      <c r="V1212" s="82">
        <v>45792.753472222219</v>
      </c>
      <c r="W1212" s="82">
        <v>45792.84652777778</v>
      </c>
      <c r="X1212" s="103">
        <f t="shared" si="381"/>
        <v>131.20833334040071</v>
      </c>
      <c r="Y1212" s="82"/>
      <c r="Z1212" s="82">
        <v>45793.288888888892</v>
      </c>
      <c r="AA1212" s="82">
        <f>Z1212+TIME(0,50,0)</f>
        <v>45793.323611111111</v>
      </c>
      <c r="AB1212" s="81">
        <f t="shared" si="352"/>
        <v>48.958333328773733</v>
      </c>
      <c r="AC1212" s="82" t="s">
        <v>1674</v>
      </c>
      <c r="AD1212" s="83">
        <f t="shared" si="368"/>
        <v>0.98888888888905058</v>
      </c>
      <c r="AE1212" s="83">
        <f>VLOOKUP(H1212,'LIST 2'!$A$1:$E$27,4,FALSE)</f>
        <v>2</v>
      </c>
      <c r="AF1212" s="83">
        <f t="shared" si="369"/>
        <v>1.0111111111109494</v>
      </c>
      <c r="AG1212" s="81">
        <f t="shared" si="370"/>
        <v>23.733333333337214</v>
      </c>
      <c r="AH1212" s="81">
        <f t="shared" si="371"/>
        <v>0</v>
      </c>
      <c r="AI1212" s="81">
        <f t="shared" si="372"/>
        <v>23.733333333337214</v>
      </c>
      <c r="AJ1212" s="83">
        <f t="shared" si="382"/>
        <v>6.5730337078640941</v>
      </c>
      <c r="AK1212" s="122"/>
      <c r="AL1212" s="122"/>
      <c r="AM1212" s="122"/>
      <c r="AN1212" s="122"/>
    </row>
    <row r="1213" spans="1:40" ht="20.25" customHeight="1" x14ac:dyDescent="0.25">
      <c r="A1213" s="82">
        <v>45792</v>
      </c>
      <c r="B1213" s="94" t="str">
        <f t="shared" si="374"/>
        <v>May</v>
      </c>
      <c r="C1213" s="79" t="s">
        <v>2161</v>
      </c>
      <c r="D1213" s="79" t="s">
        <v>2044</v>
      </c>
      <c r="E1213" s="79"/>
      <c r="F1213" s="79" t="s">
        <v>964</v>
      </c>
      <c r="G1213" s="79" t="s">
        <v>979</v>
      </c>
      <c r="H1213" s="82" t="s">
        <v>2022</v>
      </c>
      <c r="I1213" s="79">
        <v>153.6</v>
      </c>
      <c r="J1213" s="79" t="s">
        <v>2044</v>
      </c>
      <c r="K1213" s="80" t="s">
        <v>469</v>
      </c>
      <c r="L1213" s="79">
        <f>VLOOKUP(H1213,Table2[#All],3,FALSE)</f>
        <v>150</v>
      </c>
      <c r="M1213" s="80">
        <f t="shared" si="377"/>
        <v>148</v>
      </c>
      <c r="N1213" s="81">
        <f t="shared" si="365"/>
        <v>-2</v>
      </c>
      <c r="P1213" s="82">
        <f>R1213-TIME(0,38,0)</f>
        <v>45792.369444444448</v>
      </c>
      <c r="Q1213" s="82">
        <v>45792.260416666664</v>
      </c>
      <c r="R1213" s="82">
        <v>45792.395833333336</v>
      </c>
      <c r="T1213" s="81">
        <f t="shared" si="380"/>
        <v>37.82407407222005</v>
      </c>
      <c r="U1213" s="79" t="s">
        <v>2164</v>
      </c>
      <c r="V1213" s="82">
        <v>45792.48541666667</v>
      </c>
      <c r="W1213" s="82">
        <v>45792.719444444447</v>
      </c>
      <c r="X1213" s="103">
        <f t="shared" si="381"/>
        <v>329.97916666507081</v>
      </c>
      <c r="Y1213" s="82" t="s">
        <v>1047</v>
      </c>
      <c r="Z1213" s="82">
        <v>45793.445833333331</v>
      </c>
      <c r="AA1213" s="82">
        <f>Z1213+TIME(0,42,0)</f>
        <v>45793.474999999999</v>
      </c>
      <c r="AB1213" s="81">
        <f t="shared" ref="AB1213:AB1276" si="384">(AA1213-Z1213)*84600/60</f>
        <v>41.12500000068394</v>
      </c>
      <c r="AC1213" s="82"/>
      <c r="AD1213" s="83">
        <f t="shared" si="368"/>
        <v>1.0499999999956344</v>
      </c>
      <c r="AE1213" s="83">
        <f>VLOOKUP(H1213,'LIST 2'!$A$1:$E$27,4,FALSE)</f>
        <v>1</v>
      </c>
      <c r="AF1213" s="83">
        <f t="shared" si="369"/>
        <v>-4.9999999995634425E-2</v>
      </c>
      <c r="AG1213" s="81">
        <f t="shared" si="370"/>
        <v>25.199999999895226</v>
      </c>
      <c r="AH1213" s="81">
        <f t="shared" si="371"/>
        <v>12</v>
      </c>
      <c r="AI1213" s="81">
        <f t="shared" si="372"/>
        <v>13.199999999895226</v>
      </c>
      <c r="AJ1213" s="83">
        <f t="shared" si="382"/>
        <v>11.636363636455998</v>
      </c>
      <c r="AK1213" s="122">
        <v>11.1</v>
      </c>
      <c r="AL1213" s="122">
        <v>10.57</v>
      </c>
      <c r="AM1213" s="122"/>
      <c r="AN1213" s="122"/>
    </row>
    <row r="1214" spans="1:40" ht="20.25" customHeight="1" x14ac:dyDescent="0.25">
      <c r="A1214" s="82">
        <v>45792</v>
      </c>
      <c r="B1214" s="94" t="str">
        <f t="shared" si="374"/>
        <v>May</v>
      </c>
      <c r="C1214" s="79" t="s">
        <v>2162</v>
      </c>
      <c r="D1214" s="79" t="s">
        <v>2045</v>
      </c>
      <c r="E1214" s="79" t="s">
        <v>1016</v>
      </c>
      <c r="F1214" s="79" t="s">
        <v>2021</v>
      </c>
      <c r="G1214" s="79" t="s">
        <v>44</v>
      </c>
      <c r="H1214" s="82" t="s">
        <v>2190</v>
      </c>
      <c r="I1214" s="79">
        <v>156</v>
      </c>
      <c r="J1214" s="79" t="s">
        <v>2045</v>
      </c>
      <c r="K1214" s="80" t="s">
        <v>469</v>
      </c>
      <c r="L1214" s="79">
        <f>VLOOKUP(H1214,Table2[#All],3,FALSE)</f>
        <v>680</v>
      </c>
      <c r="M1214" s="80">
        <f>L1214-3</f>
        <v>677</v>
      </c>
      <c r="N1214" s="81">
        <f t="shared" si="365"/>
        <v>-3</v>
      </c>
      <c r="P1214" s="82">
        <f>R1214-TIME(0,23,0)</f>
        <v>45791.929861111108</v>
      </c>
      <c r="Q1214" s="82">
        <v>45791.875</v>
      </c>
      <c r="R1214" s="82">
        <v>45791.945833333331</v>
      </c>
      <c r="S1214" s="81">
        <f t="shared" ref="S1214:S1219" si="385">(R1214-Q1214)*86000/60</f>
        <v>101.52777777499675</v>
      </c>
      <c r="T1214" s="81">
        <f t="shared" si="380"/>
        <v>22.893518520140788</v>
      </c>
      <c r="U1214" s="79"/>
      <c r="V1214" s="82">
        <v>45793.381944444445</v>
      </c>
      <c r="W1214" s="82">
        <v>45793.731249999997</v>
      </c>
      <c r="X1214" s="103">
        <f t="shared" si="381"/>
        <v>492.52083332808979</v>
      </c>
      <c r="Y1214" s="82" t="s">
        <v>1044</v>
      </c>
      <c r="Z1214" s="82">
        <v>45794.45</v>
      </c>
      <c r="AA1214" s="82">
        <f>Z1214+TIME(0,49,0)</f>
        <v>45794.484027777777</v>
      </c>
      <c r="AB1214" s="81">
        <f t="shared" si="384"/>
        <v>47.979166669174447</v>
      </c>
      <c r="AC1214" s="82" t="s">
        <v>2169</v>
      </c>
      <c r="AD1214" s="83">
        <f t="shared" si="368"/>
        <v>2.5041666666656965</v>
      </c>
      <c r="AE1214" s="83">
        <f>VLOOKUP(H1214,'LIST 2'!$A$1:$E$27,4,FALSE)</f>
        <v>3</v>
      </c>
      <c r="AF1214" s="83">
        <f t="shared" si="369"/>
        <v>0.49583333333430346</v>
      </c>
      <c r="AG1214" s="81">
        <f t="shared" si="370"/>
        <v>60.099999999976717</v>
      </c>
      <c r="AH1214" s="81">
        <f t="shared" si="371"/>
        <v>24</v>
      </c>
      <c r="AI1214" s="81">
        <f t="shared" si="372"/>
        <v>36.099999999976717</v>
      </c>
      <c r="AJ1214" s="83">
        <f t="shared" si="382"/>
        <v>4.3213296398919834</v>
      </c>
      <c r="AK1214" s="122"/>
      <c r="AL1214" s="122"/>
      <c r="AM1214" s="122"/>
      <c r="AN1214" s="122"/>
    </row>
    <row r="1215" spans="1:40" ht="20.25" customHeight="1" x14ac:dyDescent="0.25">
      <c r="A1215" s="82">
        <v>45792</v>
      </c>
      <c r="B1215" s="94" t="str">
        <f t="shared" si="374"/>
        <v>May</v>
      </c>
      <c r="C1215" s="79" t="s">
        <v>2162</v>
      </c>
      <c r="D1215" s="79" t="s">
        <v>2046</v>
      </c>
      <c r="E1215" s="79" t="s">
        <v>1016</v>
      </c>
      <c r="F1215" s="79" t="s">
        <v>1692</v>
      </c>
      <c r="G1215" s="79" t="s">
        <v>50</v>
      </c>
      <c r="H1215" s="82" t="s">
        <v>1958</v>
      </c>
      <c r="I1215" s="79">
        <v>156</v>
      </c>
      <c r="J1215" s="79" t="s">
        <v>2046</v>
      </c>
      <c r="K1215" s="80" t="s">
        <v>469</v>
      </c>
      <c r="L1215" s="79">
        <f>VLOOKUP(H1215,Table2[#All],3,FALSE)</f>
        <v>304</v>
      </c>
      <c r="M1215" s="80">
        <f t="shared" si="377"/>
        <v>302</v>
      </c>
      <c r="N1215" s="81">
        <f t="shared" si="365"/>
        <v>-2</v>
      </c>
      <c r="P1215" s="82">
        <f>R1215-TIME(0,38,0)</f>
        <v>45791.836805555555</v>
      </c>
      <c r="Q1215" s="82">
        <v>45791.850694444445</v>
      </c>
      <c r="R1215" s="82">
        <v>45791.863194444442</v>
      </c>
      <c r="S1215" s="81">
        <f t="shared" si="385"/>
        <v>17.916666662495118</v>
      </c>
      <c r="T1215" s="81">
        <f t="shared" si="380"/>
        <v>37.82407407222005</v>
      </c>
      <c r="U1215" s="79" t="s">
        <v>1671</v>
      </c>
      <c r="V1215" s="82">
        <v>45793.288194444445</v>
      </c>
      <c r="W1215" s="82">
        <v>45793.495833333334</v>
      </c>
      <c r="X1215" s="103">
        <f t="shared" si="381"/>
        <v>292.77083333356131</v>
      </c>
      <c r="Y1215" s="82" t="s">
        <v>1050</v>
      </c>
      <c r="Z1215" s="82"/>
      <c r="AA1215" s="82">
        <f>Z1215+TIME(0,44,0)</f>
        <v>3.0555555555555555E-2</v>
      </c>
      <c r="AB1215" s="81">
        <f t="shared" si="384"/>
        <v>43.083333333333336</v>
      </c>
      <c r="AC1215" s="82"/>
      <c r="AD1215" s="83">
        <f t="shared" si="368"/>
        <v>-45791.863194444442</v>
      </c>
      <c r="AE1215" s="83">
        <f>VLOOKUP(H1215,'LIST 2'!$A$1:$E$27,4,FALSE)</f>
        <v>2</v>
      </c>
      <c r="AF1215" s="83">
        <f t="shared" si="369"/>
        <v>45793.863194444442</v>
      </c>
      <c r="AG1215" s="81">
        <f t="shared" si="370"/>
        <v>-1099004.7166666666</v>
      </c>
      <c r="AH1215" s="81">
        <f t="shared" si="371"/>
        <v>-549504</v>
      </c>
      <c r="AI1215" s="81">
        <f t="shared" si="372"/>
        <v>-549500.71666666656</v>
      </c>
      <c r="AJ1215" s="83">
        <f t="shared" si="382"/>
        <v>-2.8389407924035774E-4</v>
      </c>
      <c r="AK1215" s="122"/>
      <c r="AL1215" s="122"/>
      <c r="AM1215" s="122"/>
      <c r="AN1215" s="122"/>
    </row>
    <row r="1216" spans="1:40" ht="20.25" customHeight="1" x14ac:dyDescent="0.25">
      <c r="A1216" s="82">
        <v>45792</v>
      </c>
      <c r="B1216" s="94" t="str">
        <f t="shared" si="374"/>
        <v>May</v>
      </c>
      <c r="C1216" s="79" t="s">
        <v>2162</v>
      </c>
      <c r="D1216" s="79" t="s">
        <v>2047</v>
      </c>
      <c r="E1216" s="79" t="s">
        <v>1016</v>
      </c>
      <c r="F1216" s="79" t="s">
        <v>1698</v>
      </c>
      <c r="G1216" s="79" t="s">
        <v>1665</v>
      </c>
      <c r="H1216" s="82" t="s">
        <v>2190</v>
      </c>
      <c r="I1216" s="79">
        <v>156</v>
      </c>
      <c r="J1216" s="79" t="s">
        <v>2047</v>
      </c>
      <c r="K1216" s="80" t="s">
        <v>469</v>
      </c>
      <c r="L1216" s="79">
        <f>VLOOKUP(H1216,Table2[#All],3,FALSE)</f>
        <v>680</v>
      </c>
      <c r="M1216" s="80">
        <f t="shared" si="377"/>
        <v>678</v>
      </c>
      <c r="N1216" s="81">
        <f t="shared" si="365"/>
        <v>-2</v>
      </c>
      <c r="P1216" s="82">
        <f>R1216-TIME(0,27,0)</f>
        <v>45791.799305555556</v>
      </c>
      <c r="Q1216" s="82">
        <v>45791.817361111112</v>
      </c>
      <c r="R1216" s="82">
        <v>45791.818055555559</v>
      </c>
      <c r="S1216" s="81">
        <f t="shared" si="385"/>
        <v>0.99537037361490854</v>
      </c>
      <c r="T1216" s="81">
        <f t="shared" si="380"/>
        <v>26.87500000417155</v>
      </c>
      <c r="U1216" s="79"/>
      <c r="V1216" s="82">
        <v>45793.520138888889</v>
      </c>
      <c r="W1216" s="82">
        <v>45793.61041666667</v>
      </c>
      <c r="X1216" s="103">
        <f t="shared" si="381"/>
        <v>127.29166667122627</v>
      </c>
      <c r="Y1216" s="82" t="s">
        <v>1044</v>
      </c>
      <c r="Z1216" s="82">
        <v>45794.307638888888</v>
      </c>
      <c r="AA1216" s="82">
        <f>Z1216+TIME(0,44,0)</f>
        <v>45794.338194444441</v>
      </c>
      <c r="AB1216" s="81">
        <f t="shared" si="384"/>
        <v>43.083333330141613</v>
      </c>
      <c r="AC1216" s="82"/>
      <c r="AD1216" s="83">
        <f t="shared" si="368"/>
        <v>2.4895833333284827</v>
      </c>
      <c r="AE1216" s="83">
        <f>VLOOKUP(H1216,'LIST 2'!$A$1:$E$27,4,FALSE)</f>
        <v>3</v>
      </c>
      <c r="AF1216" s="83">
        <f t="shared" si="369"/>
        <v>0.51041666667151731</v>
      </c>
      <c r="AG1216" s="81">
        <f t="shared" si="370"/>
        <v>59.749999999883585</v>
      </c>
      <c r="AH1216" s="81">
        <f t="shared" si="371"/>
        <v>24</v>
      </c>
      <c r="AI1216" s="81">
        <f t="shared" si="372"/>
        <v>35.749999999883585</v>
      </c>
      <c r="AJ1216" s="83">
        <f t="shared" si="382"/>
        <v>4.3636363636505733</v>
      </c>
      <c r="AK1216" s="122"/>
      <c r="AL1216" s="122"/>
      <c r="AM1216" s="122"/>
      <c r="AN1216" s="122"/>
    </row>
    <row r="1217" spans="1:40" ht="20.25" customHeight="1" x14ac:dyDescent="0.25">
      <c r="A1217" s="82">
        <v>45792</v>
      </c>
      <c r="B1217" s="94" t="str">
        <f t="shared" si="374"/>
        <v>May</v>
      </c>
      <c r="C1217" s="79" t="s">
        <v>2162</v>
      </c>
      <c r="D1217" s="79" t="s">
        <v>2048</v>
      </c>
      <c r="E1217" s="79" t="s">
        <v>1016</v>
      </c>
      <c r="F1217" s="79" t="s">
        <v>961</v>
      </c>
      <c r="G1217" s="79" t="s">
        <v>977</v>
      </c>
      <c r="H1217" s="82" t="s">
        <v>2179</v>
      </c>
      <c r="I1217" s="79">
        <v>156</v>
      </c>
      <c r="J1217" s="79" t="s">
        <v>2048</v>
      </c>
      <c r="K1217" s="80" t="s">
        <v>469</v>
      </c>
      <c r="L1217" s="79">
        <f>VLOOKUP(H1217,Table2[#All],3,FALSE)</f>
        <v>560</v>
      </c>
      <c r="M1217" s="80">
        <f t="shared" si="377"/>
        <v>558</v>
      </c>
      <c r="N1217" s="81">
        <f t="shared" si="365"/>
        <v>-2</v>
      </c>
      <c r="P1217" s="82">
        <f>R1217-TIME(0,23,0)</f>
        <v>45791.860416666663</v>
      </c>
      <c r="Q1217" s="82">
        <v>45792.104166666664</v>
      </c>
      <c r="R1217" s="82">
        <v>45791.876388888886</v>
      </c>
      <c r="S1217" s="81">
        <f t="shared" si="385"/>
        <v>-326.48148148194497</v>
      </c>
      <c r="T1217" s="81">
        <f t="shared" si="380"/>
        <v>22.893518520140788</v>
      </c>
      <c r="U1217" s="79"/>
      <c r="V1217" s="82">
        <v>45792.487500000003</v>
      </c>
      <c r="W1217" s="82">
        <v>45792.647916666669</v>
      </c>
      <c r="X1217" s="103">
        <f t="shared" si="381"/>
        <v>226.18749999863212</v>
      </c>
      <c r="Y1217" s="82" t="s">
        <v>1047</v>
      </c>
      <c r="Z1217" s="82">
        <v>45794.354166666664</v>
      </c>
      <c r="AA1217" s="82">
        <f>Z1217+TIME(0,42,0)</f>
        <v>45794.383333333331</v>
      </c>
      <c r="AB1217" s="81">
        <f t="shared" si="384"/>
        <v>41.12500000068394</v>
      </c>
      <c r="AC1217" s="82"/>
      <c r="AD1217" s="83">
        <f t="shared" si="368"/>
        <v>2.4777777777781012</v>
      </c>
      <c r="AE1217" s="83">
        <f>VLOOKUP(H1217,'LIST 2'!$A$1:$E$27,4,FALSE)</f>
        <v>2</v>
      </c>
      <c r="AF1217" s="83">
        <f t="shared" si="369"/>
        <v>-0.47777777777810115</v>
      </c>
      <c r="AG1217" s="81">
        <f t="shared" si="370"/>
        <v>59.466666666674428</v>
      </c>
      <c r="AH1217" s="81">
        <f t="shared" si="371"/>
        <v>24</v>
      </c>
      <c r="AI1217" s="81">
        <f t="shared" si="372"/>
        <v>35.466666666674428</v>
      </c>
      <c r="AJ1217" s="83">
        <f t="shared" si="382"/>
        <v>4.398496240600541</v>
      </c>
      <c r="AK1217" s="122"/>
      <c r="AL1217" s="122"/>
      <c r="AM1217" s="122"/>
      <c r="AN1217" s="122"/>
    </row>
    <row r="1218" spans="1:40" ht="20.25" customHeight="1" x14ac:dyDescent="0.25">
      <c r="A1218" s="82">
        <v>45792</v>
      </c>
      <c r="B1218" s="94" t="str">
        <f t="shared" si="374"/>
        <v>May</v>
      </c>
      <c r="C1218" s="79" t="s">
        <v>2162</v>
      </c>
      <c r="D1218" s="79" t="s">
        <v>2049</v>
      </c>
      <c r="E1218" s="79" t="s">
        <v>1016</v>
      </c>
      <c r="F1218" s="79" t="s">
        <v>1962</v>
      </c>
      <c r="G1218" s="79" t="s">
        <v>56</v>
      </c>
      <c r="H1218" s="82" t="s">
        <v>2180</v>
      </c>
      <c r="I1218" s="79">
        <v>156</v>
      </c>
      <c r="J1218" s="79" t="s">
        <v>2049</v>
      </c>
      <c r="K1218" s="80" t="s">
        <v>469</v>
      </c>
      <c r="L1218" s="79">
        <f>VLOOKUP(H1218,Table2[#All],3,FALSE)</f>
        <v>256</v>
      </c>
      <c r="M1218" s="80">
        <f>L1218-3</f>
        <v>253</v>
      </c>
      <c r="N1218" s="81">
        <f t="shared" si="365"/>
        <v>-3</v>
      </c>
      <c r="P1218" s="82">
        <f>R1218-TIME(0,28,0)</f>
        <v>45791.847222222226</v>
      </c>
      <c r="Q1218" s="82">
        <v>45792.169444444444</v>
      </c>
      <c r="R1218" s="82">
        <v>45791.866666666669</v>
      </c>
      <c r="S1218" s="81">
        <f t="shared" si="385"/>
        <v>-433.98148147777346</v>
      </c>
      <c r="T1218" s="81">
        <f t="shared" si="380"/>
        <v>27.870370367357584</v>
      </c>
      <c r="U1218" s="79"/>
      <c r="V1218" s="82">
        <v>45792.707638888889</v>
      </c>
      <c r="W1218" s="82">
        <v>45792.793749999997</v>
      </c>
      <c r="X1218" s="103">
        <f t="shared" si="381"/>
        <v>121.41666666233505</v>
      </c>
      <c r="Y1218" s="82"/>
      <c r="Z1218" s="82">
        <v>45793.286805555559</v>
      </c>
      <c r="AA1218" s="82">
        <f>Z1218+TIME(0,50,0)</f>
        <v>45793.321527777778</v>
      </c>
      <c r="AB1218" s="81">
        <f t="shared" si="384"/>
        <v>48.958333328773733</v>
      </c>
      <c r="AC1218" s="82" t="s">
        <v>2168</v>
      </c>
      <c r="AD1218" s="83">
        <f t="shared" si="368"/>
        <v>1.4201388888905058</v>
      </c>
      <c r="AE1218" s="83">
        <f>VLOOKUP(H1218,'LIST 2'!$A$1:$E$27,4,FALSE)</f>
        <v>2</v>
      </c>
      <c r="AF1218" s="83">
        <f t="shared" si="369"/>
        <v>0.57986111110949423</v>
      </c>
      <c r="AG1218" s="81">
        <f t="shared" si="370"/>
        <v>34.083333333372138</v>
      </c>
      <c r="AH1218" s="81">
        <f t="shared" si="371"/>
        <v>12</v>
      </c>
      <c r="AI1218" s="81">
        <f t="shared" si="372"/>
        <v>22.083333333372138</v>
      </c>
      <c r="AJ1218" s="83">
        <f t="shared" si="382"/>
        <v>7.0641509433838134</v>
      </c>
      <c r="AK1218" s="122"/>
      <c r="AL1218" s="122"/>
      <c r="AM1218" s="122"/>
      <c r="AN1218" s="122"/>
    </row>
    <row r="1219" spans="1:40" ht="20.25" customHeight="1" x14ac:dyDescent="0.25">
      <c r="A1219" s="82">
        <v>45792</v>
      </c>
      <c r="B1219" s="94" t="str">
        <f t="shared" si="374"/>
        <v>May</v>
      </c>
      <c r="C1219" s="79" t="s">
        <v>2162</v>
      </c>
      <c r="D1219" s="79" t="s">
        <v>2050</v>
      </c>
      <c r="E1219" s="79" t="s">
        <v>1016</v>
      </c>
      <c r="F1219" s="79" t="s">
        <v>1694</v>
      </c>
      <c r="G1219" s="79" t="s">
        <v>39</v>
      </c>
      <c r="H1219" s="82" t="s">
        <v>1959</v>
      </c>
      <c r="I1219" s="79">
        <v>156</v>
      </c>
      <c r="J1219" s="79" t="s">
        <v>2050</v>
      </c>
      <c r="K1219" s="80" t="s">
        <v>469</v>
      </c>
      <c r="L1219" s="79">
        <f>VLOOKUP(H1219,Table2[#All],3,FALSE)</f>
        <v>304</v>
      </c>
      <c r="M1219" s="80">
        <f t="shared" si="377"/>
        <v>302</v>
      </c>
      <c r="N1219" s="81">
        <f t="shared" si="365"/>
        <v>-2</v>
      </c>
      <c r="P1219" s="82">
        <f>R1219-TIME(0,23,0)</f>
        <v>45791.720833333333</v>
      </c>
      <c r="Q1219" s="82">
        <v>45792.098611111112</v>
      </c>
      <c r="R1219" s="82">
        <v>45791.736805555556</v>
      </c>
      <c r="S1219" s="81">
        <f t="shared" si="385"/>
        <v>-518.58796296388994</v>
      </c>
      <c r="T1219" s="81">
        <f t="shared" si="380"/>
        <v>22.893518520140788</v>
      </c>
      <c r="U1219" s="79"/>
      <c r="V1219" s="82">
        <v>45791.92083333333</v>
      </c>
      <c r="W1219" s="82">
        <v>45792.570833333331</v>
      </c>
      <c r="X1219" s="103">
        <f t="shared" si="381"/>
        <v>916.50000000205182</v>
      </c>
      <c r="Y1219" s="82" t="s">
        <v>1044</v>
      </c>
      <c r="Z1219" s="82">
        <v>45792.718055555553</v>
      </c>
      <c r="AA1219" s="82">
        <f>Z1219+TIME(0,44,0)</f>
        <v>45792.748611111107</v>
      </c>
      <c r="AB1219" s="81">
        <f t="shared" si="384"/>
        <v>43.083333330141613</v>
      </c>
      <c r="AC1219" s="82"/>
      <c r="AD1219" s="83">
        <f t="shared" si="368"/>
        <v>0.98124999999708962</v>
      </c>
      <c r="AE1219" s="83">
        <f>VLOOKUP(H1219,'LIST 2'!$A$1:$E$27,4,FALSE)</f>
        <v>2</v>
      </c>
      <c r="AF1219" s="83">
        <f t="shared" si="369"/>
        <v>1.0187500000029104</v>
      </c>
      <c r="AG1219" s="81">
        <f t="shared" si="370"/>
        <v>23.549999999930151</v>
      </c>
      <c r="AH1219" s="81">
        <f t="shared" si="371"/>
        <v>0</v>
      </c>
      <c r="AI1219" s="81">
        <f t="shared" si="372"/>
        <v>23.549999999930151</v>
      </c>
      <c r="AJ1219" s="83">
        <f t="shared" si="382"/>
        <v>6.6242038216756987</v>
      </c>
      <c r="AK1219" s="122"/>
      <c r="AL1219" s="122"/>
      <c r="AM1219" s="122"/>
      <c r="AN1219" s="122"/>
    </row>
    <row r="1220" spans="1:40" ht="20.25" customHeight="1" x14ac:dyDescent="0.25">
      <c r="A1220" s="82">
        <v>45792</v>
      </c>
      <c r="B1220" s="94" t="str">
        <f t="shared" si="374"/>
        <v>May</v>
      </c>
      <c r="C1220" s="79" t="s">
        <v>2161</v>
      </c>
      <c r="D1220" s="79" t="s">
        <v>2051</v>
      </c>
      <c r="E1220" s="79"/>
      <c r="F1220" s="79" t="s">
        <v>955</v>
      </c>
      <c r="G1220" s="79" t="s">
        <v>972</v>
      </c>
      <c r="H1220" s="82" t="s">
        <v>1957</v>
      </c>
      <c r="I1220" s="79">
        <v>153.6</v>
      </c>
      <c r="J1220" s="79" t="s">
        <v>2051</v>
      </c>
      <c r="K1220" s="80" t="s">
        <v>469</v>
      </c>
      <c r="L1220" s="79">
        <f>VLOOKUP(H1220,Table2[#All],3,FALSE)</f>
        <v>288</v>
      </c>
      <c r="M1220" s="80">
        <f t="shared" si="377"/>
        <v>286</v>
      </c>
      <c r="N1220" s="81">
        <f t="shared" si="365"/>
        <v>-2</v>
      </c>
      <c r="P1220" s="82">
        <f>R1220-TIME(0,27,0)</f>
        <v>45791.721527777772</v>
      </c>
      <c r="Q1220" s="82">
        <v>45792.154861111114</v>
      </c>
      <c r="R1220" s="82">
        <v>45791.740277777775</v>
      </c>
      <c r="T1220" s="81">
        <f t="shared" si="380"/>
        <v>26.87500000417155</v>
      </c>
      <c r="U1220" s="79"/>
      <c r="V1220" s="82">
        <v>45792.432638888888</v>
      </c>
      <c r="W1220" s="82">
        <v>45792.672222222223</v>
      </c>
      <c r="X1220" s="103">
        <f t="shared" si="381"/>
        <v>337.8125000034197</v>
      </c>
      <c r="Y1220" s="82" t="s">
        <v>1044</v>
      </c>
      <c r="Z1220" s="82">
        <v>45793.744444444441</v>
      </c>
      <c r="AA1220" s="82">
        <f>Z1220+TIME(0,42,0)</f>
        <v>45793.773611111108</v>
      </c>
      <c r="AB1220" s="81">
        <f t="shared" si="384"/>
        <v>41.12500000068394</v>
      </c>
      <c r="AC1220" s="82"/>
      <c r="AD1220" s="83">
        <f t="shared" si="368"/>
        <v>2.0041666666656965</v>
      </c>
      <c r="AE1220" s="83">
        <f>VLOOKUP(H1220,'LIST 2'!$A$1:$E$27,4,FALSE)</f>
        <v>2</v>
      </c>
      <c r="AF1220" s="83">
        <f t="shared" si="369"/>
        <v>-4.166666665696539E-3</v>
      </c>
      <c r="AG1220" s="81">
        <f t="shared" si="370"/>
        <v>48.099999999976717</v>
      </c>
      <c r="AH1220" s="81">
        <f t="shared" si="371"/>
        <v>24</v>
      </c>
      <c r="AI1220" s="81">
        <f t="shared" si="372"/>
        <v>24.099999999976717</v>
      </c>
      <c r="AJ1220" s="83">
        <f t="shared" si="382"/>
        <v>6.3734439834086469</v>
      </c>
      <c r="AK1220" s="122">
        <v>10.51</v>
      </c>
      <c r="AL1220" s="122">
        <v>9.17</v>
      </c>
      <c r="AM1220" s="122">
        <v>8.59</v>
      </c>
      <c r="AN1220" s="122"/>
    </row>
    <row r="1221" spans="1:40" ht="20.25" customHeight="1" x14ac:dyDescent="0.25">
      <c r="A1221" s="82">
        <v>45792</v>
      </c>
      <c r="B1221" s="94" t="str">
        <f t="shared" si="374"/>
        <v>May</v>
      </c>
      <c r="C1221" s="79" t="s">
        <v>2161</v>
      </c>
      <c r="D1221" s="79" t="s">
        <v>2052</v>
      </c>
      <c r="E1221" s="79"/>
      <c r="F1221" s="79" t="s">
        <v>962</v>
      </c>
      <c r="G1221" s="79" t="s">
        <v>978</v>
      </c>
      <c r="H1221" s="82" t="s">
        <v>1957</v>
      </c>
      <c r="I1221" s="79">
        <v>153.6</v>
      </c>
      <c r="J1221" s="79" t="s">
        <v>2052</v>
      </c>
      <c r="K1221" s="80" t="s">
        <v>469</v>
      </c>
      <c r="L1221" s="79">
        <f>VLOOKUP(H1221,Table2[#All],3,FALSE)</f>
        <v>288</v>
      </c>
      <c r="M1221" s="80">
        <f t="shared" si="377"/>
        <v>286</v>
      </c>
      <c r="N1221" s="81">
        <f t="shared" si="365"/>
        <v>-2</v>
      </c>
      <c r="P1221" s="82">
        <f>R1221-TIME(0,27,0)</f>
        <v>45791.714583333327</v>
      </c>
      <c r="Q1221" s="82">
        <v>45792.154861111114</v>
      </c>
      <c r="R1221" s="82">
        <v>45791.73333333333</v>
      </c>
      <c r="T1221" s="81">
        <f t="shared" si="380"/>
        <v>26.87500000417155</v>
      </c>
      <c r="U1221" s="79"/>
      <c r="V1221" s="82">
        <v>45792.51458333333</v>
      </c>
      <c r="W1221" s="82">
        <v>45793.324999999997</v>
      </c>
      <c r="X1221" s="103">
        <f t="shared" si="381"/>
        <v>1142.6875000006839</v>
      </c>
      <c r="Y1221" s="82" t="s">
        <v>1047</v>
      </c>
      <c r="Z1221" s="82">
        <v>45793.559027777781</v>
      </c>
      <c r="AA1221" s="82">
        <f>Z1221+TIME(0,39,0)</f>
        <v>45793.586111111115</v>
      </c>
      <c r="AB1221" s="81">
        <f t="shared" si="384"/>
        <v>38.18750000136788</v>
      </c>
      <c r="AC1221" s="82"/>
      <c r="AD1221" s="83">
        <f t="shared" si="368"/>
        <v>1.8256944444510737</v>
      </c>
      <c r="AE1221" s="83">
        <f>VLOOKUP(H1221,'LIST 2'!$A$1:$E$27,4,FALSE)</f>
        <v>2</v>
      </c>
      <c r="AF1221" s="83">
        <f t="shared" si="369"/>
        <v>0.17430555554892635</v>
      </c>
      <c r="AG1221" s="81">
        <f t="shared" si="370"/>
        <v>43.816666666825768</v>
      </c>
      <c r="AH1221" s="81">
        <f t="shared" si="371"/>
        <v>12</v>
      </c>
      <c r="AI1221" s="81">
        <f t="shared" si="372"/>
        <v>31.816666666825768</v>
      </c>
      <c r="AJ1221" s="83">
        <f t="shared" si="382"/>
        <v>4.8276584599025218</v>
      </c>
      <c r="AK1221" s="122">
        <v>11.34</v>
      </c>
      <c r="AL1221" s="122">
        <v>11.28</v>
      </c>
      <c r="AM1221" s="122">
        <v>10.28</v>
      </c>
      <c r="AN1221" s="122"/>
    </row>
    <row r="1222" spans="1:40" ht="20.25" customHeight="1" x14ac:dyDescent="0.25">
      <c r="A1222" s="82">
        <v>45792</v>
      </c>
      <c r="B1222" s="94" t="str">
        <f t="shared" si="374"/>
        <v>May</v>
      </c>
      <c r="C1222" s="79" t="s">
        <v>2162</v>
      </c>
      <c r="D1222" s="79" t="s">
        <v>2053</v>
      </c>
      <c r="E1222" s="79" t="s">
        <v>1016</v>
      </c>
      <c r="F1222" s="79" t="s">
        <v>1700</v>
      </c>
      <c r="G1222" s="79" t="s">
        <v>54</v>
      </c>
      <c r="H1222" s="82" t="s">
        <v>2186</v>
      </c>
      <c r="I1222" s="79">
        <v>156</v>
      </c>
      <c r="J1222" s="79" t="s">
        <v>2053</v>
      </c>
      <c r="K1222" s="80" t="s">
        <v>469</v>
      </c>
      <c r="L1222" s="79">
        <f>VLOOKUP(H1222,Table2[#All],3,FALSE)</f>
        <v>228</v>
      </c>
      <c r="M1222" s="80">
        <f>L1222-3</f>
        <v>225</v>
      </c>
      <c r="N1222" s="81">
        <f t="shared" si="365"/>
        <v>-3</v>
      </c>
      <c r="P1222" s="82">
        <f>R1222-TIME(0,53,0)</f>
        <v>45791.533333333333</v>
      </c>
      <c r="Q1222" s="82">
        <v>45792.136805555558</v>
      </c>
      <c r="R1222" s="82">
        <v>45791.570138888892</v>
      </c>
      <c r="S1222" s="81">
        <f t="shared" ref="S1222" si="386">(R1222-Q1222)*86000/60</f>
        <v>-812.22222222083167</v>
      </c>
      <c r="T1222" s="81">
        <f t="shared" si="380"/>
        <v>52.75462963472819</v>
      </c>
      <c r="U1222" s="79" t="s">
        <v>2165</v>
      </c>
      <c r="V1222" s="82">
        <v>45792.35</v>
      </c>
      <c r="W1222" s="82">
        <v>45792.457638888889</v>
      </c>
      <c r="X1222" s="103">
        <f t="shared" si="381"/>
        <v>151.77083333561313</v>
      </c>
      <c r="Y1222" s="82"/>
      <c r="Z1222" s="82"/>
      <c r="AA1222" s="82">
        <f>Z1222+TIME(0,44,0)</f>
        <v>3.0555555555555555E-2</v>
      </c>
      <c r="AB1222" s="81">
        <f t="shared" si="384"/>
        <v>43.083333333333336</v>
      </c>
      <c r="AC1222" s="82"/>
      <c r="AD1222" s="83">
        <f t="shared" si="368"/>
        <v>-45791.570138888892</v>
      </c>
      <c r="AE1222" s="83">
        <f>VLOOKUP(H1222,'LIST 2'!$A$1:$E$27,4,FALSE)</f>
        <v>2</v>
      </c>
      <c r="AF1222" s="83">
        <f t="shared" si="369"/>
        <v>45793.570138888892</v>
      </c>
      <c r="AG1222" s="81">
        <f t="shared" si="370"/>
        <v>-1098997.6833333333</v>
      </c>
      <c r="AH1222" s="81">
        <f t="shared" si="371"/>
        <v>-549504</v>
      </c>
      <c r="AI1222" s="81">
        <f t="shared" si="372"/>
        <v>-549493.68333333335</v>
      </c>
      <c r="AJ1222" s="83">
        <f t="shared" si="382"/>
        <v>-2.8389771298857212E-4</v>
      </c>
      <c r="AK1222" s="122"/>
      <c r="AL1222" s="122"/>
      <c r="AM1222" s="122"/>
      <c r="AN1222" s="122"/>
    </row>
    <row r="1223" spans="1:40" ht="20.25" customHeight="1" x14ac:dyDescent="0.25">
      <c r="A1223" s="82">
        <v>45793</v>
      </c>
      <c r="B1223" s="94" t="str">
        <f t="shared" si="374"/>
        <v>May</v>
      </c>
      <c r="C1223" s="79" t="s">
        <v>2161</v>
      </c>
      <c r="D1223" s="79" t="s">
        <v>2055</v>
      </c>
      <c r="E1223" s="79" t="s">
        <v>1016</v>
      </c>
      <c r="F1223" s="79" t="s">
        <v>950</v>
      </c>
      <c r="G1223" s="79" t="s">
        <v>967</v>
      </c>
      <c r="H1223" s="82" t="s">
        <v>1991</v>
      </c>
      <c r="I1223" s="79">
        <v>153.6</v>
      </c>
      <c r="J1223" s="79" t="s">
        <v>2055</v>
      </c>
      <c r="K1223" s="80" t="s">
        <v>469</v>
      </c>
      <c r="L1223" s="79">
        <f>VLOOKUP(H1223,Table2[#All],3,FALSE)</f>
        <v>272</v>
      </c>
      <c r="M1223" s="80">
        <f t="shared" si="377"/>
        <v>270</v>
      </c>
      <c r="N1223" s="81">
        <f t="shared" si="365"/>
        <v>-2</v>
      </c>
      <c r="P1223" s="82">
        <f>R1223-TIME(0,23,0)</f>
        <v>45793.393749999996</v>
      </c>
      <c r="Q1223" s="82">
        <v>45793.082638888889</v>
      </c>
      <c r="R1223" s="82">
        <v>45793.409722222219</v>
      </c>
      <c r="T1223" s="81">
        <f t="shared" si="380"/>
        <v>22.893518520140788</v>
      </c>
      <c r="U1223" s="79"/>
      <c r="V1223" s="82">
        <v>45793.688194444447</v>
      </c>
      <c r="W1223" s="82">
        <v>45794.552083333336</v>
      </c>
      <c r="X1223" s="103">
        <f t="shared" si="381"/>
        <v>1218.0833333335613</v>
      </c>
      <c r="Y1223" s="82" t="s">
        <v>1050</v>
      </c>
      <c r="Z1223" s="82">
        <v>45794.737500000003</v>
      </c>
      <c r="AA1223" s="82">
        <f>Z1223+TIME(0,50,0)</f>
        <v>45794.772222222222</v>
      </c>
      <c r="AB1223" s="81">
        <f t="shared" si="384"/>
        <v>48.958333328773733</v>
      </c>
      <c r="AC1223" s="82" t="s">
        <v>1678</v>
      </c>
      <c r="AD1223" s="83">
        <f t="shared" si="368"/>
        <v>1.3277777777839219</v>
      </c>
      <c r="AE1223" s="83">
        <f>VLOOKUP(H1223,'LIST 2'!$A$1:$E$27,4,FALSE)</f>
        <v>2</v>
      </c>
      <c r="AF1223" s="83">
        <f t="shared" si="369"/>
        <v>0.67222222221607808</v>
      </c>
      <c r="AG1223" s="81">
        <f t="shared" si="370"/>
        <v>31.866666666814126</v>
      </c>
      <c r="AH1223" s="81">
        <f t="shared" si="371"/>
        <v>12</v>
      </c>
      <c r="AI1223" s="81">
        <f t="shared" si="372"/>
        <v>19.866666666814126</v>
      </c>
      <c r="AJ1223" s="83">
        <f t="shared" si="382"/>
        <v>7.7315436241036863</v>
      </c>
      <c r="AK1223" s="122">
        <v>12.04</v>
      </c>
      <c r="AL1223" s="122">
        <v>13.34</v>
      </c>
      <c r="AM1223" s="122"/>
      <c r="AN1223" s="122"/>
    </row>
    <row r="1224" spans="1:40" ht="20.25" customHeight="1" x14ac:dyDescent="0.25">
      <c r="A1224" s="82">
        <v>45793</v>
      </c>
      <c r="B1224" s="94" t="str">
        <f t="shared" si="374"/>
        <v>May</v>
      </c>
      <c r="C1224" s="79" t="s">
        <v>2162</v>
      </c>
      <c r="D1224" s="79" t="s">
        <v>2056</v>
      </c>
      <c r="E1224" s="79" t="s">
        <v>1016</v>
      </c>
      <c r="F1224" s="79" t="s">
        <v>1694</v>
      </c>
      <c r="G1224" s="79" t="s">
        <v>39</v>
      </c>
      <c r="H1224" s="82" t="s">
        <v>2185</v>
      </c>
      <c r="I1224" s="79">
        <v>156</v>
      </c>
      <c r="J1224" s="79" t="s">
        <v>2056</v>
      </c>
      <c r="K1224" s="80" t="s">
        <v>469</v>
      </c>
      <c r="L1224" s="79">
        <f>VLOOKUP(H1224,Table2[#All],3,FALSE)</f>
        <v>382</v>
      </c>
      <c r="M1224" s="80">
        <f t="shared" si="377"/>
        <v>380</v>
      </c>
      <c r="N1224" s="81">
        <f t="shared" si="365"/>
        <v>-2</v>
      </c>
      <c r="P1224" s="82">
        <f>R1224-TIME(0,23,0)</f>
        <v>45793.407638888886</v>
      </c>
      <c r="Q1224" s="82">
        <v>45793.179861111108</v>
      </c>
      <c r="R1224" s="82">
        <v>45793.423611111109</v>
      </c>
      <c r="S1224" s="81">
        <f t="shared" ref="S1224" si="387">(R1224-Q1224)*86000/60</f>
        <v>349.37500000208576</v>
      </c>
      <c r="T1224" s="81">
        <f t="shared" si="380"/>
        <v>22.893518520140788</v>
      </c>
      <c r="U1224" s="79"/>
      <c r="V1224" s="82">
        <v>45793.875</v>
      </c>
      <c r="W1224" s="82">
        <v>45794.491666666669</v>
      </c>
      <c r="X1224" s="103">
        <f t="shared" si="381"/>
        <v>869.50000000273576</v>
      </c>
      <c r="Y1224" s="82" t="s">
        <v>1044</v>
      </c>
      <c r="Z1224" s="82">
        <v>45794.886111111111</v>
      </c>
      <c r="AA1224" s="82">
        <f>Z1224+TIME(0,44,0)</f>
        <v>45794.916666666664</v>
      </c>
      <c r="AB1224" s="81">
        <f t="shared" si="384"/>
        <v>43.083333330141613</v>
      </c>
      <c r="AC1224" s="82"/>
      <c r="AD1224" s="83">
        <f t="shared" si="368"/>
        <v>1.4625000000014552</v>
      </c>
      <c r="AE1224" s="83">
        <f>VLOOKUP(H1224,'LIST 2'!$A$1:$E$27,4,FALSE)</f>
        <v>2</v>
      </c>
      <c r="AF1224" s="83">
        <f t="shared" si="369"/>
        <v>0.53749999999854481</v>
      </c>
      <c r="AG1224" s="81">
        <f t="shared" si="370"/>
        <v>35.100000000034925</v>
      </c>
      <c r="AH1224" s="81">
        <f t="shared" si="371"/>
        <v>12</v>
      </c>
      <c r="AI1224" s="81">
        <f t="shared" si="372"/>
        <v>23.100000000034925</v>
      </c>
      <c r="AJ1224" s="83">
        <f t="shared" si="382"/>
        <v>6.7532467532365432</v>
      </c>
      <c r="AK1224" s="122"/>
      <c r="AL1224" s="122"/>
      <c r="AM1224" s="122"/>
      <c r="AN1224" s="122"/>
    </row>
    <row r="1225" spans="1:40" ht="20.25" customHeight="1" x14ac:dyDescent="0.25">
      <c r="A1225" s="82">
        <v>45793</v>
      </c>
      <c r="B1225" s="94" t="str">
        <f t="shared" si="374"/>
        <v>May</v>
      </c>
      <c r="C1225" s="79" t="s">
        <v>2161</v>
      </c>
      <c r="D1225" s="79" t="s">
        <v>2057</v>
      </c>
      <c r="E1225" s="79"/>
      <c r="F1225" s="79" t="s">
        <v>952</v>
      </c>
      <c r="G1225" s="79" t="s">
        <v>969</v>
      </c>
      <c r="H1225" s="82" t="s">
        <v>1956</v>
      </c>
      <c r="I1225" s="79">
        <v>153.6</v>
      </c>
      <c r="J1225" s="79" t="s">
        <v>2057</v>
      </c>
      <c r="K1225" s="80" t="s">
        <v>469</v>
      </c>
      <c r="L1225" s="79">
        <f>VLOOKUP(H1225,Table2[#All],3,FALSE)</f>
        <v>596</v>
      </c>
      <c r="M1225" s="80">
        <f t="shared" si="377"/>
        <v>594</v>
      </c>
      <c r="N1225" s="81">
        <f t="shared" si="365"/>
        <v>-2</v>
      </c>
      <c r="P1225" s="82">
        <f>R1225-TIME(0,27,0)</f>
        <v>45793.393055555556</v>
      </c>
      <c r="Q1225" s="82">
        <v>45793.176388888889</v>
      </c>
      <c r="R1225" s="82">
        <v>45793.411805555559</v>
      </c>
      <c r="T1225" s="81">
        <f t="shared" si="380"/>
        <v>26.87500000417155</v>
      </c>
      <c r="U1225" s="79"/>
      <c r="V1225" s="82">
        <v>45794.456250000003</v>
      </c>
      <c r="W1225" s="82">
        <v>45794.541666666664</v>
      </c>
      <c r="X1225" s="103">
        <f t="shared" si="381"/>
        <v>120.43749999247666</v>
      </c>
      <c r="Y1225" s="82"/>
      <c r="Z1225" s="82">
        <v>45794.672222222223</v>
      </c>
      <c r="AA1225" s="82">
        <f>Z1225+TIME(0,39,0)</f>
        <v>45794.699305555558</v>
      </c>
      <c r="AB1225" s="81">
        <f t="shared" si="384"/>
        <v>38.18750000136788</v>
      </c>
      <c r="AC1225" s="82"/>
      <c r="AD1225" s="83">
        <f t="shared" si="368"/>
        <v>1.2604166666642413</v>
      </c>
      <c r="AE1225" s="83">
        <f>VLOOKUP(H1225,'LIST 2'!$A$1:$E$27,4,FALSE)</f>
        <v>2</v>
      </c>
      <c r="AF1225" s="83">
        <f t="shared" si="369"/>
        <v>0.73958333333575865</v>
      </c>
      <c r="AG1225" s="81">
        <f t="shared" si="370"/>
        <v>30.249999999941792</v>
      </c>
      <c r="AH1225" s="81">
        <f t="shared" si="371"/>
        <v>12</v>
      </c>
      <c r="AI1225" s="81">
        <f t="shared" si="372"/>
        <v>18.249999999941792</v>
      </c>
      <c r="AJ1225" s="83">
        <f t="shared" si="382"/>
        <v>8.416438356191227</v>
      </c>
      <c r="AK1225" s="122">
        <v>11.26</v>
      </c>
      <c r="AL1225" s="122">
        <v>11.27</v>
      </c>
      <c r="AM1225" s="122"/>
      <c r="AN1225" s="122"/>
    </row>
    <row r="1226" spans="1:40" ht="20.25" customHeight="1" x14ac:dyDescent="0.25">
      <c r="A1226" s="82">
        <v>45793</v>
      </c>
      <c r="B1226" s="94" t="str">
        <f t="shared" si="374"/>
        <v>May</v>
      </c>
      <c r="C1226" s="79" t="s">
        <v>2161</v>
      </c>
      <c r="D1226" s="79" t="s">
        <v>2058</v>
      </c>
      <c r="E1226" s="79" t="s">
        <v>1016</v>
      </c>
      <c r="F1226" s="79" t="s">
        <v>956</v>
      </c>
      <c r="G1226" s="79" t="s">
        <v>973</v>
      </c>
      <c r="H1226" s="82" t="s">
        <v>1957</v>
      </c>
      <c r="I1226" s="79">
        <v>153.6</v>
      </c>
      <c r="J1226" s="79" t="s">
        <v>2058</v>
      </c>
      <c r="K1226" s="80" t="s">
        <v>469</v>
      </c>
      <c r="L1226" s="79">
        <f>VLOOKUP(H1226,Table2[#All],3,FALSE)</f>
        <v>288</v>
      </c>
      <c r="M1226" s="80">
        <f t="shared" si="377"/>
        <v>286</v>
      </c>
      <c r="N1226" s="81">
        <f t="shared" si="365"/>
        <v>-2</v>
      </c>
      <c r="P1226" s="82">
        <f>R1226-TIME(0,38,0)</f>
        <v>45793.35</v>
      </c>
      <c r="Q1226" s="82">
        <v>45793.154861111114</v>
      </c>
      <c r="R1226" s="82">
        <v>45793.376388888886</v>
      </c>
      <c r="T1226" s="81">
        <f t="shared" si="380"/>
        <v>37.82407407222005</v>
      </c>
      <c r="U1226" s="79" t="s">
        <v>562</v>
      </c>
      <c r="V1226" s="82">
        <v>45793.618055555555</v>
      </c>
      <c r="W1226" s="82">
        <v>45794.379861111112</v>
      </c>
      <c r="X1226" s="103">
        <f t="shared" si="381"/>
        <v>1074.1458333362971</v>
      </c>
      <c r="Y1226" s="82" t="s">
        <v>1044</v>
      </c>
      <c r="Z1226" s="82">
        <v>45795.541666666664</v>
      </c>
      <c r="AA1226" s="82">
        <f>Z1226+TIME(0,44,0)</f>
        <v>45795.572222222218</v>
      </c>
      <c r="AB1226" s="81">
        <f t="shared" si="384"/>
        <v>43.083333330141613</v>
      </c>
      <c r="AC1226" s="82"/>
      <c r="AD1226" s="83">
        <f t="shared" si="368"/>
        <v>2.1652777777781012</v>
      </c>
      <c r="AE1226" s="83">
        <f>VLOOKUP(H1226,'LIST 2'!$A$1:$E$27,4,FALSE)</f>
        <v>2</v>
      </c>
      <c r="AF1226" s="83">
        <f t="shared" si="369"/>
        <v>-0.16527777777810115</v>
      </c>
      <c r="AG1226" s="81">
        <f t="shared" si="370"/>
        <v>51.966666666674428</v>
      </c>
      <c r="AH1226" s="81">
        <f t="shared" si="371"/>
        <v>24</v>
      </c>
      <c r="AI1226" s="81">
        <f t="shared" si="372"/>
        <v>27.966666666674428</v>
      </c>
      <c r="AJ1226" s="83">
        <f t="shared" si="382"/>
        <v>5.4922526817624808</v>
      </c>
      <c r="AK1226" s="122">
        <v>11.57</v>
      </c>
      <c r="AL1226" s="122">
        <v>11.5</v>
      </c>
      <c r="AM1226" s="122">
        <v>11.47</v>
      </c>
      <c r="AN1226" s="122"/>
    </row>
    <row r="1227" spans="1:40" ht="20.25" customHeight="1" x14ac:dyDescent="0.25">
      <c r="A1227" s="82">
        <v>45793</v>
      </c>
      <c r="B1227" s="94" t="str">
        <f t="shared" si="374"/>
        <v>May</v>
      </c>
      <c r="C1227" s="79" t="s">
        <v>2161</v>
      </c>
      <c r="D1227" s="79" t="s">
        <v>2059</v>
      </c>
      <c r="E1227" s="79"/>
      <c r="F1227" s="79" t="s">
        <v>958</v>
      </c>
      <c r="G1227" s="79" t="s">
        <v>975</v>
      </c>
      <c r="H1227" s="82" t="s">
        <v>1956</v>
      </c>
      <c r="I1227" s="79">
        <v>153.6</v>
      </c>
      <c r="J1227" s="79" t="s">
        <v>2059</v>
      </c>
      <c r="K1227" s="80" t="s">
        <v>469</v>
      </c>
      <c r="L1227" s="79">
        <f>VLOOKUP(H1227,Table2[#All],3,FALSE)</f>
        <v>596</v>
      </c>
      <c r="M1227" s="80">
        <f t="shared" si="377"/>
        <v>594</v>
      </c>
      <c r="N1227" s="81">
        <f t="shared" si="365"/>
        <v>-2</v>
      </c>
      <c r="P1227" s="82">
        <f>R1227-TIME(0,23,0)</f>
        <v>45793.347222222219</v>
      </c>
      <c r="Q1227" s="82">
        <v>45793.176388888889</v>
      </c>
      <c r="R1227" s="82">
        <v>45793.363194444442</v>
      </c>
      <c r="T1227" s="81">
        <f t="shared" si="380"/>
        <v>22.893518520140788</v>
      </c>
      <c r="U1227" s="79"/>
      <c r="V1227" s="82">
        <v>45793.534722222219</v>
      </c>
      <c r="W1227" s="82">
        <v>45794.379861111112</v>
      </c>
      <c r="X1227" s="103">
        <f t="shared" si="381"/>
        <v>1191.6458333397168</v>
      </c>
      <c r="Y1227" s="82" t="s">
        <v>1047</v>
      </c>
      <c r="Z1227" s="82">
        <v>45794.557638888888</v>
      </c>
      <c r="AA1227" s="82">
        <f>Z1227+TIME(0,44,0)</f>
        <v>45794.588194444441</v>
      </c>
      <c r="AB1227" s="81">
        <f t="shared" si="384"/>
        <v>43.083333330141613</v>
      </c>
      <c r="AC1227" s="82"/>
      <c r="AD1227" s="83">
        <f t="shared" si="368"/>
        <v>1.1944444444452529</v>
      </c>
      <c r="AE1227" s="83">
        <f>VLOOKUP(H1227,'LIST 2'!$A$1:$E$27,4,FALSE)</f>
        <v>2</v>
      </c>
      <c r="AF1227" s="83">
        <f t="shared" si="369"/>
        <v>0.80555555555474712</v>
      </c>
      <c r="AG1227" s="81">
        <f t="shared" si="370"/>
        <v>28.666666666686069</v>
      </c>
      <c r="AH1227" s="81">
        <f t="shared" si="371"/>
        <v>12</v>
      </c>
      <c r="AI1227" s="81">
        <f t="shared" si="372"/>
        <v>16.666666666686069</v>
      </c>
      <c r="AJ1227" s="83">
        <f t="shared" si="382"/>
        <v>9.2159999999892701</v>
      </c>
      <c r="AK1227" s="122"/>
      <c r="AL1227" s="122"/>
      <c r="AM1227" s="122"/>
      <c r="AN1227" s="122"/>
    </row>
    <row r="1228" spans="1:40" ht="20.25" customHeight="1" x14ac:dyDescent="0.25">
      <c r="A1228" s="82">
        <v>45793</v>
      </c>
      <c r="B1228" s="94" t="str">
        <f t="shared" si="374"/>
        <v>May</v>
      </c>
      <c r="C1228" s="79" t="s">
        <v>2162</v>
      </c>
      <c r="D1228" s="79" t="s">
        <v>2060</v>
      </c>
      <c r="E1228" s="79" t="s">
        <v>1016</v>
      </c>
      <c r="F1228" s="79" t="s">
        <v>1695</v>
      </c>
      <c r="G1228" s="79" t="s">
        <v>74</v>
      </c>
      <c r="H1228" s="82" t="s">
        <v>1958</v>
      </c>
      <c r="I1228" s="79">
        <v>156</v>
      </c>
      <c r="J1228" s="79" t="s">
        <v>2060</v>
      </c>
      <c r="K1228" s="80" t="s">
        <v>469</v>
      </c>
      <c r="L1228" s="79">
        <f>VLOOKUP(H1228,Table2[#All],3,FALSE)</f>
        <v>304</v>
      </c>
      <c r="M1228" s="80">
        <f t="shared" si="377"/>
        <v>302</v>
      </c>
      <c r="N1228" s="81">
        <f t="shared" si="365"/>
        <v>-2</v>
      </c>
      <c r="P1228" s="82">
        <f>R1228-TIME(0,54,0)</f>
        <v>45792.700000000004</v>
      </c>
      <c r="Q1228" s="82">
        <v>45792.850694444445</v>
      </c>
      <c r="R1228" s="82">
        <v>45792.737500000003</v>
      </c>
      <c r="S1228" s="81">
        <f t="shared" ref="S1228:S1230" si="388">(R1228-Q1228)*86000/60</f>
        <v>-162.24537036735759</v>
      </c>
      <c r="T1228" s="81">
        <f t="shared" si="380"/>
        <v>53.749999997914223</v>
      </c>
      <c r="U1228" s="79" t="s">
        <v>2167</v>
      </c>
      <c r="V1228" s="82">
        <v>45793.51458333333</v>
      </c>
      <c r="W1228" s="82">
        <v>45794.629861111112</v>
      </c>
      <c r="X1228" s="103">
        <f t="shared" si="381"/>
        <v>1572.5416666732781</v>
      </c>
      <c r="Y1228" s="82" t="s">
        <v>1049</v>
      </c>
      <c r="Z1228" s="82">
        <v>45795.481944444444</v>
      </c>
      <c r="AA1228" s="82">
        <f>Z1228+TIME(0,44,0)</f>
        <v>45795.512499999997</v>
      </c>
      <c r="AB1228" s="81">
        <f t="shared" si="384"/>
        <v>43.083333330141613</v>
      </c>
      <c r="AC1228" s="82"/>
      <c r="AD1228" s="83">
        <f t="shared" si="368"/>
        <v>2.7444444444408873</v>
      </c>
      <c r="AE1228" s="83">
        <f>VLOOKUP(H1228,'LIST 2'!$A$1:$E$27,4,FALSE)</f>
        <v>2</v>
      </c>
      <c r="AF1228" s="83">
        <f t="shared" si="369"/>
        <v>-0.74444444444088731</v>
      </c>
      <c r="AG1228" s="81">
        <f t="shared" si="370"/>
        <v>65.866666666581295</v>
      </c>
      <c r="AH1228" s="81">
        <f t="shared" si="371"/>
        <v>24</v>
      </c>
      <c r="AI1228" s="81">
        <f t="shared" si="372"/>
        <v>41.866666666581295</v>
      </c>
      <c r="AJ1228" s="83">
        <f t="shared" si="382"/>
        <v>3.7261146496891269</v>
      </c>
      <c r="AK1228" s="122"/>
      <c r="AL1228" s="122"/>
      <c r="AM1228" s="122"/>
      <c r="AN1228" s="122"/>
    </row>
    <row r="1229" spans="1:40" ht="20.25" customHeight="1" x14ac:dyDescent="0.25">
      <c r="A1229" s="82">
        <v>45793</v>
      </c>
      <c r="B1229" s="94" t="str">
        <f t="shared" si="374"/>
        <v>May</v>
      </c>
      <c r="C1229" s="79" t="s">
        <v>2162</v>
      </c>
      <c r="D1229" s="79" t="s">
        <v>2061</v>
      </c>
      <c r="E1229" s="79" t="s">
        <v>1016</v>
      </c>
      <c r="F1229" s="79" t="s">
        <v>1268</v>
      </c>
      <c r="G1229" s="79" t="s">
        <v>52</v>
      </c>
      <c r="H1229" s="82" t="s">
        <v>2188</v>
      </c>
      <c r="I1229" s="79">
        <v>156</v>
      </c>
      <c r="J1229" s="79" t="s">
        <v>2061</v>
      </c>
      <c r="K1229" s="80" t="s">
        <v>469</v>
      </c>
      <c r="L1229" s="79">
        <f>VLOOKUP(H1229,Table2[#All],3,FALSE)</f>
        <v>514</v>
      </c>
      <c r="M1229" s="80">
        <f t="shared" si="377"/>
        <v>512</v>
      </c>
      <c r="N1229" s="81">
        <f t="shared" si="365"/>
        <v>-2</v>
      </c>
      <c r="P1229" s="82">
        <f t="shared" ref="P1229:P1230" si="389">R1229-TIME(0,23,0)</f>
        <v>45792.693055555552</v>
      </c>
      <c r="Q1229" s="82">
        <v>45792.835416666669</v>
      </c>
      <c r="R1229" s="82">
        <v>45792.709027777775</v>
      </c>
      <c r="S1229" s="81">
        <f t="shared" si="388"/>
        <v>-181.15740741389649</v>
      </c>
      <c r="T1229" s="81">
        <f t="shared" si="380"/>
        <v>22.893518520140788</v>
      </c>
      <c r="U1229" s="79"/>
      <c r="V1229" s="82">
        <v>45793.582638888889</v>
      </c>
      <c r="W1229" s="82">
        <v>45793.736111111109</v>
      </c>
      <c r="X1229" s="103">
        <f t="shared" si="381"/>
        <v>216.39583333082555</v>
      </c>
      <c r="Y1229" s="82" t="s">
        <v>1044</v>
      </c>
      <c r="Z1229" s="82">
        <v>45794.720833333333</v>
      </c>
      <c r="AA1229" s="82">
        <f>Z1229+TIME(0,39,0)</f>
        <v>45794.747916666667</v>
      </c>
      <c r="AB1229" s="81">
        <f t="shared" si="384"/>
        <v>38.18750000136788</v>
      </c>
      <c r="AC1229" s="82"/>
      <c r="AD1229" s="83">
        <f t="shared" si="368"/>
        <v>2.0118055555576575</v>
      </c>
      <c r="AE1229" s="83">
        <f>VLOOKUP(H1229,'LIST 2'!$A$1:$E$27,4,FALSE)</f>
        <v>2</v>
      </c>
      <c r="AF1229" s="83">
        <f t="shared" si="369"/>
        <v>-1.1805555557657499E-2</v>
      </c>
      <c r="AG1229" s="81">
        <f t="shared" si="370"/>
        <v>48.28333333338378</v>
      </c>
      <c r="AH1229" s="81">
        <f t="shared" si="371"/>
        <v>24</v>
      </c>
      <c r="AI1229" s="81">
        <f t="shared" si="372"/>
        <v>24.28333333338378</v>
      </c>
      <c r="AJ1229" s="83">
        <f t="shared" si="382"/>
        <v>6.4241592312838405</v>
      </c>
      <c r="AK1229" s="122"/>
      <c r="AL1229" s="122"/>
      <c r="AM1229" s="122"/>
      <c r="AN1229" s="122"/>
    </row>
    <row r="1230" spans="1:40" ht="20.25" customHeight="1" x14ac:dyDescent="0.25">
      <c r="A1230" s="82">
        <v>45793</v>
      </c>
      <c r="B1230" s="94" t="str">
        <f t="shared" si="374"/>
        <v>May</v>
      </c>
      <c r="C1230" s="79" t="s">
        <v>2162</v>
      </c>
      <c r="D1230" s="79" t="s">
        <v>2062</v>
      </c>
      <c r="E1230" s="79" t="s">
        <v>1016</v>
      </c>
      <c r="F1230" s="79" t="s">
        <v>963</v>
      </c>
      <c r="G1230" s="79" t="s">
        <v>60</v>
      </c>
      <c r="H1230" s="82" t="s">
        <v>1958</v>
      </c>
      <c r="I1230" s="79">
        <v>156</v>
      </c>
      <c r="J1230" s="79" t="s">
        <v>2062</v>
      </c>
      <c r="K1230" s="80" t="s">
        <v>469</v>
      </c>
      <c r="L1230" s="79">
        <f>VLOOKUP(H1230,Table2[#All],3,FALSE)</f>
        <v>304</v>
      </c>
      <c r="M1230" s="80">
        <f t="shared" si="377"/>
        <v>302</v>
      </c>
      <c r="N1230" s="81">
        <f t="shared" si="365"/>
        <v>-2</v>
      </c>
      <c r="P1230" s="82">
        <f t="shared" si="389"/>
        <v>45792.557638888888</v>
      </c>
      <c r="Q1230" s="82">
        <v>45792.850694444445</v>
      </c>
      <c r="R1230" s="82">
        <v>45792.573611111111</v>
      </c>
      <c r="S1230" s="81">
        <f t="shared" si="388"/>
        <v>-397.15277777916828</v>
      </c>
      <c r="T1230" s="81">
        <f t="shared" si="380"/>
        <v>22.893518520140788</v>
      </c>
      <c r="U1230" s="79"/>
      <c r="V1230" s="82">
        <v>45793.354861111111</v>
      </c>
      <c r="W1230" s="82">
        <v>45793.741666666669</v>
      </c>
      <c r="X1230" s="103">
        <f t="shared" si="381"/>
        <v>545.39583333629707</v>
      </c>
      <c r="Y1230" s="82" t="s">
        <v>1044</v>
      </c>
      <c r="Z1230" s="82">
        <v>45794.388888888891</v>
      </c>
      <c r="AA1230" s="82">
        <f>Z1230+TIME(0,44,0)</f>
        <v>45794.419444444444</v>
      </c>
      <c r="AB1230" s="81">
        <f t="shared" si="384"/>
        <v>43.083333330141613</v>
      </c>
      <c r="AC1230" s="82"/>
      <c r="AD1230" s="83">
        <f t="shared" si="368"/>
        <v>1.8152777777795563</v>
      </c>
      <c r="AE1230" s="83">
        <f>VLOOKUP(H1230,'LIST 2'!$A$1:$E$27,4,FALSE)</f>
        <v>2</v>
      </c>
      <c r="AF1230" s="83">
        <f t="shared" si="369"/>
        <v>0.18472222222044365</v>
      </c>
      <c r="AG1230" s="81">
        <f t="shared" si="370"/>
        <v>43.566666666709352</v>
      </c>
      <c r="AH1230" s="81">
        <f t="shared" si="371"/>
        <v>12</v>
      </c>
      <c r="AI1230" s="81">
        <f t="shared" si="372"/>
        <v>31.566666666709352</v>
      </c>
      <c r="AJ1230" s="83">
        <f t="shared" si="382"/>
        <v>4.9419218584938456</v>
      </c>
      <c r="AK1230" s="122"/>
      <c r="AL1230" s="122"/>
      <c r="AM1230" s="122"/>
      <c r="AN1230" s="122"/>
    </row>
    <row r="1231" spans="1:40" ht="20.25" customHeight="1" x14ac:dyDescent="0.25">
      <c r="A1231" s="82">
        <v>45794</v>
      </c>
      <c r="B1231" s="94" t="str">
        <f t="shared" si="374"/>
        <v>May</v>
      </c>
      <c r="C1231" s="79" t="s">
        <v>2161</v>
      </c>
      <c r="D1231" s="79" t="s">
        <v>2063</v>
      </c>
      <c r="E1231" s="79"/>
      <c r="F1231" s="79" t="s">
        <v>955</v>
      </c>
      <c r="G1231" s="79" t="s">
        <v>972</v>
      </c>
      <c r="H1231" s="82" t="s">
        <v>1956</v>
      </c>
      <c r="I1231" s="79">
        <v>153.6</v>
      </c>
      <c r="J1231" s="79" t="s">
        <v>2063</v>
      </c>
      <c r="K1231" s="80" t="s">
        <v>469</v>
      </c>
      <c r="L1231" s="79">
        <f>VLOOKUP(H1231,Table2[#All],3,FALSE)</f>
        <v>596</v>
      </c>
      <c r="M1231" s="80">
        <f t="shared" si="377"/>
        <v>594</v>
      </c>
      <c r="N1231" s="81">
        <f t="shared" si="365"/>
        <v>-2</v>
      </c>
      <c r="P1231" s="82">
        <f>R1231-TIME(0,23,0)</f>
        <v>45796.415972222218</v>
      </c>
      <c r="Q1231" s="82">
        <v>45795.176388888889</v>
      </c>
      <c r="R1231" s="82">
        <v>45796.431944444441</v>
      </c>
      <c r="T1231" s="81">
        <f t="shared" si="380"/>
        <v>22.893518520140788</v>
      </c>
      <c r="U1231" s="79"/>
      <c r="V1231" s="82">
        <v>45797.385416666664</v>
      </c>
      <c r="W1231" s="82">
        <v>45797.663888888892</v>
      </c>
      <c r="X1231" s="103">
        <f t="shared" si="381"/>
        <v>392.64583334108465</v>
      </c>
      <c r="Y1231" s="82" t="s">
        <v>1046</v>
      </c>
      <c r="Z1231" s="82">
        <v>45798.604166666664</v>
      </c>
      <c r="AA1231" s="82">
        <f>Z1231+TIME(0,49,0)</f>
        <v>45798.638194444444</v>
      </c>
      <c r="AB1231" s="81">
        <f t="shared" si="384"/>
        <v>47.979166669174447</v>
      </c>
      <c r="AC1231" s="82" t="s">
        <v>2168</v>
      </c>
      <c r="AD1231" s="83">
        <f t="shared" si="368"/>
        <v>2.172222222223354</v>
      </c>
      <c r="AE1231" s="83">
        <f>VLOOKUP(H1231,'LIST 2'!$A$1:$E$27,4,FALSE)</f>
        <v>2</v>
      </c>
      <c r="AF1231" s="83">
        <f t="shared" si="369"/>
        <v>-0.17222222222335404</v>
      </c>
      <c r="AG1231" s="81">
        <f t="shared" si="370"/>
        <v>52.133333333360497</v>
      </c>
      <c r="AH1231" s="81">
        <f t="shared" si="371"/>
        <v>24</v>
      </c>
      <c r="AI1231" s="81">
        <f t="shared" si="372"/>
        <v>28.133333333360497</v>
      </c>
      <c r="AJ1231" s="83">
        <f t="shared" si="382"/>
        <v>5.4597156398051547</v>
      </c>
      <c r="AK1231" s="122">
        <v>11.58</v>
      </c>
      <c r="AL1231" s="122">
        <v>11.45</v>
      </c>
      <c r="AM1231" s="122">
        <v>11.5</v>
      </c>
      <c r="AN1231" s="122"/>
    </row>
    <row r="1232" spans="1:40" ht="20.25" customHeight="1" x14ac:dyDescent="0.25">
      <c r="A1232" s="82">
        <v>45794</v>
      </c>
      <c r="B1232" s="94" t="str">
        <f t="shared" si="374"/>
        <v>May</v>
      </c>
      <c r="C1232" s="79" t="s">
        <v>2161</v>
      </c>
      <c r="D1232" s="79" t="s">
        <v>2064</v>
      </c>
      <c r="E1232" s="79"/>
      <c r="F1232" s="79" t="s">
        <v>952</v>
      </c>
      <c r="G1232" s="79" t="s">
        <v>969</v>
      </c>
      <c r="H1232" s="82" t="s">
        <v>1989</v>
      </c>
      <c r="I1232" s="79">
        <v>153.6</v>
      </c>
      <c r="J1232" s="79" t="s">
        <v>2064</v>
      </c>
      <c r="K1232" s="80" t="s">
        <v>469</v>
      </c>
      <c r="L1232" s="79">
        <f>VLOOKUP(H1232,Table2[#All],3,FALSE)</f>
        <v>20</v>
      </c>
      <c r="M1232" s="80">
        <f t="shared" si="377"/>
        <v>18</v>
      </c>
      <c r="N1232" s="81">
        <f t="shared" si="365"/>
        <v>-2</v>
      </c>
      <c r="P1232" s="82">
        <f>R1232-TIME(0,54,0)</f>
        <v>45794.770138888889</v>
      </c>
      <c r="Q1232" s="82">
        <v>45794.320833333331</v>
      </c>
      <c r="R1232" s="82">
        <v>45794.807638888888</v>
      </c>
      <c r="T1232" s="81">
        <f t="shared" si="380"/>
        <v>53.749999997914223</v>
      </c>
      <c r="U1232" s="79" t="s">
        <v>562</v>
      </c>
      <c r="V1232" s="82">
        <v>45795.506944444445</v>
      </c>
      <c r="W1232" s="82">
        <v>45795.593055555553</v>
      </c>
      <c r="X1232" s="103">
        <f t="shared" si="381"/>
        <v>121.41666666233505</v>
      </c>
      <c r="Y1232" s="82" t="s">
        <v>1049</v>
      </c>
      <c r="Z1232" s="82">
        <v>45795.543055555558</v>
      </c>
      <c r="AA1232" s="82">
        <f>Z1232+TIME(0,44,0)</f>
        <v>45795.573611111111</v>
      </c>
      <c r="AB1232" s="81">
        <f t="shared" si="384"/>
        <v>43.083333330141613</v>
      </c>
      <c r="AC1232" s="82"/>
      <c r="AD1232" s="83">
        <f t="shared" si="368"/>
        <v>0.73541666667006211</v>
      </c>
      <c r="AE1232" s="83">
        <f>VLOOKUP(H1232,'LIST 2'!$A$1:$E$27,4,FALSE)</f>
        <v>1</v>
      </c>
      <c r="AF1232" s="83">
        <f t="shared" si="369"/>
        <v>0.26458333332993789</v>
      </c>
      <c r="AG1232" s="81">
        <f t="shared" si="370"/>
        <v>17.650000000081491</v>
      </c>
      <c r="AH1232" s="81">
        <f t="shared" si="371"/>
        <v>0</v>
      </c>
      <c r="AI1232" s="81">
        <f t="shared" si="372"/>
        <v>17.650000000081491</v>
      </c>
      <c r="AJ1232" s="83">
        <f t="shared" si="382"/>
        <v>8.7025495750306412</v>
      </c>
      <c r="AK1232" s="122">
        <v>11.27</v>
      </c>
      <c r="AL1232" s="122">
        <v>11.5</v>
      </c>
      <c r="AM1232" s="122"/>
      <c r="AN1232" s="122"/>
    </row>
    <row r="1233" spans="1:40" ht="20.25" customHeight="1" x14ac:dyDescent="0.25">
      <c r="A1233" s="82">
        <v>45794</v>
      </c>
      <c r="B1233" s="94" t="str">
        <f t="shared" si="374"/>
        <v>May</v>
      </c>
      <c r="C1233" s="79" t="s">
        <v>2161</v>
      </c>
      <c r="D1233" s="79" t="s">
        <v>2065</v>
      </c>
      <c r="E1233" s="79"/>
      <c r="F1233" s="79" t="s">
        <v>957</v>
      </c>
      <c r="G1233" s="79" t="s">
        <v>974</v>
      </c>
      <c r="H1233" s="82" t="s">
        <v>1956</v>
      </c>
      <c r="I1233" s="79">
        <v>153.6</v>
      </c>
      <c r="J1233" s="79" t="s">
        <v>2065</v>
      </c>
      <c r="K1233" s="80" t="s">
        <v>469</v>
      </c>
      <c r="L1233" s="79">
        <f>VLOOKUP(H1233,Table2[#All],3,FALSE)</f>
        <v>596</v>
      </c>
      <c r="M1233" s="80">
        <f t="shared" si="377"/>
        <v>594</v>
      </c>
      <c r="N1233" s="81">
        <f t="shared" si="365"/>
        <v>-2</v>
      </c>
      <c r="P1233" s="82">
        <f>R1233-TIME(0,23,0)</f>
        <v>45794.62222222222</v>
      </c>
      <c r="Q1233" s="82">
        <v>45794.176388888889</v>
      </c>
      <c r="R1233" s="82">
        <v>45794.638194444444</v>
      </c>
      <c r="T1233" s="81">
        <f t="shared" si="380"/>
        <v>22.893518520140788</v>
      </c>
      <c r="U1233" s="79"/>
      <c r="V1233" s="82">
        <v>45795.375</v>
      </c>
      <c r="W1233" s="82">
        <v>45795.618055555555</v>
      </c>
      <c r="X1233" s="103">
        <f t="shared" si="381"/>
        <v>342.70833333219343</v>
      </c>
      <c r="Y1233" s="82" t="s">
        <v>1050</v>
      </c>
      <c r="Z1233" s="82">
        <v>45796.497916666667</v>
      </c>
      <c r="AA1233" s="82">
        <f>Z1233+TIME(0,42,0)</f>
        <v>45796.527083333334</v>
      </c>
      <c r="AB1233" s="81">
        <f t="shared" si="384"/>
        <v>41.12500000068394</v>
      </c>
      <c r="AC1233" s="82"/>
      <c r="AD1233" s="83">
        <f t="shared" si="368"/>
        <v>1.859722222223354</v>
      </c>
      <c r="AE1233" s="83">
        <f>VLOOKUP(H1233,'LIST 2'!$A$1:$E$27,4,FALSE)</f>
        <v>2</v>
      </c>
      <c r="AF1233" s="83">
        <f t="shared" si="369"/>
        <v>0.14027777777664596</v>
      </c>
      <c r="AG1233" s="81">
        <f t="shared" si="370"/>
        <v>44.633333333360497</v>
      </c>
      <c r="AH1233" s="81">
        <f t="shared" si="371"/>
        <v>12</v>
      </c>
      <c r="AI1233" s="81">
        <f t="shared" si="372"/>
        <v>32.633333333360497</v>
      </c>
      <c r="AJ1233" s="83">
        <f t="shared" si="382"/>
        <v>4.7068437180757554</v>
      </c>
      <c r="AK1233" s="122">
        <v>9.1199999999999992</v>
      </c>
      <c r="AL1233" s="122">
        <v>8.5500000000000007</v>
      </c>
      <c r="AM1233" s="122">
        <v>10</v>
      </c>
      <c r="AN1233" s="122"/>
    </row>
    <row r="1234" spans="1:40" ht="20.25" customHeight="1" x14ac:dyDescent="0.25">
      <c r="A1234" s="82">
        <v>45794</v>
      </c>
      <c r="B1234" s="94" t="str">
        <f t="shared" si="374"/>
        <v>May</v>
      </c>
      <c r="C1234" s="79" t="s">
        <v>2161</v>
      </c>
      <c r="D1234" s="79" t="s">
        <v>2066</v>
      </c>
      <c r="E1234" s="79"/>
      <c r="F1234" s="79" t="s">
        <v>959</v>
      </c>
      <c r="G1234" s="79" t="s">
        <v>976</v>
      </c>
      <c r="H1234" s="82" t="s">
        <v>1957</v>
      </c>
      <c r="I1234" s="79">
        <v>153.6</v>
      </c>
      <c r="J1234" s="79" t="s">
        <v>2066</v>
      </c>
      <c r="K1234" s="80" t="s">
        <v>469</v>
      </c>
      <c r="L1234" s="79">
        <f>VLOOKUP(H1234,Table2[#All],3,FALSE)</f>
        <v>288</v>
      </c>
      <c r="M1234" s="80">
        <f t="shared" si="377"/>
        <v>286</v>
      </c>
      <c r="N1234" s="81">
        <f t="shared" si="365"/>
        <v>-2</v>
      </c>
      <c r="P1234" s="82">
        <f>R1234-TIME(0,54,0)</f>
        <v>45794.527083333334</v>
      </c>
      <c r="Q1234" s="82">
        <v>45794.154861111114</v>
      </c>
      <c r="R1234" s="82">
        <v>45794.564583333333</v>
      </c>
      <c r="T1234" s="81">
        <f t="shared" si="380"/>
        <v>53.749999997914223</v>
      </c>
      <c r="U1234" s="79" t="s">
        <v>2166</v>
      </c>
      <c r="V1234" s="82">
        <v>45794.803472222222</v>
      </c>
      <c r="W1234" s="82">
        <v>45795.547222222223</v>
      </c>
      <c r="X1234" s="103">
        <f t="shared" si="381"/>
        <v>1048.6875000020518</v>
      </c>
      <c r="Y1234" s="82" t="s">
        <v>1044</v>
      </c>
      <c r="Z1234" s="82">
        <v>45796.56527777778</v>
      </c>
      <c r="AA1234" s="82">
        <f>Z1234+TIME(0,38,0)</f>
        <v>45796.591666666667</v>
      </c>
      <c r="AB1234" s="81">
        <f t="shared" si="384"/>
        <v>37.208333331509493</v>
      </c>
      <c r="AC1234" s="82"/>
      <c r="AD1234" s="83">
        <f t="shared" si="368"/>
        <v>2.0006944444467081</v>
      </c>
      <c r="AE1234" s="83">
        <f>VLOOKUP(H1234,'LIST 2'!$A$1:$E$27,4,FALSE)</f>
        <v>2</v>
      </c>
      <c r="AF1234" s="83">
        <f t="shared" si="369"/>
        <v>-6.944444467080757E-4</v>
      </c>
      <c r="AG1234" s="81">
        <f t="shared" si="370"/>
        <v>48.016666666720994</v>
      </c>
      <c r="AH1234" s="81">
        <f t="shared" si="371"/>
        <v>24</v>
      </c>
      <c r="AI1234" s="81">
        <f t="shared" si="372"/>
        <v>24.016666666720994</v>
      </c>
      <c r="AJ1234" s="83">
        <f t="shared" si="382"/>
        <v>6.3955586398189812</v>
      </c>
      <c r="AK1234" s="122">
        <v>11.25</v>
      </c>
      <c r="AL1234" s="122">
        <v>11.41</v>
      </c>
      <c r="AM1234" s="122">
        <v>10.59</v>
      </c>
      <c r="AN1234" s="122"/>
    </row>
    <row r="1235" spans="1:40" ht="20.25" customHeight="1" x14ac:dyDescent="0.25">
      <c r="A1235" s="82">
        <v>45794</v>
      </c>
      <c r="B1235" s="94" t="str">
        <f t="shared" si="374"/>
        <v>May</v>
      </c>
      <c r="C1235" s="79" t="s">
        <v>2161</v>
      </c>
      <c r="D1235" s="79" t="s">
        <v>2067</v>
      </c>
      <c r="E1235" s="79"/>
      <c r="F1235" s="79" t="s">
        <v>965</v>
      </c>
      <c r="G1235" s="79" t="s">
        <v>980</v>
      </c>
      <c r="H1235" s="82" t="s">
        <v>1957</v>
      </c>
      <c r="I1235" s="79">
        <v>153.6</v>
      </c>
      <c r="J1235" s="79" t="s">
        <v>2067</v>
      </c>
      <c r="K1235" s="80" t="s">
        <v>469</v>
      </c>
      <c r="L1235" s="79">
        <f>VLOOKUP(H1235,Table2[#All],3,FALSE)</f>
        <v>288</v>
      </c>
      <c r="M1235" s="80">
        <f t="shared" si="377"/>
        <v>286</v>
      </c>
      <c r="N1235" s="81">
        <f t="shared" si="365"/>
        <v>-2</v>
      </c>
      <c r="P1235" s="82">
        <f t="shared" ref="P1235:P1236" si="390">R1235-TIME(0,23,0)</f>
        <v>45794.340277777774</v>
      </c>
      <c r="Q1235" s="82">
        <v>45794.154861111114</v>
      </c>
      <c r="R1235" s="82">
        <v>45794.356249999997</v>
      </c>
      <c r="T1235" s="81">
        <f t="shared" si="380"/>
        <v>22.893518520140788</v>
      </c>
      <c r="U1235" s="79"/>
      <c r="V1235" s="82">
        <v>45794.598611111112</v>
      </c>
      <c r="W1235" s="82">
        <v>45794.84652777778</v>
      </c>
      <c r="X1235" s="103">
        <f t="shared" si="381"/>
        <v>349.56250000068394</v>
      </c>
      <c r="Y1235" s="82" t="s">
        <v>1047</v>
      </c>
      <c r="Z1235" s="82">
        <v>45795.743750000001</v>
      </c>
      <c r="AA1235" s="82">
        <f>Z1235+TIME(0,49,0)</f>
        <v>45795.777777777781</v>
      </c>
      <c r="AB1235" s="81">
        <f t="shared" si="384"/>
        <v>47.979166669174447</v>
      </c>
      <c r="AC1235" s="82" t="s">
        <v>1677</v>
      </c>
      <c r="AD1235" s="83">
        <f t="shared" si="368"/>
        <v>1.3875000000043656</v>
      </c>
      <c r="AE1235" s="83">
        <f>VLOOKUP(H1235,'LIST 2'!$A$1:$E$27,4,FALSE)</f>
        <v>2</v>
      </c>
      <c r="AF1235" s="83">
        <f t="shared" si="369"/>
        <v>0.61249999999563443</v>
      </c>
      <c r="AG1235" s="81">
        <f t="shared" si="370"/>
        <v>33.300000000104774</v>
      </c>
      <c r="AH1235" s="81">
        <f t="shared" si="371"/>
        <v>12</v>
      </c>
      <c r="AI1235" s="81">
        <f t="shared" si="372"/>
        <v>21.300000000104774</v>
      </c>
      <c r="AJ1235" s="83">
        <f t="shared" si="382"/>
        <v>7.2112676055983309</v>
      </c>
      <c r="AK1235" s="122">
        <v>11.28</v>
      </c>
      <c r="AL1235" s="122">
        <v>10.06</v>
      </c>
      <c r="AM1235" s="122"/>
      <c r="AN1235" s="122"/>
    </row>
    <row r="1236" spans="1:40" ht="20.25" customHeight="1" x14ac:dyDescent="0.25">
      <c r="A1236" s="82">
        <v>45794</v>
      </c>
      <c r="B1236" s="94" t="str">
        <f t="shared" si="374"/>
        <v>May</v>
      </c>
      <c r="C1236" s="79" t="s">
        <v>2162</v>
      </c>
      <c r="D1236" s="79" t="s">
        <v>2068</v>
      </c>
      <c r="E1236" s="79" t="s">
        <v>1016</v>
      </c>
      <c r="F1236" s="79" t="s">
        <v>960</v>
      </c>
      <c r="G1236" s="79" t="s">
        <v>62</v>
      </c>
      <c r="H1236" s="82" t="s">
        <v>2076</v>
      </c>
      <c r="I1236" s="79">
        <v>156</v>
      </c>
      <c r="J1236" s="79" t="s">
        <v>2068</v>
      </c>
      <c r="K1236" s="80" t="s">
        <v>469</v>
      </c>
      <c r="L1236" s="79">
        <f>VLOOKUP(H1236,Table2[#All],3,FALSE)</f>
        <v>790</v>
      </c>
      <c r="M1236" s="80">
        <f t="shared" si="377"/>
        <v>788</v>
      </c>
      <c r="N1236" s="81">
        <f t="shared" si="365"/>
        <v>-2</v>
      </c>
      <c r="P1236" s="82">
        <f t="shared" si="390"/>
        <v>45793.913888888885</v>
      </c>
      <c r="Q1236" s="82">
        <v>45793.837500000001</v>
      </c>
      <c r="R1236" s="82">
        <v>45793.929861111108</v>
      </c>
      <c r="S1236" s="81">
        <f t="shared" ref="S1236:S1237" si="391">(R1236-Q1236)*86000/60</f>
        <v>132.38425925277019</v>
      </c>
      <c r="T1236" s="81">
        <f t="shared" si="380"/>
        <v>22.893518520140788</v>
      </c>
      <c r="U1236" s="79"/>
      <c r="V1236" s="82">
        <v>45795.377083333333</v>
      </c>
      <c r="W1236" s="82">
        <v>45795.612500000003</v>
      </c>
      <c r="X1236" s="103">
        <f t="shared" si="381"/>
        <v>331.93750000478758</v>
      </c>
      <c r="Y1236" s="82" t="s">
        <v>1044</v>
      </c>
      <c r="Z1236" s="82">
        <v>45796.584722222222</v>
      </c>
      <c r="AA1236" s="82">
        <f t="shared" ref="AA1236:AA1237" si="392">Z1236+TIME(0,42,0)</f>
        <v>45796.613888888889</v>
      </c>
      <c r="AB1236" s="81">
        <f t="shared" si="384"/>
        <v>41.12500000068394</v>
      </c>
      <c r="AC1236" s="82"/>
      <c r="AD1236" s="83">
        <f t="shared" si="368"/>
        <v>2.6548611111138598</v>
      </c>
      <c r="AE1236" s="83">
        <f>VLOOKUP(H1236,'LIST 2'!$A$1:$E$27,4,FALSE)</f>
        <v>3</v>
      </c>
      <c r="AF1236" s="83">
        <f t="shared" si="369"/>
        <v>0.34513888888614019</v>
      </c>
      <c r="AG1236" s="81">
        <f t="shared" si="370"/>
        <v>63.716666666732635</v>
      </c>
      <c r="AH1236" s="81">
        <f t="shared" si="371"/>
        <v>24</v>
      </c>
      <c r="AI1236" s="81">
        <f t="shared" si="372"/>
        <v>39.716666666732635</v>
      </c>
      <c r="AJ1236" s="83">
        <f t="shared" si="382"/>
        <v>3.927822073010681</v>
      </c>
      <c r="AK1236" s="122"/>
      <c r="AL1236" s="122"/>
      <c r="AM1236" s="122"/>
      <c r="AN1236" s="122"/>
    </row>
    <row r="1237" spans="1:40" ht="20.25" customHeight="1" x14ac:dyDescent="0.25">
      <c r="A1237" s="82">
        <v>45794</v>
      </c>
      <c r="B1237" s="94" t="str">
        <f t="shared" si="374"/>
        <v>May</v>
      </c>
      <c r="C1237" s="79" t="s">
        <v>2162</v>
      </c>
      <c r="D1237" s="79" t="s">
        <v>2069</v>
      </c>
      <c r="E1237" s="79" t="s">
        <v>1016</v>
      </c>
      <c r="F1237" s="79" t="s">
        <v>1693</v>
      </c>
      <c r="G1237" s="79" t="s">
        <v>59</v>
      </c>
      <c r="H1237" s="82" t="s">
        <v>2183</v>
      </c>
      <c r="I1237" s="79">
        <v>156</v>
      </c>
      <c r="J1237" s="79" t="s">
        <v>2069</v>
      </c>
      <c r="K1237" s="80" t="s">
        <v>469</v>
      </c>
      <c r="L1237" s="79">
        <f>VLOOKUP(H1237,Table2[#All],3,FALSE)</f>
        <v>690</v>
      </c>
      <c r="M1237" s="80">
        <f t="shared" si="377"/>
        <v>688</v>
      </c>
      <c r="N1237" s="81">
        <f t="shared" si="365"/>
        <v>-2</v>
      </c>
      <c r="P1237" s="82">
        <f t="shared" ref="P1237:P1238" si="393">R1237-TIME(0,38,0)</f>
        <v>45793.90625</v>
      </c>
      <c r="Q1237" s="82">
        <v>45793.875</v>
      </c>
      <c r="R1237" s="82">
        <v>45793.932638888888</v>
      </c>
      <c r="S1237" s="81">
        <f t="shared" si="391"/>
        <v>82.615740738886714</v>
      </c>
      <c r="T1237" s="81">
        <f t="shared" si="380"/>
        <v>37.82407407222005</v>
      </c>
      <c r="U1237" s="79" t="s">
        <v>562</v>
      </c>
      <c r="V1237" s="82">
        <v>45795.613888888889</v>
      </c>
      <c r="W1237" s="82">
        <v>45795.699305555558</v>
      </c>
      <c r="X1237" s="103">
        <f t="shared" si="381"/>
        <v>120.43750000273576</v>
      </c>
      <c r="Y1237" s="82"/>
      <c r="Z1237" s="82">
        <v>45796.486111111109</v>
      </c>
      <c r="AA1237" s="82">
        <f t="shared" si="392"/>
        <v>45796.515277777777</v>
      </c>
      <c r="AB1237" s="81">
        <f t="shared" si="384"/>
        <v>41.12500000068394</v>
      </c>
      <c r="AC1237" s="82"/>
      <c r="AD1237" s="83">
        <f t="shared" si="368"/>
        <v>2.5534722222218988</v>
      </c>
      <c r="AE1237" s="83">
        <f>VLOOKUP(H1237,'LIST 2'!$A$1:$E$27,4,FALSE)</f>
        <v>3</v>
      </c>
      <c r="AF1237" s="83">
        <f t="shared" si="369"/>
        <v>0.44652777777810115</v>
      </c>
      <c r="AG1237" s="81">
        <f t="shared" si="370"/>
        <v>61.283333333325572</v>
      </c>
      <c r="AH1237" s="81">
        <f t="shared" si="371"/>
        <v>24</v>
      </c>
      <c r="AI1237" s="81">
        <f t="shared" si="372"/>
        <v>37.283333333325572</v>
      </c>
      <c r="AJ1237" s="83">
        <f t="shared" si="382"/>
        <v>4.184175234690187</v>
      </c>
      <c r="AK1237" s="122"/>
      <c r="AL1237" s="122"/>
      <c r="AM1237" s="122"/>
      <c r="AN1237" s="122"/>
    </row>
    <row r="1238" spans="1:40" ht="20.25" customHeight="1" x14ac:dyDescent="0.25">
      <c r="A1238" s="82">
        <v>45794</v>
      </c>
      <c r="B1238" s="94" t="str">
        <f t="shared" si="374"/>
        <v>May</v>
      </c>
      <c r="C1238" s="79" t="s">
        <v>2161</v>
      </c>
      <c r="D1238" s="79" t="s">
        <v>2070</v>
      </c>
      <c r="E1238" s="79"/>
      <c r="F1238" s="79" t="s">
        <v>966</v>
      </c>
      <c r="G1238" s="79" t="s">
        <v>981</v>
      </c>
      <c r="H1238" s="82" t="s">
        <v>1989</v>
      </c>
      <c r="I1238" s="79">
        <v>153.6</v>
      </c>
      <c r="J1238" s="79" t="s">
        <v>2070</v>
      </c>
      <c r="K1238" s="80" t="s">
        <v>469</v>
      </c>
      <c r="L1238" s="79">
        <f>VLOOKUP(H1238,Table2[#All],3,FALSE)</f>
        <v>20</v>
      </c>
      <c r="M1238" s="80">
        <f>L1238-1</f>
        <v>19</v>
      </c>
      <c r="N1238" s="81">
        <f t="shared" si="365"/>
        <v>-1</v>
      </c>
      <c r="P1238" s="82">
        <f t="shared" si="393"/>
        <v>45794.334027777782</v>
      </c>
      <c r="Q1238" s="82">
        <v>45794.320833333331</v>
      </c>
      <c r="R1238" s="82">
        <v>45794.36041666667</v>
      </c>
      <c r="T1238" s="81">
        <f t="shared" si="380"/>
        <v>37.82407407222005</v>
      </c>
      <c r="U1238" s="79" t="s">
        <v>562</v>
      </c>
      <c r="V1238" s="82">
        <v>45794.388888888891</v>
      </c>
      <c r="W1238" s="82">
        <v>45794.50277777778</v>
      </c>
      <c r="X1238" s="103">
        <f t="shared" si="381"/>
        <v>160.58333333356131</v>
      </c>
      <c r="Y1238" s="82"/>
      <c r="Z1238" s="82">
        <v>45794.536111111112</v>
      </c>
      <c r="AA1238" s="82">
        <f>Z1238+TIME(0,44,0)</f>
        <v>45794.566666666666</v>
      </c>
      <c r="AB1238" s="81">
        <f t="shared" si="384"/>
        <v>43.083333330141613</v>
      </c>
      <c r="AC1238" s="82"/>
      <c r="AD1238" s="83">
        <f t="shared" si="368"/>
        <v>0.1756944444423425</v>
      </c>
      <c r="AE1238" s="83">
        <f>VLOOKUP(H1238,'LIST 2'!$A$1:$E$27,4,FALSE)</f>
        <v>1</v>
      </c>
      <c r="AF1238" s="83">
        <f t="shared" si="369"/>
        <v>0.8243055555576575</v>
      </c>
      <c r="AG1238" s="81">
        <f t="shared" si="370"/>
        <v>4.21666666661622</v>
      </c>
      <c r="AH1238" s="81">
        <f t="shared" si="371"/>
        <v>0</v>
      </c>
      <c r="AI1238" s="81">
        <f t="shared" si="372"/>
        <v>4.21666666661622</v>
      </c>
      <c r="AJ1238" s="83">
        <f t="shared" si="382"/>
        <v>36.426877470791524</v>
      </c>
      <c r="AK1238" s="122">
        <v>11.5</v>
      </c>
      <c r="AL1238" s="122"/>
      <c r="AM1238" s="122"/>
      <c r="AN1238" s="122"/>
    </row>
    <row r="1239" spans="1:40" ht="20.25" customHeight="1" x14ac:dyDescent="0.25">
      <c r="A1239" s="82">
        <v>45794</v>
      </c>
      <c r="B1239" s="94" t="str">
        <f t="shared" si="374"/>
        <v>May</v>
      </c>
      <c r="C1239" s="79" t="s">
        <v>2161</v>
      </c>
      <c r="D1239" s="79" t="s">
        <v>2071</v>
      </c>
      <c r="E1239" s="79"/>
      <c r="F1239" s="79" t="s">
        <v>951</v>
      </c>
      <c r="G1239" s="79" t="s">
        <v>968</v>
      </c>
      <c r="H1239" s="82" t="s">
        <v>1991</v>
      </c>
      <c r="I1239" s="79">
        <v>153.6</v>
      </c>
      <c r="J1239" s="79" t="s">
        <v>2071</v>
      </c>
      <c r="K1239" s="80" t="s">
        <v>469</v>
      </c>
      <c r="L1239" s="79">
        <f>VLOOKUP(H1239,Table2[#All],3,FALSE)</f>
        <v>272</v>
      </c>
      <c r="M1239" s="80">
        <f t="shared" si="377"/>
        <v>270</v>
      </c>
      <c r="N1239" s="81">
        <f t="shared" si="365"/>
        <v>-2</v>
      </c>
      <c r="P1239" s="82">
        <f>R1239-TIME(0,23,0)</f>
        <v>45793.816666666666</v>
      </c>
      <c r="Q1239" s="82">
        <v>45794.082638888889</v>
      </c>
      <c r="R1239" s="82">
        <v>45793.832638888889</v>
      </c>
      <c r="T1239" s="81">
        <f t="shared" si="380"/>
        <v>22.893518520140788</v>
      </c>
      <c r="U1239" s="79"/>
      <c r="V1239" s="82">
        <v>45794.515972222223</v>
      </c>
      <c r="W1239" s="82">
        <v>45794.744444444441</v>
      </c>
      <c r="X1239" s="103">
        <f t="shared" si="381"/>
        <v>322.14583332672191</v>
      </c>
      <c r="Y1239" s="82" t="s">
        <v>1046</v>
      </c>
      <c r="Z1239" s="82">
        <v>45795.527083333334</v>
      </c>
      <c r="AA1239" s="82">
        <f>Z1239+TIME(0,44,0)</f>
        <v>45795.557638888888</v>
      </c>
      <c r="AB1239" s="81">
        <f t="shared" si="384"/>
        <v>43.083333330141613</v>
      </c>
      <c r="AC1239" s="82"/>
      <c r="AD1239" s="83">
        <f t="shared" si="368"/>
        <v>1.6944444444452529</v>
      </c>
      <c r="AE1239" s="83">
        <f>VLOOKUP(H1239,'LIST 2'!$A$1:$E$27,4,FALSE)</f>
        <v>2</v>
      </c>
      <c r="AF1239" s="83">
        <f t="shared" si="369"/>
        <v>0.30555555555474712</v>
      </c>
      <c r="AG1239" s="81">
        <f t="shared" si="370"/>
        <v>40.666666666686069</v>
      </c>
      <c r="AH1239" s="81">
        <f t="shared" si="371"/>
        <v>12</v>
      </c>
      <c r="AI1239" s="81">
        <f t="shared" si="372"/>
        <v>28.666666666686069</v>
      </c>
      <c r="AJ1239" s="83">
        <f t="shared" si="382"/>
        <v>5.3581395348800944</v>
      </c>
      <c r="AK1239" s="122">
        <v>10.039999999999999</v>
      </c>
      <c r="AL1239" s="122">
        <v>10.08</v>
      </c>
      <c r="AM1239" s="122">
        <v>11.25</v>
      </c>
      <c r="AN1239" s="122"/>
    </row>
    <row r="1240" spans="1:40" ht="20.25" customHeight="1" x14ac:dyDescent="0.25">
      <c r="A1240" s="82">
        <v>45794</v>
      </c>
      <c r="B1240" s="94" t="str">
        <f t="shared" si="374"/>
        <v>May</v>
      </c>
      <c r="C1240" s="79" t="s">
        <v>2162</v>
      </c>
      <c r="D1240" s="79" t="s">
        <v>2072</v>
      </c>
      <c r="E1240" s="79" t="s">
        <v>1016</v>
      </c>
      <c r="F1240" s="79" t="s">
        <v>1962</v>
      </c>
      <c r="G1240" s="79" t="s">
        <v>56</v>
      </c>
      <c r="H1240" s="82" t="s">
        <v>2185</v>
      </c>
      <c r="I1240" s="79">
        <v>156</v>
      </c>
      <c r="J1240" s="79" t="s">
        <v>2072</v>
      </c>
      <c r="K1240" s="80" t="s">
        <v>469</v>
      </c>
      <c r="L1240" s="79">
        <f>VLOOKUP(H1240,Table2[#All],3,FALSE)</f>
        <v>382</v>
      </c>
      <c r="M1240" s="80">
        <f t="shared" si="377"/>
        <v>380</v>
      </c>
      <c r="N1240" s="81">
        <f t="shared" si="365"/>
        <v>-2</v>
      </c>
      <c r="P1240" s="82">
        <f>R1240-TIME(0,27,0)</f>
        <v>45793.850694444438</v>
      </c>
      <c r="Q1240" s="82">
        <v>45794.179861111108</v>
      </c>
      <c r="R1240" s="82">
        <v>45793.869444444441</v>
      </c>
      <c r="S1240" s="81">
        <f t="shared" ref="S1240" si="394">(R1240-Q1240)*86000/60</f>
        <v>-444.93055555625079</v>
      </c>
      <c r="T1240" s="81">
        <f t="shared" si="380"/>
        <v>26.87500000417155</v>
      </c>
      <c r="U1240" s="79"/>
      <c r="V1240" s="82">
        <v>45795.54791666667</v>
      </c>
      <c r="W1240" s="82">
        <v>45795.68472222222</v>
      </c>
      <c r="X1240" s="103">
        <f t="shared" si="381"/>
        <v>192.89583332603797</v>
      </c>
      <c r="Y1240" s="82"/>
      <c r="Z1240" s="82">
        <v>45795.839583333334</v>
      </c>
      <c r="AA1240" s="82">
        <f>Z1240+TIME(0,42,0)</f>
        <v>45795.868750000001</v>
      </c>
      <c r="AB1240" s="81">
        <f t="shared" si="384"/>
        <v>41.12500000068394</v>
      </c>
      <c r="AC1240" s="82"/>
      <c r="AD1240" s="83">
        <f t="shared" si="368"/>
        <v>1.9701388888934162</v>
      </c>
      <c r="AE1240" s="83">
        <f>VLOOKUP(H1240,'LIST 2'!$A$1:$E$27,4,FALSE)</f>
        <v>2</v>
      </c>
      <c r="AF1240" s="83">
        <f t="shared" si="369"/>
        <v>2.9861111106583849E-2</v>
      </c>
      <c r="AG1240" s="81">
        <f t="shared" si="370"/>
        <v>47.283333333441988</v>
      </c>
      <c r="AH1240" s="81">
        <f t="shared" si="371"/>
        <v>12</v>
      </c>
      <c r="AI1240" s="81">
        <f t="shared" si="372"/>
        <v>35.283333333441988</v>
      </c>
      <c r="AJ1240" s="83">
        <f t="shared" si="382"/>
        <v>4.4213509683378254</v>
      </c>
      <c r="AK1240" s="122"/>
      <c r="AL1240" s="122"/>
      <c r="AM1240" s="122"/>
      <c r="AN1240" s="122"/>
    </row>
    <row r="1241" spans="1:40" ht="20.25" customHeight="1" x14ac:dyDescent="0.25">
      <c r="A1241" s="82">
        <v>45794</v>
      </c>
      <c r="B1241" s="94" t="str">
        <f t="shared" si="374"/>
        <v>May</v>
      </c>
      <c r="C1241" s="79" t="s">
        <v>2161</v>
      </c>
      <c r="D1241" s="79" t="s">
        <v>2073</v>
      </c>
      <c r="E1241" s="79" t="s">
        <v>1016</v>
      </c>
      <c r="F1241" s="79" t="s">
        <v>1689</v>
      </c>
      <c r="G1241" s="79" t="s">
        <v>1262</v>
      </c>
      <c r="H1241" s="82" t="s">
        <v>1956</v>
      </c>
      <c r="I1241" s="79">
        <v>153.6</v>
      </c>
      <c r="J1241" s="79" t="s">
        <v>2073</v>
      </c>
      <c r="K1241" s="80" t="s">
        <v>469</v>
      </c>
      <c r="L1241" s="79">
        <f>VLOOKUP(H1241,Table2[#All],3,FALSE)</f>
        <v>596</v>
      </c>
      <c r="M1241" s="80">
        <f>L1241-1</f>
        <v>595</v>
      </c>
      <c r="N1241" s="81">
        <f t="shared" si="365"/>
        <v>-1</v>
      </c>
      <c r="P1241" s="82">
        <f>R1241-TIME(0,21,0)</f>
        <v>45793.837500000001</v>
      </c>
      <c r="Q1241" s="82">
        <v>45794.176388888889</v>
      </c>
      <c r="R1241" s="82">
        <v>45793.852083333331</v>
      </c>
      <c r="T1241" s="81">
        <f t="shared" si="380"/>
        <v>20.902777772910969</v>
      </c>
      <c r="U1241" s="79"/>
      <c r="V1241" s="82">
        <v>45794.400694444441</v>
      </c>
      <c r="W1241" s="82">
        <v>45794.604861111111</v>
      </c>
      <c r="X1241" s="103">
        <f t="shared" si="381"/>
        <v>287.87500000478758</v>
      </c>
      <c r="Y1241" s="82" t="s">
        <v>1051</v>
      </c>
      <c r="Z1241" s="82">
        <v>45795.429166666669</v>
      </c>
      <c r="AA1241" s="82">
        <f>Z1241+TIME(0,42,0)</f>
        <v>45795.458333333336</v>
      </c>
      <c r="AB1241" s="81">
        <f t="shared" si="384"/>
        <v>41.12500000068394</v>
      </c>
      <c r="AC1241" s="82"/>
      <c r="AD1241" s="83">
        <f t="shared" si="368"/>
        <v>1.5770833333372138</v>
      </c>
      <c r="AE1241" s="83">
        <f>VLOOKUP(H1241,'LIST 2'!$A$1:$E$27,4,FALSE)</f>
        <v>2</v>
      </c>
      <c r="AF1241" s="83">
        <f t="shared" si="369"/>
        <v>0.42291666666278616</v>
      </c>
      <c r="AG1241" s="81">
        <f t="shared" si="370"/>
        <v>37.850000000093132</v>
      </c>
      <c r="AH1241" s="81">
        <f t="shared" si="371"/>
        <v>12</v>
      </c>
      <c r="AI1241" s="81">
        <f t="shared" si="372"/>
        <v>25.850000000093132</v>
      </c>
      <c r="AJ1241" s="83">
        <f t="shared" si="382"/>
        <v>5.9419729206749174</v>
      </c>
      <c r="AK1241" s="122">
        <v>11.49</v>
      </c>
      <c r="AL1241" s="122">
        <v>12.07</v>
      </c>
      <c r="AM1241" s="122">
        <v>11.53</v>
      </c>
      <c r="AN1241" s="122"/>
    </row>
    <row r="1242" spans="1:40" ht="20.25" customHeight="1" x14ac:dyDescent="0.25">
      <c r="A1242" s="82">
        <v>45794</v>
      </c>
      <c r="B1242" s="94" t="str">
        <f t="shared" si="374"/>
        <v>May</v>
      </c>
      <c r="C1242" s="79" t="s">
        <v>2161</v>
      </c>
      <c r="D1242" s="79" t="s">
        <v>2074</v>
      </c>
      <c r="E1242" s="79"/>
      <c r="F1242" s="79" t="s">
        <v>962</v>
      </c>
      <c r="G1242" s="79" t="s">
        <v>978</v>
      </c>
      <c r="H1242" s="82" t="s">
        <v>1956</v>
      </c>
      <c r="I1242" s="79">
        <v>153.6</v>
      </c>
      <c r="J1242" s="79" t="s">
        <v>2074</v>
      </c>
      <c r="K1242" s="80" t="s">
        <v>469</v>
      </c>
      <c r="L1242" s="79">
        <f>VLOOKUP(H1242,Table2[#All],3,FALSE)</f>
        <v>596</v>
      </c>
      <c r="M1242" s="80">
        <f>L1242-1</f>
        <v>595</v>
      </c>
      <c r="N1242" s="81">
        <f t="shared" si="365"/>
        <v>-1</v>
      </c>
      <c r="P1242" s="82">
        <f>R1242-TIME(0,27,0)</f>
        <v>45793.749305555553</v>
      </c>
      <c r="Q1242" s="82">
        <v>45794.176388888889</v>
      </c>
      <c r="R1242" s="82">
        <v>45793.768055555556</v>
      </c>
      <c r="T1242" s="81">
        <f t="shared" si="380"/>
        <v>26.87500000417155</v>
      </c>
      <c r="U1242" s="79"/>
      <c r="V1242" s="82">
        <v>45794.517361111109</v>
      </c>
      <c r="W1242" s="82">
        <v>45795.665972222225</v>
      </c>
      <c r="X1242" s="103">
        <f t="shared" si="381"/>
        <v>1619.5416666725941</v>
      </c>
      <c r="Y1242" s="82" t="s">
        <v>1050</v>
      </c>
      <c r="Z1242" s="82">
        <v>45795.835416666669</v>
      </c>
      <c r="AA1242" s="82">
        <f>Z1242+TIME(0,39,0)</f>
        <v>45795.862500000003</v>
      </c>
      <c r="AB1242" s="81">
        <f t="shared" si="384"/>
        <v>38.18750000136788</v>
      </c>
      <c r="AC1242" s="82"/>
      <c r="AD1242" s="83">
        <f t="shared" si="368"/>
        <v>2.0673611111124046</v>
      </c>
      <c r="AE1242" s="83">
        <f>VLOOKUP(H1242,'LIST 2'!$A$1:$E$27,4,FALSE)</f>
        <v>2</v>
      </c>
      <c r="AF1242" s="83">
        <f t="shared" si="369"/>
        <v>-6.7361111112404615E-2</v>
      </c>
      <c r="AG1242" s="81">
        <f t="shared" si="370"/>
        <v>49.616666666697711</v>
      </c>
      <c r="AH1242" s="81">
        <f t="shared" si="371"/>
        <v>24</v>
      </c>
      <c r="AI1242" s="81">
        <f t="shared" si="372"/>
        <v>25.616666666697711</v>
      </c>
      <c r="AJ1242" s="83">
        <f t="shared" si="382"/>
        <v>5.9960962914696365</v>
      </c>
      <c r="AK1242" s="122">
        <v>10.28</v>
      </c>
      <c r="AL1242" s="122">
        <v>11.25</v>
      </c>
      <c r="AM1242" s="122">
        <v>11.29</v>
      </c>
      <c r="AN1242" s="122"/>
    </row>
    <row r="1243" spans="1:40" ht="20.25" customHeight="1" x14ac:dyDescent="0.25">
      <c r="A1243" s="82">
        <v>45794</v>
      </c>
      <c r="B1243" s="94" t="str">
        <f t="shared" si="374"/>
        <v>May</v>
      </c>
      <c r="C1243" s="79" t="s">
        <v>2162</v>
      </c>
      <c r="D1243" s="79" t="s">
        <v>2075</v>
      </c>
      <c r="E1243" s="79" t="s">
        <v>1016</v>
      </c>
      <c r="F1243" s="79" t="s">
        <v>1699</v>
      </c>
      <c r="G1243" s="79" t="s">
        <v>80</v>
      </c>
      <c r="H1243" s="82" t="s">
        <v>1959</v>
      </c>
      <c r="I1243" s="79">
        <v>156</v>
      </c>
      <c r="J1243" s="79" t="s">
        <v>2075</v>
      </c>
      <c r="K1243" s="80" t="s">
        <v>469</v>
      </c>
      <c r="L1243" s="79">
        <f>VLOOKUP(H1243,Table2[#All],3,FALSE)</f>
        <v>304</v>
      </c>
      <c r="M1243" s="80">
        <f t="shared" si="377"/>
        <v>302</v>
      </c>
      <c r="N1243" s="81">
        <f t="shared" si="365"/>
        <v>-2</v>
      </c>
      <c r="P1243" s="82">
        <f>R1243-TIME(0,29,0)</f>
        <v>45793.588194444441</v>
      </c>
      <c r="Q1243" s="82">
        <v>45794.098611111112</v>
      </c>
      <c r="R1243" s="82">
        <v>45793.60833333333</v>
      </c>
      <c r="S1243" s="81">
        <f t="shared" ref="S1243" si="395">(R1243-Q1243)*86000/60</f>
        <v>-702.73148148820235</v>
      </c>
      <c r="T1243" s="81">
        <f t="shared" si="380"/>
        <v>28.865740740972495</v>
      </c>
      <c r="U1243" s="79"/>
      <c r="V1243" s="82">
        <v>45794.634027777778</v>
      </c>
      <c r="W1243" s="82">
        <v>45794.722222222219</v>
      </c>
      <c r="X1243" s="103">
        <f t="shared" si="381"/>
        <v>124.35416666165111</v>
      </c>
      <c r="Y1243" s="82"/>
      <c r="Z1243" s="82">
        <v>45794.73333333333</v>
      </c>
      <c r="AA1243" s="82">
        <f t="shared" ref="AA1243:AA1244" si="396">Z1243+TIME(0,42,0)</f>
        <v>45794.762499999997</v>
      </c>
      <c r="AB1243" s="81">
        <f t="shared" si="384"/>
        <v>41.12500000068394</v>
      </c>
      <c r="AC1243" s="82"/>
      <c r="AD1243" s="83">
        <f t="shared" si="368"/>
        <v>1.125</v>
      </c>
      <c r="AE1243" s="83">
        <f>VLOOKUP(H1243,'LIST 2'!$A$1:$E$27,4,FALSE)</f>
        <v>2</v>
      </c>
      <c r="AF1243" s="83">
        <f t="shared" si="369"/>
        <v>0.875</v>
      </c>
      <c r="AG1243" s="81">
        <f t="shared" si="370"/>
        <v>27</v>
      </c>
      <c r="AH1243" s="81">
        <f t="shared" si="371"/>
        <v>12</v>
      </c>
      <c r="AI1243" s="81">
        <f t="shared" si="372"/>
        <v>15</v>
      </c>
      <c r="AJ1243" s="83">
        <f t="shared" si="382"/>
        <v>10.4</v>
      </c>
      <c r="AK1243" s="122"/>
      <c r="AL1243" s="122"/>
      <c r="AM1243" s="122"/>
      <c r="AN1243" s="122"/>
    </row>
    <row r="1244" spans="1:40" ht="20.25" customHeight="1" x14ac:dyDescent="0.25">
      <c r="A1244" s="82">
        <v>45795</v>
      </c>
      <c r="B1244" s="94" t="str">
        <f t="shared" si="374"/>
        <v>May</v>
      </c>
      <c r="C1244" s="79" t="s">
        <v>2161</v>
      </c>
      <c r="D1244" s="79" t="s">
        <v>2077</v>
      </c>
      <c r="E1244" s="79"/>
      <c r="F1244" s="79" t="s">
        <v>958</v>
      </c>
      <c r="G1244" s="79" t="s">
        <v>975</v>
      </c>
      <c r="H1244" s="82" t="s">
        <v>1989</v>
      </c>
      <c r="I1244" s="79">
        <v>153.6</v>
      </c>
      <c r="J1244" s="79" t="s">
        <v>2077</v>
      </c>
      <c r="K1244" s="80" t="s">
        <v>469</v>
      </c>
      <c r="L1244" s="79">
        <f>VLOOKUP(H1244,Table2[#All],3,FALSE)</f>
        <v>20</v>
      </c>
      <c r="M1244" s="80">
        <f t="shared" si="377"/>
        <v>18</v>
      </c>
      <c r="N1244" s="81">
        <f t="shared" si="365"/>
        <v>-2</v>
      </c>
      <c r="P1244" s="82">
        <f>R1244-TIME(0,38,0)</f>
        <v>45796.786805555559</v>
      </c>
      <c r="Q1244" s="82">
        <v>45795.416666666664</v>
      </c>
      <c r="R1244" s="82">
        <v>45796.813194444447</v>
      </c>
      <c r="T1244" s="81">
        <f t="shared" si="380"/>
        <v>37.82407407222005</v>
      </c>
      <c r="U1244" s="79" t="s">
        <v>2164</v>
      </c>
      <c r="V1244" s="82">
        <v>45796.836805555555</v>
      </c>
      <c r="W1244" s="82">
        <v>45797.428472222222</v>
      </c>
      <c r="X1244" s="103">
        <f t="shared" si="381"/>
        <v>834.25000000068394</v>
      </c>
      <c r="Y1244" s="82" t="s">
        <v>1050</v>
      </c>
      <c r="Z1244" s="82">
        <v>45797.451388888891</v>
      </c>
      <c r="AA1244" s="82">
        <f t="shared" si="396"/>
        <v>45797.480555555558</v>
      </c>
      <c r="AB1244" s="81">
        <f t="shared" si="384"/>
        <v>41.12500000068394</v>
      </c>
      <c r="AC1244" s="82"/>
      <c r="AD1244" s="83">
        <f t="shared" si="368"/>
        <v>0.63819444444379769</v>
      </c>
      <c r="AE1244" s="83">
        <f>VLOOKUP(H1244,'LIST 2'!$A$1:$E$27,4,FALSE)</f>
        <v>1</v>
      </c>
      <c r="AF1244" s="83">
        <f t="shared" si="369"/>
        <v>0.36180555555620231</v>
      </c>
      <c r="AG1244" s="81">
        <f t="shared" si="370"/>
        <v>15.316666666651145</v>
      </c>
      <c r="AH1244" s="81">
        <f t="shared" si="371"/>
        <v>0</v>
      </c>
      <c r="AI1244" s="81">
        <f t="shared" si="372"/>
        <v>15.316666666651145</v>
      </c>
      <c r="AJ1244" s="83">
        <f t="shared" si="382"/>
        <v>10.028291621337692</v>
      </c>
      <c r="AK1244" s="122"/>
      <c r="AL1244" s="122"/>
      <c r="AM1244" s="122"/>
      <c r="AN1244" s="122"/>
    </row>
    <row r="1245" spans="1:40" ht="20.25" customHeight="1" x14ac:dyDescent="0.25">
      <c r="A1245" s="82">
        <v>45795</v>
      </c>
      <c r="B1245" s="94" t="str">
        <f t="shared" si="374"/>
        <v>May</v>
      </c>
      <c r="C1245" s="79" t="s">
        <v>2161</v>
      </c>
      <c r="D1245" s="79" t="s">
        <v>2078</v>
      </c>
      <c r="E1245" s="79" t="s">
        <v>1016</v>
      </c>
      <c r="F1245" s="79" t="s">
        <v>1689</v>
      </c>
      <c r="G1245" s="79" t="s">
        <v>1262</v>
      </c>
      <c r="H1245" s="82" t="s">
        <v>1989</v>
      </c>
      <c r="I1245" s="79">
        <v>153.6</v>
      </c>
      <c r="J1245" s="79" t="s">
        <v>2078</v>
      </c>
      <c r="K1245" s="80" t="s">
        <v>469</v>
      </c>
      <c r="L1245" s="79">
        <f>VLOOKUP(H1245,Table2[#All],3,FALSE)</f>
        <v>20</v>
      </c>
      <c r="M1245" s="80">
        <f t="shared" si="377"/>
        <v>18</v>
      </c>
      <c r="N1245" s="81">
        <f t="shared" si="365"/>
        <v>-2</v>
      </c>
      <c r="P1245" s="82">
        <f>R1245-TIME(0,23,0)</f>
        <v>45795.799999999996</v>
      </c>
      <c r="Q1245" s="82">
        <v>45795.458333333336</v>
      </c>
      <c r="R1245" s="82">
        <v>45795.815972222219</v>
      </c>
      <c r="T1245" s="81">
        <f t="shared" si="380"/>
        <v>22.893518520140788</v>
      </c>
      <c r="U1245" s="79"/>
      <c r="V1245" s="82">
        <v>45796.479166666664</v>
      </c>
      <c r="W1245" s="82">
        <v>45796.668749999997</v>
      </c>
      <c r="X1245" s="103">
        <f t="shared" si="381"/>
        <v>267.31249999931606</v>
      </c>
      <c r="Y1245" s="82"/>
      <c r="Z1245" s="82">
        <v>45797.34097222222</v>
      </c>
      <c r="AA1245" s="82">
        <f>Z1245+TIME(0,42,0)</f>
        <v>45797.370138888888</v>
      </c>
      <c r="AB1245" s="81">
        <f t="shared" si="384"/>
        <v>41.12500000068394</v>
      </c>
      <c r="AC1245" s="82"/>
      <c r="AD1245" s="83">
        <f t="shared" si="368"/>
        <v>1.5250000000014552</v>
      </c>
      <c r="AE1245" s="83">
        <f>VLOOKUP(H1245,'LIST 2'!$A$1:$E$27,4,FALSE)</f>
        <v>1</v>
      </c>
      <c r="AF1245" s="83">
        <f t="shared" si="369"/>
        <v>-0.52500000000145519</v>
      </c>
      <c r="AG1245" s="81">
        <f t="shared" si="370"/>
        <v>36.600000000034925</v>
      </c>
      <c r="AH1245" s="81">
        <f t="shared" si="371"/>
        <v>12</v>
      </c>
      <c r="AI1245" s="81">
        <f t="shared" si="372"/>
        <v>24.600000000034925</v>
      </c>
      <c r="AJ1245" s="83">
        <f t="shared" si="382"/>
        <v>6.2439024390155256</v>
      </c>
      <c r="AK1245" s="122">
        <v>10.28</v>
      </c>
      <c r="AL1245" s="122">
        <v>9.6999999999999993</v>
      </c>
      <c r="AM1245" s="122"/>
      <c r="AN1245" s="122"/>
    </row>
    <row r="1246" spans="1:40" ht="20.25" customHeight="1" x14ac:dyDescent="0.25">
      <c r="A1246" s="82">
        <v>45795</v>
      </c>
      <c r="B1246" s="94" t="str">
        <f t="shared" si="374"/>
        <v>May</v>
      </c>
      <c r="C1246" s="79" t="s">
        <v>2161</v>
      </c>
      <c r="D1246" s="79" t="s">
        <v>2079</v>
      </c>
      <c r="E1246" s="79" t="s">
        <v>1016</v>
      </c>
      <c r="F1246" s="79" t="s">
        <v>956</v>
      </c>
      <c r="G1246" s="79" t="s">
        <v>973</v>
      </c>
      <c r="H1246" s="82" t="s">
        <v>2022</v>
      </c>
      <c r="I1246" s="79">
        <v>153.6</v>
      </c>
      <c r="J1246" s="79" t="s">
        <v>2079</v>
      </c>
      <c r="K1246" s="80" t="s">
        <v>469</v>
      </c>
      <c r="L1246" s="79">
        <f>VLOOKUP(H1246,Table2[#All],3,FALSE)</f>
        <v>150</v>
      </c>
      <c r="M1246" s="80">
        <f>L1246-1</f>
        <v>149</v>
      </c>
      <c r="N1246" s="81">
        <f t="shared" si="365"/>
        <v>-1</v>
      </c>
      <c r="P1246" s="82">
        <f>R1246-TIME(0,27,0)</f>
        <v>45795.675694444442</v>
      </c>
      <c r="Q1246" s="82">
        <v>45795.416666666664</v>
      </c>
      <c r="R1246" s="82">
        <v>45795.694444444445</v>
      </c>
      <c r="T1246" s="81">
        <f t="shared" si="380"/>
        <v>26.87500000417155</v>
      </c>
      <c r="U1246" s="79"/>
      <c r="V1246" s="82">
        <v>45795.780555555553</v>
      </c>
      <c r="W1246" s="82">
        <v>45796.612500000003</v>
      </c>
      <c r="X1246" s="103">
        <f t="shared" si="381"/>
        <v>1173.041666673962</v>
      </c>
      <c r="Y1246" s="82"/>
      <c r="Z1246" s="82">
        <v>45796.691666666666</v>
      </c>
      <c r="AA1246" s="82">
        <f>Z1246+TIME(0,38,0)</f>
        <v>45796.718055555553</v>
      </c>
      <c r="AB1246" s="81">
        <f t="shared" si="384"/>
        <v>37.208333331509493</v>
      </c>
      <c r="AC1246" s="82"/>
      <c r="AD1246" s="83">
        <f t="shared" si="368"/>
        <v>0.99722222222044365</v>
      </c>
      <c r="AE1246" s="83">
        <f>VLOOKUP(H1246,'LIST 2'!$A$1:$E$27,4,FALSE)</f>
        <v>1</v>
      </c>
      <c r="AF1246" s="83">
        <f t="shared" si="369"/>
        <v>2.7777777795563452E-3</v>
      </c>
      <c r="AG1246" s="81">
        <f t="shared" si="370"/>
        <v>23.933333333290648</v>
      </c>
      <c r="AH1246" s="81">
        <f t="shared" si="371"/>
        <v>0</v>
      </c>
      <c r="AI1246" s="81">
        <f t="shared" si="372"/>
        <v>23.933333333290648</v>
      </c>
      <c r="AJ1246" s="83">
        <f t="shared" si="382"/>
        <v>6.4178272980615851</v>
      </c>
      <c r="AK1246" s="122">
        <v>11.47</v>
      </c>
      <c r="AL1246" s="122">
        <v>11.4</v>
      </c>
      <c r="AM1246" s="122"/>
      <c r="AN1246" s="122"/>
    </row>
    <row r="1247" spans="1:40" ht="20.25" customHeight="1" x14ac:dyDescent="0.25">
      <c r="A1247" s="82">
        <v>45795</v>
      </c>
      <c r="B1247" s="94" t="str">
        <f t="shared" si="374"/>
        <v>May</v>
      </c>
      <c r="C1247" s="79" t="s">
        <v>2162</v>
      </c>
      <c r="D1247" s="79" t="s">
        <v>2080</v>
      </c>
      <c r="E1247" s="79" t="s">
        <v>1016</v>
      </c>
      <c r="F1247" s="79" t="s">
        <v>1697</v>
      </c>
      <c r="G1247" s="79" t="s">
        <v>77</v>
      </c>
      <c r="H1247" s="82" t="s">
        <v>2181</v>
      </c>
      <c r="I1247" s="79">
        <v>156</v>
      </c>
      <c r="J1247" s="79" t="s">
        <v>2080</v>
      </c>
      <c r="K1247" s="80" t="s">
        <v>469</v>
      </c>
      <c r="L1247" s="79">
        <f>VLOOKUP(H1247,Table2[#All],3,FALSE)</f>
        <v>580</v>
      </c>
      <c r="M1247" s="80">
        <f t="shared" si="377"/>
        <v>578</v>
      </c>
      <c r="N1247" s="81">
        <f t="shared" si="365"/>
        <v>-2</v>
      </c>
      <c r="P1247" s="82">
        <f>R1247-TIME(0,54,0)</f>
        <v>45795.402777777781</v>
      </c>
      <c r="Q1247" s="82">
        <v>45795.416666666664</v>
      </c>
      <c r="R1247" s="82">
        <v>45795.44027777778</v>
      </c>
      <c r="S1247" s="81">
        <f t="shared" ref="S1247" si="397">(R1247-Q1247)*86000/60</f>
        <v>33.842592598618161</v>
      </c>
      <c r="T1247" s="81">
        <f t="shared" si="380"/>
        <v>53.749999997914223</v>
      </c>
      <c r="U1247" s="79" t="s">
        <v>2167</v>
      </c>
      <c r="V1247" s="82">
        <v>45796.626388888886</v>
      </c>
      <c r="W1247" s="82">
        <v>45796.750694444447</v>
      </c>
      <c r="X1247" s="103">
        <f t="shared" si="381"/>
        <v>175.27083334040071</v>
      </c>
      <c r="Y1247" s="82"/>
      <c r="Z1247" s="82">
        <v>45796.906944444447</v>
      </c>
      <c r="AA1247" s="82">
        <f>Z1247+TIME(0,39,0)</f>
        <v>45796.934027777781</v>
      </c>
      <c r="AB1247" s="81">
        <f t="shared" si="384"/>
        <v>38.18750000136788</v>
      </c>
      <c r="AC1247" s="82"/>
      <c r="AD1247" s="83">
        <f t="shared" si="368"/>
        <v>1.4666666666671517</v>
      </c>
      <c r="AE1247" s="83">
        <f>VLOOKUP(H1247,'LIST 2'!$A$1:$E$27,4,FALSE)</f>
        <v>2</v>
      </c>
      <c r="AF1247" s="83">
        <f t="shared" si="369"/>
        <v>0.53333333333284827</v>
      </c>
      <c r="AG1247" s="81">
        <f t="shared" si="370"/>
        <v>35.200000000011642</v>
      </c>
      <c r="AH1247" s="81">
        <f t="shared" si="371"/>
        <v>12</v>
      </c>
      <c r="AI1247" s="81">
        <f t="shared" si="372"/>
        <v>23.200000000011642</v>
      </c>
      <c r="AJ1247" s="83">
        <f t="shared" si="382"/>
        <v>6.7241379310311089</v>
      </c>
      <c r="AK1247" s="122"/>
      <c r="AL1247" s="122"/>
      <c r="AM1247" s="122"/>
      <c r="AN1247" s="122"/>
    </row>
    <row r="1248" spans="1:40" ht="20.25" customHeight="1" x14ac:dyDescent="0.25">
      <c r="A1248" s="82">
        <v>45795</v>
      </c>
      <c r="B1248" s="94" t="str">
        <f t="shared" si="374"/>
        <v>May</v>
      </c>
      <c r="C1248" s="79" t="s">
        <v>2161</v>
      </c>
      <c r="D1248" s="79" t="s">
        <v>2081</v>
      </c>
      <c r="E1248" s="79"/>
      <c r="F1248" s="79" t="s">
        <v>964</v>
      </c>
      <c r="G1248" s="79" t="s">
        <v>979</v>
      </c>
      <c r="H1248" s="82" t="s">
        <v>1989</v>
      </c>
      <c r="I1248" s="79">
        <v>153.6</v>
      </c>
      <c r="J1248" s="79" t="s">
        <v>2081</v>
      </c>
      <c r="K1248" s="80" t="s">
        <v>469</v>
      </c>
      <c r="L1248" s="79">
        <f>VLOOKUP(H1248,Table2[#All],3,FALSE)</f>
        <v>20</v>
      </c>
      <c r="M1248" s="80">
        <f>L1248-1</f>
        <v>19</v>
      </c>
      <c r="N1248" s="81">
        <f t="shared" si="365"/>
        <v>-1</v>
      </c>
      <c r="P1248" s="82">
        <f>R1248-TIME(0,29,0)</f>
        <v>45795.390277777777</v>
      </c>
      <c r="Q1248" s="82">
        <v>45795.416666666664</v>
      </c>
      <c r="R1248" s="82">
        <v>45795.410416666666</v>
      </c>
      <c r="T1248" s="81">
        <f t="shared" si="380"/>
        <v>28.865740740972495</v>
      </c>
      <c r="U1248" s="79"/>
      <c r="V1248" s="82">
        <v>45794.588888888888</v>
      </c>
      <c r="W1248" s="82">
        <v>45794.800694444442</v>
      </c>
      <c r="X1248" s="103">
        <f t="shared" si="381"/>
        <v>298.64583333219343</v>
      </c>
      <c r="Y1248" s="82" t="s">
        <v>1046</v>
      </c>
      <c r="Z1248" s="82">
        <v>45794.820138888892</v>
      </c>
      <c r="AA1248" s="82">
        <f>Z1248+TIME(0,51,0)</f>
        <v>45794.855555555558</v>
      </c>
      <c r="AB1248" s="81">
        <f t="shared" si="384"/>
        <v>49.93749999863212</v>
      </c>
      <c r="AC1248" s="82" t="s">
        <v>2168</v>
      </c>
      <c r="AD1248" s="83">
        <f t="shared" si="368"/>
        <v>-0.59027777777373558</v>
      </c>
      <c r="AE1248" s="83">
        <f>VLOOKUP(H1248,'LIST 2'!$A$1:$E$27,4,FALSE)</f>
        <v>1</v>
      </c>
      <c r="AF1248" s="83">
        <f t="shared" si="369"/>
        <v>1.5902777777737356</v>
      </c>
      <c r="AG1248" s="81">
        <f t="shared" si="370"/>
        <v>-14.166666666569654</v>
      </c>
      <c r="AH1248" s="81">
        <f t="shared" si="371"/>
        <v>-12</v>
      </c>
      <c r="AI1248" s="81">
        <f t="shared" si="372"/>
        <v>-2.1666666665696539</v>
      </c>
      <c r="AJ1248" s="83">
        <f t="shared" si="382"/>
        <v>-70.892307695481904</v>
      </c>
      <c r="AK1248" s="122">
        <v>10.57</v>
      </c>
      <c r="AL1248" s="122">
        <v>10.210000000000001</v>
      </c>
      <c r="AM1248" s="122"/>
      <c r="AN1248" s="122"/>
    </row>
    <row r="1249" spans="1:40" ht="20.25" customHeight="1" x14ac:dyDescent="0.25">
      <c r="A1249" s="82">
        <v>45795</v>
      </c>
      <c r="B1249" s="94" t="str">
        <f t="shared" si="374"/>
        <v>May</v>
      </c>
      <c r="C1249" s="79" t="s">
        <v>2161</v>
      </c>
      <c r="D1249" s="79" t="s">
        <v>2082</v>
      </c>
      <c r="E1249" s="79" t="s">
        <v>1016</v>
      </c>
      <c r="F1249" s="79" t="s">
        <v>950</v>
      </c>
      <c r="G1249" s="79" t="s">
        <v>967</v>
      </c>
      <c r="H1249" s="82" t="s">
        <v>1990</v>
      </c>
      <c r="I1249" s="79">
        <v>153.6</v>
      </c>
      <c r="J1249" s="79" t="s">
        <v>2082</v>
      </c>
      <c r="K1249" s="80" t="s">
        <v>469</v>
      </c>
      <c r="L1249" s="79">
        <f>VLOOKUP(H1249,Table2[#All],3,FALSE)</f>
        <v>810</v>
      </c>
      <c r="M1249" s="80">
        <f t="shared" si="377"/>
        <v>808</v>
      </c>
      <c r="N1249" s="81">
        <f t="shared" si="365"/>
        <v>-2</v>
      </c>
      <c r="P1249" s="82">
        <f>R1249-TIME(0,23,0)</f>
        <v>45795.629861111112</v>
      </c>
      <c r="Q1249" s="82">
        <v>45795.694444444445</v>
      </c>
      <c r="R1249" s="82">
        <v>45795.645833333336</v>
      </c>
      <c r="T1249" s="81">
        <f t="shared" si="380"/>
        <v>22.893518520140788</v>
      </c>
      <c r="U1249" s="79"/>
      <c r="V1249" s="82">
        <v>45796.368055555555</v>
      </c>
      <c r="W1249" s="82">
        <v>45796.546527777777</v>
      </c>
      <c r="X1249" s="103">
        <f t="shared" si="381"/>
        <v>251.64583333287737</v>
      </c>
      <c r="Y1249" s="82" t="s">
        <v>1047</v>
      </c>
      <c r="Z1249" s="82">
        <v>45798.892361111109</v>
      </c>
      <c r="AA1249" s="82">
        <f>Z1249+TIME(0,42,0)</f>
        <v>45798.921527777777</v>
      </c>
      <c r="AB1249" s="81">
        <f t="shared" si="384"/>
        <v>41.12500000068394</v>
      </c>
      <c r="AC1249" s="82"/>
      <c r="AD1249" s="83">
        <f t="shared" si="368"/>
        <v>3.2465277777737356</v>
      </c>
      <c r="AE1249" s="83">
        <f>VLOOKUP(H1249,'LIST 2'!$A$1:$E$27,4,FALSE)</f>
        <v>3</v>
      </c>
      <c r="AF1249" s="83">
        <f t="shared" si="369"/>
        <v>-0.24652777777373558</v>
      </c>
      <c r="AG1249" s="81">
        <f t="shared" si="370"/>
        <v>77.916666666569654</v>
      </c>
      <c r="AH1249" s="81">
        <f t="shared" si="371"/>
        <v>36</v>
      </c>
      <c r="AI1249" s="81">
        <f t="shared" si="372"/>
        <v>41.916666666569654</v>
      </c>
      <c r="AJ1249" s="83">
        <f t="shared" si="382"/>
        <v>3.6644135188951608</v>
      </c>
      <c r="AK1249" s="122">
        <v>13.09</v>
      </c>
      <c r="AL1249" s="122">
        <v>12.27</v>
      </c>
      <c r="AM1249" s="122">
        <v>10.09</v>
      </c>
      <c r="AN1249" s="122">
        <v>7.36</v>
      </c>
    </row>
    <row r="1250" spans="1:40" ht="20.25" customHeight="1" x14ac:dyDescent="0.25">
      <c r="A1250" s="82">
        <v>45795</v>
      </c>
      <c r="B1250" s="94" t="str">
        <f t="shared" si="374"/>
        <v>May</v>
      </c>
      <c r="C1250" s="79" t="s">
        <v>2161</v>
      </c>
      <c r="D1250" s="79" t="s">
        <v>2083</v>
      </c>
      <c r="E1250" s="79"/>
      <c r="F1250" s="79" t="s">
        <v>964</v>
      </c>
      <c r="G1250" s="79" t="s">
        <v>979</v>
      </c>
      <c r="H1250" s="82" t="s">
        <v>1956</v>
      </c>
      <c r="I1250" s="79">
        <v>153.6</v>
      </c>
      <c r="J1250" s="79" t="s">
        <v>2083</v>
      </c>
      <c r="K1250" s="80" t="s">
        <v>469</v>
      </c>
      <c r="L1250" s="79">
        <f>VLOOKUP(H1250,Table2[#All],3,FALSE)</f>
        <v>596</v>
      </c>
      <c r="M1250" s="80">
        <f t="shared" si="377"/>
        <v>594</v>
      </c>
      <c r="N1250" s="81">
        <f t="shared" si="365"/>
        <v>-2</v>
      </c>
      <c r="P1250" s="82">
        <f>R1250-TIME(0,27,0)</f>
        <v>45794.536111111105</v>
      </c>
      <c r="Q1250" s="82">
        <v>45794.625</v>
      </c>
      <c r="R1250" s="82">
        <v>45794.554861111108</v>
      </c>
      <c r="T1250" s="81">
        <f t="shared" si="380"/>
        <v>26.87500000417155</v>
      </c>
      <c r="U1250" s="79"/>
      <c r="V1250" s="82">
        <v>45795.611805555556</v>
      </c>
      <c r="W1250" s="82">
        <v>45795.879166666666</v>
      </c>
      <c r="X1250" s="103">
        <f t="shared" si="381"/>
        <v>376.97916666438687</v>
      </c>
      <c r="Y1250" s="82" t="s">
        <v>1044</v>
      </c>
      <c r="Z1250" s="82">
        <v>45796.482638888891</v>
      </c>
      <c r="AA1250" s="82">
        <f>Z1250+TIME(0,50,0)</f>
        <v>45796.517361111109</v>
      </c>
      <c r="AB1250" s="81">
        <f t="shared" si="384"/>
        <v>48.958333328773733</v>
      </c>
      <c r="AC1250" s="82" t="s">
        <v>1673</v>
      </c>
      <c r="AD1250" s="83">
        <f t="shared" si="368"/>
        <v>1.9277777777824667</v>
      </c>
      <c r="AE1250" s="83">
        <f>VLOOKUP(H1250,'LIST 2'!$A$1:$E$27,4,FALSE)</f>
        <v>2</v>
      </c>
      <c r="AF1250" s="83">
        <f t="shared" si="369"/>
        <v>7.2222222217533272E-2</v>
      </c>
      <c r="AG1250" s="81">
        <f t="shared" si="370"/>
        <v>46.266666666779201</v>
      </c>
      <c r="AH1250" s="81">
        <f t="shared" si="371"/>
        <v>12</v>
      </c>
      <c r="AI1250" s="81">
        <f t="shared" si="372"/>
        <v>34.266666666779201</v>
      </c>
      <c r="AJ1250" s="83">
        <f t="shared" si="382"/>
        <v>4.4824902723588194</v>
      </c>
      <c r="AK1250" s="122">
        <v>10.210000000000001</v>
      </c>
      <c r="AL1250" s="122">
        <v>10.44</v>
      </c>
      <c r="AM1250" s="122">
        <v>10.43</v>
      </c>
      <c r="AN1250" s="122"/>
    </row>
    <row r="1251" spans="1:40" ht="20.25" customHeight="1" x14ac:dyDescent="0.25">
      <c r="A1251" s="82">
        <v>45795</v>
      </c>
      <c r="B1251" s="94" t="str">
        <f t="shared" si="374"/>
        <v>May</v>
      </c>
      <c r="C1251" s="79" t="s">
        <v>2162</v>
      </c>
      <c r="D1251" s="79" t="s">
        <v>2084</v>
      </c>
      <c r="E1251" s="79" t="s">
        <v>1016</v>
      </c>
      <c r="F1251" s="79" t="s">
        <v>1268</v>
      </c>
      <c r="G1251" s="79" t="s">
        <v>52</v>
      </c>
      <c r="H1251" s="82" t="s">
        <v>1958</v>
      </c>
      <c r="I1251" s="79">
        <v>156</v>
      </c>
      <c r="J1251" s="79" t="s">
        <v>2084</v>
      </c>
      <c r="K1251" s="80" t="s">
        <v>469</v>
      </c>
      <c r="L1251" s="79">
        <f>VLOOKUP(H1251,Table2[#All],3,FALSE)</f>
        <v>304</v>
      </c>
      <c r="M1251" s="80">
        <f t="shared" si="377"/>
        <v>302</v>
      </c>
      <c r="N1251" s="81">
        <f t="shared" si="365"/>
        <v>-2</v>
      </c>
      <c r="P1251" s="82">
        <f>R1251-TIME(0,54,0)</f>
        <v>45795.456250000003</v>
      </c>
      <c r="Q1251" s="82">
        <v>45795.850694444445</v>
      </c>
      <c r="R1251" s="82">
        <v>45795.493750000001</v>
      </c>
      <c r="S1251" s="81">
        <f t="shared" ref="S1251:S1252" si="398">(R1251-Q1251)*86000/60</f>
        <v>-511.62037036944338</v>
      </c>
      <c r="T1251" s="81">
        <f t="shared" si="380"/>
        <v>53.749999997914223</v>
      </c>
      <c r="U1251" s="79" t="s">
        <v>562</v>
      </c>
      <c r="V1251" s="82">
        <v>45795.852083333331</v>
      </c>
      <c r="W1251" s="82">
        <v>45796.722222222219</v>
      </c>
      <c r="X1251" s="103">
        <f t="shared" si="381"/>
        <v>1226.8958333315095</v>
      </c>
      <c r="Y1251" s="82" t="s">
        <v>1050</v>
      </c>
      <c r="Z1251" s="82">
        <v>45797.553472222222</v>
      </c>
      <c r="AA1251" s="82">
        <f>Z1251+TIME(0,38,0)</f>
        <v>45797.579861111109</v>
      </c>
      <c r="AB1251" s="81">
        <f t="shared" si="384"/>
        <v>37.208333331509493</v>
      </c>
      <c r="AC1251" s="82"/>
      <c r="AD1251" s="83">
        <f t="shared" si="368"/>
        <v>2.0597222222204437</v>
      </c>
      <c r="AE1251" s="83">
        <f>VLOOKUP(H1251,'LIST 2'!$A$1:$E$27,4,FALSE)</f>
        <v>2</v>
      </c>
      <c r="AF1251" s="83">
        <f t="shared" si="369"/>
        <v>-5.9722222220443655E-2</v>
      </c>
      <c r="AG1251" s="81">
        <f t="shared" si="370"/>
        <v>49.433333333290648</v>
      </c>
      <c r="AH1251" s="81">
        <f t="shared" si="371"/>
        <v>24</v>
      </c>
      <c r="AI1251" s="81">
        <f t="shared" si="372"/>
        <v>25.433333333290648</v>
      </c>
      <c r="AJ1251" s="83">
        <f t="shared" si="382"/>
        <v>6.133682830940832</v>
      </c>
      <c r="AK1251" s="122"/>
      <c r="AL1251" s="122"/>
      <c r="AM1251" s="122"/>
      <c r="AN1251" s="122"/>
    </row>
    <row r="1252" spans="1:40" ht="20.25" customHeight="1" x14ac:dyDescent="0.25">
      <c r="A1252" s="82">
        <v>45795</v>
      </c>
      <c r="B1252" s="94" t="str">
        <f t="shared" si="374"/>
        <v>May</v>
      </c>
      <c r="C1252" s="79" t="s">
        <v>2162</v>
      </c>
      <c r="D1252" s="79" t="s">
        <v>2085</v>
      </c>
      <c r="E1252" s="79" t="s">
        <v>1016</v>
      </c>
      <c r="F1252" s="79" t="s">
        <v>1698</v>
      </c>
      <c r="G1252" s="79" t="s">
        <v>1665</v>
      </c>
      <c r="H1252" s="82" t="s">
        <v>2187</v>
      </c>
      <c r="I1252" s="79">
        <v>156</v>
      </c>
      <c r="J1252" s="79" t="s">
        <v>2085</v>
      </c>
      <c r="K1252" s="80" t="s">
        <v>469</v>
      </c>
      <c r="L1252" s="79">
        <f>VLOOKUP(H1252,Table2[#All],3,FALSE)</f>
        <v>670</v>
      </c>
      <c r="M1252" s="80">
        <f>L1252-1</f>
        <v>669</v>
      </c>
      <c r="N1252" s="81">
        <f t="shared" si="365"/>
        <v>-1</v>
      </c>
      <c r="P1252" s="82">
        <f>R1252-TIME(0,29,0)</f>
        <v>45795.334027777775</v>
      </c>
      <c r="Q1252" s="82">
        <v>45795.740277777775</v>
      </c>
      <c r="R1252" s="82">
        <v>45795.354166666664</v>
      </c>
      <c r="S1252" s="81">
        <f t="shared" si="398"/>
        <v>-553.42592592569417</v>
      </c>
      <c r="T1252" s="81">
        <f t="shared" si="380"/>
        <v>28.865740740972495</v>
      </c>
      <c r="U1252" s="79"/>
      <c r="V1252" s="82">
        <v>45796.50277777778</v>
      </c>
      <c r="W1252" s="82">
        <v>45796.59652777778</v>
      </c>
      <c r="X1252" s="103">
        <f t="shared" si="381"/>
        <v>132.1875</v>
      </c>
      <c r="Y1252" s="82"/>
      <c r="Z1252" s="82">
        <v>45797.279861111114</v>
      </c>
      <c r="AA1252" s="82">
        <f>Z1252+TIME(0,42,0)</f>
        <v>45797.309027777781</v>
      </c>
      <c r="AB1252" s="81">
        <f t="shared" si="384"/>
        <v>41.12500000068394</v>
      </c>
      <c r="AC1252" s="82"/>
      <c r="AD1252" s="83">
        <f t="shared" si="368"/>
        <v>1.9256944444496185</v>
      </c>
      <c r="AE1252" s="83">
        <f>VLOOKUP(H1252,'LIST 2'!$A$1:$E$27,4,FALSE)</f>
        <v>2</v>
      </c>
      <c r="AF1252" s="83">
        <f t="shared" si="369"/>
        <v>7.4305555550381541E-2</v>
      </c>
      <c r="AG1252" s="81">
        <f t="shared" si="370"/>
        <v>46.216666666790843</v>
      </c>
      <c r="AH1252" s="81">
        <f t="shared" si="371"/>
        <v>12</v>
      </c>
      <c r="AI1252" s="81">
        <f t="shared" si="372"/>
        <v>34.216666666790843</v>
      </c>
      <c r="AJ1252" s="83">
        <f t="shared" si="382"/>
        <v>4.5591816853219829</v>
      </c>
      <c r="AK1252" s="122"/>
      <c r="AL1252" s="122"/>
      <c r="AM1252" s="122"/>
      <c r="AN1252" s="122"/>
    </row>
    <row r="1253" spans="1:40" ht="20.25" customHeight="1" x14ac:dyDescent="0.25">
      <c r="A1253" s="82">
        <v>45795</v>
      </c>
      <c r="B1253" s="94" t="str">
        <f t="shared" si="374"/>
        <v>May</v>
      </c>
      <c r="C1253" s="79" t="s">
        <v>2161</v>
      </c>
      <c r="D1253" s="79" t="s">
        <v>2086</v>
      </c>
      <c r="E1253" s="79"/>
      <c r="F1253" s="79" t="s">
        <v>966</v>
      </c>
      <c r="G1253" s="79" t="s">
        <v>981</v>
      </c>
      <c r="H1253" s="82" t="s">
        <v>1956</v>
      </c>
      <c r="I1253" s="79">
        <v>153.6</v>
      </c>
      <c r="J1253" s="79" t="s">
        <v>2086</v>
      </c>
      <c r="K1253" s="80" t="s">
        <v>469</v>
      </c>
      <c r="L1253" s="79">
        <f>VLOOKUP(H1253,Table2[#All],3,FALSE)</f>
        <v>596</v>
      </c>
      <c r="M1253" s="80">
        <f>L1253-3</f>
        <v>593</v>
      </c>
      <c r="N1253" s="81">
        <f t="shared" ref="N1253:N1316" si="399">M1253-L1253</f>
        <v>-3</v>
      </c>
      <c r="P1253" s="82">
        <f>R1253-TIME(0,38,0)</f>
        <v>45794.691666666666</v>
      </c>
      <c r="Q1253" s="82">
        <v>45795.176388888889</v>
      </c>
      <c r="R1253" s="82">
        <v>45794.718055555553</v>
      </c>
      <c r="T1253" s="81">
        <f t="shared" si="380"/>
        <v>37.82407407222005</v>
      </c>
      <c r="U1253" s="79" t="s">
        <v>2163</v>
      </c>
      <c r="V1253" s="82">
        <v>45795.48541666667</v>
      </c>
      <c r="W1253" s="82">
        <v>45795.652083333334</v>
      </c>
      <c r="X1253" s="103">
        <f t="shared" si="381"/>
        <v>234.9999999965803</v>
      </c>
      <c r="Y1253" s="82" t="s">
        <v>1047</v>
      </c>
      <c r="Z1253" s="82">
        <v>45796.447222222225</v>
      </c>
      <c r="AA1253" s="82">
        <f>Z1253+TIME(0,36,0)</f>
        <v>45796.472222222226</v>
      </c>
      <c r="AB1253" s="81">
        <f t="shared" si="384"/>
        <v>35.25000000205182</v>
      </c>
      <c r="AC1253" s="82"/>
      <c r="AD1253" s="83">
        <f t="shared" si="368"/>
        <v>1.7291666666715173</v>
      </c>
      <c r="AE1253" s="83">
        <f>VLOOKUP(H1253,'LIST 2'!$A$1:$E$27,4,FALSE)</f>
        <v>2</v>
      </c>
      <c r="AF1253" s="83">
        <f t="shared" si="369"/>
        <v>0.27083333332848269</v>
      </c>
      <c r="AG1253" s="81">
        <f t="shared" si="370"/>
        <v>41.500000000116415</v>
      </c>
      <c r="AH1253" s="81">
        <f t="shared" si="371"/>
        <v>12</v>
      </c>
      <c r="AI1253" s="81">
        <f t="shared" si="372"/>
        <v>29.500000000116415</v>
      </c>
      <c r="AJ1253" s="83">
        <f t="shared" si="382"/>
        <v>5.2067796609964017</v>
      </c>
      <c r="AK1253" s="122">
        <v>11.5</v>
      </c>
      <c r="AL1253" s="122">
        <v>11.46</v>
      </c>
      <c r="AM1253" s="122">
        <v>11.5</v>
      </c>
      <c r="AN1253" s="122"/>
    </row>
    <row r="1254" spans="1:40" ht="20.25" customHeight="1" x14ac:dyDescent="0.25">
      <c r="A1254" s="82">
        <v>45795</v>
      </c>
      <c r="B1254" s="94" t="str">
        <f t="shared" si="374"/>
        <v>May</v>
      </c>
      <c r="C1254" s="79" t="s">
        <v>2161</v>
      </c>
      <c r="D1254" s="79" t="s">
        <v>2087</v>
      </c>
      <c r="E1254" s="79" t="s">
        <v>1016</v>
      </c>
      <c r="F1254" s="79" t="s">
        <v>950</v>
      </c>
      <c r="G1254" s="79" t="s">
        <v>967</v>
      </c>
      <c r="H1254" s="82" t="s">
        <v>1989</v>
      </c>
      <c r="I1254" s="79">
        <v>153.6</v>
      </c>
      <c r="J1254" s="79" t="s">
        <v>2087</v>
      </c>
      <c r="K1254" s="80" t="s">
        <v>469</v>
      </c>
      <c r="L1254" s="79">
        <f>VLOOKUP(H1254,Table2[#All],3,FALSE)</f>
        <v>20</v>
      </c>
      <c r="M1254" s="80">
        <f t="shared" si="377"/>
        <v>18</v>
      </c>
      <c r="N1254" s="81">
        <f t="shared" si="399"/>
        <v>-2</v>
      </c>
      <c r="P1254" s="82">
        <f>R1254-TIME(0,50,0)</f>
        <v>45794.875</v>
      </c>
      <c r="Q1254" s="82">
        <v>45795.416666666664</v>
      </c>
      <c r="R1254" s="82">
        <v>45794.909722222219</v>
      </c>
      <c r="T1254" s="81">
        <f t="shared" si="380"/>
        <v>49.768518513883464</v>
      </c>
      <c r="U1254" s="79" t="s">
        <v>2164</v>
      </c>
      <c r="V1254" s="82">
        <v>45794.936111111114</v>
      </c>
      <c r="W1254" s="82">
        <v>45795.531944444447</v>
      </c>
      <c r="X1254" s="103">
        <f t="shared" si="381"/>
        <v>840.12499999931606</v>
      </c>
      <c r="Y1254" s="82" t="s">
        <v>1044</v>
      </c>
      <c r="Z1254" s="82">
        <v>45795.550694444442</v>
      </c>
      <c r="AA1254" s="82">
        <f>Z1254+TIME(0,36,0)</f>
        <v>45795.575694444444</v>
      </c>
      <c r="AB1254" s="81">
        <f t="shared" si="384"/>
        <v>35.25000000205182</v>
      </c>
      <c r="AC1254" s="82"/>
      <c r="AD1254" s="83">
        <f t="shared" si="368"/>
        <v>0.64097222222335404</v>
      </c>
      <c r="AE1254" s="83">
        <f>VLOOKUP(H1254,'LIST 2'!$A$1:$E$27,4,FALSE)</f>
        <v>1</v>
      </c>
      <c r="AF1254" s="83">
        <f t="shared" si="369"/>
        <v>0.35902777777664596</v>
      </c>
      <c r="AG1254" s="81">
        <f t="shared" si="370"/>
        <v>15.383333333360497</v>
      </c>
      <c r="AH1254" s="81">
        <f t="shared" si="371"/>
        <v>0</v>
      </c>
      <c r="AI1254" s="81">
        <f t="shared" si="372"/>
        <v>15.383333333360497</v>
      </c>
      <c r="AJ1254" s="83">
        <f t="shared" si="382"/>
        <v>9.9848320693214809</v>
      </c>
      <c r="AK1254" s="122">
        <v>11.26</v>
      </c>
      <c r="AL1254" s="122">
        <v>8.36</v>
      </c>
      <c r="AM1254" s="122"/>
      <c r="AN1254" s="122"/>
    </row>
    <row r="1255" spans="1:40" ht="20.25" customHeight="1" x14ac:dyDescent="0.25">
      <c r="A1255" s="82">
        <v>45795</v>
      </c>
      <c r="B1255" s="94" t="str">
        <f t="shared" si="374"/>
        <v>May</v>
      </c>
      <c r="C1255" s="79" t="s">
        <v>2162</v>
      </c>
      <c r="D1255" s="79" t="s">
        <v>2088</v>
      </c>
      <c r="E1255" s="79" t="s">
        <v>1016</v>
      </c>
      <c r="F1255" s="79" t="s">
        <v>1691</v>
      </c>
      <c r="G1255" s="79" t="s">
        <v>55</v>
      </c>
      <c r="H1255" s="82" t="s">
        <v>1959</v>
      </c>
      <c r="I1255" s="79">
        <v>156</v>
      </c>
      <c r="J1255" s="79" t="s">
        <v>2088</v>
      </c>
      <c r="K1255" s="80" t="s">
        <v>469</v>
      </c>
      <c r="L1255" s="79">
        <f>VLOOKUP(H1255,Table2[#All],3,FALSE)</f>
        <v>304</v>
      </c>
      <c r="M1255" s="80">
        <f t="shared" si="377"/>
        <v>302</v>
      </c>
      <c r="N1255" s="81">
        <f t="shared" si="399"/>
        <v>-2</v>
      </c>
      <c r="P1255" s="82">
        <f t="shared" ref="P1255:P1256" si="400">R1255-TIME(0,29,0)</f>
        <v>45794.568749999999</v>
      </c>
      <c r="Q1255" s="82">
        <v>45795.098611111112</v>
      </c>
      <c r="R1255" s="82">
        <v>45794.588888888888</v>
      </c>
      <c r="S1255" s="81">
        <f t="shared" ref="S1255:S1261" si="401">(R1255-Q1255)*86000/60</f>
        <v>-730.60185185555986</v>
      </c>
      <c r="T1255" s="81">
        <f t="shared" si="380"/>
        <v>28.865740740972495</v>
      </c>
      <c r="U1255" s="79"/>
      <c r="V1255" s="82">
        <v>45795.519444444442</v>
      </c>
      <c r="W1255" s="82">
        <v>45795.606249999997</v>
      </c>
      <c r="X1255" s="103">
        <f t="shared" si="381"/>
        <v>122.39583333219343</v>
      </c>
      <c r="Y1255" s="82"/>
      <c r="Z1255" s="82">
        <v>45795.838194444441</v>
      </c>
      <c r="AA1255" s="82">
        <f>Z1255+TIME(0,44,0)</f>
        <v>45795.868749999994</v>
      </c>
      <c r="AB1255" s="81">
        <f t="shared" si="384"/>
        <v>43.083333330141613</v>
      </c>
      <c r="AC1255" s="82"/>
      <c r="AD1255" s="83">
        <f t="shared" si="368"/>
        <v>1.2493055555532919</v>
      </c>
      <c r="AE1255" s="83">
        <f>VLOOKUP(H1255,'LIST 2'!$A$1:$E$27,4,FALSE)</f>
        <v>2</v>
      </c>
      <c r="AF1255" s="83">
        <f t="shared" si="369"/>
        <v>0.75069444444670808</v>
      </c>
      <c r="AG1255" s="81">
        <f t="shared" si="370"/>
        <v>29.983333333279006</v>
      </c>
      <c r="AH1255" s="81">
        <f t="shared" si="371"/>
        <v>12</v>
      </c>
      <c r="AI1255" s="81">
        <f t="shared" si="372"/>
        <v>17.983333333279006</v>
      </c>
      <c r="AJ1255" s="83">
        <f t="shared" si="382"/>
        <v>8.674698795206929</v>
      </c>
      <c r="AK1255" s="122"/>
      <c r="AL1255" s="122"/>
      <c r="AM1255" s="122"/>
      <c r="AN1255" s="122"/>
    </row>
    <row r="1256" spans="1:40" ht="20.25" customHeight="1" x14ac:dyDescent="0.25">
      <c r="A1256" s="82">
        <v>45795</v>
      </c>
      <c r="B1256" s="94" t="str">
        <f t="shared" si="374"/>
        <v>May</v>
      </c>
      <c r="C1256" s="79" t="s">
        <v>2162</v>
      </c>
      <c r="D1256" s="79" t="s">
        <v>2089</v>
      </c>
      <c r="E1256" s="79" t="s">
        <v>1016</v>
      </c>
      <c r="F1256" s="79" t="s">
        <v>1963</v>
      </c>
      <c r="G1256" s="79" t="s">
        <v>43</v>
      </c>
      <c r="H1256" s="82" t="s">
        <v>2179</v>
      </c>
      <c r="I1256" s="79">
        <v>156</v>
      </c>
      <c r="J1256" s="79" t="s">
        <v>2089</v>
      </c>
      <c r="K1256" s="80" t="s">
        <v>469</v>
      </c>
      <c r="L1256" s="79">
        <f>VLOOKUP(H1256,Table2[#All],3,FALSE)</f>
        <v>560</v>
      </c>
      <c r="M1256" s="80">
        <f t="shared" si="377"/>
        <v>558</v>
      </c>
      <c r="N1256" s="81">
        <f t="shared" si="399"/>
        <v>-2</v>
      </c>
      <c r="P1256" s="82">
        <f t="shared" si="400"/>
        <v>45794.563888888886</v>
      </c>
      <c r="Q1256" s="82">
        <v>45795.104166666664</v>
      </c>
      <c r="R1256" s="82">
        <v>45794.584027777775</v>
      </c>
      <c r="S1256" s="81">
        <f t="shared" si="401"/>
        <v>-745.5324074076392</v>
      </c>
      <c r="T1256" s="81">
        <f t="shared" si="380"/>
        <v>28.865740740972495</v>
      </c>
      <c r="U1256" s="79"/>
      <c r="V1256" s="82">
        <v>45795.448611111111</v>
      </c>
      <c r="W1256" s="82">
        <v>45796.677083333336</v>
      </c>
      <c r="X1256" s="103">
        <f t="shared" si="381"/>
        <v>1732.145833336981</v>
      </c>
      <c r="Y1256" s="82" t="s">
        <v>1044</v>
      </c>
      <c r="Z1256" s="82">
        <v>45799.842361111114</v>
      </c>
      <c r="AA1256" s="82">
        <f>Z1256+TIME(0,38,0)</f>
        <v>45799.868750000001</v>
      </c>
      <c r="AB1256" s="81">
        <f t="shared" si="384"/>
        <v>37.208333331509493</v>
      </c>
      <c r="AC1256" s="82"/>
      <c r="AD1256" s="83">
        <f t="shared" si="368"/>
        <v>5.258333333338669</v>
      </c>
      <c r="AE1256" s="83">
        <f>VLOOKUP(H1256,'LIST 2'!$A$1:$E$27,4,FALSE)</f>
        <v>2</v>
      </c>
      <c r="AF1256" s="83">
        <f t="shared" si="369"/>
        <v>-3.258333333338669</v>
      </c>
      <c r="AG1256" s="81">
        <f t="shared" si="370"/>
        <v>126.20000000012806</v>
      </c>
      <c r="AH1256" s="81">
        <f t="shared" si="371"/>
        <v>60</v>
      </c>
      <c r="AI1256" s="81">
        <f t="shared" si="372"/>
        <v>66.200000000128057</v>
      </c>
      <c r="AJ1256" s="83">
        <f t="shared" si="382"/>
        <v>2.3564954682733874</v>
      </c>
      <c r="AK1256" s="122"/>
      <c r="AL1256" s="122"/>
      <c r="AM1256" s="122"/>
      <c r="AN1256" s="122"/>
    </row>
    <row r="1257" spans="1:40" ht="20.25" customHeight="1" x14ac:dyDescent="0.25">
      <c r="A1257" s="82">
        <v>45795</v>
      </c>
      <c r="B1257" s="94" t="str">
        <f t="shared" si="374"/>
        <v>May</v>
      </c>
      <c r="C1257" s="79" t="s">
        <v>2162</v>
      </c>
      <c r="D1257" s="79" t="s">
        <v>2090</v>
      </c>
      <c r="E1257" s="79" t="s">
        <v>1016</v>
      </c>
      <c r="F1257" s="79" t="s">
        <v>1694</v>
      </c>
      <c r="G1257" s="79" t="s">
        <v>39</v>
      </c>
      <c r="H1257" s="82" t="s">
        <v>2177</v>
      </c>
      <c r="I1257" s="79">
        <v>156</v>
      </c>
      <c r="J1257" s="79" t="s">
        <v>2090</v>
      </c>
      <c r="K1257" s="80" t="s">
        <v>469</v>
      </c>
      <c r="L1257" s="79">
        <f>VLOOKUP(H1257,Table2[#All],3,FALSE)</f>
        <v>448</v>
      </c>
      <c r="M1257" s="80">
        <f>L1257-1</f>
        <v>447</v>
      </c>
      <c r="N1257" s="81">
        <f t="shared" si="399"/>
        <v>-1</v>
      </c>
      <c r="P1257" s="82">
        <f>R1257-TIME(0,53,0)</f>
        <v>45795.417361111111</v>
      </c>
      <c r="Q1257" s="82">
        <v>45796.0625</v>
      </c>
      <c r="R1257" s="82">
        <v>45795.45416666667</v>
      </c>
      <c r="S1257" s="81">
        <f t="shared" si="401"/>
        <v>-871.94444443957764</v>
      </c>
      <c r="T1257" s="81">
        <f t="shared" si="380"/>
        <v>52.75462963472819</v>
      </c>
      <c r="U1257" s="79" t="s">
        <v>562</v>
      </c>
      <c r="V1257" s="82">
        <v>45796.504166666666</v>
      </c>
      <c r="W1257" s="82">
        <v>45796.64166666667</v>
      </c>
      <c r="X1257" s="103">
        <f t="shared" si="381"/>
        <v>193.87500000615546</v>
      </c>
      <c r="Y1257" s="82" t="s">
        <v>1047</v>
      </c>
      <c r="Z1257" s="82">
        <v>45797.290972222225</v>
      </c>
      <c r="AA1257" s="82">
        <f>Z1257+TIME(0,39,0)</f>
        <v>45797.318055555559</v>
      </c>
      <c r="AB1257" s="81">
        <f t="shared" si="384"/>
        <v>38.18750000136788</v>
      </c>
      <c r="AC1257" s="82"/>
      <c r="AD1257" s="83">
        <f t="shared" si="368"/>
        <v>1.8368055555547471</v>
      </c>
      <c r="AE1257" s="83">
        <f>VLOOKUP(H1257,'LIST 2'!$A$1:$E$27,4,FALSE)</f>
        <v>2</v>
      </c>
      <c r="AF1257" s="83">
        <f t="shared" si="369"/>
        <v>0.16319444444525288</v>
      </c>
      <c r="AG1257" s="81">
        <f t="shared" si="370"/>
        <v>44.083333333313931</v>
      </c>
      <c r="AH1257" s="81">
        <f t="shared" si="371"/>
        <v>12</v>
      </c>
      <c r="AI1257" s="81">
        <f t="shared" si="372"/>
        <v>32.083333333313931</v>
      </c>
      <c r="AJ1257" s="83">
        <f t="shared" si="382"/>
        <v>4.8623376623406029</v>
      </c>
      <c r="AK1257" s="122"/>
      <c r="AL1257" s="122"/>
      <c r="AM1257" s="122"/>
      <c r="AN1257" s="122"/>
    </row>
    <row r="1258" spans="1:40" ht="20.25" customHeight="1" x14ac:dyDescent="0.25">
      <c r="A1258" s="82">
        <v>45795</v>
      </c>
      <c r="B1258" s="94" t="str">
        <f t="shared" si="374"/>
        <v>May</v>
      </c>
      <c r="C1258" s="79" t="s">
        <v>2162</v>
      </c>
      <c r="D1258" s="79" t="s">
        <v>2091</v>
      </c>
      <c r="E1258" s="79" t="s">
        <v>1016</v>
      </c>
      <c r="F1258" s="79" t="s">
        <v>1699</v>
      </c>
      <c r="G1258" s="79" t="s">
        <v>80</v>
      </c>
      <c r="H1258" s="82" t="s">
        <v>2076</v>
      </c>
      <c r="I1258" s="79">
        <v>156</v>
      </c>
      <c r="J1258" s="79" t="s">
        <v>2091</v>
      </c>
      <c r="K1258" s="80" t="s">
        <v>469</v>
      </c>
      <c r="L1258" s="79">
        <f>VLOOKUP(H1258,Table2[#All],3,FALSE)</f>
        <v>790</v>
      </c>
      <c r="M1258" s="80">
        <f t="shared" si="377"/>
        <v>788</v>
      </c>
      <c r="N1258" s="81">
        <f t="shared" si="399"/>
        <v>-2</v>
      </c>
      <c r="P1258" s="82">
        <f>R1258-TIME(0,27,0)</f>
        <v>45794.899305555555</v>
      </c>
      <c r="Q1258" s="82">
        <v>45795.595138888886</v>
      </c>
      <c r="R1258" s="82">
        <v>45794.918055555558</v>
      </c>
      <c r="S1258" s="81">
        <f t="shared" si="401"/>
        <v>-970.48611110415857</v>
      </c>
      <c r="T1258" s="81">
        <f t="shared" si="380"/>
        <v>26.87500000417155</v>
      </c>
      <c r="U1258" s="79"/>
      <c r="V1258" s="82">
        <v>45796.484722222223</v>
      </c>
      <c r="W1258" s="82">
        <v>45796.574305555558</v>
      </c>
      <c r="X1258" s="103">
        <f t="shared" si="381"/>
        <v>126.31250000136788</v>
      </c>
      <c r="Y1258" s="82"/>
      <c r="Z1258" s="82">
        <v>45797.731944444444</v>
      </c>
      <c r="AA1258" s="82">
        <f>Z1258+TIME(0,36,0)</f>
        <v>45797.756944444445</v>
      </c>
      <c r="AB1258" s="81">
        <f t="shared" si="384"/>
        <v>35.25000000205182</v>
      </c>
      <c r="AC1258" s="82"/>
      <c r="AD1258" s="83">
        <f t="shared" si="368"/>
        <v>2.8138888888861402</v>
      </c>
      <c r="AE1258" s="83">
        <f>VLOOKUP(H1258,'LIST 2'!$A$1:$E$27,4,FALSE)</f>
        <v>3</v>
      </c>
      <c r="AF1258" s="83">
        <f t="shared" si="369"/>
        <v>0.18611111111385981</v>
      </c>
      <c r="AG1258" s="81">
        <f t="shared" si="370"/>
        <v>67.533333333267365</v>
      </c>
      <c r="AH1258" s="81">
        <f t="shared" si="371"/>
        <v>24</v>
      </c>
      <c r="AI1258" s="81">
        <f t="shared" si="372"/>
        <v>43.533333333267365</v>
      </c>
      <c r="AJ1258" s="83">
        <f t="shared" si="382"/>
        <v>3.5834609494694423</v>
      </c>
      <c r="AK1258" s="122"/>
      <c r="AL1258" s="122"/>
      <c r="AM1258" s="122"/>
      <c r="AN1258" s="122"/>
    </row>
    <row r="1259" spans="1:40" ht="20.25" customHeight="1" x14ac:dyDescent="0.25">
      <c r="A1259" s="82">
        <v>45795</v>
      </c>
      <c r="B1259" s="94" t="str">
        <f t="shared" si="374"/>
        <v>May</v>
      </c>
      <c r="C1259" s="79" t="s">
        <v>2162</v>
      </c>
      <c r="D1259" s="79" t="s">
        <v>2092</v>
      </c>
      <c r="E1259" s="79" t="s">
        <v>1016</v>
      </c>
      <c r="F1259" s="79" t="s">
        <v>2021</v>
      </c>
      <c r="G1259" s="79" t="s">
        <v>44</v>
      </c>
      <c r="H1259" s="82" t="s">
        <v>2183</v>
      </c>
      <c r="I1259" s="79">
        <v>156</v>
      </c>
      <c r="J1259" s="79" t="s">
        <v>2092</v>
      </c>
      <c r="K1259" s="80" t="s">
        <v>469</v>
      </c>
      <c r="L1259" s="79">
        <f>VLOOKUP(H1259,Table2[#All],3,FALSE)</f>
        <v>690</v>
      </c>
      <c r="M1259" s="80">
        <f t="shared" si="377"/>
        <v>688</v>
      </c>
      <c r="N1259" s="81">
        <f t="shared" si="399"/>
        <v>-2</v>
      </c>
      <c r="P1259" s="82">
        <f>R1259-TIME(0,29,0)</f>
        <v>45794.824305555558</v>
      </c>
      <c r="Q1259" s="82">
        <v>45795.815972222219</v>
      </c>
      <c r="R1259" s="82">
        <v>45794.844444444447</v>
      </c>
      <c r="S1259" s="81">
        <f t="shared" si="401"/>
        <v>-1392.5231481402686</v>
      </c>
      <c r="T1259" s="81">
        <f t="shared" si="380"/>
        <v>28.865740740972495</v>
      </c>
      <c r="U1259" s="79"/>
      <c r="V1259" s="82">
        <v>45795.875694444447</v>
      </c>
      <c r="W1259" s="82">
        <v>45796.599305555559</v>
      </c>
      <c r="X1259" s="103">
        <f t="shared" si="381"/>
        <v>1020.2916666684905</v>
      </c>
      <c r="Y1259" s="82" t="s">
        <v>1050</v>
      </c>
      <c r="Z1259" s="82">
        <v>45797.4</v>
      </c>
      <c r="AA1259" s="82">
        <f>Z1259+TIME(0,57,0)</f>
        <v>45797.439583333333</v>
      </c>
      <c r="AB1259" s="81">
        <f t="shared" si="384"/>
        <v>55.81249999726424</v>
      </c>
      <c r="AC1259" s="82" t="s">
        <v>1673</v>
      </c>
      <c r="AD1259" s="83">
        <f t="shared" ref="AD1259:AD1320" si="402">Z1259-R1259</f>
        <v>2.5555555555547471</v>
      </c>
      <c r="AE1259" s="83">
        <f>VLOOKUP(H1259,'LIST 2'!$A$1:$E$27,4,FALSE)</f>
        <v>3</v>
      </c>
      <c r="AF1259" s="83">
        <f t="shared" ref="AF1259:AF1320" si="403">AE1259-AD1259</f>
        <v>0.44444444444525288</v>
      </c>
      <c r="AG1259" s="81">
        <f t="shared" ref="AG1259:AG1320" si="404">AD1259*24</f>
        <v>61.333333333313931</v>
      </c>
      <c r="AH1259" s="81">
        <f t="shared" ref="AH1259:AH1320" si="405">AG1259-AI1259</f>
        <v>24</v>
      </c>
      <c r="AI1259" s="81">
        <f t="shared" ref="AI1259:AI1320" si="406" xml:space="preserve"> ((Z1259 - R1259) * 24) - (INT(Z1259 - R1259) * 12)</f>
        <v>37.333333333313931</v>
      </c>
      <c r="AJ1259" s="83">
        <f t="shared" si="382"/>
        <v>4.1785714285736004</v>
      </c>
      <c r="AK1259" s="122"/>
      <c r="AL1259" s="122"/>
      <c r="AM1259" s="122"/>
      <c r="AN1259" s="122"/>
    </row>
    <row r="1260" spans="1:40" ht="20.25" customHeight="1" x14ac:dyDescent="0.25">
      <c r="A1260" s="82">
        <v>45795</v>
      </c>
      <c r="B1260" s="94" t="str">
        <f t="shared" si="374"/>
        <v>May</v>
      </c>
      <c r="C1260" s="79" t="s">
        <v>2162</v>
      </c>
      <c r="D1260" s="79" t="s">
        <v>2093</v>
      </c>
      <c r="E1260" s="79" t="s">
        <v>1016</v>
      </c>
      <c r="F1260" s="79" t="s">
        <v>1700</v>
      </c>
      <c r="G1260" s="79" t="s">
        <v>54</v>
      </c>
      <c r="H1260" s="82" t="s">
        <v>1959</v>
      </c>
      <c r="I1260" s="79">
        <v>156</v>
      </c>
      <c r="J1260" s="79" t="s">
        <v>2093</v>
      </c>
      <c r="K1260" s="80" t="s">
        <v>469</v>
      </c>
      <c r="L1260" s="79">
        <f>VLOOKUP(H1260,Table2[#All],3,FALSE)</f>
        <v>304</v>
      </c>
      <c r="M1260" s="80">
        <f>L1260-3</f>
        <v>301</v>
      </c>
      <c r="N1260" s="81">
        <f t="shared" si="399"/>
        <v>-3</v>
      </c>
      <c r="P1260" s="82">
        <f t="shared" ref="P1260:P1261" si="407">R1260-TIME(0,27,0)</f>
        <v>45794.877777777772</v>
      </c>
      <c r="Q1260" s="82">
        <v>45796.098611111112</v>
      </c>
      <c r="R1260" s="82">
        <v>45794.896527777775</v>
      </c>
      <c r="S1260" s="81">
        <f t="shared" si="401"/>
        <v>-1722.9861111166731</v>
      </c>
      <c r="T1260" s="81">
        <f t="shared" si="380"/>
        <v>26.87500000417155</v>
      </c>
      <c r="U1260" s="79"/>
      <c r="V1260" s="82">
        <v>45795.651388888888</v>
      </c>
      <c r="W1260" s="82">
        <v>45796.484027777777</v>
      </c>
      <c r="X1260" s="103">
        <f t="shared" si="381"/>
        <v>1174.0208333335613</v>
      </c>
      <c r="Y1260" s="82" t="s">
        <v>1044</v>
      </c>
      <c r="Z1260" s="82">
        <v>45796.717361111114</v>
      </c>
      <c r="AA1260" s="82">
        <f>Z1260+TIME(0,51,0)</f>
        <v>45796.75277777778</v>
      </c>
      <c r="AB1260" s="81">
        <f t="shared" si="384"/>
        <v>49.93749999863212</v>
      </c>
      <c r="AC1260" s="82" t="s">
        <v>2168</v>
      </c>
      <c r="AD1260" s="83">
        <f t="shared" si="402"/>
        <v>1.820833333338669</v>
      </c>
      <c r="AE1260" s="83">
        <f>VLOOKUP(H1260,'LIST 2'!$A$1:$E$27,4,FALSE)</f>
        <v>2</v>
      </c>
      <c r="AF1260" s="83">
        <f t="shared" si="403"/>
        <v>0.17916666666133096</v>
      </c>
      <c r="AG1260" s="81">
        <f t="shared" si="404"/>
        <v>43.700000000128057</v>
      </c>
      <c r="AH1260" s="81">
        <f t="shared" si="405"/>
        <v>12</v>
      </c>
      <c r="AI1260" s="81">
        <f t="shared" si="406"/>
        <v>31.700000000128057</v>
      </c>
      <c r="AJ1260" s="83">
        <f t="shared" si="382"/>
        <v>4.9211356466678176</v>
      </c>
      <c r="AK1260" s="122"/>
      <c r="AL1260" s="122"/>
      <c r="AM1260" s="122"/>
      <c r="AN1260" s="122"/>
    </row>
    <row r="1261" spans="1:40" ht="20.25" customHeight="1" x14ac:dyDescent="0.25">
      <c r="A1261" s="82">
        <v>45795</v>
      </c>
      <c r="B1261" s="94" t="str">
        <f t="shared" si="374"/>
        <v>May</v>
      </c>
      <c r="C1261" s="79" t="s">
        <v>2162</v>
      </c>
      <c r="D1261" s="79" t="s">
        <v>2094</v>
      </c>
      <c r="E1261" s="79" t="s">
        <v>1016</v>
      </c>
      <c r="F1261" s="79" t="s">
        <v>961</v>
      </c>
      <c r="G1261" s="79" t="s">
        <v>977</v>
      </c>
      <c r="H1261" s="82" t="s">
        <v>1959</v>
      </c>
      <c r="I1261" s="79">
        <v>156</v>
      </c>
      <c r="J1261" s="79" t="s">
        <v>2094</v>
      </c>
      <c r="K1261" s="80" t="s">
        <v>469</v>
      </c>
      <c r="L1261" s="79">
        <f>VLOOKUP(H1261,Table2[#All],3,FALSE)</f>
        <v>304</v>
      </c>
      <c r="M1261" s="80">
        <f t="shared" si="377"/>
        <v>302</v>
      </c>
      <c r="N1261" s="81">
        <f t="shared" si="399"/>
        <v>-2</v>
      </c>
      <c r="P1261" s="82">
        <f t="shared" si="407"/>
        <v>45794.822916666664</v>
      </c>
      <c r="Q1261" s="82">
        <v>45796.098611111112</v>
      </c>
      <c r="R1261" s="82">
        <v>45794.841666666667</v>
      </c>
      <c r="S1261" s="81">
        <f t="shared" si="401"/>
        <v>-1801.6203703715291</v>
      </c>
      <c r="T1261" s="81">
        <f t="shared" si="380"/>
        <v>26.87500000417155</v>
      </c>
      <c r="U1261" s="79"/>
      <c r="V1261" s="82">
        <v>45795.674305555556</v>
      </c>
      <c r="W1261" s="82">
        <v>45796.530555555553</v>
      </c>
      <c r="X1261" s="103">
        <f t="shared" si="381"/>
        <v>1207.3124999958964</v>
      </c>
      <c r="Y1261" s="82" t="s">
        <v>1044</v>
      </c>
      <c r="Z1261" s="82">
        <v>45796.774305555555</v>
      </c>
      <c r="AA1261" s="82">
        <f>Z1261+TIME(0,44,0)</f>
        <v>45796.804861111108</v>
      </c>
      <c r="AB1261" s="81">
        <f t="shared" si="384"/>
        <v>43.083333330141613</v>
      </c>
      <c r="AC1261" s="82"/>
      <c r="AD1261" s="83">
        <f t="shared" si="402"/>
        <v>1.9326388888875954</v>
      </c>
      <c r="AE1261" s="83">
        <f>VLOOKUP(H1261,'LIST 2'!$A$1:$E$27,4,FALSE)</f>
        <v>2</v>
      </c>
      <c r="AF1261" s="83">
        <f t="shared" si="403"/>
        <v>6.7361111112404615E-2</v>
      </c>
      <c r="AG1261" s="81">
        <f t="shared" si="404"/>
        <v>46.383333333302289</v>
      </c>
      <c r="AH1261" s="81">
        <f t="shared" si="405"/>
        <v>12</v>
      </c>
      <c r="AI1261" s="81">
        <f t="shared" si="406"/>
        <v>34.383333333302289</v>
      </c>
      <c r="AJ1261" s="83">
        <f t="shared" si="382"/>
        <v>4.5370819195387551</v>
      </c>
      <c r="AK1261" s="122"/>
      <c r="AL1261" s="122"/>
      <c r="AM1261" s="122"/>
      <c r="AN1261" s="122"/>
    </row>
    <row r="1262" spans="1:40" ht="20.25" customHeight="1" x14ac:dyDescent="0.25">
      <c r="A1262" s="82">
        <v>45796</v>
      </c>
      <c r="B1262" s="94" t="str">
        <f t="shared" si="374"/>
        <v>May</v>
      </c>
      <c r="C1262" s="79" t="s">
        <v>2161</v>
      </c>
      <c r="D1262" s="79" t="s">
        <v>2095</v>
      </c>
      <c r="E1262" s="79"/>
      <c r="F1262" s="79" t="s">
        <v>957</v>
      </c>
      <c r="G1262" s="79" t="s">
        <v>974</v>
      </c>
      <c r="H1262" s="82" t="s">
        <v>1989</v>
      </c>
      <c r="I1262" s="79">
        <v>153.6</v>
      </c>
      <c r="J1262" s="79" t="s">
        <v>2095</v>
      </c>
      <c r="K1262" s="80" t="s">
        <v>469</v>
      </c>
      <c r="L1262" s="79">
        <f>VLOOKUP(H1262,Table2[#All],3,FALSE)</f>
        <v>20</v>
      </c>
      <c r="M1262" s="80">
        <f>L1262-1</f>
        <v>19</v>
      </c>
      <c r="N1262" s="81">
        <f t="shared" si="399"/>
        <v>-1</v>
      </c>
      <c r="P1262" s="82">
        <f>R1262-TIME(0,29,0)</f>
        <v>45797.27847222222</v>
      </c>
      <c r="Q1262" s="82">
        <v>45796.320833333331</v>
      </c>
      <c r="R1262" s="82">
        <v>45797.298611111109</v>
      </c>
      <c r="T1262" s="81">
        <f t="shared" si="380"/>
        <v>28.865740740972495</v>
      </c>
      <c r="U1262" s="79"/>
      <c r="V1262" s="82">
        <v>45797.390972222223</v>
      </c>
      <c r="W1262" s="82">
        <v>45797.62777777778</v>
      </c>
      <c r="X1262" s="103">
        <f t="shared" si="381"/>
        <v>333.89583333424525</v>
      </c>
      <c r="Y1262" s="82" t="s">
        <v>1044</v>
      </c>
      <c r="Z1262" s="82">
        <v>45797.652083333334</v>
      </c>
      <c r="AA1262" s="82">
        <f>Z1262+TIME(0,42,0)</f>
        <v>45797.681250000001</v>
      </c>
      <c r="AB1262" s="81">
        <f t="shared" si="384"/>
        <v>41.12500000068394</v>
      </c>
      <c r="AC1262" s="82"/>
      <c r="AD1262" s="83">
        <f t="shared" si="402"/>
        <v>0.35347222222480923</v>
      </c>
      <c r="AE1262" s="83">
        <f>VLOOKUP(H1262,'LIST 2'!$A$1:$E$27,4,FALSE)</f>
        <v>1</v>
      </c>
      <c r="AF1262" s="83">
        <f t="shared" si="403"/>
        <v>0.64652777777519077</v>
      </c>
      <c r="AG1262" s="81">
        <f t="shared" si="404"/>
        <v>8.4833333333954215</v>
      </c>
      <c r="AH1262" s="81">
        <f t="shared" si="405"/>
        <v>0</v>
      </c>
      <c r="AI1262" s="81">
        <f t="shared" si="406"/>
        <v>8.4833333333954215</v>
      </c>
      <c r="AJ1262" s="83">
        <f t="shared" si="382"/>
        <v>18.106090373148426</v>
      </c>
      <c r="AK1262" s="122">
        <v>10.45</v>
      </c>
      <c r="AL1262" s="122"/>
      <c r="AM1262" s="122"/>
      <c r="AN1262" s="122"/>
    </row>
    <row r="1263" spans="1:40" ht="20.25" customHeight="1" x14ac:dyDescent="0.25">
      <c r="A1263" s="82">
        <v>45796</v>
      </c>
      <c r="B1263" s="94" t="str">
        <f t="shared" ref="B1263:B1266" si="408">TEXT(A1263, "MMMM")</f>
        <v>May</v>
      </c>
      <c r="C1263" s="79" t="s">
        <v>2161</v>
      </c>
      <c r="D1263" s="79" t="s">
        <v>2096</v>
      </c>
      <c r="E1263" s="79"/>
      <c r="F1263" s="79" t="s">
        <v>965</v>
      </c>
      <c r="G1263" s="79" t="s">
        <v>980</v>
      </c>
      <c r="H1263" s="82" t="s">
        <v>1990</v>
      </c>
      <c r="I1263" s="79">
        <v>153.6</v>
      </c>
      <c r="J1263" s="79" t="s">
        <v>2096</v>
      </c>
      <c r="K1263" s="80" t="s">
        <v>469</v>
      </c>
      <c r="L1263" s="79">
        <f>VLOOKUP(H1263,Table2[#All],3,FALSE)</f>
        <v>810</v>
      </c>
      <c r="M1263" s="80">
        <f t="shared" si="377"/>
        <v>808</v>
      </c>
      <c r="N1263" s="81">
        <f t="shared" si="399"/>
        <v>-2</v>
      </c>
      <c r="P1263" s="82">
        <f>R1263-TIME(0,38,0)</f>
        <v>45796.406944444447</v>
      </c>
      <c r="Q1263" s="82">
        <v>45795.694444444445</v>
      </c>
      <c r="R1263" s="82">
        <v>45796.433333333334</v>
      </c>
      <c r="T1263" s="81">
        <f t="shared" si="380"/>
        <v>37.82407407222005</v>
      </c>
      <c r="U1263" s="79" t="s">
        <v>1671</v>
      </c>
      <c r="V1263" s="82">
        <v>45797.39166666667</v>
      </c>
      <c r="W1263" s="82">
        <v>45797.574305555558</v>
      </c>
      <c r="X1263" s="103">
        <f t="shared" si="381"/>
        <v>257.52083333150949</v>
      </c>
      <c r="Y1263" s="82" t="s">
        <v>1047</v>
      </c>
      <c r="Z1263" s="82">
        <v>45798.638194444444</v>
      </c>
      <c r="AA1263" s="82">
        <f>Z1263+TIME(0,44,0)</f>
        <v>45798.668749999997</v>
      </c>
      <c r="AB1263" s="81">
        <f t="shared" si="384"/>
        <v>43.083333330141613</v>
      </c>
      <c r="AC1263" s="82"/>
      <c r="AD1263" s="83">
        <f t="shared" si="402"/>
        <v>2.2048611111094942</v>
      </c>
      <c r="AE1263" s="83">
        <f>VLOOKUP(H1263,'LIST 2'!$A$1:$E$27,4,FALSE)</f>
        <v>3</v>
      </c>
      <c r="AF1263" s="83">
        <f t="shared" si="403"/>
        <v>0.79513888889050577</v>
      </c>
      <c r="AG1263" s="81">
        <f t="shared" si="404"/>
        <v>52.916666666627862</v>
      </c>
      <c r="AH1263" s="81">
        <f t="shared" si="405"/>
        <v>24</v>
      </c>
      <c r="AI1263" s="81">
        <f t="shared" si="406"/>
        <v>28.916666666627862</v>
      </c>
      <c r="AJ1263" s="83">
        <f t="shared" si="382"/>
        <v>5.3118155619667826</v>
      </c>
      <c r="AK1263" s="122">
        <v>6.21</v>
      </c>
      <c r="AL1263" s="122">
        <v>8.41</v>
      </c>
      <c r="AM1263" s="122">
        <v>7.44</v>
      </c>
      <c r="AN1263" s="122"/>
    </row>
    <row r="1264" spans="1:40" ht="20.25" customHeight="1" x14ac:dyDescent="0.25">
      <c r="A1264" s="82">
        <v>45796</v>
      </c>
      <c r="B1264" s="94" t="str">
        <f t="shared" si="408"/>
        <v>May</v>
      </c>
      <c r="C1264" s="79" t="s">
        <v>2161</v>
      </c>
      <c r="D1264" s="79" t="s">
        <v>2097</v>
      </c>
      <c r="E1264" s="79"/>
      <c r="F1264" s="79" t="s">
        <v>959</v>
      </c>
      <c r="G1264" s="79" t="s">
        <v>976</v>
      </c>
      <c r="H1264" s="82" t="s">
        <v>2022</v>
      </c>
      <c r="I1264" s="79">
        <v>153.6</v>
      </c>
      <c r="J1264" s="79" t="s">
        <v>2097</v>
      </c>
      <c r="K1264" s="80" t="s">
        <v>469</v>
      </c>
      <c r="L1264" s="79">
        <f>VLOOKUP(H1264,Table2[#All],3,FALSE)</f>
        <v>150</v>
      </c>
      <c r="M1264" s="80">
        <f>L1264-3</f>
        <v>147</v>
      </c>
      <c r="N1264" s="81">
        <f t="shared" si="399"/>
        <v>-3</v>
      </c>
      <c r="P1264" s="82">
        <f>R1264-TIME(0,27,0)</f>
        <v>45796.726388888885</v>
      </c>
      <c r="Q1264" s="82">
        <v>45796.260416666664</v>
      </c>
      <c r="R1264" s="82">
        <v>45796.745138888888</v>
      </c>
      <c r="T1264" s="81">
        <f t="shared" si="380"/>
        <v>26.87500000417155</v>
      </c>
      <c r="U1264" s="79"/>
      <c r="V1264" s="82">
        <v>45796.755555555559</v>
      </c>
      <c r="W1264" s="82">
        <v>45797.613194444442</v>
      </c>
      <c r="X1264" s="103">
        <f t="shared" si="381"/>
        <v>1209.270833325354</v>
      </c>
      <c r="Y1264" s="82" t="s">
        <v>1049</v>
      </c>
      <c r="Z1264" s="82">
        <v>45797.706944444442</v>
      </c>
      <c r="AA1264" s="82">
        <f>Z1264+TIME(0,51,0)</f>
        <v>45797.742361111108</v>
      </c>
      <c r="AB1264" s="81">
        <f t="shared" si="384"/>
        <v>49.93749999863212</v>
      </c>
      <c r="AC1264" s="82" t="s">
        <v>1677</v>
      </c>
      <c r="AD1264" s="83">
        <f t="shared" si="402"/>
        <v>0.96180555555474712</v>
      </c>
      <c r="AE1264" s="83">
        <f>VLOOKUP(H1264,'LIST 2'!$A$1:$E$27,4,FALSE)</f>
        <v>1</v>
      </c>
      <c r="AF1264" s="83">
        <f t="shared" si="403"/>
        <v>3.8194444445252884E-2</v>
      </c>
      <c r="AG1264" s="81">
        <f t="shared" si="404"/>
        <v>23.083333333313931</v>
      </c>
      <c r="AH1264" s="81">
        <f t="shared" si="405"/>
        <v>0</v>
      </c>
      <c r="AI1264" s="81">
        <f t="shared" si="406"/>
        <v>23.083333333313931</v>
      </c>
      <c r="AJ1264" s="83">
        <f t="shared" si="382"/>
        <v>6.6541516245543297</v>
      </c>
      <c r="AK1264" s="122">
        <v>9.32</v>
      </c>
      <c r="AL1264" s="122">
        <v>9.02</v>
      </c>
      <c r="AM1264" s="122"/>
      <c r="AN1264" s="122"/>
    </row>
    <row r="1265" spans="1:40" ht="20.25" customHeight="1" x14ac:dyDescent="0.25">
      <c r="A1265" s="82">
        <v>45796</v>
      </c>
      <c r="B1265" s="94" t="str">
        <f t="shared" si="408"/>
        <v>May</v>
      </c>
      <c r="C1265" s="79" t="s">
        <v>2161</v>
      </c>
      <c r="D1265" s="79" t="s">
        <v>2098</v>
      </c>
      <c r="E1265" s="79"/>
      <c r="F1265" s="79" t="s">
        <v>966</v>
      </c>
      <c r="G1265" s="79" t="s">
        <v>981</v>
      </c>
      <c r="H1265" s="82" t="s">
        <v>1956</v>
      </c>
      <c r="I1265" s="79">
        <v>153.6</v>
      </c>
      <c r="J1265" s="79" t="s">
        <v>2098</v>
      </c>
      <c r="K1265" s="80" t="s">
        <v>469</v>
      </c>
      <c r="L1265" s="79">
        <f>VLOOKUP(H1265,Table2[#All],3,FALSE)</f>
        <v>596</v>
      </c>
      <c r="M1265" s="80">
        <f>L1265-1</f>
        <v>595</v>
      </c>
      <c r="N1265" s="81">
        <f t="shared" si="399"/>
        <v>-1</v>
      </c>
      <c r="P1265" s="82">
        <f>R1265-TIME(0,28,0)</f>
        <v>45796.597222222226</v>
      </c>
      <c r="Q1265" s="82">
        <v>45796.176388888889</v>
      </c>
      <c r="R1265" s="82">
        <v>45796.616666666669</v>
      </c>
      <c r="T1265" s="81">
        <f t="shared" si="380"/>
        <v>27.870370367357584</v>
      </c>
      <c r="U1265" s="79"/>
      <c r="V1265" s="82">
        <v>45797.446527777778</v>
      </c>
      <c r="W1265" s="82">
        <v>45797.532638888886</v>
      </c>
      <c r="X1265" s="103">
        <f t="shared" si="381"/>
        <v>121.41666666233505</v>
      </c>
      <c r="Y1265" s="82"/>
      <c r="Z1265" s="82">
        <v>45798.463888888888</v>
      </c>
      <c r="AA1265" s="82">
        <f t="shared" ref="AA1265:AA1266" si="409">Z1265+TIME(0,44,0)</f>
        <v>45798.494444444441</v>
      </c>
      <c r="AB1265" s="81">
        <f t="shared" si="384"/>
        <v>43.083333330141613</v>
      </c>
      <c r="AC1265" s="82"/>
      <c r="AD1265" s="83">
        <f t="shared" si="402"/>
        <v>1.8472222222189885</v>
      </c>
      <c r="AE1265" s="83">
        <f>VLOOKUP(H1265,'LIST 2'!$A$1:$E$27,4,FALSE)</f>
        <v>2</v>
      </c>
      <c r="AF1265" s="83">
        <f t="shared" si="403"/>
        <v>0.15277777778101154</v>
      </c>
      <c r="AG1265" s="81">
        <f t="shared" si="404"/>
        <v>44.333333333255723</v>
      </c>
      <c r="AH1265" s="81">
        <f t="shared" si="405"/>
        <v>12</v>
      </c>
      <c r="AI1265" s="81">
        <f t="shared" si="406"/>
        <v>32.333333333255723</v>
      </c>
      <c r="AJ1265" s="83">
        <f t="shared" si="382"/>
        <v>4.7505154639289282</v>
      </c>
      <c r="AK1265" s="122">
        <v>11.5</v>
      </c>
      <c r="AL1265" s="122">
        <v>11.25</v>
      </c>
      <c r="AM1265" s="122">
        <v>11.53</v>
      </c>
      <c r="AN1265" s="122"/>
    </row>
    <row r="1266" spans="1:40" ht="20.25" customHeight="1" x14ac:dyDescent="0.25">
      <c r="A1266" s="82">
        <v>45796</v>
      </c>
      <c r="B1266" s="94" t="str">
        <f t="shared" si="408"/>
        <v>May</v>
      </c>
      <c r="C1266" s="79" t="s">
        <v>2161</v>
      </c>
      <c r="D1266" s="79" t="s">
        <v>2099</v>
      </c>
      <c r="E1266" s="79"/>
      <c r="F1266" s="79" t="s">
        <v>962</v>
      </c>
      <c r="G1266" s="79" t="s">
        <v>978</v>
      </c>
      <c r="H1266" s="82" t="s">
        <v>1956</v>
      </c>
      <c r="I1266" s="79">
        <v>153.6</v>
      </c>
      <c r="J1266" s="79" t="s">
        <v>2099</v>
      </c>
      <c r="K1266" s="80" t="s">
        <v>469</v>
      </c>
      <c r="L1266" s="79">
        <f>VLOOKUP(H1266,Table2[#All],3,FALSE)</f>
        <v>596</v>
      </c>
      <c r="M1266" s="80">
        <f t="shared" si="377"/>
        <v>594</v>
      </c>
      <c r="N1266" s="81">
        <f t="shared" si="399"/>
        <v>-2</v>
      </c>
      <c r="P1266" s="82">
        <f>R1266-TIME(0,29,0)</f>
        <v>45796.42291666667</v>
      </c>
      <c r="Q1266" s="82">
        <v>45796.176388888889</v>
      </c>
      <c r="R1266" s="82">
        <v>45796.443055555559</v>
      </c>
      <c r="T1266" s="81">
        <f t="shared" si="380"/>
        <v>28.865740740972495</v>
      </c>
      <c r="U1266" s="79"/>
      <c r="V1266" s="82">
        <v>45796.630555555559</v>
      </c>
      <c r="W1266" s="82">
        <v>45796.841666666667</v>
      </c>
      <c r="X1266" s="103">
        <f t="shared" si="381"/>
        <v>297.66666666233505</v>
      </c>
      <c r="Y1266" s="82" t="s">
        <v>1044</v>
      </c>
      <c r="Z1266" s="82">
        <v>45797.427083333336</v>
      </c>
      <c r="AA1266" s="82">
        <f t="shared" si="409"/>
        <v>45797.457638888889</v>
      </c>
      <c r="AB1266" s="81">
        <f t="shared" si="384"/>
        <v>43.083333330141613</v>
      </c>
      <c r="AC1266" s="82"/>
      <c r="AD1266" s="83">
        <f t="shared" si="402"/>
        <v>0.98402777777664596</v>
      </c>
      <c r="AE1266" s="83">
        <f>VLOOKUP(H1266,'LIST 2'!$A$1:$E$27,4,FALSE)</f>
        <v>2</v>
      </c>
      <c r="AF1266" s="83">
        <f t="shared" si="403"/>
        <v>1.015972222223354</v>
      </c>
      <c r="AG1266" s="81">
        <f t="shared" si="404"/>
        <v>23.616666666639503</v>
      </c>
      <c r="AH1266" s="81">
        <f t="shared" si="405"/>
        <v>0</v>
      </c>
      <c r="AI1266" s="81">
        <f t="shared" si="406"/>
        <v>23.616666666639503</v>
      </c>
      <c r="AJ1266" s="83">
        <f t="shared" si="382"/>
        <v>6.5038814396687368</v>
      </c>
      <c r="AK1266" s="122">
        <v>11.18</v>
      </c>
      <c r="AL1266" s="122">
        <v>11.08</v>
      </c>
      <c r="AM1266" s="122"/>
      <c r="AN1266" s="122"/>
    </row>
    <row r="1267" spans="1:40" ht="20.25" customHeight="1" x14ac:dyDescent="0.25">
      <c r="A1267" s="82">
        <v>45796</v>
      </c>
      <c r="B1267" s="94" t="str">
        <f t="shared" ref="B1267:B1327" si="410">TEXT(A1267, "MMMM")</f>
        <v>May</v>
      </c>
      <c r="C1267" s="79" t="s">
        <v>2162</v>
      </c>
      <c r="D1267" s="79" t="s">
        <v>2100</v>
      </c>
      <c r="E1267" s="79" t="s">
        <v>1016</v>
      </c>
      <c r="F1267" s="79" t="s">
        <v>1695</v>
      </c>
      <c r="G1267" s="79" t="s">
        <v>74</v>
      </c>
      <c r="H1267" s="82" t="s">
        <v>2183</v>
      </c>
      <c r="I1267" s="79">
        <v>156</v>
      </c>
      <c r="J1267" s="79" t="s">
        <v>2100</v>
      </c>
      <c r="K1267" s="80" t="s">
        <v>469</v>
      </c>
      <c r="L1267" s="79">
        <f>VLOOKUP(H1267,Table2[#All],3,FALSE)</f>
        <v>690</v>
      </c>
      <c r="M1267" s="80">
        <f t="shared" si="377"/>
        <v>688</v>
      </c>
      <c r="N1267" s="81">
        <f t="shared" si="399"/>
        <v>-2</v>
      </c>
      <c r="P1267" s="82">
        <f>R1267-TIME(0,54,0)</f>
        <v>45795.796527777777</v>
      </c>
      <c r="Q1267" s="82">
        <v>45795.833333333336</v>
      </c>
      <c r="R1267" s="82">
        <v>45795.834027777775</v>
      </c>
      <c r="S1267" s="81">
        <f t="shared" ref="S1267:S1272" si="411">(R1267-Q1267)*86000/60</f>
        <v>0.99537036318603589</v>
      </c>
      <c r="T1267" s="81">
        <f t="shared" si="380"/>
        <v>53.749999997914223</v>
      </c>
      <c r="U1267" s="79" t="s">
        <v>2167</v>
      </c>
      <c r="V1267" s="82">
        <v>45796.761111111111</v>
      </c>
      <c r="W1267" s="82">
        <v>45797.585416666669</v>
      </c>
      <c r="X1267" s="103">
        <f t="shared" si="381"/>
        <v>1162.2708333362971</v>
      </c>
      <c r="Y1267" s="82" t="s">
        <v>1046</v>
      </c>
      <c r="Z1267" s="82">
        <v>45798.4375</v>
      </c>
      <c r="AA1267" s="82">
        <f>Z1267+TIME(0,42,0)</f>
        <v>45798.466666666667</v>
      </c>
      <c r="AB1267" s="81">
        <f t="shared" si="384"/>
        <v>41.12500000068394</v>
      </c>
      <c r="AC1267" s="82"/>
      <c r="AD1267" s="83">
        <f t="shared" si="402"/>
        <v>2.6034722222248092</v>
      </c>
      <c r="AE1267" s="83">
        <f>VLOOKUP(H1267,'LIST 2'!$A$1:$E$27,4,FALSE)</f>
        <v>3</v>
      </c>
      <c r="AF1267" s="83">
        <f t="shared" si="403"/>
        <v>0.39652777777519077</v>
      </c>
      <c r="AG1267" s="81">
        <f t="shared" si="404"/>
        <v>62.483333333395422</v>
      </c>
      <c r="AH1267" s="81">
        <f t="shared" si="405"/>
        <v>24</v>
      </c>
      <c r="AI1267" s="81">
        <f t="shared" si="406"/>
        <v>38.483333333395422</v>
      </c>
      <c r="AJ1267" s="83">
        <f t="shared" si="382"/>
        <v>4.0537029016825024</v>
      </c>
      <c r="AK1267" s="122"/>
      <c r="AL1267" s="122"/>
      <c r="AM1267" s="122"/>
      <c r="AN1267" s="122"/>
    </row>
    <row r="1268" spans="1:40" ht="20.25" customHeight="1" x14ac:dyDescent="0.25">
      <c r="A1268" s="82">
        <v>45796</v>
      </c>
      <c r="B1268" s="94" t="str">
        <f t="shared" si="410"/>
        <v>May</v>
      </c>
      <c r="C1268" s="79" t="s">
        <v>2162</v>
      </c>
      <c r="D1268" s="79" t="s">
        <v>2101</v>
      </c>
      <c r="E1268" s="79" t="s">
        <v>1016</v>
      </c>
      <c r="F1268" s="79" t="s">
        <v>1696</v>
      </c>
      <c r="G1268" s="79" t="s">
        <v>42</v>
      </c>
      <c r="H1268" s="82" t="s">
        <v>2076</v>
      </c>
      <c r="I1268" s="79">
        <v>156</v>
      </c>
      <c r="J1268" s="79" t="s">
        <v>2101</v>
      </c>
      <c r="K1268" s="80" t="s">
        <v>469</v>
      </c>
      <c r="L1268" s="79">
        <f>VLOOKUP(H1268,Table2[#All],3,FALSE)</f>
        <v>790</v>
      </c>
      <c r="M1268" s="80">
        <f>L1268-3</f>
        <v>787</v>
      </c>
      <c r="N1268" s="81">
        <f t="shared" si="399"/>
        <v>-3</v>
      </c>
      <c r="P1268" s="82">
        <f>R1268-TIME(0,23,0)</f>
        <v>45795.806250000001</v>
      </c>
      <c r="Q1268" s="82">
        <v>45795.833333333336</v>
      </c>
      <c r="R1268" s="82">
        <v>45795.822222222225</v>
      </c>
      <c r="S1268" s="81">
        <f t="shared" si="411"/>
        <v>-15.925925925694173</v>
      </c>
      <c r="T1268" s="81">
        <f t="shared" si="380"/>
        <v>22.893518520140788</v>
      </c>
      <c r="U1268" s="79"/>
      <c r="V1268" s="82">
        <v>45796.377083333333</v>
      </c>
      <c r="W1268" s="82">
        <v>45796.537499999999</v>
      </c>
      <c r="X1268" s="103">
        <f t="shared" si="381"/>
        <v>226.18749999863212</v>
      </c>
      <c r="Y1268" s="82" t="s">
        <v>1049</v>
      </c>
      <c r="Z1268" s="82">
        <v>45797.365972222222</v>
      </c>
      <c r="AA1268" s="82">
        <f>Z1268+TIME(0,43,0)</f>
        <v>45797.395833333336</v>
      </c>
      <c r="AB1268" s="81">
        <f t="shared" si="384"/>
        <v>42.104166670542327</v>
      </c>
      <c r="AC1268" s="82"/>
      <c r="AD1268" s="83">
        <f t="shared" si="402"/>
        <v>1.5437499999970896</v>
      </c>
      <c r="AE1268" s="83">
        <f>VLOOKUP(H1268,'LIST 2'!$A$1:$E$27,4,FALSE)</f>
        <v>3</v>
      </c>
      <c r="AF1268" s="83">
        <f t="shared" si="403"/>
        <v>1.4562500000029104</v>
      </c>
      <c r="AG1268" s="81">
        <f t="shared" si="404"/>
        <v>37.049999999930151</v>
      </c>
      <c r="AH1268" s="81">
        <f t="shared" si="405"/>
        <v>12</v>
      </c>
      <c r="AI1268" s="81">
        <f t="shared" si="406"/>
        <v>25.049999999930151</v>
      </c>
      <c r="AJ1268" s="83">
        <f t="shared" si="382"/>
        <v>6.2275449101970057</v>
      </c>
      <c r="AK1268" s="122"/>
      <c r="AL1268" s="122"/>
      <c r="AM1268" s="122"/>
      <c r="AN1268" s="122"/>
    </row>
    <row r="1269" spans="1:40" ht="20.25" customHeight="1" x14ac:dyDescent="0.25">
      <c r="A1269" s="82">
        <v>45796</v>
      </c>
      <c r="B1269" s="94" t="str">
        <f t="shared" si="410"/>
        <v>May</v>
      </c>
      <c r="C1269" s="79" t="s">
        <v>2162</v>
      </c>
      <c r="D1269" s="79" t="s">
        <v>2102</v>
      </c>
      <c r="E1269" s="79" t="s">
        <v>1016</v>
      </c>
      <c r="F1269" s="79" t="s">
        <v>1690</v>
      </c>
      <c r="G1269" s="79" t="s">
        <v>45</v>
      </c>
      <c r="H1269" s="82" t="s">
        <v>2183</v>
      </c>
      <c r="I1269" s="79">
        <v>156</v>
      </c>
      <c r="J1269" s="79" t="s">
        <v>2102</v>
      </c>
      <c r="K1269" s="80" t="s">
        <v>469</v>
      </c>
      <c r="L1269" s="79">
        <f>VLOOKUP(H1269,Table2[#All],3,FALSE)</f>
        <v>690</v>
      </c>
      <c r="M1269" s="80">
        <f t="shared" ref="M1269:M1319" si="412">L1269-2</f>
        <v>688</v>
      </c>
      <c r="N1269" s="81">
        <f t="shared" si="399"/>
        <v>-2</v>
      </c>
      <c r="P1269" s="82">
        <f>R1269-TIME(0,27,0)</f>
        <v>45795.787499999999</v>
      </c>
      <c r="Q1269" s="82">
        <v>45795.833333333336</v>
      </c>
      <c r="R1269" s="82">
        <v>45795.806250000001</v>
      </c>
      <c r="S1269" s="81">
        <f t="shared" si="411"/>
        <v>-38.819444445834961</v>
      </c>
      <c r="T1269" s="81">
        <f t="shared" si="380"/>
        <v>26.87500000417155</v>
      </c>
      <c r="U1269" s="79"/>
      <c r="V1269" s="82">
        <v>45796.654861111114</v>
      </c>
      <c r="W1269" s="82">
        <v>45796.90625</v>
      </c>
      <c r="X1269" s="103">
        <f t="shared" si="381"/>
        <v>354.45833332945767</v>
      </c>
      <c r="Y1269" s="82" t="s">
        <v>1050</v>
      </c>
      <c r="Z1269" s="82">
        <v>45797.552083333336</v>
      </c>
      <c r="AA1269" s="82">
        <f>Z1269+TIME(0,36,0)</f>
        <v>45797.577083333337</v>
      </c>
      <c r="AB1269" s="81">
        <f t="shared" si="384"/>
        <v>35.25000000205182</v>
      </c>
      <c r="AC1269" s="82"/>
      <c r="AD1269" s="83">
        <f t="shared" si="402"/>
        <v>1.7458333333343035</v>
      </c>
      <c r="AE1269" s="83">
        <f>VLOOKUP(H1269,'LIST 2'!$A$1:$E$27,4,FALSE)</f>
        <v>3</v>
      </c>
      <c r="AF1269" s="83">
        <f t="shared" si="403"/>
        <v>1.2541666666656965</v>
      </c>
      <c r="AG1269" s="81">
        <f t="shared" si="404"/>
        <v>41.900000000023283</v>
      </c>
      <c r="AH1269" s="81">
        <f t="shared" si="405"/>
        <v>12</v>
      </c>
      <c r="AI1269" s="81">
        <f t="shared" si="406"/>
        <v>29.900000000023283</v>
      </c>
      <c r="AJ1269" s="83">
        <f t="shared" si="382"/>
        <v>5.2173913043437636</v>
      </c>
      <c r="AK1269" s="122"/>
      <c r="AL1269" s="122"/>
      <c r="AM1269" s="122"/>
      <c r="AN1269" s="122"/>
    </row>
    <row r="1270" spans="1:40" ht="20.25" customHeight="1" x14ac:dyDescent="0.25">
      <c r="A1270" s="82">
        <v>45796</v>
      </c>
      <c r="B1270" s="94" t="str">
        <f t="shared" si="410"/>
        <v>May</v>
      </c>
      <c r="C1270" s="79" t="s">
        <v>2162</v>
      </c>
      <c r="D1270" s="79" t="s">
        <v>2103</v>
      </c>
      <c r="E1270" s="79" t="s">
        <v>1016</v>
      </c>
      <c r="F1270" s="79" t="s">
        <v>1691</v>
      </c>
      <c r="G1270" s="79" t="s">
        <v>55</v>
      </c>
      <c r="H1270" s="82" t="s">
        <v>2186</v>
      </c>
      <c r="I1270" s="79">
        <v>156</v>
      </c>
      <c r="J1270" s="79" t="s">
        <v>2103</v>
      </c>
      <c r="K1270" s="80" t="s">
        <v>469</v>
      </c>
      <c r="L1270" s="79">
        <f>VLOOKUP(H1270,Table2[#All],3,FALSE)</f>
        <v>228</v>
      </c>
      <c r="M1270" s="80">
        <f t="shared" si="412"/>
        <v>226</v>
      </c>
      <c r="N1270" s="81">
        <f t="shared" si="399"/>
        <v>-2</v>
      </c>
      <c r="P1270" s="82">
        <f t="shared" ref="P1270:P1271" si="413">R1270-TIME(0,28,0)</f>
        <v>45795.900694444448</v>
      </c>
      <c r="Q1270" s="82">
        <v>45796.136805555558</v>
      </c>
      <c r="R1270" s="82">
        <v>45795.920138888891</v>
      </c>
      <c r="S1270" s="81">
        <f t="shared" si="411"/>
        <v>-310.55555555625079</v>
      </c>
      <c r="T1270" s="81">
        <f t="shared" si="380"/>
        <v>27.870370367357584</v>
      </c>
      <c r="U1270" s="79"/>
      <c r="V1270" s="82">
        <v>45796.695138888892</v>
      </c>
      <c r="W1270" s="82">
        <v>45796.906944444447</v>
      </c>
      <c r="X1270" s="103">
        <f t="shared" si="381"/>
        <v>298.64583333219343</v>
      </c>
      <c r="Y1270" s="82" t="s">
        <v>1044</v>
      </c>
      <c r="Z1270" s="82">
        <v>45797.484027777777</v>
      </c>
      <c r="AA1270" s="82">
        <f>Z1270+TIME(0,57,0)</f>
        <v>45797.523611111108</v>
      </c>
      <c r="AB1270" s="81">
        <f t="shared" si="384"/>
        <v>55.81249999726424</v>
      </c>
      <c r="AC1270" s="82" t="s">
        <v>549</v>
      </c>
      <c r="AD1270" s="83">
        <f t="shared" si="402"/>
        <v>1.5638888888861402</v>
      </c>
      <c r="AE1270" s="83">
        <f>VLOOKUP(H1270,'LIST 2'!$A$1:$E$27,4,FALSE)</f>
        <v>2</v>
      </c>
      <c r="AF1270" s="83">
        <f t="shared" si="403"/>
        <v>0.43611111111385981</v>
      </c>
      <c r="AG1270" s="81">
        <f t="shared" si="404"/>
        <v>37.533333333267365</v>
      </c>
      <c r="AH1270" s="81">
        <f t="shared" si="405"/>
        <v>12</v>
      </c>
      <c r="AI1270" s="81">
        <f t="shared" si="406"/>
        <v>25.533333333267365</v>
      </c>
      <c r="AJ1270" s="83">
        <f t="shared" si="382"/>
        <v>6.1096605744283181</v>
      </c>
      <c r="AK1270" s="122"/>
      <c r="AL1270" s="122"/>
      <c r="AM1270" s="122"/>
      <c r="AN1270" s="122"/>
    </row>
    <row r="1271" spans="1:40" ht="20.25" customHeight="1" x14ac:dyDescent="0.25">
      <c r="A1271" s="82">
        <v>45796</v>
      </c>
      <c r="B1271" s="94" t="str">
        <f t="shared" si="410"/>
        <v>May</v>
      </c>
      <c r="C1271" s="79" t="s">
        <v>2162</v>
      </c>
      <c r="D1271" s="79" t="s">
        <v>2104</v>
      </c>
      <c r="E1271" s="79" t="s">
        <v>1016</v>
      </c>
      <c r="F1271" s="79" t="s">
        <v>1960</v>
      </c>
      <c r="G1271" s="79" t="s">
        <v>1961</v>
      </c>
      <c r="H1271" s="82" t="s">
        <v>2179</v>
      </c>
      <c r="I1271" s="79">
        <v>156</v>
      </c>
      <c r="J1271" s="79" t="s">
        <v>2104</v>
      </c>
      <c r="K1271" s="80" t="s">
        <v>469</v>
      </c>
      <c r="L1271" s="79">
        <f>VLOOKUP(H1271,Table2[#All],3,FALSE)</f>
        <v>560</v>
      </c>
      <c r="M1271" s="80">
        <f>L1271-3</f>
        <v>557</v>
      </c>
      <c r="N1271" s="81">
        <f t="shared" si="399"/>
        <v>-3</v>
      </c>
      <c r="P1271" s="82">
        <f t="shared" si="413"/>
        <v>45795.857638888891</v>
      </c>
      <c r="Q1271" s="82">
        <v>45796.104166666664</v>
      </c>
      <c r="R1271" s="82">
        <v>45795.877083333333</v>
      </c>
      <c r="S1271" s="81">
        <f t="shared" si="411"/>
        <v>-325.48611110833008</v>
      </c>
      <c r="T1271" s="81">
        <f t="shared" si="380"/>
        <v>27.870370367357584</v>
      </c>
      <c r="U1271" s="79"/>
      <c r="V1271" s="82">
        <v>45796.463194444441</v>
      </c>
      <c r="W1271" s="82">
        <v>45796.772222222222</v>
      </c>
      <c r="X1271" s="103">
        <f t="shared" si="381"/>
        <v>435.72916667122627</v>
      </c>
      <c r="Y1271" s="82" t="s">
        <v>1047</v>
      </c>
      <c r="Z1271" s="82">
        <v>45797.56527777778</v>
      </c>
      <c r="AA1271" s="82">
        <f>Z1271+TIME(0,36,0)</f>
        <v>45797.590277777781</v>
      </c>
      <c r="AB1271" s="81">
        <f t="shared" si="384"/>
        <v>35.25000000205182</v>
      </c>
      <c r="AC1271" s="82"/>
      <c r="AD1271" s="83">
        <f t="shared" si="402"/>
        <v>1.6881944444467081</v>
      </c>
      <c r="AE1271" s="83">
        <f>VLOOKUP(H1271,'LIST 2'!$A$1:$E$27,4,FALSE)</f>
        <v>2</v>
      </c>
      <c r="AF1271" s="83">
        <f t="shared" si="403"/>
        <v>0.31180555555329192</v>
      </c>
      <c r="AG1271" s="81">
        <f t="shared" si="404"/>
        <v>40.516666666720994</v>
      </c>
      <c r="AH1271" s="81">
        <f t="shared" si="405"/>
        <v>12</v>
      </c>
      <c r="AI1271" s="81">
        <f t="shared" si="406"/>
        <v>28.516666666720994</v>
      </c>
      <c r="AJ1271" s="83">
        <f t="shared" si="382"/>
        <v>5.4704850964244116</v>
      </c>
      <c r="AK1271" s="122"/>
      <c r="AL1271" s="122"/>
      <c r="AM1271" s="122"/>
      <c r="AN1271" s="122"/>
    </row>
    <row r="1272" spans="1:40" ht="20.25" customHeight="1" x14ac:dyDescent="0.25">
      <c r="A1272" s="82">
        <v>45796</v>
      </c>
      <c r="B1272" s="94" t="str">
        <f t="shared" si="410"/>
        <v>May</v>
      </c>
      <c r="C1272" s="79" t="s">
        <v>2162</v>
      </c>
      <c r="D1272" s="79" t="s">
        <v>2105</v>
      </c>
      <c r="E1272" s="79" t="s">
        <v>1016</v>
      </c>
      <c r="F1272" s="79" t="s">
        <v>1962</v>
      </c>
      <c r="G1272" s="79" t="s">
        <v>56</v>
      </c>
      <c r="H1272" s="82" t="s">
        <v>2180</v>
      </c>
      <c r="I1272" s="79">
        <v>156</v>
      </c>
      <c r="J1272" s="79" t="s">
        <v>2105</v>
      </c>
      <c r="K1272" s="80" t="s">
        <v>469</v>
      </c>
      <c r="L1272" s="79">
        <f>VLOOKUP(H1272,Table2[#All],3,FALSE)</f>
        <v>256</v>
      </c>
      <c r="M1272" s="80">
        <f t="shared" si="412"/>
        <v>254</v>
      </c>
      <c r="N1272" s="81">
        <f t="shared" si="399"/>
        <v>-2</v>
      </c>
      <c r="P1272" s="82">
        <f>R1272-TIME(0,23,0)</f>
        <v>45795.893749999996</v>
      </c>
      <c r="Q1272" s="82">
        <v>45796.169444444444</v>
      </c>
      <c r="R1272" s="82">
        <v>45795.909722222219</v>
      </c>
      <c r="S1272" s="81">
        <f t="shared" si="411"/>
        <v>-372.26851852222654</v>
      </c>
      <c r="T1272" s="81">
        <f t="shared" si="380"/>
        <v>22.893518520140788</v>
      </c>
      <c r="U1272" s="79"/>
      <c r="V1272" s="82">
        <v>45796.723611111112</v>
      </c>
      <c r="W1272" s="82">
        <v>45796.811111111114</v>
      </c>
      <c r="X1272" s="103">
        <f t="shared" si="381"/>
        <v>123.37500000205182</v>
      </c>
      <c r="Y1272" s="82"/>
      <c r="Z1272" s="82">
        <v>45796.931944444441</v>
      </c>
      <c r="AA1272" s="82">
        <f>Z1272+TIME(0,38,0)</f>
        <v>45796.958333333328</v>
      </c>
      <c r="AB1272" s="81">
        <f t="shared" si="384"/>
        <v>37.208333331509493</v>
      </c>
      <c r="AC1272" s="82"/>
      <c r="AD1272" s="83">
        <f t="shared" si="402"/>
        <v>1.0222222222218988</v>
      </c>
      <c r="AE1272" s="83">
        <f>VLOOKUP(H1272,'LIST 2'!$A$1:$E$27,4,FALSE)</f>
        <v>2</v>
      </c>
      <c r="AF1272" s="83">
        <f t="shared" si="403"/>
        <v>0.97777777777810115</v>
      </c>
      <c r="AG1272" s="81">
        <f t="shared" si="404"/>
        <v>24.533333333325572</v>
      </c>
      <c r="AH1272" s="81">
        <f t="shared" si="405"/>
        <v>12</v>
      </c>
      <c r="AI1272" s="81">
        <f t="shared" si="406"/>
        <v>12.533333333325572</v>
      </c>
      <c r="AJ1272" s="83">
        <f t="shared" si="382"/>
        <v>12.446808510646004</v>
      </c>
      <c r="AK1272" s="122"/>
      <c r="AL1272" s="122"/>
      <c r="AM1272" s="122"/>
      <c r="AN1272" s="122"/>
    </row>
    <row r="1273" spans="1:40" ht="20.25" customHeight="1" x14ac:dyDescent="0.25">
      <c r="A1273" s="82">
        <v>45796</v>
      </c>
      <c r="B1273" s="94" t="str">
        <f t="shared" si="410"/>
        <v>May</v>
      </c>
      <c r="C1273" s="79" t="s">
        <v>2161</v>
      </c>
      <c r="D1273" s="79" t="s">
        <v>2106</v>
      </c>
      <c r="E1273" s="79"/>
      <c r="F1273" s="79" t="s">
        <v>952</v>
      </c>
      <c r="G1273" s="79" t="s">
        <v>969</v>
      </c>
      <c r="H1273" s="82" t="s">
        <v>1991</v>
      </c>
      <c r="I1273" s="79">
        <v>153.6</v>
      </c>
      <c r="J1273" s="79" t="s">
        <v>2106</v>
      </c>
      <c r="K1273" s="80" t="s">
        <v>469</v>
      </c>
      <c r="L1273" s="79">
        <f>VLOOKUP(H1273,Table2[#All],3,FALSE)</f>
        <v>272</v>
      </c>
      <c r="M1273" s="80">
        <f t="shared" si="412"/>
        <v>270</v>
      </c>
      <c r="N1273" s="81">
        <f t="shared" si="399"/>
        <v>-2</v>
      </c>
      <c r="P1273" s="82">
        <f>R1273-TIME(0,38,0)</f>
        <v>45795.635416666672</v>
      </c>
      <c r="Q1273" s="82">
        <v>45796.082638888889</v>
      </c>
      <c r="R1273" s="82">
        <v>45795.661805555559</v>
      </c>
      <c r="T1273" s="81">
        <f t="shared" si="380"/>
        <v>37.82407407222005</v>
      </c>
      <c r="U1273" s="79" t="s">
        <v>2163</v>
      </c>
      <c r="V1273" s="82">
        <v>45796.436111111114</v>
      </c>
      <c r="W1273" s="82">
        <v>45796.652777777781</v>
      </c>
      <c r="X1273" s="103">
        <f t="shared" si="381"/>
        <v>305.50000000068394</v>
      </c>
      <c r="Y1273" s="82" t="s">
        <v>1044</v>
      </c>
      <c r="Z1273" s="82">
        <v>45797.343055555553</v>
      </c>
      <c r="AA1273" s="82">
        <f>Z1273+TIME(0,57,0)</f>
        <v>45797.382638888885</v>
      </c>
      <c r="AB1273" s="81">
        <f t="shared" si="384"/>
        <v>55.81249999726424</v>
      </c>
      <c r="AC1273" s="82" t="s">
        <v>2171</v>
      </c>
      <c r="AD1273" s="83">
        <f t="shared" si="402"/>
        <v>1.6812499999941792</v>
      </c>
      <c r="AE1273" s="83">
        <f>VLOOKUP(H1273,'LIST 2'!$A$1:$E$27,4,FALSE)</f>
        <v>2</v>
      </c>
      <c r="AF1273" s="83">
        <f t="shared" si="403"/>
        <v>0.31875000000582077</v>
      </c>
      <c r="AG1273" s="81">
        <f t="shared" si="404"/>
        <v>40.349999999860302</v>
      </c>
      <c r="AH1273" s="81">
        <f t="shared" si="405"/>
        <v>12</v>
      </c>
      <c r="AI1273" s="81">
        <f t="shared" si="406"/>
        <v>28.349999999860302</v>
      </c>
      <c r="AJ1273" s="83">
        <f t="shared" si="382"/>
        <v>5.4179894180161154</v>
      </c>
      <c r="AK1273" s="122">
        <v>11.5</v>
      </c>
      <c r="AL1273" s="122">
        <v>11.09</v>
      </c>
      <c r="AM1273" s="122">
        <v>11</v>
      </c>
      <c r="AN1273" s="122"/>
    </row>
    <row r="1274" spans="1:40" ht="20.25" customHeight="1" x14ac:dyDescent="0.25">
      <c r="A1274" s="82">
        <v>45796</v>
      </c>
      <c r="B1274" s="94" t="str">
        <f t="shared" si="410"/>
        <v>May</v>
      </c>
      <c r="C1274" s="79" t="s">
        <v>2161</v>
      </c>
      <c r="D1274" s="79" t="s">
        <v>2107</v>
      </c>
      <c r="E1274" s="79"/>
      <c r="F1274" s="79" t="s">
        <v>951</v>
      </c>
      <c r="G1274" s="79" t="s">
        <v>968</v>
      </c>
      <c r="H1274" s="82" t="s">
        <v>1957</v>
      </c>
      <c r="I1274" s="79">
        <v>153.6</v>
      </c>
      <c r="J1274" s="79" t="s">
        <v>2107</v>
      </c>
      <c r="K1274" s="80" t="s">
        <v>469</v>
      </c>
      <c r="L1274" s="79">
        <f>VLOOKUP(H1274,Table2[#All],3,FALSE)</f>
        <v>288</v>
      </c>
      <c r="M1274" s="80">
        <f t="shared" si="412"/>
        <v>286</v>
      </c>
      <c r="N1274" s="81">
        <f t="shared" si="399"/>
        <v>-2</v>
      </c>
      <c r="P1274" s="82">
        <f>R1274-TIME(0,23,0)</f>
        <v>45795.674999999996</v>
      </c>
      <c r="Q1274" s="82">
        <v>45796.154861111114</v>
      </c>
      <c r="R1274" s="82">
        <v>45795.690972222219</v>
      </c>
      <c r="T1274" s="81">
        <f t="shared" si="380"/>
        <v>22.893518520140788</v>
      </c>
      <c r="U1274" s="79"/>
      <c r="V1274" s="82">
        <v>45796.57708333333</v>
      </c>
      <c r="W1274" s="82">
        <v>45796.768750000003</v>
      </c>
      <c r="X1274" s="103">
        <f t="shared" si="381"/>
        <v>270.25000000889122</v>
      </c>
      <c r="Y1274" s="82" t="s">
        <v>1047</v>
      </c>
      <c r="Z1274" s="82">
        <v>45797.57708333333</v>
      </c>
      <c r="AA1274" s="82">
        <f>Z1274+TIME(0,52,0)</f>
        <v>45797.613194444442</v>
      </c>
      <c r="AB1274" s="81">
        <f t="shared" si="384"/>
        <v>50.916666668490507</v>
      </c>
      <c r="AC1274" s="82" t="s">
        <v>2168</v>
      </c>
      <c r="AD1274" s="83">
        <f t="shared" si="402"/>
        <v>1.8861111111109494</v>
      </c>
      <c r="AE1274" s="83">
        <f>VLOOKUP(H1274,'LIST 2'!$A$1:$E$27,4,FALSE)</f>
        <v>2</v>
      </c>
      <c r="AF1274" s="83">
        <f t="shared" si="403"/>
        <v>0.11388888888905058</v>
      </c>
      <c r="AG1274" s="81">
        <f t="shared" si="404"/>
        <v>45.266666666662786</v>
      </c>
      <c r="AH1274" s="81">
        <f t="shared" si="405"/>
        <v>12</v>
      </c>
      <c r="AI1274" s="81">
        <f t="shared" si="406"/>
        <v>33.266666666662786</v>
      </c>
      <c r="AJ1274" s="83">
        <f t="shared" si="382"/>
        <v>4.6172344689384142</v>
      </c>
      <c r="AK1274" s="122">
        <v>11.25</v>
      </c>
      <c r="AL1274" s="122">
        <v>11.41</v>
      </c>
      <c r="AM1274" s="122">
        <v>10.56</v>
      </c>
      <c r="AN1274" s="122"/>
    </row>
    <row r="1275" spans="1:40" ht="20.25" customHeight="1" x14ac:dyDescent="0.25">
      <c r="A1275" s="82">
        <v>45797</v>
      </c>
      <c r="B1275" s="94" t="str">
        <f t="shared" si="410"/>
        <v>May</v>
      </c>
      <c r="C1275" s="79" t="s">
        <v>2161</v>
      </c>
      <c r="D1275" s="79" t="s">
        <v>2108</v>
      </c>
      <c r="E1275" s="79" t="s">
        <v>1016</v>
      </c>
      <c r="F1275" s="79" t="s">
        <v>1689</v>
      </c>
      <c r="G1275" s="79" t="s">
        <v>1262</v>
      </c>
      <c r="H1275" s="82" t="s">
        <v>1956</v>
      </c>
      <c r="I1275" s="79">
        <v>153.6</v>
      </c>
      <c r="J1275" s="79" t="s">
        <v>2108</v>
      </c>
      <c r="K1275" s="80" t="s">
        <v>469</v>
      </c>
      <c r="L1275" s="79">
        <f>VLOOKUP(H1275,Table2[#All],3,FALSE)</f>
        <v>596</v>
      </c>
      <c r="M1275" s="80">
        <f t="shared" si="412"/>
        <v>594</v>
      </c>
      <c r="N1275" s="81">
        <f t="shared" si="399"/>
        <v>-2</v>
      </c>
      <c r="P1275" s="82">
        <f>R1275-TIME(0,50,0)</f>
        <v>45797.718055555561</v>
      </c>
      <c r="Q1275" s="82">
        <v>45796.645833333336</v>
      </c>
      <c r="R1275" s="82">
        <v>45797.75277777778</v>
      </c>
      <c r="T1275" s="81">
        <f t="shared" ref="T1275:T1327" si="414">(R1275-P1275)*86000/60</f>
        <v>49.768518513883464</v>
      </c>
      <c r="U1275" s="79" t="s">
        <v>562</v>
      </c>
      <c r="V1275" s="82">
        <v>45798.498611111114</v>
      </c>
      <c r="W1275" s="82">
        <v>45798.813194444447</v>
      </c>
      <c r="X1275" s="103">
        <f t="shared" ref="X1275:X1327" si="415">(W1275-V1275)*84600/60</f>
        <v>443.56249999931606</v>
      </c>
      <c r="Y1275" s="82" t="s">
        <v>1046</v>
      </c>
      <c r="Z1275" s="82">
        <v>45799.670138888891</v>
      </c>
      <c r="AA1275" s="82">
        <f>Z1275+TIME(0,36,0)</f>
        <v>45799.695138888892</v>
      </c>
      <c r="AB1275" s="81">
        <f t="shared" si="384"/>
        <v>35.25000000205182</v>
      </c>
      <c r="AC1275" s="82"/>
      <c r="AD1275" s="83">
        <f t="shared" si="402"/>
        <v>1.9173611111109494</v>
      </c>
      <c r="AE1275" s="83">
        <f>VLOOKUP(H1275,'LIST 2'!$A$1:$E$27,4,FALSE)</f>
        <v>2</v>
      </c>
      <c r="AF1275" s="83">
        <f t="shared" si="403"/>
        <v>8.2638888889050577E-2</v>
      </c>
      <c r="AG1275" s="81">
        <f t="shared" si="404"/>
        <v>46.016666666662786</v>
      </c>
      <c r="AH1275" s="81">
        <f t="shared" si="405"/>
        <v>12</v>
      </c>
      <c r="AI1275" s="81">
        <f t="shared" si="406"/>
        <v>34.016666666662786</v>
      </c>
      <c r="AJ1275" s="83">
        <f t="shared" ref="AJ1275:AJ1327" si="416">I1275/AI1275</f>
        <v>4.5154336109755269</v>
      </c>
      <c r="AK1275" s="122">
        <v>11.49</v>
      </c>
      <c r="AL1275" s="122">
        <v>11.59</v>
      </c>
      <c r="AM1275" s="122">
        <v>11.48</v>
      </c>
      <c r="AN1275" s="122"/>
    </row>
    <row r="1276" spans="1:40" ht="20.25" customHeight="1" x14ac:dyDescent="0.25">
      <c r="A1276" s="82">
        <v>45797</v>
      </c>
      <c r="B1276" s="94" t="str">
        <f t="shared" si="410"/>
        <v>May</v>
      </c>
      <c r="C1276" s="79" t="s">
        <v>2161</v>
      </c>
      <c r="D1276" s="79" t="s">
        <v>2109</v>
      </c>
      <c r="E1276" s="79"/>
      <c r="F1276" s="79" t="s">
        <v>953</v>
      </c>
      <c r="G1276" s="79" t="s">
        <v>970</v>
      </c>
      <c r="H1276" s="82" t="s">
        <v>1957</v>
      </c>
      <c r="I1276" s="79">
        <v>153.6</v>
      </c>
      <c r="J1276" s="79" t="s">
        <v>2109</v>
      </c>
      <c r="K1276" s="80" t="s">
        <v>469</v>
      </c>
      <c r="L1276" s="79">
        <f>VLOOKUP(H1276,Table2[#All],3,FALSE)</f>
        <v>288</v>
      </c>
      <c r="M1276" s="80">
        <f t="shared" si="412"/>
        <v>286</v>
      </c>
      <c r="N1276" s="81">
        <f t="shared" si="399"/>
        <v>-2</v>
      </c>
      <c r="P1276" s="82">
        <f>R1276-TIME(0,23,0)</f>
        <v>45797.574305555558</v>
      </c>
      <c r="Q1276" s="82">
        <v>45797.154861111114</v>
      </c>
      <c r="R1276" s="82">
        <v>45797.590277777781</v>
      </c>
      <c r="T1276" s="81">
        <f t="shared" si="414"/>
        <v>22.893518520140788</v>
      </c>
      <c r="U1276" s="79"/>
      <c r="V1276" s="82">
        <v>45798.420138888891</v>
      </c>
      <c r="W1276" s="82">
        <v>45798.522916666669</v>
      </c>
      <c r="X1276" s="103">
        <f t="shared" si="415"/>
        <v>144.91666666712263</v>
      </c>
      <c r="Y1276" s="82"/>
      <c r="Z1276" s="82">
        <v>45798.755555555559</v>
      </c>
      <c r="AA1276" s="82">
        <f>Z1276+TIME(0,42,0)</f>
        <v>45798.784722222226</v>
      </c>
      <c r="AB1276" s="81">
        <f t="shared" si="384"/>
        <v>41.12500000068394</v>
      </c>
      <c r="AC1276" s="82"/>
      <c r="AD1276" s="83">
        <f t="shared" si="402"/>
        <v>1.1652777777781012</v>
      </c>
      <c r="AE1276" s="83">
        <f>VLOOKUP(H1276,'LIST 2'!$A$1:$E$27,4,FALSE)</f>
        <v>2</v>
      </c>
      <c r="AF1276" s="83">
        <f t="shared" si="403"/>
        <v>0.83472222222189885</v>
      </c>
      <c r="AG1276" s="81">
        <f t="shared" si="404"/>
        <v>27.966666666674428</v>
      </c>
      <c r="AH1276" s="81">
        <f t="shared" si="405"/>
        <v>12</v>
      </c>
      <c r="AI1276" s="81">
        <f t="shared" si="406"/>
        <v>15.966666666674428</v>
      </c>
      <c r="AJ1276" s="83">
        <f t="shared" si="416"/>
        <v>9.6200417536487688</v>
      </c>
      <c r="AK1276" s="122">
        <v>11.25</v>
      </c>
      <c r="AL1276" s="122">
        <v>11.41</v>
      </c>
      <c r="AM1276" s="122"/>
      <c r="AN1276" s="122"/>
    </row>
    <row r="1277" spans="1:40" ht="20.25" customHeight="1" x14ac:dyDescent="0.25">
      <c r="A1277" s="82">
        <v>45797</v>
      </c>
      <c r="B1277" s="94" t="str">
        <f t="shared" si="410"/>
        <v>May</v>
      </c>
      <c r="C1277" s="79" t="s">
        <v>2162</v>
      </c>
      <c r="D1277" s="79" t="s">
        <v>2110</v>
      </c>
      <c r="E1277" s="79" t="s">
        <v>1016</v>
      </c>
      <c r="F1277" s="79" t="s">
        <v>1696</v>
      </c>
      <c r="G1277" s="79" t="s">
        <v>42</v>
      </c>
      <c r="H1277" s="82" t="s">
        <v>2191</v>
      </c>
      <c r="I1277" s="79">
        <v>156</v>
      </c>
      <c r="J1277" s="79" t="s">
        <v>2110</v>
      </c>
      <c r="K1277" s="80" t="s">
        <v>469</v>
      </c>
      <c r="L1277" s="79">
        <f>VLOOKUP(H1277,Table2[#All],3,FALSE)</f>
        <v>790</v>
      </c>
      <c r="M1277" s="80">
        <f t="shared" si="412"/>
        <v>788</v>
      </c>
      <c r="N1277" s="81">
        <f t="shared" si="399"/>
        <v>-2</v>
      </c>
      <c r="P1277" s="82">
        <f>R1277-TIME(0,28,0)</f>
        <v>45797.926388888889</v>
      </c>
      <c r="Q1277" s="82">
        <v>45797.658333333333</v>
      </c>
      <c r="R1277" s="82">
        <v>45797.945833333331</v>
      </c>
      <c r="S1277" s="81">
        <f t="shared" ref="S1277" si="417">(R1277-Q1277)*86000/60</f>
        <v>412.08333333124756</v>
      </c>
      <c r="T1277" s="81">
        <f t="shared" si="414"/>
        <v>27.870370367357584</v>
      </c>
      <c r="U1277" s="79"/>
      <c r="V1277" s="82">
        <v>45799.29791666667</v>
      </c>
      <c r="W1277" s="82">
        <v>45799.434027777781</v>
      </c>
      <c r="X1277" s="103">
        <f t="shared" si="415"/>
        <v>191.91666666643869</v>
      </c>
      <c r="Y1277" s="82" t="s">
        <v>1051</v>
      </c>
      <c r="Z1277" s="82">
        <v>45801.595138888886</v>
      </c>
      <c r="AA1277" s="82">
        <f>Z1277+TIME(0,36,0)</f>
        <v>45801.620138888888</v>
      </c>
      <c r="AB1277" s="81">
        <f t="shared" ref="AB1277:AB1327" si="418">(AA1277-Z1277)*84600/60</f>
        <v>35.25000000205182</v>
      </c>
      <c r="AC1277" s="82"/>
      <c r="AD1277" s="83">
        <f t="shared" si="402"/>
        <v>3.6493055555547471</v>
      </c>
      <c r="AE1277" s="83">
        <f>VLOOKUP(H1277,'LIST 2'!$A$1:$E$27,4,FALSE)</f>
        <v>3</v>
      </c>
      <c r="AF1277" s="83">
        <f t="shared" si="403"/>
        <v>-0.64930555555474712</v>
      </c>
      <c r="AG1277" s="81">
        <f t="shared" si="404"/>
        <v>87.583333333313931</v>
      </c>
      <c r="AH1277" s="81">
        <f t="shared" si="405"/>
        <v>36</v>
      </c>
      <c r="AI1277" s="81">
        <f t="shared" si="406"/>
        <v>51.583333333313931</v>
      </c>
      <c r="AJ1277" s="83">
        <f t="shared" si="416"/>
        <v>3.0242326332806204</v>
      </c>
      <c r="AK1277" s="122"/>
      <c r="AL1277" s="122"/>
      <c r="AM1277" s="122"/>
      <c r="AN1277" s="122"/>
    </row>
    <row r="1278" spans="1:40" ht="20.25" customHeight="1" x14ac:dyDescent="0.25">
      <c r="A1278" s="82">
        <v>45797</v>
      </c>
      <c r="B1278" s="94" t="str">
        <f t="shared" si="410"/>
        <v>May</v>
      </c>
      <c r="C1278" s="79" t="s">
        <v>2161</v>
      </c>
      <c r="D1278" s="79" t="s">
        <v>2111</v>
      </c>
      <c r="E1278" s="79"/>
      <c r="F1278" s="79" t="s">
        <v>964</v>
      </c>
      <c r="G1278" s="79" t="s">
        <v>979</v>
      </c>
      <c r="H1278" s="82" t="s">
        <v>1989</v>
      </c>
      <c r="I1278" s="79">
        <v>153.6</v>
      </c>
      <c r="J1278" s="79" t="s">
        <v>2111</v>
      </c>
      <c r="K1278" s="80" t="s">
        <v>469</v>
      </c>
      <c r="L1278" s="79">
        <f>VLOOKUP(H1278,Table2[#All],3,FALSE)</f>
        <v>20</v>
      </c>
      <c r="M1278" s="80">
        <f t="shared" si="412"/>
        <v>18</v>
      </c>
      <c r="N1278" s="81">
        <f t="shared" si="399"/>
        <v>-2</v>
      </c>
      <c r="P1278" s="82">
        <f>R1278-TIME(0,23,0)</f>
        <v>45796.711111111108</v>
      </c>
      <c r="Q1278" s="82">
        <v>45796.625</v>
      </c>
      <c r="R1278" s="82">
        <v>45796.727083333331</v>
      </c>
      <c r="T1278" s="81">
        <f t="shared" si="414"/>
        <v>22.893518520140788</v>
      </c>
      <c r="U1278" s="79"/>
      <c r="V1278" s="82">
        <v>45797.496527777781</v>
      </c>
      <c r="W1278" s="82">
        <v>45797.636111111111</v>
      </c>
      <c r="X1278" s="103">
        <f t="shared" si="415"/>
        <v>196.81249999521242</v>
      </c>
      <c r="Y1278" s="82" t="s">
        <v>1050</v>
      </c>
      <c r="Z1278" s="82">
        <v>45798.402777777781</v>
      </c>
      <c r="AA1278" s="82">
        <f>Z1278+TIME(0,38,0)</f>
        <v>45798.429166666669</v>
      </c>
      <c r="AB1278" s="81">
        <f t="shared" si="418"/>
        <v>37.208333331509493</v>
      </c>
      <c r="AC1278" s="82"/>
      <c r="AD1278" s="83">
        <f t="shared" si="402"/>
        <v>1.6756944444496185</v>
      </c>
      <c r="AE1278" s="83">
        <f>VLOOKUP(H1278,'LIST 2'!$A$1:$E$27,4,FALSE)</f>
        <v>1</v>
      </c>
      <c r="AF1278" s="83">
        <f t="shared" si="403"/>
        <v>-0.67569444444961846</v>
      </c>
      <c r="AG1278" s="81">
        <f t="shared" si="404"/>
        <v>40.216666666790843</v>
      </c>
      <c r="AH1278" s="81">
        <f t="shared" si="405"/>
        <v>12</v>
      </c>
      <c r="AI1278" s="81">
        <f t="shared" si="406"/>
        <v>28.216666666790843</v>
      </c>
      <c r="AJ1278" s="83">
        <f t="shared" si="416"/>
        <v>5.4435912580977215</v>
      </c>
      <c r="AK1278" s="122">
        <v>10.43</v>
      </c>
      <c r="AL1278" s="122">
        <v>10.23</v>
      </c>
      <c r="AM1278" s="122">
        <v>9.48</v>
      </c>
      <c r="AN1278" s="122"/>
    </row>
    <row r="1279" spans="1:40" ht="20.25" customHeight="1" x14ac:dyDescent="0.25">
      <c r="A1279" s="82">
        <v>45797</v>
      </c>
      <c r="B1279" s="94" t="str">
        <f t="shared" si="410"/>
        <v>May</v>
      </c>
      <c r="C1279" s="79" t="s">
        <v>2161</v>
      </c>
      <c r="D1279" s="79" t="s">
        <v>2112</v>
      </c>
      <c r="E1279" s="80" t="s">
        <v>1016</v>
      </c>
      <c r="F1279" s="79" t="s">
        <v>954</v>
      </c>
      <c r="G1279" s="79" t="s">
        <v>971</v>
      </c>
      <c r="H1279" s="82" t="s">
        <v>1989</v>
      </c>
      <c r="I1279" s="79">
        <v>153.6</v>
      </c>
      <c r="J1279" s="79" t="s">
        <v>2112</v>
      </c>
      <c r="K1279" s="80" t="s">
        <v>469</v>
      </c>
      <c r="L1279" s="79">
        <f>VLOOKUP(H1279,Table2[#All],3,FALSE)</f>
        <v>20</v>
      </c>
      <c r="M1279" s="80">
        <f t="shared" si="412"/>
        <v>18</v>
      </c>
      <c r="N1279" s="81">
        <f t="shared" si="399"/>
        <v>-2</v>
      </c>
      <c r="P1279" s="82">
        <f>R1279-TIME(0,28,0)</f>
        <v>45797.412499999999</v>
      </c>
      <c r="Q1279" s="82">
        <v>45797.416666666664</v>
      </c>
      <c r="R1279" s="82">
        <v>45797.431944444441</v>
      </c>
      <c r="T1279" s="81">
        <f t="shared" si="414"/>
        <v>27.870370367357584</v>
      </c>
      <c r="U1279" s="79"/>
      <c r="V1279" s="82">
        <v>45797.57916666667</v>
      </c>
      <c r="W1279" s="82">
        <v>45797.668055555558</v>
      </c>
      <c r="X1279" s="103">
        <f t="shared" si="415"/>
        <v>125.33333333150949</v>
      </c>
      <c r="Y1279" s="82"/>
      <c r="Z1279" s="82">
        <v>45797.604166666664</v>
      </c>
      <c r="AA1279" s="82">
        <f>Z1279+TIME(0,51,0)</f>
        <v>45797.63958333333</v>
      </c>
      <c r="AB1279" s="81">
        <f t="shared" si="418"/>
        <v>49.93749999863212</v>
      </c>
      <c r="AC1279" s="82" t="s">
        <v>1678</v>
      </c>
      <c r="AD1279" s="83">
        <f t="shared" si="402"/>
        <v>0.17222222222335404</v>
      </c>
      <c r="AE1279" s="83">
        <f>VLOOKUP(H1279,'LIST 2'!$A$1:$E$27,4,FALSE)</f>
        <v>1</v>
      </c>
      <c r="AF1279" s="83">
        <f t="shared" si="403"/>
        <v>0.82777777777664596</v>
      </c>
      <c r="AG1279" s="81">
        <f t="shared" si="404"/>
        <v>4.1333333333604969</v>
      </c>
      <c r="AH1279" s="81">
        <f t="shared" si="405"/>
        <v>0</v>
      </c>
      <c r="AI1279" s="81">
        <f t="shared" si="406"/>
        <v>4.1333333333604969</v>
      </c>
      <c r="AJ1279" s="83">
        <f t="shared" si="416"/>
        <v>37.161290322336427</v>
      </c>
      <c r="AK1279" s="122">
        <v>11.52</v>
      </c>
      <c r="AL1279" s="122"/>
      <c r="AM1279" s="122"/>
      <c r="AN1279" s="122"/>
    </row>
    <row r="1280" spans="1:40" ht="20.25" customHeight="1" x14ac:dyDescent="0.25">
      <c r="A1280" s="82">
        <v>45797</v>
      </c>
      <c r="B1280" s="94" t="str">
        <f t="shared" si="410"/>
        <v>May</v>
      </c>
      <c r="C1280" s="79" t="s">
        <v>2162</v>
      </c>
      <c r="D1280" s="79" t="s">
        <v>2113</v>
      </c>
      <c r="E1280" s="79" t="s">
        <v>1016</v>
      </c>
      <c r="F1280" s="79" t="s">
        <v>1700</v>
      </c>
      <c r="G1280" s="79" t="s">
        <v>54</v>
      </c>
      <c r="H1280" s="82" t="s">
        <v>2076</v>
      </c>
      <c r="I1280" s="79">
        <v>156</v>
      </c>
      <c r="J1280" s="79" t="s">
        <v>2113</v>
      </c>
      <c r="K1280" s="80" t="s">
        <v>469</v>
      </c>
      <c r="L1280" s="79">
        <f>VLOOKUP(H1280,Table2[#All],3,FALSE)</f>
        <v>790</v>
      </c>
      <c r="M1280" s="80">
        <f t="shared" si="412"/>
        <v>788</v>
      </c>
      <c r="N1280" s="81">
        <f t="shared" si="399"/>
        <v>-2</v>
      </c>
      <c r="P1280" s="82">
        <f t="shared" ref="P1280:P1281" si="419">R1280-TIME(0,23,0)</f>
        <v>45797.404861111107</v>
      </c>
      <c r="Q1280" s="82">
        <v>45797.595138888886</v>
      </c>
      <c r="R1280" s="82">
        <v>45797.42083333333</v>
      </c>
      <c r="S1280" s="81">
        <f t="shared" ref="S1280:S1282" si="420">(R1280-Q1280)*86000/60</f>
        <v>-249.83796296388996</v>
      </c>
      <c r="T1280" s="81">
        <f t="shared" si="414"/>
        <v>22.893518520140788</v>
      </c>
      <c r="V1280" s="82">
        <v>45798.393750000003</v>
      </c>
      <c r="W1280" s="82">
        <v>45798.46875</v>
      </c>
      <c r="X1280" s="103">
        <f t="shared" si="415"/>
        <v>105.74999999589636</v>
      </c>
      <c r="Y1280" s="82"/>
      <c r="Z1280" s="82">
        <v>45802.421527777777</v>
      </c>
      <c r="AA1280" s="82">
        <f t="shared" ref="AA1280" si="421">Z1280+TIME(0,57,0)</f>
        <v>45802.461111111108</v>
      </c>
      <c r="AB1280" s="81">
        <f t="shared" si="418"/>
        <v>55.81249999726424</v>
      </c>
      <c r="AC1280" s="82" t="s">
        <v>1678</v>
      </c>
      <c r="AD1280" s="83">
        <f t="shared" si="402"/>
        <v>5.0006944444467081</v>
      </c>
      <c r="AE1280" s="83">
        <f>VLOOKUP(H1280,'LIST 2'!$A$1:$E$27,4,FALSE)</f>
        <v>3</v>
      </c>
      <c r="AF1280" s="83">
        <f t="shared" si="403"/>
        <v>-2.0006944444467081</v>
      </c>
      <c r="AG1280" s="81">
        <f t="shared" si="404"/>
        <v>120.01666666672099</v>
      </c>
      <c r="AH1280" s="81">
        <f t="shared" si="405"/>
        <v>60</v>
      </c>
      <c r="AI1280" s="81">
        <f t="shared" si="406"/>
        <v>60.016666666720994</v>
      </c>
      <c r="AJ1280" s="83">
        <f t="shared" si="416"/>
        <v>2.5992779783369975</v>
      </c>
      <c r="AK1280" s="122"/>
      <c r="AL1280" s="122"/>
      <c r="AM1280" s="122"/>
      <c r="AN1280" s="122"/>
    </row>
    <row r="1281" spans="1:40" ht="20.25" customHeight="1" x14ac:dyDescent="0.25">
      <c r="A1281" s="82">
        <v>45797</v>
      </c>
      <c r="B1281" s="94" t="str">
        <f t="shared" si="410"/>
        <v>May</v>
      </c>
      <c r="C1281" s="79" t="s">
        <v>2162</v>
      </c>
      <c r="D1281" s="79" t="s">
        <v>2114</v>
      </c>
      <c r="E1281" s="79" t="s">
        <v>1016</v>
      </c>
      <c r="F1281" s="79" t="s">
        <v>963</v>
      </c>
      <c r="G1281" s="79" t="s">
        <v>60</v>
      </c>
      <c r="H1281" s="82" t="s">
        <v>1959</v>
      </c>
      <c r="I1281" s="79">
        <v>156</v>
      </c>
      <c r="J1281" s="79" t="s">
        <v>2114</v>
      </c>
      <c r="K1281" s="80" t="s">
        <v>469</v>
      </c>
      <c r="L1281" s="79">
        <f>VLOOKUP(H1281,Table2[#All],3,FALSE)</f>
        <v>304</v>
      </c>
      <c r="M1281" s="80">
        <f t="shared" si="412"/>
        <v>302</v>
      </c>
      <c r="N1281" s="81">
        <f t="shared" si="399"/>
        <v>-2</v>
      </c>
      <c r="P1281" s="82">
        <f t="shared" si="419"/>
        <v>45796.900694444441</v>
      </c>
      <c r="Q1281" s="82">
        <v>45797.098611111112</v>
      </c>
      <c r="R1281" s="82">
        <v>45796.916666666664</v>
      </c>
      <c r="S1281" s="81">
        <f t="shared" si="420"/>
        <v>-260.78703704236733</v>
      </c>
      <c r="T1281" s="81">
        <f t="shared" si="414"/>
        <v>22.893518520140788</v>
      </c>
      <c r="V1281" s="82">
        <v>45797.73541666667</v>
      </c>
      <c r="W1281" s="82">
        <v>45798.554861111108</v>
      </c>
      <c r="X1281" s="103">
        <f t="shared" si="415"/>
        <v>1155.4166666575475</v>
      </c>
      <c r="Y1281" s="82" t="s">
        <v>1046</v>
      </c>
      <c r="Z1281" s="82">
        <v>45798.835416666669</v>
      </c>
      <c r="AA1281" s="82">
        <f>Z1281+TIME(0,57,0)</f>
        <v>45798.875</v>
      </c>
      <c r="AB1281" s="81">
        <f t="shared" si="418"/>
        <v>55.81249999726424</v>
      </c>
      <c r="AC1281" s="82" t="s">
        <v>1674</v>
      </c>
      <c r="AD1281" s="83">
        <f t="shared" si="402"/>
        <v>1.9187500000043656</v>
      </c>
      <c r="AE1281" s="83">
        <f>VLOOKUP(H1281,'LIST 2'!$A$1:$E$27,4,FALSE)</f>
        <v>2</v>
      </c>
      <c r="AF1281" s="83">
        <f t="shared" si="403"/>
        <v>8.1249999995634425E-2</v>
      </c>
      <c r="AG1281" s="81">
        <f t="shared" si="404"/>
        <v>46.050000000104774</v>
      </c>
      <c r="AH1281" s="81">
        <f t="shared" si="405"/>
        <v>12</v>
      </c>
      <c r="AI1281" s="81">
        <f t="shared" si="406"/>
        <v>34.050000000104774</v>
      </c>
      <c r="AJ1281" s="83">
        <f t="shared" si="416"/>
        <v>4.5814977973427311</v>
      </c>
      <c r="AK1281" s="122"/>
      <c r="AL1281" s="122"/>
      <c r="AM1281" s="122"/>
      <c r="AN1281" s="122"/>
    </row>
    <row r="1282" spans="1:40" ht="20.25" customHeight="1" x14ac:dyDescent="0.25">
      <c r="A1282" s="82">
        <v>45797</v>
      </c>
      <c r="B1282" s="94" t="str">
        <f t="shared" si="410"/>
        <v>May</v>
      </c>
      <c r="C1282" s="79" t="s">
        <v>2162</v>
      </c>
      <c r="D1282" s="79" t="s">
        <v>2115</v>
      </c>
      <c r="E1282" s="79" t="s">
        <v>1016</v>
      </c>
      <c r="F1282" s="79" t="s">
        <v>1693</v>
      </c>
      <c r="G1282" s="79" t="s">
        <v>59</v>
      </c>
      <c r="H1282" s="82" t="s">
        <v>2183</v>
      </c>
      <c r="I1282" s="79">
        <v>156</v>
      </c>
      <c r="J1282" s="79" t="s">
        <v>2115</v>
      </c>
      <c r="K1282" s="80" t="s">
        <v>469</v>
      </c>
      <c r="L1282" s="79">
        <f>VLOOKUP(H1282,Table2[#All],3,FALSE)</f>
        <v>690</v>
      </c>
      <c r="M1282" s="80">
        <f t="shared" si="412"/>
        <v>688</v>
      </c>
      <c r="N1282" s="81">
        <f t="shared" si="399"/>
        <v>-2</v>
      </c>
      <c r="P1282" s="82">
        <f>R1282-TIME(0,38,0)</f>
        <v>45796.597916666666</v>
      </c>
      <c r="Q1282" s="82">
        <v>45796.815972222219</v>
      </c>
      <c r="R1282" s="82">
        <v>45796.624305555553</v>
      </c>
      <c r="S1282" s="81">
        <f t="shared" si="420"/>
        <v>-274.72222222083172</v>
      </c>
      <c r="T1282" s="81">
        <f t="shared" si="414"/>
        <v>37.82407407222005</v>
      </c>
      <c r="U1282" s="79" t="s">
        <v>562</v>
      </c>
      <c r="V1282" s="82">
        <v>45797.879861111112</v>
      </c>
      <c r="W1282" s="82">
        <v>45798.401388888888</v>
      </c>
      <c r="X1282" s="103">
        <f t="shared" si="415"/>
        <v>735.35416666301899</v>
      </c>
      <c r="Y1282" s="82" t="s">
        <v>1046</v>
      </c>
      <c r="Z1282" s="82">
        <v>45798.845833333333</v>
      </c>
      <c r="AA1282" s="82">
        <f>Z1282+TIME(0,57,0)</f>
        <v>45798.885416666664</v>
      </c>
      <c r="AB1282" s="81">
        <f t="shared" si="418"/>
        <v>55.81249999726424</v>
      </c>
      <c r="AC1282" s="82" t="s">
        <v>1673</v>
      </c>
      <c r="AD1282" s="83">
        <f t="shared" si="402"/>
        <v>2.2215277777795563</v>
      </c>
      <c r="AE1282" s="83">
        <f>VLOOKUP(H1282,'LIST 2'!$A$1:$E$27,4,FALSE)</f>
        <v>3</v>
      </c>
      <c r="AF1282" s="83">
        <f t="shared" si="403"/>
        <v>0.77847222222044365</v>
      </c>
      <c r="AG1282" s="81">
        <f t="shared" si="404"/>
        <v>53.316666666709352</v>
      </c>
      <c r="AH1282" s="81">
        <f t="shared" si="405"/>
        <v>24</v>
      </c>
      <c r="AI1282" s="81">
        <f t="shared" si="406"/>
        <v>29.316666666709352</v>
      </c>
      <c r="AJ1282" s="83">
        <f t="shared" si="416"/>
        <v>5.3212052302367097</v>
      </c>
      <c r="AK1282" s="122"/>
      <c r="AL1282" s="122"/>
      <c r="AM1282" s="122"/>
      <c r="AN1282" s="122"/>
    </row>
    <row r="1283" spans="1:40" ht="20.25" customHeight="1" x14ac:dyDescent="0.25">
      <c r="A1283" s="82">
        <v>45797</v>
      </c>
      <c r="B1283" s="94" t="str">
        <f t="shared" si="410"/>
        <v>May</v>
      </c>
      <c r="C1283" s="79" t="s">
        <v>2161</v>
      </c>
      <c r="D1283" s="79" t="s">
        <v>2116</v>
      </c>
      <c r="E1283" s="79" t="s">
        <v>1016</v>
      </c>
      <c r="F1283" s="79" t="s">
        <v>956</v>
      </c>
      <c r="G1283" s="79" t="s">
        <v>973</v>
      </c>
      <c r="H1283" s="82" t="s">
        <v>1956</v>
      </c>
      <c r="I1283" s="79">
        <v>153.6</v>
      </c>
      <c r="J1283" s="79" t="s">
        <v>2116</v>
      </c>
      <c r="K1283" s="80" t="s">
        <v>469</v>
      </c>
      <c r="L1283" s="79">
        <f>VLOOKUP(H1283,Table2[#All],3,FALSE)</f>
        <v>596</v>
      </c>
      <c r="M1283" s="80">
        <f t="shared" si="412"/>
        <v>594</v>
      </c>
      <c r="N1283" s="81">
        <f t="shared" si="399"/>
        <v>-2</v>
      </c>
      <c r="P1283" s="82">
        <f>R1283-TIME(0,23,0)</f>
        <v>45796.82708333333</v>
      </c>
      <c r="Q1283" s="82">
        <v>45797.176388888889</v>
      </c>
      <c r="R1283" s="82">
        <v>45796.843055555553</v>
      </c>
      <c r="T1283" s="81">
        <f t="shared" si="414"/>
        <v>22.893518520140788</v>
      </c>
      <c r="U1283" s="79"/>
      <c r="V1283" s="82">
        <v>45797.365277777775</v>
      </c>
      <c r="W1283" s="82">
        <v>45797.820833333331</v>
      </c>
      <c r="X1283" s="103">
        <f t="shared" si="415"/>
        <v>642.33333333424525</v>
      </c>
      <c r="Y1283" s="82" t="s">
        <v>1047</v>
      </c>
      <c r="Z1283" s="82">
        <v>45798.397916666669</v>
      </c>
      <c r="AA1283" s="82">
        <f>Z1283+TIME(0,51,0)</f>
        <v>45798.433333333334</v>
      </c>
      <c r="AB1283" s="81">
        <f t="shared" si="418"/>
        <v>49.93749999863212</v>
      </c>
      <c r="AC1283" s="82" t="s">
        <v>2169</v>
      </c>
      <c r="AD1283" s="83">
        <f t="shared" si="402"/>
        <v>1.554861111115315</v>
      </c>
      <c r="AE1283" s="83">
        <f>VLOOKUP(H1283,'LIST 2'!$A$1:$E$27,4,FALSE)</f>
        <v>2</v>
      </c>
      <c r="AF1283" s="83">
        <f t="shared" si="403"/>
        <v>0.445138888884685</v>
      </c>
      <c r="AG1283" s="81">
        <f t="shared" si="404"/>
        <v>37.31666666676756</v>
      </c>
      <c r="AH1283" s="81">
        <f t="shared" si="405"/>
        <v>12</v>
      </c>
      <c r="AI1283" s="81">
        <f t="shared" si="406"/>
        <v>25.31666666676756</v>
      </c>
      <c r="AJ1283" s="83">
        <f t="shared" si="416"/>
        <v>6.0671494403971504</v>
      </c>
      <c r="AK1283" s="122">
        <v>11.4</v>
      </c>
      <c r="AL1283" s="122">
        <v>11.3</v>
      </c>
      <c r="AM1283" s="122">
        <v>10.3</v>
      </c>
      <c r="AN1283" s="122"/>
    </row>
    <row r="1284" spans="1:40" ht="20.25" customHeight="1" x14ac:dyDescent="0.25">
      <c r="A1284" s="82">
        <v>45797</v>
      </c>
      <c r="B1284" s="94" t="str">
        <f t="shared" si="410"/>
        <v>May</v>
      </c>
      <c r="C1284" s="79" t="s">
        <v>2162</v>
      </c>
      <c r="D1284" s="79" t="s">
        <v>2117</v>
      </c>
      <c r="E1284" s="79" t="s">
        <v>1016</v>
      </c>
      <c r="F1284" s="79" t="s">
        <v>960</v>
      </c>
      <c r="G1284" s="79" t="s">
        <v>62</v>
      </c>
      <c r="H1284" s="82" t="s">
        <v>2185</v>
      </c>
      <c r="I1284" s="79">
        <v>156</v>
      </c>
      <c r="J1284" s="79" t="s">
        <v>2117</v>
      </c>
      <c r="K1284" s="80" t="s">
        <v>469</v>
      </c>
      <c r="L1284" s="79">
        <f>VLOOKUP(H1284,Table2[#All],3,FALSE)</f>
        <v>382</v>
      </c>
      <c r="M1284" s="80">
        <f t="shared" si="412"/>
        <v>380</v>
      </c>
      <c r="N1284" s="81">
        <f t="shared" si="399"/>
        <v>-2</v>
      </c>
      <c r="P1284" s="82">
        <f>R1284-TIME(0,27,0)</f>
        <v>45796.82708333333</v>
      </c>
      <c r="Q1284" s="82">
        <v>45797.179861111108</v>
      </c>
      <c r="R1284" s="82">
        <v>45796.845833333333</v>
      </c>
      <c r="S1284" s="81">
        <f t="shared" ref="S1284:S1285" si="422">(R1284-Q1284)*86000/60</f>
        <v>-478.77314814444009</v>
      </c>
      <c r="T1284" s="81">
        <f t="shared" si="414"/>
        <v>26.87500000417155</v>
      </c>
      <c r="U1284" s="79"/>
      <c r="V1284" s="82">
        <v>45797.359027777777</v>
      </c>
      <c r="W1284" s="82">
        <v>45797.513888888891</v>
      </c>
      <c r="X1284" s="103">
        <f t="shared" si="415"/>
        <v>218.35416667054233</v>
      </c>
      <c r="Y1284" s="82" t="s">
        <v>1044</v>
      </c>
      <c r="Z1284" s="82">
        <v>45797.825694444444</v>
      </c>
      <c r="AA1284" s="82">
        <f>Z1284+TIME(0,38,0)</f>
        <v>45797.852083333331</v>
      </c>
      <c r="AB1284" s="81">
        <f t="shared" si="418"/>
        <v>37.208333331509493</v>
      </c>
      <c r="AC1284" s="82"/>
      <c r="AD1284" s="83">
        <f t="shared" si="402"/>
        <v>0.97986111111094942</v>
      </c>
      <c r="AE1284" s="83">
        <f>VLOOKUP(H1284,'LIST 2'!$A$1:$E$27,4,FALSE)</f>
        <v>2</v>
      </c>
      <c r="AF1284" s="83">
        <f t="shared" si="403"/>
        <v>1.0201388888890506</v>
      </c>
      <c r="AG1284" s="81">
        <f t="shared" si="404"/>
        <v>23.516666666662786</v>
      </c>
      <c r="AH1284" s="81">
        <f t="shared" si="405"/>
        <v>0</v>
      </c>
      <c r="AI1284" s="81">
        <f t="shared" si="406"/>
        <v>23.516666666662786</v>
      </c>
      <c r="AJ1284" s="83">
        <f t="shared" si="416"/>
        <v>6.6335931963157648</v>
      </c>
      <c r="AK1284" s="122"/>
      <c r="AL1284" s="122"/>
      <c r="AM1284" s="122"/>
      <c r="AN1284" s="122"/>
    </row>
    <row r="1285" spans="1:40" ht="20.25" customHeight="1" x14ac:dyDescent="0.25">
      <c r="A1285" s="82">
        <v>45797</v>
      </c>
      <c r="B1285" s="94" t="str">
        <f t="shared" si="410"/>
        <v>May</v>
      </c>
      <c r="C1285" s="79" t="s">
        <v>2162</v>
      </c>
      <c r="D1285" s="79" t="s">
        <v>2118</v>
      </c>
      <c r="E1285" s="79" t="s">
        <v>1016</v>
      </c>
      <c r="F1285" s="79" t="s">
        <v>1697</v>
      </c>
      <c r="G1285" s="79" t="s">
        <v>77</v>
      </c>
      <c r="H1285" s="82" t="s">
        <v>2183</v>
      </c>
      <c r="I1285" s="79">
        <v>156</v>
      </c>
      <c r="J1285" s="79" t="s">
        <v>2118</v>
      </c>
      <c r="K1285" s="80" t="s">
        <v>469</v>
      </c>
      <c r="L1285" s="79">
        <f>VLOOKUP(H1285,Table2[#All],3,FALSE)</f>
        <v>690</v>
      </c>
      <c r="M1285" s="80">
        <f t="shared" si="412"/>
        <v>688</v>
      </c>
      <c r="N1285" s="81">
        <f t="shared" si="399"/>
        <v>-2</v>
      </c>
      <c r="P1285" s="82">
        <f>R1285-TIME(0,50,0)</f>
        <v>45797.428472222222</v>
      </c>
      <c r="Q1285" s="82">
        <v>45797.815972222219</v>
      </c>
      <c r="R1285" s="82">
        <v>45797.463194444441</v>
      </c>
      <c r="S1285" s="81">
        <f t="shared" si="422"/>
        <v>-505.64814814861165</v>
      </c>
      <c r="T1285" s="81">
        <f t="shared" si="414"/>
        <v>49.768518513883464</v>
      </c>
      <c r="U1285" s="79" t="s">
        <v>2167</v>
      </c>
      <c r="V1285" s="82">
        <v>45799.576388888891</v>
      </c>
      <c r="W1285" s="82">
        <v>45799.667361111111</v>
      </c>
      <c r="X1285" s="103">
        <f t="shared" si="415"/>
        <v>128.27083333082555</v>
      </c>
      <c r="Y1285" s="82"/>
      <c r="Z1285" s="82">
        <v>45800.839583333334</v>
      </c>
      <c r="AA1285" s="82">
        <f>Z1285+TIME(0,43,0)</f>
        <v>45800.869444444448</v>
      </c>
      <c r="AB1285" s="81">
        <f t="shared" si="418"/>
        <v>42.104166670542327</v>
      </c>
      <c r="AC1285" s="82"/>
      <c r="AD1285" s="83">
        <f t="shared" si="402"/>
        <v>3.3763888888934162</v>
      </c>
      <c r="AE1285" s="83">
        <f>VLOOKUP(H1285,'LIST 2'!$A$1:$E$27,4,FALSE)</f>
        <v>3</v>
      </c>
      <c r="AF1285" s="83">
        <f t="shared" si="403"/>
        <v>-0.37638888889341615</v>
      </c>
      <c r="AG1285" s="81">
        <f t="shared" si="404"/>
        <v>81.033333333441988</v>
      </c>
      <c r="AH1285" s="81">
        <f t="shared" si="405"/>
        <v>36</v>
      </c>
      <c r="AI1285" s="81">
        <f t="shared" si="406"/>
        <v>45.033333333441988</v>
      </c>
      <c r="AJ1285" s="83">
        <f t="shared" si="416"/>
        <v>3.464100666164847</v>
      </c>
      <c r="AK1285" s="122"/>
      <c r="AL1285" s="122"/>
      <c r="AM1285" s="122"/>
      <c r="AN1285" s="122"/>
    </row>
    <row r="1286" spans="1:40" ht="20.25" customHeight="1" x14ac:dyDescent="0.25">
      <c r="A1286" s="82">
        <v>45797</v>
      </c>
      <c r="B1286" s="94" t="str">
        <f t="shared" si="410"/>
        <v>May</v>
      </c>
      <c r="C1286" s="79" t="s">
        <v>2161</v>
      </c>
      <c r="D1286" s="79" t="s">
        <v>2119</v>
      </c>
      <c r="E1286" s="79"/>
      <c r="F1286" s="79" t="s">
        <v>962</v>
      </c>
      <c r="G1286" s="79" t="s">
        <v>978</v>
      </c>
      <c r="H1286" s="82" t="s">
        <v>1991</v>
      </c>
      <c r="I1286" s="79">
        <v>153.6</v>
      </c>
      <c r="J1286" s="79" t="s">
        <v>2119</v>
      </c>
      <c r="K1286" s="80" t="s">
        <v>469</v>
      </c>
      <c r="L1286" s="79">
        <f>VLOOKUP(H1286,Table2[#All],3,FALSE)</f>
        <v>272</v>
      </c>
      <c r="M1286" s="80">
        <f t="shared" si="412"/>
        <v>270</v>
      </c>
      <c r="N1286" s="81">
        <f t="shared" si="399"/>
        <v>-2</v>
      </c>
      <c r="P1286" s="82">
        <f>R1286-TIME(0,23,0)</f>
        <v>45797.706249999996</v>
      </c>
      <c r="Q1286" s="82">
        <v>45798.082638888889</v>
      </c>
      <c r="R1286" s="82">
        <v>45797.722222222219</v>
      </c>
      <c r="T1286" s="81">
        <f t="shared" si="414"/>
        <v>22.893518520140788</v>
      </c>
      <c r="U1286" s="79"/>
      <c r="V1286" s="82">
        <v>45798.604861111111</v>
      </c>
      <c r="W1286" s="82">
        <v>45798.773611111108</v>
      </c>
      <c r="X1286" s="103">
        <f t="shared" si="415"/>
        <v>237.93749999589636</v>
      </c>
      <c r="Y1286" s="82" t="s">
        <v>1046</v>
      </c>
      <c r="Z1286" s="82">
        <v>45799.503472222219</v>
      </c>
      <c r="AA1286" s="82">
        <f>Z1286+TIME(0,49,0)</f>
        <v>45799.537499999999</v>
      </c>
      <c r="AB1286" s="81">
        <f t="shared" si="418"/>
        <v>47.979166669174447</v>
      </c>
      <c r="AC1286" s="82" t="s">
        <v>2168</v>
      </c>
      <c r="AD1286" s="83">
        <f t="shared" si="402"/>
        <v>1.78125</v>
      </c>
      <c r="AE1286" s="83">
        <f>VLOOKUP(H1286,'LIST 2'!$A$1:$E$27,4,FALSE)</f>
        <v>2</v>
      </c>
      <c r="AF1286" s="83">
        <f t="shared" si="403"/>
        <v>0.21875</v>
      </c>
      <c r="AG1286" s="81">
        <f t="shared" si="404"/>
        <v>42.75</v>
      </c>
      <c r="AH1286" s="81">
        <f t="shared" si="405"/>
        <v>12</v>
      </c>
      <c r="AI1286" s="81">
        <f t="shared" si="406"/>
        <v>30.75</v>
      </c>
      <c r="AJ1286" s="83">
        <f t="shared" si="416"/>
        <v>4.9951219512195122</v>
      </c>
      <c r="AK1286" s="122">
        <v>10.24</v>
      </c>
      <c r="AL1286" s="122">
        <v>10.35</v>
      </c>
      <c r="AM1286" s="122">
        <v>9.59</v>
      </c>
      <c r="AN1286" s="122"/>
    </row>
    <row r="1287" spans="1:40" ht="20.25" customHeight="1" x14ac:dyDescent="0.25">
      <c r="A1287" s="82">
        <v>45797</v>
      </c>
      <c r="B1287" s="94" t="str">
        <f t="shared" si="410"/>
        <v>May</v>
      </c>
      <c r="C1287" s="79" t="s">
        <v>2162</v>
      </c>
      <c r="D1287" s="79" t="s">
        <v>2120</v>
      </c>
      <c r="E1287" s="79" t="s">
        <v>1016</v>
      </c>
      <c r="F1287" s="79" t="s">
        <v>1962</v>
      </c>
      <c r="G1287" s="79" t="s">
        <v>56</v>
      </c>
      <c r="H1287" s="82" t="s">
        <v>2184</v>
      </c>
      <c r="I1287" s="79">
        <v>156</v>
      </c>
      <c r="J1287" s="79" t="s">
        <v>2120</v>
      </c>
      <c r="K1287" s="80" t="s">
        <v>469</v>
      </c>
      <c r="L1287" s="79">
        <f>VLOOKUP(H1287,Table2[#All],3,FALSE)</f>
        <v>600</v>
      </c>
      <c r="M1287" s="80">
        <f t="shared" si="412"/>
        <v>598</v>
      </c>
      <c r="N1287" s="81">
        <f t="shared" si="399"/>
        <v>-2</v>
      </c>
      <c r="P1287" s="82">
        <f>R1287-TIME(0,27,0)</f>
        <v>45797.417361111111</v>
      </c>
      <c r="Q1287" s="82">
        <v>45797.85</v>
      </c>
      <c r="R1287" s="82">
        <v>45797.436111111114</v>
      </c>
      <c r="S1287" s="81">
        <f t="shared" ref="S1287:S1289" si="423">(R1287-Q1287)*86000/60</f>
        <v>-593.24074073471513</v>
      </c>
      <c r="T1287" s="81">
        <f t="shared" si="414"/>
        <v>26.87500000417155</v>
      </c>
      <c r="U1287" s="79"/>
      <c r="V1287" s="82">
        <v>45798.430555555555</v>
      </c>
      <c r="W1287" s="82">
        <v>45798.510416666664</v>
      </c>
      <c r="X1287" s="103">
        <f t="shared" si="415"/>
        <v>112.60416666438687</v>
      </c>
      <c r="Y1287" s="82"/>
      <c r="Z1287" s="82">
        <v>45799.810416666667</v>
      </c>
      <c r="AA1287" s="82">
        <f>Z1287+TIME(0,49,0)</f>
        <v>45799.844444444447</v>
      </c>
      <c r="AB1287" s="81">
        <f t="shared" si="418"/>
        <v>47.979166669174447</v>
      </c>
      <c r="AC1287" s="82" t="s">
        <v>2168</v>
      </c>
      <c r="AD1287" s="83">
        <f t="shared" si="402"/>
        <v>2.3743055555532919</v>
      </c>
      <c r="AE1287" s="83">
        <f>VLOOKUP(H1287,'LIST 2'!$A$1:$E$27,4,FALSE)</f>
        <v>2</v>
      </c>
      <c r="AF1287" s="83">
        <f t="shared" si="403"/>
        <v>-0.37430555555329192</v>
      </c>
      <c r="AG1287" s="81">
        <f t="shared" si="404"/>
        <v>56.983333333279006</v>
      </c>
      <c r="AH1287" s="81">
        <f t="shared" si="405"/>
        <v>24</v>
      </c>
      <c r="AI1287" s="81">
        <f t="shared" si="406"/>
        <v>32.983333333279006</v>
      </c>
      <c r="AJ1287" s="83">
        <f t="shared" si="416"/>
        <v>4.7296614451821206</v>
      </c>
      <c r="AK1287" s="122"/>
      <c r="AL1287" s="122"/>
      <c r="AM1287" s="122"/>
      <c r="AN1287" s="122"/>
    </row>
    <row r="1288" spans="1:40" ht="20.25" customHeight="1" x14ac:dyDescent="0.25">
      <c r="A1288" s="82">
        <v>45797</v>
      </c>
      <c r="B1288" s="94" t="str">
        <f t="shared" si="410"/>
        <v>May</v>
      </c>
      <c r="C1288" s="79" t="s">
        <v>2162</v>
      </c>
      <c r="D1288" s="79" t="s">
        <v>2121</v>
      </c>
      <c r="E1288" s="79" t="s">
        <v>1016</v>
      </c>
      <c r="F1288" s="79" t="s">
        <v>961</v>
      </c>
      <c r="G1288" s="79" t="s">
        <v>977</v>
      </c>
      <c r="H1288" s="82" t="s">
        <v>2185</v>
      </c>
      <c r="I1288" s="79">
        <v>156</v>
      </c>
      <c r="J1288" s="79" t="s">
        <v>2121</v>
      </c>
      <c r="K1288" s="80" t="s">
        <v>469</v>
      </c>
      <c r="L1288" s="79">
        <f>VLOOKUP(H1288,Table2[#All],3,FALSE)</f>
        <v>382</v>
      </c>
      <c r="M1288" s="80">
        <f t="shared" si="412"/>
        <v>380</v>
      </c>
      <c r="N1288" s="81">
        <f t="shared" si="399"/>
        <v>-2</v>
      </c>
      <c r="P1288" s="82">
        <f t="shared" ref="P1288" si="424">R1288-TIME(0,28,0)</f>
        <v>45796.910416666666</v>
      </c>
      <c r="Q1288" s="82">
        <v>45797.416666666664</v>
      </c>
      <c r="R1288" s="82">
        <v>45796.929861111108</v>
      </c>
      <c r="S1288" s="81">
        <f t="shared" si="423"/>
        <v>-697.75462963055668</v>
      </c>
      <c r="T1288" s="81">
        <f t="shared" si="414"/>
        <v>27.870370367357584</v>
      </c>
      <c r="U1288" s="79"/>
      <c r="V1288" s="82">
        <v>45797.694444444445</v>
      </c>
      <c r="W1288" s="82">
        <v>45798.458333333336</v>
      </c>
      <c r="X1288" s="103">
        <f t="shared" si="415"/>
        <v>1077.0833333356131</v>
      </c>
      <c r="Y1288" s="82" t="s">
        <v>1044</v>
      </c>
      <c r="Z1288" s="82">
        <v>45798.727083333331</v>
      </c>
      <c r="AA1288" s="82">
        <f>Z1288+TIME(0,43,0)</f>
        <v>45798.756944444445</v>
      </c>
      <c r="AB1288" s="81">
        <f t="shared" si="418"/>
        <v>42.104166670542327</v>
      </c>
      <c r="AC1288" s="82"/>
      <c r="AD1288" s="83">
        <f t="shared" si="402"/>
        <v>1.797222222223354</v>
      </c>
      <c r="AE1288" s="83">
        <f>VLOOKUP(H1288,'LIST 2'!$A$1:$E$27,4,FALSE)</f>
        <v>2</v>
      </c>
      <c r="AF1288" s="83">
        <f t="shared" si="403"/>
        <v>0.20277777777664596</v>
      </c>
      <c r="AG1288" s="81">
        <f t="shared" si="404"/>
        <v>43.133333333360497</v>
      </c>
      <c r="AH1288" s="81">
        <f t="shared" si="405"/>
        <v>12</v>
      </c>
      <c r="AI1288" s="81">
        <f t="shared" si="406"/>
        <v>31.133333333360497</v>
      </c>
      <c r="AJ1288" s="83">
        <f t="shared" si="416"/>
        <v>5.0107066381112597</v>
      </c>
      <c r="AK1288" s="122"/>
      <c r="AL1288" s="122"/>
      <c r="AM1288" s="122"/>
      <c r="AN1288" s="122"/>
    </row>
    <row r="1289" spans="1:40" ht="20.25" customHeight="1" x14ac:dyDescent="0.25">
      <c r="A1289" s="82">
        <v>45798</v>
      </c>
      <c r="B1289" s="94" t="str">
        <f t="shared" si="410"/>
        <v>May</v>
      </c>
      <c r="C1289" s="79" t="s">
        <v>2162</v>
      </c>
      <c r="D1289" s="79" t="s">
        <v>2122</v>
      </c>
      <c r="E1289" s="79" t="s">
        <v>1016</v>
      </c>
      <c r="F1289" s="79" t="s">
        <v>1692</v>
      </c>
      <c r="G1289" s="79" t="s">
        <v>50</v>
      </c>
      <c r="H1289" s="82" t="s">
        <v>1959</v>
      </c>
      <c r="I1289" s="79">
        <v>156</v>
      </c>
      <c r="J1289" s="79" t="s">
        <v>2122</v>
      </c>
      <c r="K1289" s="80" t="s">
        <v>469</v>
      </c>
      <c r="L1289" s="79">
        <f>VLOOKUP(H1289,Table2[#All],3,FALSE)</f>
        <v>304</v>
      </c>
      <c r="M1289" s="80">
        <f t="shared" si="412"/>
        <v>302</v>
      </c>
      <c r="N1289" s="81">
        <f t="shared" si="399"/>
        <v>-2</v>
      </c>
      <c r="P1289" s="82">
        <f t="shared" ref="P1289:P1290" si="425">R1289-TIME(0,23,0)</f>
        <v>45798.704166666663</v>
      </c>
      <c r="Q1289" s="82">
        <v>45798.098611111112</v>
      </c>
      <c r="R1289" s="82">
        <v>45798.720138888886</v>
      </c>
      <c r="S1289" s="81">
        <f t="shared" si="423"/>
        <v>890.8564814756877</v>
      </c>
      <c r="T1289" s="81">
        <f t="shared" si="414"/>
        <v>22.893518520140788</v>
      </c>
      <c r="U1289" s="79"/>
      <c r="V1289" s="82">
        <v>45799.601388888892</v>
      </c>
      <c r="W1289" s="82">
        <v>45799.704861111109</v>
      </c>
      <c r="X1289" s="103">
        <f t="shared" si="415"/>
        <v>145.89583332672191</v>
      </c>
      <c r="Y1289" s="82"/>
      <c r="Z1289" s="82">
        <v>45800.32916666667</v>
      </c>
      <c r="AA1289" s="82">
        <f>Z1289+TIME(0,43,0)</f>
        <v>45800.359027777784</v>
      </c>
      <c r="AB1289" s="81">
        <f t="shared" si="418"/>
        <v>42.104166670542327</v>
      </c>
      <c r="AC1289" s="82"/>
      <c r="AD1289" s="83">
        <f t="shared" si="402"/>
        <v>1.6090277777839219</v>
      </c>
      <c r="AE1289" s="83">
        <f>VLOOKUP(H1289,'LIST 2'!$A$1:$E$27,4,FALSE)</f>
        <v>2</v>
      </c>
      <c r="AF1289" s="83">
        <f t="shared" si="403"/>
        <v>0.39097222221607808</v>
      </c>
      <c r="AG1289" s="81">
        <f t="shared" si="404"/>
        <v>38.616666666814126</v>
      </c>
      <c r="AH1289" s="81">
        <f t="shared" si="405"/>
        <v>12</v>
      </c>
      <c r="AI1289" s="81">
        <f t="shared" si="406"/>
        <v>26.616666666814126</v>
      </c>
      <c r="AJ1289" s="83">
        <f t="shared" si="416"/>
        <v>5.8609893550082308</v>
      </c>
      <c r="AK1289" s="122"/>
      <c r="AL1289" s="122"/>
      <c r="AM1289" s="122"/>
      <c r="AN1289" s="122"/>
    </row>
    <row r="1290" spans="1:40" ht="20.25" customHeight="1" x14ac:dyDescent="0.25">
      <c r="A1290" s="82">
        <v>45798</v>
      </c>
      <c r="B1290" s="94" t="str">
        <f t="shared" si="410"/>
        <v>May</v>
      </c>
      <c r="C1290" s="79" t="s">
        <v>2161</v>
      </c>
      <c r="D1290" s="79" t="s">
        <v>2123</v>
      </c>
      <c r="E1290" s="79"/>
      <c r="F1290" s="79" t="s">
        <v>957</v>
      </c>
      <c r="G1290" s="79" t="s">
        <v>974</v>
      </c>
      <c r="H1290" s="82" t="s">
        <v>1957</v>
      </c>
      <c r="I1290" s="79">
        <v>153.6</v>
      </c>
      <c r="J1290" s="79" t="s">
        <v>2123</v>
      </c>
      <c r="K1290" s="80" t="s">
        <v>469</v>
      </c>
      <c r="L1290" s="79">
        <f>VLOOKUP(H1290,Table2[#All],3,FALSE)</f>
        <v>288</v>
      </c>
      <c r="M1290" s="80">
        <f t="shared" si="412"/>
        <v>286</v>
      </c>
      <c r="N1290" s="81">
        <f t="shared" si="399"/>
        <v>-2</v>
      </c>
      <c r="P1290" s="82">
        <f t="shared" si="425"/>
        <v>45798.475694444445</v>
      </c>
      <c r="Q1290" s="82">
        <v>45798.154861111114</v>
      </c>
      <c r="R1290" s="82">
        <v>45798.491666666669</v>
      </c>
      <c r="T1290" s="81">
        <f t="shared" si="414"/>
        <v>22.893518520140788</v>
      </c>
      <c r="U1290" s="79"/>
      <c r="V1290" s="82">
        <v>45798.772916666669</v>
      </c>
      <c r="W1290" s="82">
        <v>45799.536111111112</v>
      </c>
      <c r="X1290" s="103">
        <f t="shared" si="415"/>
        <v>1076.1041666657547</v>
      </c>
      <c r="Y1290" s="82" t="s">
        <v>1044</v>
      </c>
      <c r="Z1290" s="82">
        <v>45800.433333333334</v>
      </c>
      <c r="AA1290" s="82">
        <f>Z1290+TIME(0,38,0)</f>
        <v>45800.459722222222</v>
      </c>
      <c r="AB1290" s="81">
        <f t="shared" si="418"/>
        <v>37.208333331509493</v>
      </c>
      <c r="AC1290" s="82"/>
      <c r="AD1290" s="83">
        <f t="shared" si="402"/>
        <v>1.9416666666656965</v>
      </c>
      <c r="AE1290" s="83">
        <f>VLOOKUP(H1290,'LIST 2'!$A$1:$E$27,4,FALSE)</f>
        <v>2</v>
      </c>
      <c r="AF1290" s="83">
        <f t="shared" si="403"/>
        <v>5.8333333334303461E-2</v>
      </c>
      <c r="AG1290" s="81">
        <f t="shared" si="404"/>
        <v>46.599999999976717</v>
      </c>
      <c r="AH1290" s="81">
        <f t="shared" si="405"/>
        <v>12</v>
      </c>
      <c r="AI1290" s="81">
        <f t="shared" si="406"/>
        <v>34.599999999976717</v>
      </c>
      <c r="AJ1290" s="83">
        <f t="shared" si="416"/>
        <v>4.4393063583844903</v>
      </c>
      <c r="AK1290" s="122">
        <v>11.2</v>
      </c>
      <c r="AL1290" s="122">
        <v>11.41</v>
      </c>
      <c r="AM1290" s="122">
        <v>10.36</v>
      </c>
      <c r="AN1290" s="122"/>
    </row>
    <row r="1291" spans="1:40" ht="20.25" customHeight="1" x14ac:dyDescent="0.25">
      <c r="A1291" s="82">
        <v>45798</v>
      </c>
      <c r="B1291" s="94" t="str">
        <f t="shared" si="410"/>
        <v>May</v>
      </c>
      <c r="C1291" s="79" t="s">
        <v>2161</v>
      </c>
      <c r="D1291" s="79" t="s">
        <v>2124</v>
      </c>
      <c r="E1291" s="79"/>
      <c r="F1291" s="79" t="s">
        <v>966</v>
      </c>
      <c r="G1291" s="79" t="s">
        <v>981</v>
      </c>
      <c r="H1291" s="82" t="s">
        <v>1989</v>
      </c>
      <c r="I1291" s="79">
        <v>153.6</v>
      </c>
      <c r="J1291" s="79" t="s">
        <v>2124</v>
      </c>
      <c r="K1291" s="80" t="s">
        <v>469</v>
      </c>
      <c r="L1291" s="79">
        <f>VLOOKUP(H1291,Table2[#All],3,FALSE)</f>
        <v>20</v>
      </c>
      <c r="M1291" s="80">
        <f t="shared" si="412"/>
        <v>18</v>
      </c>
      <c r="N1291" s="81">
        <f t="shared" si="399"/>
        <v>-2</v>
      </c>
      <c r="P1291" s="82">
        <f>R1291-TIME(0,23,0)</f>
        <v>45798.597222222219</v>
      </c>
      <c r="Q1291" s="82">
        <v>45798.320833333331</v>
      </c>
      <c r="R1291" s="82">
        <v>45798.613194444442</v>
      </c>
      <c r="T1291" s="81">
        <f t="shared" si="414"/>
        <v>22.893518520140788</v>
      </c>
      <c r="U1291" s="79"/>
      <c r="V1291" s="82">
        <v>45798.657638888886</v>
      </c>
      <c r="W1291" s="82">
        <v>45798.788194444445</v>
      </c>
      <c r="X1291" s="103">
        <f t="shared" si="415"/>
        <v>184.08333333834889</v>
      </c>
      <c r="Y1291" s="82" t="s">
        <v>1047</v>
      </c>
      <c r="Z1291" s="82">
        <v>45799.393055555556</v>
      </c>
      <c r="AA1291" s="82">
        <f>Z1291+TIME(0,42,0)</f>
        <v>45799.422222222223</v>
      </c>
      <c r="AB1291" s="81">
        <f t="shared" si="418"/>
        <v>41.12500000068394</v>
      </c>
      <c r="AC1291" s="82"/>
      <c r="AD1291" s="83">
        <f t="shared" si="402"/>
        <v>0.77986111111385981</v>
      </c>
      <c r="AE1291" s="83">
        <f>VLOOKUP(H1291,'LIST 2'!$A$1:$E$27,4,FALSE)</f>
        <v>1</v>
      </c>
      <c r="AF1291" s="83">
        <f t="shared" si="403"/>
        <v>0.22013888888614019</v>
      </c>
      <c r="AG1291" s="81">
        <f t="shared" si="404"/>
        <v>18.716666666732635</v>
      </c>
      <c r="AH1291" s="81">
        <f t="shared" si="405"/>
        <v>0</v>
      </c>
      <c r="AI1291" s="81">
        <f t="shared" si="406"/>
        <v>18.716666666732635</v>
      </c>
      <c r="AJ1291" s="83">
        <f t="shared" si="416"/>
        <v>8.2065894924020633</v>
      </c>
      <c r="AK1291" s="122">
        <v>9.02</v>
      </c>
      <c r="AL1291" s="122">
        <v>9.41</v>
      </c>
      <c r="AM1291" s="122"/>
      <c r="AN1291" s="122"/>
    </row>
    <row r="1292" spans="1:40" ht="20.25" customHeight="1" x14ac:dyDescent="0.25">
      <c r="A1292" s="82">
        <v>45798</v>
      </c>
      <c r="B1292" s="94" t="str">
        <f t="shared" si="410"/>
        <v>May</v>
      </c>
      <c r="C1292" s="79" t="s">
        <v>2161</v>
      </c>
      <c r="D1292" s="79" t="s">
        <v>2125</v>
      </c>
      <c r="E1292" s="79"/>
      <c r="F1292" s="79" t="s">
        <v>959</v>
      </c>
      <c r="G1292" s="79" t="s">
        <v>976</v>
      </c>
      <c r="H1292" s="82" t="s">
        <v>1991</v>
      </c>
      <c r="I1292" s="79">
        <v>153.6</v>
      </c>
      <c r="J1292" s="79" t="s">
        <v>2125</v>
      </c>
      <c r="K1292" s="80" t="s">
        <v>469</v>
      </c>
      <c r="L1292" s="79">
        <f>VLOOKUP(H1292,Table2[#All],3,FALSE)</f>
        <v>272</v>
      </c>
      <c r="M1292" s="80">
        <f t="shared" si="412"/>
        <v>270</v>
      </c>
      <c r="N1292" s="81">
        <f t="shared" si="399"/>
        <v>-2</v>
      </c>
      <c r="P1292" s="82">
        <f t="shared" ref="P1292:P1293" si="426">R1292-TIME(0,27,0)</f>
        <v>45798.254861111105</v>
      </c>
      <c r="Q1292" s="82">
        <v>45798.082638888889</v>
      </c>
      <c r="R1292" s="82">
        <v>45798.273611111108</v>
      </c>
      <c r="T1292" s="81">
        <f t="shared" si="414"/>
        <v>26.87500000417155</v>
      </c>
      <c r="U1292" s="79"/>
      <c r="V1292" s="82">
        <v>45798.643055555556</v>
      </c>
      <c r="W1292" s="82">
        <v>45799.567361111112</v>
      </c>
      <c r="X1292" s="103">
        <f t="shared" si="415"/>
        <v>1303.2708333342453</v>
      </c>
      <c r="Y1292" s="82" t="s">
        <v>1044</v>
      </c>
      <c r="Z1292" s="82">
        <v>45800.378472222219</v>
      </c>
      <c r="AA1292" s="82">
        <f>Z1292+TIME(0,43,0)</f>
        <v>45800.408333333333</v>
      </c>
      <c r="AB1292" s="81">
        <f t="shared" si="418"/>
        <v>42.104166670542327</v>
      </c>
      <c r="AC1292" s="82"/>
      <c r="AD1292" s="83">
        <f t="shared" si="402"/>
        <v>2.1048611111109494</v>
      </c>
      <c r="AE1292" s="83">
        <f>VLOOKUP(H1292,'LIST 2'!$A$1:$E$27,4,FALSE)</f>
        <v>2</v>
      </c>
      <c r="AF1292" s="83">
        <f t="shared" si="403"/>
        <v>-0.10486111111094942</v>
      </c>
      <c r="AG1292" s="81">
        <f t="shared" si="404"/>
        <v>50.516666666662786</v>
      </c>
      <c r="AH1292" s="81">
        <f t="shared" si="405"/>
        <v>24</v>
      </c>
      <c r="AI1292" s="81">
        <f t="shared" si="406"/>
        <v>26.516666666662786</v>
      </c>
      <c r="AJ1292" s="83">
        <f t="shared" si="416"/>
        <v>5.7925832809562214</v>
      </c>
      <c r="AK1292" s="122">
        <v>10.25</v>
      </c>
      <c r="AL1292" s="122">
        <v>10.45</v>
      </c>
      <c r="AM1292" s="122">
        <v>10.220000000000001</v>
      </c>
      <c r="AN1292" s="122"/>
    </row>
    <row r="1293" spans="1:40" ht="20.25" customHeight="1" x14ac:dyDescent="0.25">
      <c r="A1293" s="82">
        <v>45798</v>
      </c>
      <c r="B1293" s="94" t="str">
        <f t="shared" si="410"/>
        <v>May</v>
      </c>
      <c r="C1293" s="79" t="s">
        <v>2162</v>
      </c>
      <c r="D1293" s="79" t="s">
        <v>2126</v>
      </c>
      <c r="E1293" s="79" t="s">
        <v>1016</v>
      </c>
      <c r="F1293" s="79" t="s">
        <v>1268</v>
      </c>
      <c r="G1293" s="79" t="s">
        <v>52</v>
      </c>
      <c r="H1293" s="82" t="s">
        <v>2182</v>
      </c>
      <c r="I1293" s="79">
        <v>156</v>
      </c>
      <c r="J1293" s="79" t="s">
        <v>2126</v>
      </c>
      <c r="K1293" s="80" t="s">
        <v>469</v>
      </c>
      <c r="L1293" s="79">
        <f>VLOOKUP(H1293,Table2[#All],3,FALSE)</f>
        <v>790</v>
      </c>
      <c r="M1293" s="80">
        <f t="shared" si="412"/>
        <v>788</v>
      </c>
      <c r="N1293" s="81">
        <f t="shared" si="399"/>
        <v>-2</v>
      </c>
      <c r="P1293" s="82">
        <f t="shared" si="426"/>
        <v>45797.895833333328</v>
      </c>
      <c r="Q1293" s="82">
        <v>45797.754166666666</v>
      </c>
      <c r="R1293" s="82">
        <v>45797.914583333331</v>
      </c>
      <c r="S1293" s="81">
        <f t="shared" ref="S1293" si="427">(R1293-Q1293)*86000/60</f>
        <v>229.93055555416504</v>
      </c>
      <c r="T1293" s="81">
        <f t="shared" si="414"/>
        <v>26.87500000417155</v>
      </c>
      <c r="U1293" s="79"/>
      <c r="V1293" s="82">
        <v>45799.302083333336</v>
      </c>
      <c r="W1293" s="82">
        <v>45799.551388888889</v>
      </c>
      <c r="X1293" s="103">
        <f t="shared" si="415"/>
        <v>351.52083333014161</v>
      </c>
      <c r="Y1293" s="82" t="s">
        <v>1044</v>
      </c>
      <c r="Z1293" s="82">
        <v>45800.55</v>
      </c>
      <c r="AA1293" s="82">
        <f>Z1293+TIME(0,43,0)</f>
        <v>45800.579861111117</v>
      </c>
      <c r="AB1293" s="81">
        <f t="shared" si="418"/>
        <v>42.104166670542327</v>
      </c>
      <c r="AC1293" s="82"/>
      <c r="AD1293" s="83">
        <f t="shared" si="402"/>
        <v>2.6354166666715173</v>
      </c>
      <c r="AE1293" s="83">
        <f>VLOOKUP(H1293,'LIST 2'!$A$1:$E$27,4,FALSE)</f>
        <v>3</v>
      </c>
      <c r="AF1293" s="83">
        <f t="shared" si="403"/>
        <v>0.36458333332848269</v>
      </c>
      <c r="AG1293" s="81">
        <f t="shared" si="404"/>
        <v>63.250000000116415</v>
      </c>
      <c r="AH1293" s="81">
        <f t="shared" si="405"/>
        <v>24</v>
      </c>
      <c r="AI1293" s="81">
        <f t="shared" si="406"/>
        <v>39.250000000116415</v>
      </c>
      <c r="AJ1293" s="83">
        <f t="shared" si="416"/>
        <v>3.9745222929818422</v>
      </c>
      <c r="AK1293" s="122"/>
      <c r="AL1293" s="122"/>
      <c r="AM1293" s="122"/>
      <c r="AN1293" s="122"/>
    </row>
    <row r="1294" spans="1:40" ht="20.25" customHeight="1" x14ac:dyDescent="0.25">
      <c r="A1294" s="82">
        <v>45798</v>
      </c>
      <c r="B1294" s="94" t="str">
        <f t="shared" si="410"/>
        <v>May</v>
      </c>
      <c r="C1294" s="79" t="s">
        <v>2161</v>
      </c>
      <c r="D1294" s="79" t="s">
        <v>2127</v>
      </c>
      <c r="E1294" s="79"/>
      <c r="F1294" s="79" t="s">
        <v>958</v>
      </c>
      <c r="G1294" s="79" t="s">
        <v>975</v>
      </c>
      <c r="H1294" s="82" t="s">
        <v>1989</v>
      </c>
      <c r="I1294" s="79">
        <v>153.6</v>
      </c>
      <c r="J1294" s="79" t="s">
        <v>2127</v>
      </c>
      <c r="K1294" s="80" t="s">
        <v>469</v>
      </c>
      <c r="L1294" s="79">
        <f>VLOOKUP(H1294,Table2[#All],3,FALSE)</f>
        <v>20</v>
      </c>
      <c r="M1294" s="80">
        <f t="shared" si="412"/>
        <v>18</v>
      </c>
      <c r="N1294" s="81">
        <f t="shared" si="399"/>
        <v>-2</v>
      </c>
      <c r="P1294" s="82">
        <f>R1294-TIME(0,28,0)</f>
        <v>45798.42291666667</v>
      </c>
      <c r="Q1294" s="82">
        <v>45798.320833333331</v>
      </c>
      <c r="R1294" s="82">
        <v>45798.442361111112</v>
      </c>
      <c r="T1294" s="81">
        <f t="shared" si="414"/>
        <v>27.870370367357584</v>
      </c>
      <c r="U1294" s="79"/>
      <c r="V1294" s="82">
        <v>45798.638888888891</v>
      </c>
      <c r="W1294" s="82">
        <v>45798.757638888892</v>
      </c>
      <c r="X1294" s="103">
        <f t="shared" si="415"/>
        <v>167.43750000205182</v>
      </c>
      <c r="Y1294" s="82"/>
      <c r="Z1294" s="82">
        <v>45802.37222222222</v>
      </c>
      <c r="AA1294" s="82">
        <f>Z1294+TIME(0,39,0)</f>
        <v>45802.399305555555</v>
      </c>
      <c r="AB1294" s="81">
        <f t="shared" si="418"/>
        <v>38.18750000136788</v>
      </c>
      <c r="AC1294" s="82"/>
      <c r="AD1294" s="83">
        <f t="shared" si="402"/>
        <v>3.929861111108039</v>
      </c>
      <c r="AE1294" s="83">
        <f>VLOOKUP(H1294,'LIST 2'!$A$1:$E$27,4,FALSE)</f>
        <v>1</v>
      </c>
      <c r="AF1294" s="83">
        <f t="shared" si="403"/>
        <v>-2.929861111108039</v>
      </c>
      <c r="AG1294" s="81">
        <f t="shared" si="404"/>
        <v>94.316666666592937</v>
      </c>
      <c r="AH1294" s="81">
        <f t="shared" si="405"/>
        <v>36</v>
      </c>
      <c r="AI1294" s="81">
        <f t="shared" si="406"/>
        <v>58.316666666592937</v>
      </c>
      <c r="AJ1294" s="83">
        <f t="shared" si="416"/>
        <v>2.6338953986886686</v>
      </c>
      <c r="AK1294" s="122"/>
      <c r="AL1294" s="122"/>
      <c r="AM1294" s="122"/>
      <c r="AN1294" s="122"/>
    </row>
    <row r="1295" spans="1:40" ht="20.25" customHeight="1" x14ac:dyDescent="0.25">
      <c r="A1295" s="82">
        <v>45798</v>
      </c>
      <c r="B1295" s="94" t="str">
        <f t="shared" si="410"/>
        <v>May</v>
      </c>
      <c r="C1295" s="79" t="s">
        <v>2162</v>
      </c>
      <c r="D1295" s="79" t="s">
        <v>2128</v>
      </c>
      <c r="E1295" s="79" t="s">
        <v>1016</v>
      </c>
      <c r="F1295" s="79" t="s">
        <v>2021</v>
      </c>
      <c r="G1295" s="79" t="s">
        <v>44</v>
      </c>
      <c r="H1295" s="82" t="s">
        <v>2183</v>
      </c>
      <c r="I1295" s="79">
        <v>156</v>
      </c>
      <c r="J1295" s="79" t="s">
        <v>2128</v>
      </c>
      <c r="K1295" s="80" t="s">
        <v>469</v>
      </c>
      <c r="L1295" s="79">
        <f>VLOOKUP(H1295,Table2[#All],3,FALSE)</f>
        <v>690</v>
      </c>
      <c r="M1295" s="80">
        <f t="shared" si="412"/>
        <v>688</v>
      </c>
      <c r="N1295" s="81">
        <f t="shared" si="399"/>
        <v>-2</v>
      </c>
      <c r="P1295" s="82">
        <f>R1295-TIME(0,38,0)</f>
        <v>45797.856944444444</v>
      </c>
      <c r="Q1295" s="82">
        <v>45797.815972222219</v>
      </c>
      <c r="R1295" s="82">
        <v>45797.883333333331</v>
      </c>
      <c r="S1295" s="81">
        <f t="shared" ref="S1295:S1300" si="428">(R1295-Q1295)*86000/60</f>
        <v>96.550925927779943</v>
      </c>
      <c r="T1295" s="81">
        <f t="shared" si="414"/>
        <v>37.82407407222005</v>
      </c>
      <c r="U1295" s="79" t="s">
        <v>2164</v>
      </c>
      <c r="V1295" s="82">
        <v>45798.74722222222</v>
      </c>
      <c r="W1295" s="82">
        <v>45799.788888888892</v>
      </c>
      <c r="X1295" s="103">
        <f t="shared" si="415"/>
        <v>1468.7500000068394</v>
      </c>
      <c r="Y1295" s="82" t="s">
        <v>1047</v>
      </c>
      <c r="Z1295" s="82">
        <v>45800.779166666667</v>
      </c>
      <c r="AA1295" s="82">
        <f>Z1295+TIME(0,43,0)</f>
        <v>45800.809027777781</v>
      </c>
      <c r="AB1295" s="81">
        <f t="shared" si="418"/>
        <v>42.104166670542327</v>
      </c>
      <c r="AC1295" s="82"/>
      <c r="AD1295" s="83">
        <f t="shared" si="402"/>
        <v>2.8958333333357587</v>
      </c>
      <c r="AE1295" s="83">
        <f>VLOOKUP(H1295,'LIST 2'!$A$1:$E$27,4,FALSE)</f>
        <v>3</v>
      </c>
      <c r="AF1295" s="83">
        <f t="shared" si="403"/>
        <v>0.10416666666424135</v>
      </c>
      <c r="AG1295" s="81">
        <f t="shared" si="404"/>
        <v>69.500000000058208</v>
      </c>
      <c r="AH1295" s="81">
        <f t="shared" si="405"/>
        <v>24</v>
      </c>
      <c r="AI1295" s="81">
        <f t="shared" si="406"/>
        <v>45.500000000058208</v>
      </c>
      <c r="AJ1295" s="83">
        <f t="shared" si="416"/>
        <v>3.4285714285670426</v>
      </c>
      <c r="AK1295" s="122"/>
      <c r="AL1295" s="122"/>
      <c r="AM1295" s="122"/>
      <c r="AN1295" s="122"/>
    </row>
    <row r="1296" spans="1:40" ht="20.25" customHeight="1" x14ac:dyDescent="0.25">
      <c r="A1296" s="82">
        <v>45798</v>
      </c>
      <c r="B1296" s="94" t="str">
        <f t="shared" si="410"/>
        <v>May</v>
      </c>
      <c r="C1296" s="79" t="s">
        <v>2162</v>
      </c>
      <c r="D1296" s="79" t="s">
        <v>2129</v>
      </c>
      <c r="E1296" s="79" t="s">
        <v>1016</v>
      </c>
      <c r="F1296" s="79" t="s">
        <v>1960</v>
      </c>
      <c r="G1296" s="79" t="s">
        <v>1961</v>
      </c>
      <c r="H1296" s="82" t="s">
        <v>2179</v>
      </c>
      <c r="I1296" s="79">
        <v>156</v>
      </c>
      <c r="J1296" s="79" t="s">
        <v>2129</v>
      </c>
      <c r="K1296" s="80" t="s">
        <v>469</v>
      </c>
      <c r="L1296" s="79">
        <f>VLOOKUP(H1296,Table2[#All],3,FALSE)</f>
        <v>560</v>
      </c>
      <c r="M1296" s="80">
        <f t="shared" si="412"/>
        <v>558</v>
      </c>
      <c r="N1296" s="81">
        <f t="shared" si="399"/>
        <v>-2</v>
      </c>
      <c r="P1296" s="82">
        <f>R1296-TIME(0,27,0)</f>
        <v>45797.911111111105</v>
      </c>
      <c r="Q1296" s="82">
        <v>45798.104166666664</v>
      </c>
      <c r="R1296" s="82">
        <v>45797.929861111108</v>
      </c>
      <c r="S1296" s="81">
        <f t="shared" si="428"/>
        <v>-249.83796296388996</v>
      </c>
      <c r="T1296" s="81">
        <f t="shared" si="414"/>
        <v>26.87500000417155</v>
      </c>
      <c r="U1296" s="79"/>
      <c r="V1296" s="82">
        <v>45798.510416666664</v>
      </c>
      <c r="W1296" s="82">
        <v>45798.655555555553</v>
      </c>
      <c r="X1296" s="103">
        <f t="shared" si="415"/>
        <v>204.64583333356131</v>
      </c>
      <c r="Y1296" s="82" t="s">
        <v>1044</v>
      </c>
      <c r="Z1296" s="82">
        <v>45799.397916666669</v>
      </c>
      <c r="AA1296" s="82">
        <f>Z1296+TIME(0,43,0)</f>
        <v>45799.427777777782</v>
      </c>
      <c r="AB1296" s="81">
        <f t="shared" si="418"/>
        <v>42.104166670542327</v>
      </c>
      <c r="AC1296" s="82"/>
      <c r="AD1296" s="83">
        <f t="shared" si="402"/>
        <v>1.4680555555605679</v>
      </c>
      <c r="AE1296" s="83">
        <f>VLOOKUP(H1296,'LIST 2'!$A$1:$E$27,4,FALSE)</f>
        <v>2</v>
      </c>
      <c r="AF1296" s="83">
        <f t="shared" si="403"/>
        <v>0.53194444443943212</v>
      </c>
      <c r="AG1296" s="81">
        <f t="shared" si="404"/>
        <v>35.233333333453629</v>
      </c>
      <c r="AH1296" s="81">
        <f t="shared" si="405"/>
        <v>12</v>
      </c>
      <c r="AI1296" s="81">
        <f t="shared" si="406"/>
        <v>23.233333333453629</v>
      </c>
      <c r="AJ1296" s="83">
        <f t="shared" si="416"/>
        <v>6.7144906742837422</v>
      </c>
      <c r="AK1296" s="122"/>
      <c r="AL1296" s="122"/>
      <c r="AM1296" s="122"/>
      <c r="AN1296" s="122"/>
    </row>
    <row r="1297" spans="1:40" ht="20.25" customHeight="1" x14ac:dyDescent="0.25">
      <c r="A1297" s="82">
        <v>45798</v>
      </c>
      <c r="B1297" s="94" t="str">
        <f t="shared" si="410"/>
        <v>May</v>
      </c>
      <c r="C1297" s="79" t="s">
        <v>2162</v>
      </c>
      <c r="D1297" s="79" t="s">
        <v>2130</v>
      </c>
      <c r="E1297" s="79" t="s">
        <v>1016</v>
      </c>
      <c r="F1297" s="79" t="s">
        <v>1690</v>
      </c>
      <c r="G1297" s="79" t="s">
        <v>45</v>
      </c>
      <c r="H1297" s="82" t="s">
        <v>2180</v>
      </c>
      <c r="I1297" s="79">
        <v>156</v>
      </c>
      <c r="J1297" s="79" t="s">
        <v>2130</v>
      </c>
      <c r="K1297" s="80" t="s">
        <v>469</v>
      </c>
      <c r="L1297" s="79">
        <f>VLOOKUP(H1297,Table2[#All],3,FALSE)</f>
        <v>256</v>
      </c>
      <c r="M1297" s="80">
        <f t="shared" si="412"/>
        <v>254</v>
      </c>
      <c r="N1297" s="81">
        <f t="shared" si="399"/>
        <v>-2</v>
      </c>
      <c r="P1297" s="82">
        <f>R1297-TIME(0,23,0)</f>
        <v>45797.913888888885</v>
      </c>
      <c r="Q1297" s="82">
        <v>45798.169444444444</v>
      </c>
      <c r="R1297" s="82">
        <v>45797.929861111108</v>
      </c>
      <c r="S1297" s="81">
        <f t="shared" si="428"/>
        <v>-343.40277778125409</v>
      </c>
      <c r="T1297" s="81">
        <f t="shared" si="414"/>
        <v>22.893518520140788</v>
      </c>
      <c r="U1297" s="79"/>
      <c r="V1297" s="82">
        <v>45798.344444444447</v>
      </c>
      <c r="W1297" s="82">
        <v>45798.521527777775</v>
      </c>
      <c r="X1297" s="103">
        <f t="shared" si="415"/>
        <v>249.6874999931606</v>
      </c>
      <c r="Y1297" s="82" t="s">
        <v>1050</v>
      </c>
      <c r="Z1297" s="82">
        <v>45798.710416666669</v>
      </c>
      <c r="AA1297" s="82">
        <f>Z1297+TIME(0,42,0)</f>
        <v>45798.739583333336</v>
      </c>
      <c r="AB1297" s="81">
        <f t="shared" si="418"/>
        <v>41.12500000068394</v>
      </c>
      <c r="AC1297" s="82"/>
      <c r="AD1297" s="83">
        <f t="shared" si="402"/>
        <v>0.78055555556056788</v>
      </c>
      <c r="AE1297" s="83">
        <f>VLOOKUP(H1297,'LIST 2'!$A$1:$E$27,4,FALSE)</f>
        <v>2</v>
      </c>
      <c r="AF1297" s="83">
        <f t="shared" si="403"/>
        <v>1.2194444444394321</v>
      </c>
      <c r="AG1297" s="81">
        <f t="shared" si="404"/>
        <v>18.733333333453629</v>
      </c>
      <c r="AH1297" s="81">
        <f t="shared" si="405"/>
        <v>0</v>
      </c>
      <c r="AI1297" s="81">
        <f t="shared" si="406"/>
        <v>18.733333333453629</v>
      </c>
      <c r="AJ1297" s="83">
        <f t="shared" si="416"/>
        <v>8.3274021351778416</v>
      </c>
      <c r="AK1297" s="122"/>
      <c r="AL1297" s="122"/>
      <c r="AM1297" s="122"/>
      <c r="AN1297" s="122"/>
    </row>
    <row r="1298" spans="1:40" ht="20.25" customHeight="1" x14ac:dyDescent="0.25">
      <c r="A1298" s="82">
        <v>45798</v>
      </c>
      <c r="B1298" s="94" t="str">
        <f t="shared" si="410"/>
        <v>May</v>
      </c>
      <c r="C1298" s="79" t="s">
        <v>2162</v>
      </c>
      <c r="D1298" s="79" t="s">
        <v>2131</v>
      </c>
      <c r="E1298" s="79" t="s">
        <v>1016</v>
      </c>
      <c r="F1298" s="79" t="s">
        <v>1694</v>
      </c>
      <c r="G1298" s="79" t="s">
        <v>39</v>
      </c>
      <c r="H1298" s="82" t="s">
        <v>2180</v>
      </c>
      <c r="I1298" s="79">
        <v>156</v>
      </c>
      <c r="J1298" s="79" t="s">
        <v>2131</v>
      </c>
      <c r="K1298" s="80" t="s">
        <v>469</v>
      </c>
      <c r="L1298" s="79">
        <f>VLOOKUP(H1298,Table2[#All],3,FALSE)</f>
        <v>256</v>
      </c>
      <c r="M1298" s="80">
        <f t="shared" si="412"/>
        <v>254</v>
      </c>
      <c r="N1298" s="81">
        <f t="shared" si="399"/>
        <v>-2</v>
      </c>
      <c r="P1298" s="82">
        <f>R1298-TIME(0,54,0)</f>
        <v>45797.875694444447</v>
      </c>
      <c r="Q1298" s="82">
        <v>45798.169444444444</v>
      </c>
      <c r="R1298" s="82">
        <v>45797.913194444445</v>
      </c>
      <c r="S1298" s="81">
        <f t="shared" si="428"/>
        <v>-367.29166666458087</v>
      </c>
      <c r="T1298" s="81">
        <f t="shared" si="414"/>
        <v>53.749999997914223</v>
      </c>
      <c r="U1298" s="79" t="s">
        <v>1671</v>
      </c>
      <c r="V1298" s="82">
        <v>45798.537499999999</v>
      </c>
      <c r="W1298" s="82">
        <v>45798.717361111114</v>
      </c>
      <c r="X1298" s="103">
        <f t="shared" si="415"/>
        <v>253.60416667259415</v>
      </c>
      <c r="Y1298" s="82" t="s">
        <v>1044</v>
      </c>
      <c r="Z1298" s="82"/>
      <c r="AA1298" s="82">
        <f>Z1298+TIME(0,39,0)</f>
        <v>2.7083333333333334E-2</v>
      </c>
      <c r="AB1298" s="81">
        <f t="shared" si="418"/>
        <v>38.1875</v>
      </c>
      <c r="AC1298" s="82"/>
      <c r="AD1298" s="83">
        <f t="shared" si="402"/>
        <v>-45797.913194444445</v>
      </c>
      <c r="AE1298" s="83">
        <f>VLOOKUP(H1298,'LIST 2'!$A$1:$E$27,4,FALSE)</f>
        <v>2</v>
      </c>
      <c r="AF1298" s="83">
        <f t="shared" si="403"/>
        <v>45799.913194444445</v>
      </c>
      <c r="AG1298" s="81">
        <f t="shared" si="404"/>
        <v>-1099149.9166666667</v>
      </c>
      <c r="AH1298" s="81">
        <f t="shared" si="405"/>
        <v>-549576</v>
      </c>
      <c r="AI1298" s="81">
        <f t="shared" si="406"/>
        <v>-549573.91666666674</v>
      </c>
      <c r="AJ1298" s="83">
        <f t="shared" si="416"/>
        <v>-2.8385626622563808E-4</v>
      </c>
      <c r="AK1298" s="122"/>
      <c r="AL1298" s="122"/>
      <c r="AM1298" s="122"/>
      <c r="AN1298" s="122"/>
    </row>
    <row r="1299" spans="1:40" ht="20.25" customHeight="1" x14ac:dyDescent="0.25">
      <c r="A1299" s="82">
        <v>45798</v>
      </c>
      <c r="B1299" s="94" t="str">
        <f t="shared" si="410"/>
        <v>May</v>
      </c>
      <c r="C1299" s="79" t="s">
        <v>2162</v>
      </c>
      <c r="D1299" s="79" t="s">
        <v>2132</v>
      </c>
      <c r="E1299" s="79" t="s">
        <v>1016</v>
      </c>
      <c r="F1299" s="79" t="s">
        <v>1698</v>
      </c>
      <c r="G1299" s="79" t="s">
        <v>1665</v>
      </c>
      <c r="H1299" s="82" t="s">
        <v>1959</v>
      </c>
      <c r="I1299" s="79">
        <v>156</v>
      </c>
      <c r="J1299" s="79" t="s">
        <v>2132</v>
      </c>
      <c r="K1299" s="80" t="s">
        <v>469</v>
      </c>
      <c r="L1299" s="79">
        <f>VLOOKUP(H1299,Table2[#All],3,FALSE)</f>
        <v>304</v>
      </c>
      <c r="M1299" s="80">
        <f t="shared" si="412"/>
        <v>302</v>
      </c>
      <c r="N1299" s="81">
        <f t="shared" si="399"/>
        <v>-2</v>
      </c>
      <c r="P1299" s="82">
        <f>R1299-TIME(0,27,0)</f>
        <v>45797.760416666664</v>
      </c>
      <c r="Q1299" s="82">
        <v>45798.098611111112</v>
      </c>
      <c r="R1299" s="82">
        <v>45797.779166666667</v>
      </c>
      <c r="S1299" s="81">
        <f t="shared" si="428"/>
        <v>-457.87037037152913</v>
      </c>
      <c r="T1299" s="81">
        <f t="shared" si="414"/>
        <v>26.87500000417155</v>
      </c>
      <c r="U1299" s="79"/>
      <c r="V1299" s="82">
        <v>45798.717361111114</v>
      </c>
      <c r="W1299" s="82">
        <v>45798.822916666664</v>
      </c>
      <c r="X1299" s="103">
        <f t="shared" si="415"/>
        <v>148.83333332603797</v>
      </c>
      <c r="Y1299" s="82"/>
      <c r="Z1299" s="82">
        <v>45798.854166666664</v>
      </c>
      <c r="AA1299" s="82">
        <f>Z1299+TIME(0,38,0)</f>
        <v>45798.880555555552</v>
      </c>
      <c r="AB1299" s="81">
        <f t="shared" si="418"/>
        <v>37.208333331509493</v>
      </c>
      <c r="AC1299" s="82"/>
      <c r="AD1299" s="83">
        <f t="shared" si="402"/>
        <v>1.0749999999970896</v>
      </c>
      <c r="AE1299" s="83">
        <f>VLOOKUP(H1299,'LIST 2'!$A$1:$E$27,4,FALSE)</f>
        <v>2</v>
      </c>
      <c r="AF1299" s="83">
        <f t="shared" si="403"/>
        <v>0.92500000000291038</v>
      </c>
      <c r="AG1299" s="81">
        <f t="shared" si="404"/>
        <v>25.799999999930151</v>
      </c>
      <c r="AH1299" s="81">
        <f t="shared" si="405"/>
        <v>12</v>
      </c>
      <c r="AI1299" s="81">
        <f t="shared" si="406"/>
        <v>13.799999999930151</v>
      </c>
      <c r="AJ1299" s="83">
        <f t="shared" si="416"/>
        <v>11.304347826144173</v>
      </c>
      <c r="AK1299" s="122"/>
      <c r="AL1299" s="122"/>
      <c r="AM1299" s="122"/>
      <c r="AN1299" s="122"/>
    </row>
    <row r="1300" spans="1:40" ht="20.25" customHeight="1" x14ac:dyDescent="0.25">
      <c r="A1300" s="82">
        <v>45798</v>
      </c>
      <c r="B1300" s="94" t="str">
        <f t="shared" si="410"/>
        <v>May</v>
      </c>
      <c r="C1300" s="79" t="s">
        <v>2162</v>
      </c>
      <c r="D1300" s="79" t="s">
        <v>2133</v>
      </c>
      <c r="E1300" s="79" t="s">
        <v>1016</v>
      </c>
      <c r="F1300" s="79" t="s">
        <v>1691</v>
      </c>
      <c r="G1300" s="79" t="s">
        <v>55</v>
      </c>
      <c r="H1300" s="82" t="s">
        <v>2181</v>
      </c>
      <c r="I1300" s="79">
        <v>156</v>
      </c>
      <c r="J1300" s="79" t="s">
        <v>2133</v>
      </c>
      <c r="K1300" s="80" t="s">
        <v>469</v>
      </c>
      <c r="L1300" s="79">
        <f>VLOOKUP(H1300,Table2[#All],3,FALSE)</f>
        <v>580</v>
      </c>
      <c r="M1300" s="80">
        <f>L1300-1</f>
        <v>579</v>
      </c>
      <c r="N1300" s="81">
        <f t="shared" si="399"/>
        <v>-1</v>
      </c>
      <c r="P1300" s="82">
        <f>R1300-TIME(0,50,0)</f>
        <v>45797.747222222228</v>
      </c>
      <c r="Q1300" s="82">
        <v>45798.136805555558</v>
      </c>
      <c r="R1300" s="82">
        <v>45797.781944444447</v>
      </c>
      <c r="S1300" s="81">
        <f t="shared" si="428"/>
        <v>-508.63425925902749</v>
      </c>
      <c r="T1300" s="81">
        <f t="shared" si="414"/>
        <v>49.768518513883464</v>
      </c>
      <c r="U1300" s="79" t="s">
        <v>2164</v>
      </c>
      <c r="V1300" s="82">
        <v>45798.618750000001</v>
      </c>
      <c r="W1300" s="82">
        <v>45798.709722222222</v>
      </c>
      <c r="X1300" s="103">
        <f t="shared" si="415"/>
        <v>128.27083333082555</v>
      </c>
      <c r="Y1300" s="82"/>
      <c r="Z1300" s="82">
        <v>45799.491666666669</v>
      </c>
      <c r="AA1300" s="82">
        <f>Z1300+TIME(0,43,0)</f>
        <v>45799.521527777782</v>
      </c>
      <c r="AB1300" s="81">
        <f t="shared" si="418"/>
        <v>42.104166670542327</v>
      </c>
      <c r="AC1300" s="82"/>
      <c r="AD1300" s="83">
        <f t="shared" si="402"/>
        <v>1.7097222222218988</v>
      </c>
      <c r="AE1300" s="83">
        <f>VLOOKUP(H1300,'LIST 2'!$A$1:$E$27,4,FALSE)</f>
        <v>2</v>
      </c>
      <c r="AF1300" s="83">
        <f t="shared" si="403"/>
        <v>0.29027777777810115</v>
      </c>
      <c r="AG1300" s="81">
        <f t="shared" si="404"/>
        <v>41.033333333325572</v>
      </c>
      <c r="AH1300" s="81">
        <f t="shared" si="405"/>
        <v>12</v>
      </c>
      <c r="AI1300" s="81">
        <f t="shared" si="406"/>
        <v>29.033333333325572</v>
      </c>
      <c r="AJ1300" s="83">
        <f t="shared" si="416"/>
        <v>5.3731343283596456</v>
      </c>
      <c r="AK1300" s="122"/>
      <c r="AL1300" s="122"/>
      <c r="AM1300" s="122"/>
      <c r="AN1300" s="122"/>
    </row>
    <row r="1301" spans="1:40" ht="20.25" customHeight="1" x14ac:dyDescent="0.25">
      <c r="A1301" s="82">
        <v>45798</v>
      </c>
      <c r="B1301" s="94" t="str">
        <f t="shared" si="410"/>
        <v>May</v>
      </c>
      <c r="C1301" s="79" t="s">
        <v>2161</v>
      </c>
      <c r="D1301" s="79" t="s">
        <v>2134</v>
      </c>
      <c r="E1301" s="80" t="s">
        <v>1016</v>
      </c>
      <c r="F1301" s="79" t="s">
        <v>954</v>
      </c>
      <c r="G1301" s="79" t="s">
        <v>971</v>
      </c>
      <c r="H1301" s="82" t="s">
        <v>1956</v>
      </c>
      <c r="I1301" s="79">
        <v>153.6</v>
      </c>
      <c r="J1301" s="79" t="s">
        <v>2134</v>
      </c>
      <c r="K1301" s="80" t="s">
        <v>469</v>
      </c>
      <c r="L1301" s="79">
        <f>VLOOKUP(H1301,Table2[#All],3,FALSE)</f>
        <v>596</v>
      </c>
      <c r="M1301" s="80">
        <f>L1301-3</f>
        <v>593</v>
      </c>
      <c r="N1301" s="81">
        <f t="shared" si="399"/>
        <v>-3</v>
      </c>
      <c r="P1301" s="82">
        <f>R1301-TIME(0,23,0)</f>
        <v>45797.803472222222</v>
      </c>
      <c r="Q1301" s="82">
        <v>45798.176388888889</v>
      </c>
      <c r="R1301" s="82">
        <v>45797.819444444445</v>
      </c>
      <c r="T1301" s="81">
        <f t="shared" si="414"/>
        <v>22.893518520140788</v>
      </c>
      <c r="U1301" s="79"/>
      <c r="V1301" s="82">
        <v>45799.421527777777</v>
      </c>
      <c r="W1301" s="82">
        <v>45799.496527777781</v>
      </c>
      <c r="X1301" s="103">
        <f t="shared" si="415"/>
        <v>105.75000000615546</v>
      </c>
      <c r="Y1301" s="82"/>
      <c r="Z1301" s="82">
        <v>45800.552083333336</v>
      </c>
      <c r="AA1301" s="82">
        <f>Z1301+TIME(0,43,0)</f>
        <v>45800.58194444445</v>
      </c>
      <c r="AB1301" s="81">
        <f t="shared" si="418"/>
        <v>42.104166670542327</v>
      </c>
      <c r="AC1301" s="82"/>
      <c r="AD1301" s="83">
        <f t="shared" si="402"/>
        <v>2.7326388888905058</v>
      </c>
      <c r="AE1301" s="83">
        <f>VLOOKUP(H1301,'LIST 2'!$A$1:$E$27,4,FALSE)</f>
        <v>2</v>
      </c>
      <c r="AF1301" s="83">
        <f t="shared" si="403"/>
        <v>-0.73263888889050577</v>
      </c>
      <c r="AG1301" s="81">
        <f t="shared" si="404"/>
        <v>65.583333333372138</v>
      </c>
      <c r="AH1301" s="81">
        <f t="shared" si="405"/>
        <v>24</v>
      </c>
      <c r="AI1301" s="81">
        <f t="shared" si="406"/>
        <v>41.583333333372138</v>
      </c>
      <c r="AJ1301" s="83">
        <f t="shared" si="416"/>
        <v>3.6937875751468536</v>
      </c>
      <c r="AK1301" s="122">
        <v>11.55</v>
      </c>
      <c r="AL1301" s="122">
        <v>11.48</v>
      </c>
      <c r="AM1301" s="122">
        <v>11.48</v>
      </c>
      <c r="AN1301" s="122"/>
    </row>
    <row r="1302" spans="1:40" ht="20.25" customHeight="1" x14ac:dyDescent="0.25">
      <c r="A1302" s="82">
        <v>45798</v>
      </c>
      <c r="B1302" s="94" t="str">
        <f t="shared" si="410"/>
        <v>May</v>
      </c>
      <c r="C1302" s="79" t="s">
        <v>2161</v>
      </c>
      <c r="D1302" s="79" t="s">
        <v>2135</v>
      </c>
      <c r="E1302" s="79"/>
      <c r="F1302" s="79" t="s">
        <v>951</v>
      </c>
      <c r="G1302" s="79" t="s">
        <v>968</v>
      </c>
      <c r="H1302" s="82" t="s">
        <v>1956</v>
      </c>
      <c r="I1302" s="79">
        <v>153.6</v>
      </c>
      <c r="J1302" s="79" t="s">
        <v>2135</v>
      </c>
      <c r="K1302" s="80" t="s">
        <v>469</v>
      </c>
      <c r="L1302" s="79">
        <f>VLOOKUP(H1302,Table2[#All],3,FALSE)</f>
        <v>596</v>
      </c>
      <c r="M1302" s="80">
        <f>L1302-1</f>
        <v>595</v>
      </c>
      <c r="N1302" s="81">
        <f t="shared" si="399"/>
        <v>-1</v>
      </c>
      <c r="P1302" s="82">
        <f>R1302-TIME(0,29,0)</f>
        <v>45797.799305555556</v>
      </c>
      <c r="Q1302" s="82">
        <v>45798.176388888889</v>
      </c>
      <c r="R1302" s="82">
        <v>45797.819444444445</v>
      </c>
      <c r="T1302" s="81">
        <f t="shared" si="414"/>
        <v>28.865740740972495</v>
      </c>
      <c r="U1302" s="79"/>
      <c r="V1302" s="82">
        <v>45798.362500000003</v>
      </c>
      <c r="W1302" s="82">
        <v>45798.647916666669</v>
      </c>
      <c r="X1302" s="103">
        <f t="shared" si="415"/>
        <v>402.43749999863212</v>
      </c>
      <c r="Y1302" s="82" t="s">
        <v>1049</v>
      </c>
      <c r="Z1302" s="82">
        <v>45799.67083333333</v>
      </c>
      <c r="AA1302" s="82">
        <f>Z1302+TIME(0,39,0)</f>
        <v>45799.697916666664</v>
      </c>
      <c r="AB1302" s="81">
        <f t="shared" si="418"/>
        <v>38.18750000136788</v>
      </c>
      <c r="AC1302" s="82"/>
      <c r="AD1302" s="83">
        <f t="shared" si="402"/>
        <v>1.851388888884685</v>
      </c>
      <c r="AE1302" s="83">
        <f>VLOOKUP(H1302,'LIST 2'!$A$1:$E$27,4,FALSE)</f>
        <v>2</v>
      </c>
      <c r="AF1302" s="83">
        <f t="shared" si="403"/>
        <v>0.148611111115315</v>
      </c>
      <c r="AG1302" s="81">
        <f t="shared" si="404"/>
        <v>44.43333333323244</v>
      </c>
      <c r="AH1302" s="81">
        <f t="shared" si="405"/>
        <v>12</v>
      </c>
      <c r="AI1302" s="81">
        <f t="shared" si="406"/>
        <v>32.43333333323244</v>
      </c>
      <c r="AJ1302" s="83">
        <f t="shared" si="416"/>
        <v>4.7358684481133961</v>
      </c>
      <c r="AK1302" s="122">
        <v>11.03</v>
      </c>
      <c r="AL1302" s="122">
        <v>10.32</v>
      </c>
      <c r="AM1302" s="122">
        <v>10.35</v>
      </c>
      <c r="AN1302" s="122"/>
    </row>
    <row r="1303" spans="1:40" ht="20.25" customHeight="1" x14ac:dyDescent="0.25">
      <c r="A1303" s="82">
        <v>45798</v>
      </c>
      <c r="B1303" s="94" t="str">
        <f t="shared" si="410"/>
        <v>May</v>
      </c>
      <c r="C1303" s="79" t="s">
        <v>2161</v>
      </c>
      <c r="D1303" s="79" t="s">
        <v>2136</v>
      </c>
      <c r="E1303" s="79"/>
      <c r="F1303" s="79" t="s">
        <v>952</v>
      </c>
      <c r="G1303" s="79" t="s">
        <v>969</v>
      </c>
      <c r="H1303" s="82" t="s">
        <v>1956</v>
      </c>
      <c r="I1303" s="79">
        <v>153.6</v>
      </c>
      <c r="J1303" s="79" t="s">
        <v>2136</v>
      </c>
      <c r="K1303" s="80" t="s">
        <v>469</v>
      </c>
      <c r="L1303" s="79">
        <f>VLOOKUP(H1303,Table2[#All],3,FALSE)</f>
        <v>596</v>
      </c>
      <c r="M1303" s="80">
        <f t="shared" si="412"/>
        <v>594</v>
      </c>
      <c r="N1303" s="81">
        <f t="shared" si="399"/>
        <v>-2</v>
      </c>
      <c r="P1303" s="82">
        <f>R1303-TIME(0,54,0)</f>
        <v>45797.635416666672</v>
      </c>
      <c r="Q1303" s="82">
        <v>45798.176388888889</v>
      </c>
      <c r="R1303" s="82">
        <v>45797.67291666667</v>
      </c>
      <c r="T1303" s="81">
        <f t="shared" si="414"/>
        <v>53.749999997914223</v>
      </c>
      <c r="U1303" s="79" t="s">
        <v>2167</v>
      </c>
      <c r="V1303" s="82">
        <v>45798.535416666666</v>
      </c>
      <c r="W1303" s="82">
        <v>45798.758333333331</v>
      </c>
      <c r="X1303" s="103">
        <f t="shared" si="415"/>
        <v>314.31249999863212</v>
      </c>
      <c r="Y1303" s="82" t="s">
        <v>1044</v>
      </c>
      <c r="Z1303" s="82">
        <v>45799.606249999997</v>
      </c>
      <c r="AA1303" s="82">
        <f>Z1303+TIME(0,43,0)</f>
        <v>45799.636111111111</v>
      </c>
      <c r="AB1303" s="81">
        <f t="shared" si="418"/>
        <v>42.104166670542327</v>
      </c>
      <c r="AC1303" s="82"/>
      <c r="AD1303" s="83">
        <f t="shared" si="402"/>
        <v>1.9333333333270275</v>
      </c>
      <c r="AE1303" s="83">
        <f>VLOOKUP(H1303,'LIST 2'!$A$1:$E$27,4,FALSE)</f>
        <v>2</v>
      </c>
      <c r="AF1303" s="83">
        <f t="shared" si="403"/>
        <v>6.6666666672972497E-2</v>
      </c>
      <c r="AG1303" s="81">
        <f t="shared" si="404"/>
        <v>46.39999999984866</v>
      </c>
      <c r="AH1303" s="81">
        <f t="shared" si="405"/>
        <v>12</v>
      </c>
      <c r="AI1303" s="81">
        <f t="shared" si="406"/>
        <v>34.39999999984866</v>
      </c>
      <c r="AJ1303" s="83">
        <f t="shared" si="416"/>
        <v>4.4651162790894112</v>
      </c>
      <c r="AK1303" s="122">
        <v>10.25</v>
      </c>
      <c r="AL1303" s="122">
        <v>11.24</v>
      </c>
      <c r="AM1303" s="122">
        <v>11.15</v>
      </c>
      <c r="AN1303" s="122"/>
    </row>
    <row r="1304" spans="1:40" ht="20.25" customHeight="1" x14ac:dyDescent="0.25">
      <c r="A1304" s="82">
        <v>45799</v>
      </c>
      <c r="B1304" s="94" t="str">
        <f t="shared" si="410"/>
        <v>May</v>
      </c>
      <c r="C1304" s="79" t="s">
        <v>2161</v>
      </c>
      <c r="D1304" s="79" t="s">
        <v>2155</v>
      </c>
      <c r="E1304" s="79" t="s">
        <v>1016</v>
      </c>
      <c r="F1304" s="79" t="s">
        <v>950</v>
      </c>
      <c r="G1304" s="79" t="s">
        <v>967</v>
      </c>
      <c r="H1304" s="82" t="s">
        <v>1989</v>
      </c>
      <c r="I1304" s="79">
        <v>153.6</v>
      </c>
      <c r="J1304" s="79" t="s">
        <v>2155</v>
      </c>
      <c r="K1304" s="80" t="s">
        <v>469</v>
      </c>
      <c r="L1304" s="79">
        <f>VLOOKUP(H1304,Table2[#All],3,FALSE)</f>
        <v>20</v>
      </c>
      <c r="M1304" s="80">
        <f t="shared" si="412"/>
        <v>18</v>
      </c>
      <c r="N1304" s="81">
        <f t="shared" si="399"/>
        <v>-2</v>
      </c>
      <c r="P1304" s="82">
        <f>R1304-TIME(0,29,0)</f>
        <v>45799.709722222222</v>
      </c>
      <c r="Q1304" s="82">
        <v>45798.625</v>
      </c>
      <c r="R1304" s="82">
        <v>45799.729861111111</v>
      </c>
      <c r="T1304" s="81">
        <f t="shared" si="414"/>
        <v>28.865740740972495</v>
      </c>
      <c r="U1304" s="79"/>
      <c r="V1304" s="82">
        <v>45799.756944444445</v>
      </c>
      <c r="W1304" s="82">
        <v>45800.449305555558</v>
      </c>
      <c r="X1304" s="103">
        <f t="shared" si="415"/>
        <v>976.22916666849051</v>
      </c>
      <c r="Y1304" s="82" t="s">
        <v>1044</v>
      </c>
      <c r="Z1304" s="82">
        <v>45800.5</v>
      </c>
      <c r="AA1304" s="82">
        <f>Z1304+TIME(0,49,0)</f>
        <v>45800.53402777778</v>
      </c>
      <c r="AB1304" s="81">
        <f t="shared" si="418"/>
        <v>47.979166669174447</v>
      </c>
      <c r="AC1304" s="82" t="s">
        <v>2168</v>
      </c>
      <c r="AD1304" s="83">
        <f t="shared" si="402"/>
        <v>0.77013888888905058</v>
      </c>
      <c r="AE1304" s="83">
        <f>VLOOKUP(H1304,'LIST 2'!$A$1:$E$27,4,FALSE)</f>
        <v>1</v>
      </c>
      <c r="AF1304" s="83">
        <f t="shared" si="403"/>
        <v>0.22986111111094942</v>
      </c>
      <c r="AG1304" s="81">
        <f t="shared" si="404"/>
        <v>18.483333333337214</v>
      </c>
      <c r="AH1304" s="81">
        <f t="shared" si="405"/>
        <v>0</v>
      </c>
      <c r="AI1304" s="81">
        <f t="shared" si="406"/>
        <v>18.483333333337214</v>
      </c>
      <c r="AJ1304" s="83">
        <f t="shared" si="416"/>
        <v>8.3101893597818446</v>
      </c>
      <c r="AK1304" s="122">
        <v>10.3</v>
      </c>
      <c r="AL1304" s="122">
        <v>11.47</v>
      </c>
      <c r="AM1304" s="122"/>
      <c r="AN1304" s="122"/>
    </row>
    <row r="1305" spans="1:40" ht="20.25" customHeight="1" x14ac:dyDescent="0.25">
      <c r="A1305" s="82">
        <v>45799</v>
      </c>
      <c r="B1305" s="94" t="str">
        <f t="shared" si="410"/>
        <v>May</v>
      </c>
      <c r="C1305" s="79" t="s">
        <v>2161</v>
      </c>
      <c r="D1305" s="79" t="s">
        <v>2156</v>
      </c>
      <c r="E1305" s="79" t="s">
        <v>1016</v>
      </c>
      <c r="F1305" s="79" t="s">
        <v>956</v>
      </c>
      <c r="G1305" s="79" t="s">
        <v>973</v>
      </c>
      <c r="H1305" s="82" t="s">
        <v>1956</v>
      </c>
      <c r="I1305" s="79">
        <v>153.6</v>
      </c>
      <c r="J1305" s="79" t="s">
        <v>2156</v>
      </c>
      <c r="K1305" s="80" t="s">
        <v>469</v>
      </c>
      <c r="L1305" s="79">
        <f>VLOOKUP(H1305,Table2[#All],3,FALSE)</f>
        <v>596</v>
      </c>
      <c r="M1305" s="80">
        <f t="shared" si="412"/>
        <v>594</v>
      </c>
      <c r="N1305" s="81">
        <f t="shared" si="399"/>
        <v>-2</v>
      </c>
      <c r="P1305" s="82">
        <f>R1305-TIME(0,27,0)</f>
        <v>45799.795138888883</v>
      </c>
      <c r="Q1305" s="82">
        <v>45799.458333333336</v>
      </c>
      <c r="R1305" s="82">
        <v>45799.813888888886</v>
      </c>
      <c r="T1305" s="81">
        <f t="shared" si="414"/>
        <v>26.87500000417155</v>
      </c>
      <c r="U1305" s="79"/>
      <c r="V1305" s="82">
        <v>45800.443055555559</v>
      </c>
      <c r="W1305" s="82">
        <v>45800.57708333333</v>
      </c>
      <c r="X1305" s="103">
        <f t="shared" si="415"/>
        <v>188.97916665686353</v>
      </c>
      <c r="Y1305" s="82" t="s">
        <v>1046</v>
      </c>
      <c r="Z1305" s="119">
        <v>45800.756944444445</v>
      </c>
      <c r="AA1305" s="82">
        <f>Z1305+TIME(0,42,0)</f>
        <v>45800.786111111112</v>
      </c>
      <c r="AB1305" s="81">
        <f t="shared" si="418"/>
        <v>41.12500000068394</v>
      </c>
      <c r="AC1305" s="82"/>
      <c r="AD1305" s="83">
        <f t="shared" si="402"/>
        <v>0.94305555555911269</v>
      </c>
      <c r="AE1305" s="83">
        <f>VLOOKUP(H1305,'LIST 2'!$A$1:$E$27,4,FALSE)</f>
        <v>2</v>
      </c>
      <c r="AF1305" s="83">
        <f t="shared" si="403"/>
        <v>1.0569444444408873</v>
      </c>
      <c r="AG1305" s="81">
        <f t="shared" si="404"/>
        <v>22.633333333418705</v>
      </c>
      <c r="AH1305" s="81">
        <f t="shared" si="405"/>
        <v>0</v>
      </c>
      <c r="AI1305" s="81">
        <f t="shared" si="406"/>
        <v>22.633333333418705</v>
      </c>
      <c r="AJ1305" s="83">
        <f t="shared" si="416"/>
        <v>6.7864506627137242</v>
      </c>
      <c r="AK1305" s="122">
        <v>9.57</v>
      </c>
      <c r="AL1305" s="122">
        <v>10</v>
      </c>
      <c r="AM1305" s="122"/>
      <c r="AN1305" s="122"/>
    </row>
    <row r="1306" spans="1:40" ht="20.25" customHeight="1" x14ac:dyDescent="0.25">
      <c r="A1306" s="82">
        <v>45799</v>
      </c>
      <c r="B1306" s="94" t="str">
        <f t="shared" si="410"/>
        <v>May</v>
      </c>
      <c r="C1306" s="79" t="s">
        <v>2161</v>
      </c>
      <c r="D1306" s="79" t="s">
        <v>2157</v>
      </c>
      <c r="E1306" s="79" t="s">
        <v>959</v>
      </c>
      <c r="F1306" s="79" t="s">
        <v>965</v>
      </c>
      <c r="G1306" s="79" t="s">
        <v>980</v>
      </c>
      <c r="H1306" s="82" t="s">
        <v>1991</v>
      </c>
      <c r="I1306" s="79">
        <v>153.6</v>
      </c>
      <c r="J1306" s="79" t="s">
        <v>2157</v>
      </c>
      <c r="K1306" s="80" t="s">
        <v>469</v>
      </c>
      <c r="L1306" s="79">
        <f>VLOOKUP(H1306,Table2[#All],3,FALSE)</f>
        <v>272</v>
      </c>
      <c r="M1306" s="80">
        <f>L1306-1</f>
        <v>271</v>
      </c>
      <c r="N1306" s="81">
        <f t="shared" si="399"/>
        <v>-1</v>
      </c>
      <c r="P1306" s="82">
        <f>R1306-TIME(0,28,0)</f>
        <v>45799.402083333334</v>
      </c>
      <c r="Q1306" s="82">
        <v>45799.082638888889</v>
      </c>
      <c r="R1306" s="82">
        <v>45799.421527777777</v>
      </c>
      <c r="T1306" s="81">
        <f t="shared" si="414"/>
        <v>27.870370367357584</v>
      </c>
      <c r="U1306" s="79"/>
      <c r="V1306" s="82">
        <v>45799.748611111114</v>
      </c>
      <c r="W1306" s="82">
        <v>45800.604861111111</v>
      </c>
      <c r="X1306" s="103">
        <f t="shared" si="415"/>
        <v>1207.3124999958964</v>
      </c>
      <c r="Y1306" s="82" t="s">
        <v>1049</v>
      </c>
      <c r="Z1306" s="82">
        <v>45801.395138888889</v>
      </c>
      <c r="AA1306" s="82">
        <f>Z1306+TIME(0,43,0)</f>
        <v>45801.425000000003</v>
      </c>
      <c r="AB1306" s="81">
        <f t="shared" si="418"/>
        <v>42.104166670542327</v>
      </c>
      <c r="AC1306" s="82"/>
      <c r="AD1306" s="83">
        <f t="shared" si="402"/>
        <v>1.9736111111124046</v>
      </c>
      <c r="AE1306" s="83">
        <f>VLOOKUP(H1306,'LIST 2'!$A$1:$E$27,4,FALSE)</f>
        <v>2</v>
      </c>
      <c r="AF1306" s="83">
        <f t="shared" si="403"/>
        <v>2.6388888887595385E-2</v>
      </c>
      <c r="AG1306" s="81">
        <f t="shared" si="404"/>
        <v>47.366666666697711</v>
      </c>
      <c r="AH1306" s="81">
        <f t="shared" si="405"/>
        <v>12</v>
      </c>
      <c r="AI1306" s="81">
        <f t="shared" si="406"/>
        <v>35.366666666697711</v>
      </c>
      <c r="AJ1306" s="83">
        <f t="shared" si="416"/>
        <v>4.3430725730404856</v>
      </c>
      <c r="AK1306" s="122">
        <v>10.55</v>
      </c>
      <c r="AL1306" s="122">
        <v>11.24</v>
      </c>
      <c r="AM1306" s="122">
        <v>10.32</v>
      </c>
      <c r="AN1306" s="122">
        <v>10.55</v>
      </c>
    </row>
    <row r="1307" spans="1:40" ht="20.25" customHeight="1" x14ac:dyDescent="0.25">
      <c r="A1307" s="82">
        <v>45799</v>
      </c>
      <c r="B1307" s="94" t="str">
        <f t="shared" si="410"/>
        <v>May</v>
      </c>
      <c r="C1307" s="79" t="s">
        <v>2161</v>
      </c>
      <c r="D1307" s="79" t="s">
        <v>2158</v>
      </c>
      <c r="E1307" s="79" t="s">
        <v>1016</v>
      </c>
      <c r="F1307" s="79" t="s">
        <v>1689</v>
      </c>
      <c r="G1307" s="79" t="s">
        <v>1262</v>
      </c>
      <c r="H1307" s="82" t="s">
        <v>1959</v>
      </c>
      <c r="I1307" s="79">
        <v>153.6</v>
      </c>
      <c r="J1307" s="79" t="s">
        <v>2158</v>
      </c>
      <c r="K1307" s="80" t="s">
        <v>469</v>
      </c>
      <c r="L1307" s="79">
        <f>VLOOKUP(H1307,Table2[#All],3,FALSE)</f>
        <v>304</v>
      </c>
      <c r="M1307" s="80">
        <f t="shared" si="412"/>
        <v>302</v>
      </c>
      <c r="N1307" s="81">
        <f t="shared" si="399"/>
        <v>-2</v>
      </c>
      <c r="P1307" s="82">
        <f>R1307-TIME(0,29,0)</f>
        <v>45800.287499999999</v>
      </c>
      <c r="Q1307" s="82">
        <v>45800.098611111112</v>
      </c>
      <c r="R1307" s="82">
        <v>45800.307638888888</v>
      </c>
      <c r="T1307" s="81">
        <f t="shared" si="414"/>
        <v>28.865740740972495</v>
      </c>
      <c r="U1307" s="79"/>
      <c r="V1307" s="82">
        <v>45800.627083333333</v>
      </c>
      <c r="W1307" s="82">
        <v>45801.577777777777</v>
      </c>
      <c r="X1307" s="103">
        <f t="shared" si="415"/>
        <v>1340.4791666657547</v>
      </c>
      <c r="Y1307" s="82" t="s">
        <v>1050</v>
      </c>
      <c r="Z1307" s="82">
        <v>45801.794444444444</v>
      </c>
      <c r="AA1307" s="82">
        <f>Z1307+TIME(0,39,0)</f>
        <v>45801.821527777778</v>
      </c>
      <c r="AB1307" s="81">
        <f t="shared" si="418"/>
        <v>38.18750000136788</v>
      </c>
      <c r="AC1307" s="82"/>
      <c r="AD1307" s="83">
        <f t="shared" si="402"/>
        <v>1.4868055555562023</v>
      </c>
      <c r="AE1307" s="83">
        <f>VLOOKUP(H1307,'LIST 2'!$A$1:$E$27,4,FALSE)</f>
        <v>2</v>
      </c>
      <c r="AF1307" s="83">
        <f t="shared" si="403"/>
        <v>0.51319444444379769</v>
      </c>
      <c r="AG1307" s="81">
        <f t="shared" si="404"/>
        <v>35.683333333348855</v>
      </c>
      <c r="AH1307" s="81">
        <f t="shared" si="405"/>
        <v>12</v>
      </c>
      <c r="AI1307" s="81">
        <f t="shared" si="406"/>
        <v>23.683333333348855</v>
      </c>
      <c r="AJ1307" s="83">
        <f t="shared" si="416"/>
        <v>6.4855735397564809</v>
      </c>
      <c r="AK1307" s="122">
        <v>10.27</v>
      </c>
      <c r="AL1307" s="122">
        <v>10.3</v>
      </c>
      <c r="AM1307" s="122"/>
      <c r="AN1307" s="122"/>
    </row>
    <row r="1308" spans="1:40" ht="20.25" customHeight="1" x14ac:dyDescent="0.25">
      <c r="A1308" s="82">
        <v>45799</v>
      </c>
      <c r="B1308" s="94" t="str">
        <f t="shared" si="410"/>
        <v>May</v>
      </c>
      <c r="C1308" s="79" t="s">
        <v>2162</v>
      </c>
      <c r="D1308" s="79" t="s">
        <v>2159</v>
      </c>
      <c r="E1308" s="79" t="s">
        <v>1016</v>
      </c>
      <c r="F1308" s="79" t="s">
        <v>1695</v>
      </c>
      <c r="G1308" s="79" t="s">
        <v>74</v>
      </c>
      <c r="H1308" s="82" t="s">
        <v>2178</v>
      </c>
      <c r="I1308" s="79">
        <v>156</v>
      </c>
      <c r="J1308" s="79" t="s">
        <v>2159</v>
      </c>
      <c r="K1308" s="80" t="s">
        <v>469</v>
      </c>
      <c r="L1308" s="79">
        <f>VLOOKUP(H1308,Table2[#All],3,FALSE)</f>
        <v>510</v>
      </c>
      <c r="M1308" s="80">
        <f>L1308-3</f>
        <v>507</v>
      </c>
      <c r="N1308" s="81">
        <f t="shared" si="399"/>
        <v>-3</v>
      </c>
      <c r="P1308" s="82">
        <f>R1308-TIME(0,27,0)</f>
        <v>45799.430555555555</v>
      </c>
      <c r="Q1308" s="82">
        <v>45799.768750000003</v>
      </c>
      <c r="R1308" s="82">
        <v>45799.449305555558</v>
      </c>
      <c r="S1308" s="81">
        <f t="shared" ref="S1308" si="429">(R1308-Q1308)*86000/60</f>
        <v>-457.87037037152913</v>
      </c>
      <c r="T1308" s="81">
        <f t="shared" si="414"/>
        <v>26.87500000417155</v>
      </c>
      <c r="U1308" s="79"/>
      <c r="V1308" s="82">
        <v>45800.529861111114</v>
      </c>
      <c r="W1308" s="82">
        <v>45801.361805555556</v>
      </c>
      <c r="X1308" s="103">
        <f t="shared" si="415"/>
        <v>1173.0416666637029</v>
      </c>
      <c r="Y1308" s="82" t="s">
        <v>1044</v>
      </c>
      <c r="Z1308" s="82">
        <v>45801.818055555559</v>
      </c>
      <c r="AA1308" s="82">
        <f>Z1308+TIME(0,42,0)</f>
        <v>45801.847222222226</v>
      </c>
      <c r="AB1308" s="81">
        <f t="shared" si="418"/>
        <v>41.12500000068394</v>
      </c>
      <c r="AC1308" s="82"/>
      <c r="AD1308" s="83">
        <f t="shared" si="402"/>
        <v>2.3687500000014552</v>
      </c>
      <c r="AE1308" s="83">
        <f>VLOOKUP(H1308,'LIST 2'!$A$1:$E$27,4,FALSE)</f>
        <v>3</v>
      </c>
      <c r="AF1308" s="83">
        <f t="shared" si="403"/>
        <v>0.63124999999854481</v>
      </c>
      <c r="AG1308" s="81">
        <f t="shared" si="404"/>
        <v>56.850000000034925</v>
      </c>
      <c r="AH1308" s="81">
        <f t="shared" si="405"/>
        <v>24</v>
      </c>
      <c r="AI1308" s="81">
        <f t="shared" si="406"/>
        <v>32.850000000034925</v>
      </c>
      <c r="AJ1308" s="83">
        <f t="shared" si="416"/>
        <v>4.7488584474835358</v>
      </c>
      <c r="AK1308" s="122"/>
      <c r="AL1308" s="122"/>
      <c r="AM1308" s="122"/>
      <c r="AN1308" s="122"/>
    </row>
    <row r="1309" spans="1:40" ht="20.25" customHeight="1" x14ac:dyDescent="0.25">
      <c r="A1309" s="82">
        <v>45800</v>
      </c>
      <c r="B1309" s="94" t="str">
        <f t="shared" si="410"/>
        <v>May</v>
      </c>
      <c r="C1309" s="79" t="s">
        <v>2161</v>
      </c>
      <c r="D1309" s="79" t="s">
        <v>2160</v>
      </c>
      <c r="E1309" s="79" t="s">
        <v>1690</v>
      </c>
      <c r="F1309" s="79" t="s">
        <v>962</v>
      </c>
      <c r="G1309" s="79" t="s">
        <v>978</v>
      </c>
      <c r="H1309" s="82" t="s">
        <v>1956</v>
      </c>
      <c r="I1309" s="79">
        <v>153.6</v>
      </c>
      <c r="J1309" s="79" t="s">
        <v>2160</v>
      </c>
      <c r="K1309" s="80" t="s">
        <v>469</v>
      </c>
      <c r="L1309" s="79">
        <f>VLOOKUP(H1309,Table2[#All],3,FALSE)</f>
        <v>596</v>
      </c>
      <c r="M1309" s="80">
        <f>L1309-1</f>
        <v>595</v>
      </c>
      <c r="N1309" s="81">
        <f t="shared" si="399"/>
        <v>-1</v>
      </c>
      <c r="P1309" s="82">
        <f>R1309-TIME(0,27,0)</f>
        <v>45800.554861111108</v>
      </c>
      <c r="Q1309" s="82">
        <v>45800.176388888889</v>
      </c>
      <c r="R1309" s="82">
        <v>45800.573611111111</v>
      </c>
      <c r="T1309" s="81">
        <f t="shared" si="414"/>
        <v>26.87500000417155</v>
      </c>
      <c r="U1309" s="79"/>
      <c r="V1309" s="82">
        <v>45800.734027777777</v>
      </c>
      <c r="W1309" s="82">
        <v>45802.595138888886</v>
      </c>
      <c r="X1309" s="103">
        <f t="shared" si="415"/>
        <v>2624.1666666643869</v>
      </c>
      <c r="Y1309" s="82" t="s">
        <v>1044</v>
      </c>
      <c r="Z1309" s="82">
        <v>45802.784722222219</v>
      </c>
      <c r="AA1309" s="82">
        <f t="shared" ref="AA1309" si="430">Z1309+TIME(0,39,0)</f>
        <v>45802.811805555553</v>
      </c>
      <c r="AB1309" s="81">
        <f t="shared" si="418"/>
        <v>38.18750000136788</v>
      </c>
      <c r="AC1309" s="82"/>
      <c r="AD1309" s="83">
        <f t="shared" si="402"/>
        <v>2.211111111108039</v>
      </c>
      <c r="AE1309" s="83">
        <f>VLOOKUP(H1309,'LIST 2'!$A$1:$E$27,4,FALSE)</f>
        <v>2</v>
      </c>
      <c r="AF1309" s="81">
        <f t="shared" si="403"/>
        <v>-0.21111111110803904</v>
      </c>
      <c r="AG1309" s="81">
        <f t="shared" si="404"/>
        <v>53.066666666592937</v>
      </c>
      <c r="AH1309" s="81">
        <f t="shared" si="405"/>
        <v>24</v>
      </c>
      <c r="AI1309" s="81">
        <f t="shared" si="406"/>
        <v>29.066666666592937</v>
      </c>
      <c r="AJ1309" s="83">
        <f t="shared" si="416"/>
        <v>5.2844036697381744</v>
      </c>
      <c r="AK1309" s="122">
        <v>10.42</v>
      </c>
      <c r="AL1309" s="122">
        <v>11.28</v>
      </c>
      <c r="AM1309" s="122">
        <v>11.2</v>
      </c>
      <c r="AN1309" s="122"/>
    </row>
    <row r="1310" spans="1:40" ht="20.25" customHeight="1" x14ac:dyDescent="0.25">
      <c r="A1310" s="82">
        <v>45801</v>
      </c>
      <c r="B1310" s="94" t="str">
        <f t="shared" si="410"/>
        <v>May</v>
      </c>
      <c r="C1310" s="79" t="s">
        <v>2161</v>
      </c>
      <c r="D1310" s="79" t="s">
        <v>2137</v>
      </c>
      <c r="E1310" s="79" t="s">
        <v>961</v>
      </c>
      <c r="F1310" s="79" t="s">
        <v>951</v>
      </c>
      <c r="G1310" s="79" t="s">
        <v>968</v>
      </c>
      <c r="H1310" s="82" t="s">
        <v>1959</v>
      </c>
      <c r="I1310" s="79">
        <v>153.6</v>
      </c>
      <c r="J1310" s="79" t="s">
        <v>2137</v>
      </c>
      <c r="K1310" s="80" t="s">
        <v>469</v>
      </c>
      <c r="L1310" s="79">
        <f>VLOOKUP(H1310,Table2[#All],3,FALSE)</f>
        <v>304</v>
      </c>
      <c r="M1310" s="80">
        <f t="shared" si="412"/>
        <v>302</v>
      </c>
      <c r="N1310" s="81">
        <f t="shared" si="399"/>
        <v>-2</v>
      </c>
      <c r="P1310" s="82">
        <f>R1310-TIME(0,28,0)</f>
        <v>45802.428472222222</v>
      </c>
      <c r="Q1310" s="82">
        <v>45801.098611111112</v>
      </c>
      <c r="R1310" s="82">
        <v>45802.447916666664</v>
      </c>
      <c r="T1310" s="81">
        <f t="shared" si="414"/>
        <v>27.870370367357584</v>
      </c>
      <c r="U1310" s="79"/>
      <c r="V1310" s="82">
        <v>45802.577777777777</v>
      </c>
      <c r="W1310" s="82">
        <v>45802.714583333334</v>
      </c>
      <c r="X1310" s="103">
        <f t="shared" si="415"/>
        <v>192.89583333629707</v>
      </c>
      <c r="Y1310" s="82" t="s">
        <v>1044</v>
      </c>
      <c r="Z1310" s="82"/>
      <c r="AA1310" s="82">
        <f t="shared" ref="AA1310" si="431">Z1310+TIME(0,42,0)</f>
        <v>2.9166666666666664E-2</v>
      </c>
      <c r="AB1310" s="81">
        <f t="shared" si="418"/>
        <v>41.124999999999993</v>
      </c>
      <c r="AC1310" s="82"/>
      <c r="AD1310" s="83">
        <f t="shared" si="402"/>
        <v>-45802.447916666664</v>
      </c>
      <c r="AE1310" s="83">
        <f>VLOOKUP(H1310,'LIST 2'!$A$1:$E$27,4,FALSE)</f>
        <v>2</v>
      </c>
      <c r="AF1310" s="81">
        <f t="shared" si="403"/>
        <v>45804.447916666664</v>
      </c>
      <c r="AG1310" s="81">
        <f t="shared" si="404"/>
        <v>-1099258.75</v>
      </c>
      <c r="AH1310" s="81">
        <f t="shared" si="405"/>
        <v>-549636</v>
      </c>
      <c r="AI1310" s="81">
        <f t="shared" si="406"/>
        <v>-549622.75</v>
      </c>
      <c r="AJ1310" s="83">
        <f t="shared" si="416"/>
        <v>-2.7946441445518766E-4</v>
      </c>
      <c r="AK1310" s="122"/>
      <c r="AL1310" s="122"/>
      <c r="AM1310" s="122"/>
      <c r="AN1310" s="122"/>
    </row>
    <row r="1311" spans="1:40" ht="20.25" customHeight="1" x14ac:dyDescent="0.25">
      <c r="A1311" s="82">
        <v>45801</v>
      </c>
      <c r="B1311" s="94" t="str">
        <f t="shared" si="410"/>
        <v>May</v>
      </c>
      <c r="C1311" s="79" t="s">
        <v>2161</v>
      </c>
      <c r="D1311" s="79" t="s">
        <v>2138</v>
      </c>
      <c r="E1311" s="79" t="s">
        <v>952</v>
      </c>
      <c r="F1311" s="79" t="s">
        <v>959</v>
      </c>
      <c r="G1311" s="79" t="s">
        <v>976</v>
      </c>
      <c r="H1311" s="82" t="s">
        <v>1989</v>
      </c>
      <c r="I1311" s="79">
        <v>153.6</v>
      </c>
      <c r="J1311" s="79" t="s">
        <v>2138</v>
      </c>
      <c r="K1311" s="80" t="s">
        <v>469</v>
      </c>
      <c r="L1311" s="79">
        <f>VLOOKUP(H1311,Table2[#All],3,FALSE)</f>
        <v>20</v>
      </c>
      <c r="M1311" s="80">
        <f t="shared" si="412"/>
        <v>18</v>
      </c>
      <c r="N1311" s="81">
        <f t="shared" si="399"/>
        <v>-2</v>
      </c>
      <c r="P1311" s="82">
        <f>R1311-TIME(0,38,0)</f>
        <v>45802.304861111115</v>
      </c>
      <c r="Q1311" s="82">
        <v>45801.320833333331</v>
      </c>
      <c r="R1311" s="82">
        <v>45802.331250000003</v>
      </c>
      <c r="T1311" s="81">
        <f t="shared" si="414"/>
        <v>37.82407407222005</v>
      </c>
      <c r="U1311" s="79" t="s">
        <v>562</v>
      </c>
      <c r="V1311" s="82">
        <v>45802.552777777775</v>
      </c>
      <c r="W1311" s="82">
        <v>45802.783333333333</v>
      </c>
      <c r="X1311" s="103">
        <f t="shared" si="415"/>
        <v>325.08333333629707</v>
      </c>
      <c r="Y1311" s="82" t="s">
        <v>1046</v>
      </c>
      <c r="Z1311" s="82">
        <v>45803.53125</v>
      </c>
      <c r="AA1311" s="82">
        <f>Z1311+TIME(0,39,0)</f>
        <v>45803.558333333334</v>
      </c>
      <c r="AB1311" s="81">
        <f t="shared" si="418"/>
        <v>38.18750000136788</v>
      </c>
      <c r="AC1311" s="82"/>
      <c r="AD1311" s="83">
        <f t="shared" si="402"/>
        <v>1.1999999999970896</v>
      </c>
      <c r="AE1311" s="83">
        <f>VLOOKUP(H1311,'LIST 2'!$A$1:$E$27,4,FALSE)</f>
        <v>1</v>
      </c>
      <c r="AF1311" s="81">
        <f t="shared" si="403"/>
        <v>-0.19999999999708962</v>
      </c>
      <c r="AG1311" s="81">
        <f t="shared" si="404"/>
        <v>28.799999999930151</v>
      </c>
      <c r="AH1311" s="81">
        <f t="shared" si="405"/>
        <v>12</v>
      </c>
      <c r="AI1311" s="81">
        <f t="shared" si="406"/>
        <v>16.799999999930151</v>
      </c>
      <c r="AJ1311" s="83">
        <f t="shared" si="416"/>
        <v>9.1428571428951564</v>
      </c>
      <c r="AK1311" s="122">
        <v>8.33</v>
      </c>
      <c r="AL1311" s="122">
        <v>9.02</v>
      </c>
      <c r="AM1311" s="122"/>
      <c r="AN1311" s="122"/>
    </row>
    <row r="1312" spans="1:40" ht="20.25" customHeight="1" x14ac:dyDescent="0.25">
      <c r="A1312" s="82">
        <v>45801</v>
      </c>
      <c r="B1312" s="94" t="str">
        <f t="shared" si="410"/>
        <v>May</v>
      </c>
      <c r="C1312" s="79" t="s">
        <v>2161</v>
      </c>
      <c r="D1312" s="79" t="s">
        <v>2139</v>
      </c>
      <c r="E1312" s="80" t="s">
        <v>1016</v>
      </c>
      <c r="F1312" s="79" t="s">
        <v>954</v>
      </c>
      <c r="G1312" s="79" t="s">
        <v>971</v>
      </c>
      <c r="H1312" s="82" t="s">
        <v>1959</v>
      </c>
      <c r="I1312" s="79">
        <v>153.6</v>
      </c>
      <c r="J1312" s="79" t="s">
        <v>2139</v>
      </c>
      <c r="K1312" s="80" t="s">
        <v>469</v>
      </c>
      <c r="L1312" s="79">
        <f>VLOOKUP(H1312,Table2[#All],3,FALSE)</f>
        <v>304</v>
      </c>
      <c r="M1312" s="80">
        <f>L1312-3</f>
        <v>301</v>
      </c>
      <c r="N1312" s="81">
        <f t="shared" si="399"/>
        <v>-3</v>
      </c>
      <c r="P1312" s="82">
        <f>R1312-TIME(0,23,0)</f>
        <v>45801.671527777777</v>
      </c>
      <c r="Q1312" s="82">
        <v>45801.098611111112</v>
      </c>
      <c r="R1312" s="82">
        <v>45801.6875</v>
      </c>
      <c r="T1312" s="81">
        <f t="shared" si="414"/>
        <v>22.893518520140788</v>
      </c>
      <c r="U1312" s="79"/>
      <c r="V1312" s="82">
        <v>45802.35833333333</v>
      </c>
      <c r="W1312" s="82">
        <v>45802.511111111111</v>
      </c>
      <c r="X1312" s="103">
        <f t="shared" si="415"/>
        <v>215.41666667122627</v>
      </c>
      <c r="Y1312" s="82" t="s">
        <v>1049</v>
      </c>
      <c r="Z1312" s="82">
        <v>45803.525694444441</v>
      </c>
      <c r="AA1312" s="82">
        <f>Z1312+TIME(0,38,0)</f>
        <v>45803.552083333328</v>
      </c>
      <c r="AB1312" s="81">
        <f t="shared" si="418"/>
        <v>37.208333331509493</v>
      </c>
      <c r="AC1312" s="82"/>
      <c r="AD1312" s="83">
        <f t="shared" si="402"/>
        <v>1.8381944444408873</v>
      </c>
      <c r="AE1312" s="83">
        <f>VLOOKUP(H1312,'LIST 2'!$A$1:$E$27,4,FALSE)</f>
        <v>2</v>
      </c>
      <c r="AF1312" s="81">
        <f t="shared" si="403"/>
        <v>0.16180555555911269</v>
      </c>
      <c r="AG1312" s="81">
        <f t="shared" si="404"/>
        <v>44.116666666581295</v>
      </c>
      <c r="AH1312" s="81">
        <f t="shared" si="405"/>
        <v>12</v>
      </c>
      <c r="AI1312" s="81">
        <f t="shared" si="406"/>
        <v>32.116666666581295</v>
      </c>
      <c r="AJ1312" s="83">
        <f t="shared" si="416"/>
        <v>4.782563570329267</v>
      </c>
      <c r="AK1312" s="122">
        <v>11.57</v>
      </c>
      <c r="AL1312" s="122">
        <v>9.31</v>
      </c>
      <c r="AM1312" s="122"/>
      <c r="AN1312" s="122"/>
    </row>
    <row r="1313" spans="1:40" ht="20.25" customHeight="1" x14ac:dyDescent="0.25">
      <c r="A1313" s="82">
        <v>45801</v>
      </c>
      <c r="B1313" s="94" t="str">
        <f t="shared" si="410"/>
        <v>May</v>
      </c>
      <c r="C1313" s="79" t="s">
        <v>2161</v>
      </c>
      <c r="D1313" s="79" t="s">
        <v>2140</v>
      </c>
      <c r="E1313" s="79" t="s">
        <v>1960</v>
      </c>
      <c r="F1313" s="79" t="s">
        <v>957</v>
      </c>
      <c r="G1313" s="79" t="s">
        <v>974</v>
      </c>
      <c r="H1313" s="82" t="s">
        <v>1991</v>
      </c>
      <c r="I1313" s="79">
        <v>153.6</v>
      </c>
      <c r="J1313" s="79" t="s">
        <v>2140</v>
      </c>
      <c r="K1313" s="80" t="s">
        <v>469</v>
      </c>
      <c r="L1313" s="79">
        <f>VLOOKUP(H1313,Table2[#All],3,FALSE)</f>
        <v>272</v>
      </c>
      <c r="M1313" s="80">
        <f>L1313-1</f>
        <v>271</v>
      </c>
      <c r="N1313" s="81">
        <f t="shared" si="399"/>
        <v>-1</v>
      </c>
      <c r="P1313" s="82">
        <f>R1313-TIME(0,27,0)</f>
        <v>45801.474305555552</v>
      </c>
      <c r="Q1313" s="82">
        <v>45801.082638888889</v>
      </c>
      <c r="R1313" s="82">
        <v>45801.493055555555</v>
      </c>
      <c r="T1313" s="81">
        <f t="shared" si="414"/>
        <v>26.87500000417155</v>
      </c>
      <c r="U1313" s="79"/>
      <c r="V1313" s="82">
        <v>45801.779166666667</v>
      </c>
      <c r="W1313" s="82">
        <v>45802.539583333331</v>
      </c>
      <c r="X1313" s="103">
        <f t="shared" si="415"/>
        <v>1072.1874999965803</v>
      </c>
      <c r="Y1313" s="82" t="s">
        <v>1051</v>
      </c>
      <c r="Z1313" s="82">
        <v>45803.42291666667</v>
      </c>
      <c r="AA1313" s="82">
        <f>Z1313+TIME(0,36,0)</f>
        <v>45803.447916666672</v>
      </c>
      <c r="AB1313" s="81">
        <f t="shared" si="418"/>
        <v>35.25000000205182</v>
      </c>
      <c r="AC1313" s="82"/>
      <c r="AD1313" s="83">
        <f t="shared" si="402"/>
        <v>1.929861111115315</v>
      </c>
      <c r="AE1313" s="83">
        <f>VLOOKUP(H1313,'LIST 2'!$A$1:$E$27,4,FALSE)</f>
        <v>2</v>
      </c>
      <c r="AF1313" s="81">
        <f t="shared" si="403"/>
        <v>7.0138888884685002E-2</v>
      </c>
      <c r="AG1313" s="81">
        <f t="shared" si="404"/>
        <v>46.31666666676756</v>
      </c>
      <c r="AH1313" s="81">
        <f t="shared" si="405"/>
        <v>12</v>
      </c>
      <c r="AI1313" s="81">
        <f t="shared" si="406"/>
        <v>34.31666666676756</v>
      </c>
      <c r="AJ1313" s="83">
        <f t="shared" si="416"/>
        <v>4.4759592034836837</v>
      </c>
      <c r="AK1313" s="122">
        <v>10.45</v>
      </c>
      <c r="AL1313" s="122">
        <v>11.02</v>
      </c>
      <c r="AM1313" s="122">
        <v>10.41</v>
      </c>
      <c r="AN1313" s="122"/>
    </row>
    <row r="1314" spans="1:40" ht="20.25" customHeight="1" x14ac:dyDescent="0.25">
      <c r="A1314" s="82">
        <v>45801</v>
      </c>
      <c r="B1314" s="94" t="str">
        <f t="shared" si="410"/>
        <v>May</v>
      </c>
      <c r="C1314" s="79" t="s">
        <v>2161</v>
      </c>
      <c r="D1314" s="79" t="s">
        <v>2141</v>
      </c>
      <c r="E1314" s="79" t="s">
        <v>964</v>
      </c>
      <c r="F1314" s="79" t="s">
        <v>953</v>
      </c>
      <c r="G1314" s="79" t="s">
        <v>970</v>
      </c>
      <c r="H1314" s="82" t="s">
        <v>2022</v>
      </c>
      <c r="I1314" s="79">
        <v>153.6</v>
      </c>
      <c r="J1314" s="79" t="s">
        <v>2141</v>
      </c>
      <c r="K1314" s="80" t="s">
        <v>469</v>
      </c>
      <c r="L1314" s="79">
        <f>VLOOKUP(H1314,Table2[#All],3,FALSE)</f>
        <v>150</v>
      </c>
      <c r="M1314" s="80">
        <f t="shared" si="412"/>
        <v>148</v>
      </c>
      <c r="N1314" s="81">
        <f t="shared" si="399"/>
        <v>-2</v>
      </c>
      <c r="P1314" s="82">
        <f>R1314-TIME(0,29,0)</f>
        <v>45801.586805555555</v>
      </c>
      <c r="Q1314" s="82">
        <v>45801.260416666664</v>
      </c>
      <c r="R1314" s="82">
        <v>45801.606944444444</v>
      </c>
      <c r="T1314" s="81">
        <f t="shared" si="414"/>
        <v>28.865740740972495</v>
      </c>
      <c r="U1314" s="79"/>
      <c r="V1314" s="82">
        <v>45801.706944444442</v>
      </c>
      <c r="W1314" s="82">
        <v>45802.59652777778</v>
      </c>
      <c r="X1314" s="103">
        <f t="shared" si="415"/>
        <v>1254.3125000054715</v>
      </c>
      <c r="Y1314" s="82" t="s">
        <v>1050</v>
      </c>
      <c r="Z1314" s="82">
        <v>45802.7</v>
      </c>
      <c r="AA1314" s="82">
        <f>Z1314+TIME(0,38,0)</f>
        <v>45802.726388888885</v>
      </c>
      <c r="AB1314" s="81">
        <f t="shared" si="418"/>
        <v>37.208333331509493</v>
      </c>
      <c r="AC1314" s="82"/>
      <c r="AD1314" s="83">
        <f t="shared" si="402"/>
        <v>1.0930555555532919</v>
      </c>
      <c r="AE1314" s="83">
        <f>VLOOKUP(H1314,'LIST 2'!$A$1:$E$27,4,FALSE)</f>
        <v>1</v>
      </c>
      <c r="AF1314" s="81">
        <f t="shared" si="403"/>
        <v>-9.3055555553291924E-2</v>
      </c>
      <c r="AG1314" s="81">
        <f t="shared" si="404"/>
        <v>26.233333333279006</v>
      </c>
      <c r="AH1314" s="81">
        <f t="shared" si="405"/>
        <v>12</v>
      </c>
      <c r="AI1314" s="81">
        <f t="shared" si="406"/>
        <v>14.233333333279006</v>
      </c>
      <c r="AJ1314" s="83">
        <f t="shared" si="416"/>
        <v>10.791569086692244</v>
      </c>
      <c r="AK1314" s="122">
        <v>10.55</v>
      </c>
      <c r="AL1314" s="122">
        <v>10.199999999999999</v>
      </c>
      <c r="AM1314" s="122"/>
      <c r="AN1314" s="122"/>
    </row>
    <row r="1315" spans="1:40" ht="20.25" customHeight="1" x14ac:dyDescent="0.25">
      <c r="A1315" s="82">
        <v>45801</v>
      </c>
      <c r="B1315" s="94" t="str">
        <f t="shared" si="410"/>
        <v>May</v>
      </c>
      <c r="C1315" s="79" t="s">
        <v>2162</v>
      </c>
      <c r="D1315" s="79" t="s">
        <v>2142</v>
      </c>
      <c r="E1315" s="79" t="s">
        <v>1016</v>
      </c>
      <c r="F1315" s="79" t="s">
        <v>1690</v>
      </c>
      <c r="G1315" s="79" t="s">
        <v>45</v>
      </c>
      <c r="H1315" s="82" t="s">
        <v>2177</v>
      </c>
      <c r="I1315" s="79">
        <v>156</v>
      </c>
      <c r="J1315" s="79" t="s">
        <v>2142</v>
      </c>
      <c r="K1315" s="80" t="s">
        <v>469</v>
      </c>
      <c r="L1315" s="79">
        <f>VLOOKUP(H1315,Table2[#All],3,FALSE)</f>
        <v>448</v>
      </c>
      <c r="M1315" s="80">
        <f>L1315-1</f>
        <v>447</v>
      </c>
      <c r="N1315" s="81">
        <f t="shared" si="399"/>
        <v>-1</v>
      </c>
      <c r="P1315" s="82">
        <f>R1315-TIME(0,28,0)</f>
        <v>45800.798611111117</v>
      </c>
      <c r="Q1315" s="82">
        <v>45801.0625</v>
      </c>
      <c r="R1315" s="82">
        <v>45800.818055555559</v>
      </c>
      <c r="S1315" s="81">
        <f t="shared" ref="S1315:S1316" si="432">(R1315-Q1315)*86000/60</f>
        <v>-350.37037036527181</v>
      </c>
      <c r="T1315" s="81">
        <f t="shared" si="414"/>
        <v>27.870370367357584</v>
      </c>
      <c r="U1315" s="79"/>
      <c r="V1315" s="82">
        <v>45801.536805555559</v>
      </c>
      <c r="W1315" s="82">
        <v>45801.788888888892</v>
      </c>
      <c r="X1315" s="103">
        <f t="shared" si="415"/>
        <v>355.43749999931606</v>
      </c>
      <c r="Y1315" s="82" t="s">
        <v>1044</v>
      </c>
      <c r="Z1315" s="82">
        <v>45802.633333333331</v>
      </c>
      <c r="AA1315" s="82">
        <f>Z1315+TIME(0,39,0)</f>
        <v>45802.660416666666</v>
      </c>
      <c r="AB1315" s="81">
        <f t="shared" si="418"/>
        <v>38.18750000136788</v>
      </c>
      <c r="AC1315" s="82"/>
      <c r="AD1315" s="83">
        <f t="shared" si="402"/>
        <v>1.8152777777722804</v>
      </c>
      <c r="AE1315" s="83">
        <f>VLOOKUP(H1315,'LIST 2'!$A$1:$E$27,4,FALSE)</f>
        <v>2</v>
      </c>
      <c r="AF1315" s="81">
        <f t="shared" si="403"/>
        <v>0.18472222222771961</v>
      </c>
      <c r="AG1315" s="81">
        <f t="shared" si="404"/>
        <v>43.566666666534729</v>
      </c>
      <c r="AH1315" s="81">
        <f t="shared" si="405"/>
        <v>12</v>
      </c>
      <c r="AI1315" s="81">
        <f t="shared" si="406"/>
        <v>31.566666666534729</v>
      </c>
      <c r="AJ1315" s="83">
        <f t="shared" si="416"/>
        <v>4.9419218585211837</v>
      </c>
      <c r="AK1315" s="122"/>
      <c r="AL1315" s="122"/>
      <c r="AM1315" s="122"/>
      <c r="AN1315" s="122"/>
    </row>
    <row r="1316" spans="1:40" ht="20.25" customHeight="1" x14ac:dyDescent="0.25">
      <c r="A1316" s="82">
        <v>45801</v>
      </c>
      <c r="B1316" s="94" t="str">
        <f t="shared" si="410"/>
        <v>May</v>
      </c>
      <c r="C1316" s="79" t="s">
        <v>2162</v>
      </c>
      <c r="D1316" s="79" t="s">
        <v>2143</v>
      </c>
      <c r="E1316" s="79" t="s">
        <v>1016</v>
      </c>
      <c r="F1316" s="79" t="s">
        <v>961</v>
      </c>
      <c r="G1316" s="79" t="s">
        <v>977</v>
      </c>
      <c r="H1316" s="82" t="s">
        <v>1959</v>
      </c>
      <c r="I1316" s="79">
        <v>156</v>
      </c>
      <c r="J1316" s="79" t="s">
        <v>2143</v>
      </c>
      <c r="K1316" s="80" t="s">
        <v>469</v>
      </c>
      <c r="L1316" s="79">
        <f>VLOOKUP(H1316,Table2[#All],3,FALSE)</f>
        <v>304</v>
      </c>
      <c r="M1316" s="80">
        <f t="shared" si="412"/>
        <v>302</v>
      </c>
      <c r="N1316" s="81">
        <f t="shared" si="399"/>
        <v>-2</v>
      </c>
      <c r="P1316" s="82">
        <f>R1316-TIME(0,23,0)</f>
        <v>45800.821527777778</v>
      </c>
      <c r="Q1316" s="82">
        <v>45801.098611111112</v>
      </c>
      <c r="R1316" s="82">
        <v>45800.837500000001</v>
      </c>
      <c r="S1316" s="81">
        <f t="shared" si="432"/>
        <v>-374.25925925902749</v>
      </c>
      <c r="T1316" s="81">
        <f t="shared" si="414"/>
        <v>22.893518520140788</v>
      </c>
      <c r="U1316" s="79"/>
      <c r="V1316" s="82">
        <v>45801.431944444441</v>
      </c>
      <c r="W1316" s="82">
        <v>45801.698611111111</v>
      </c>
      <c r="X1316" s="103">
        <f t="shared" si="415"/>
        <v>376.00000000478758</v>
      </c>
      <c r="Y1316" s="82" t="s">
        <v>1044</v>
      </c>
      <c r="Z1316" s="82">
        <v>45802.383333333331</v>
      </c>
      <c r="AA1316" s="82">
        <f>Z1316+TIME(0,49,0)</f>
        <v>45802.417361111111</v>
      </c>
      <c r="AB1316" s="81">
        <f t="shared" si="418"/>
        <v>47.979166669174447</v>
      </c>
      <c r="AC1316" s="82" t="s">
        <v>1675</v>
      </c>
      <c r="AD1316" s="83">
        <f t="shared" si="402"/>
        <v>1.5458333333299379</v>
      </c>
      <c r="AE1316" s="83">
        <f>VLOOKUP(H1316,'LIST 2'!$A$1:$E$27,4,FALSE)</f>
        <v>2</v>
      </c>
      <c r="AF1316" s="81">
        <f t="shared" si="403"/>
        <v>0.45416666667006211</v>
      </c>
      <c r="AG1316" s="81">
        <f t="shared" si="404"/>
        <v>37.099999999918509</v>
      </c>
      <c r="AH1316" s="81">
        <f t="shared" si="405"/>
        <v>12</v>
      </c>
      <c r="AI1316" s="81">
        <f t="shared" si="406"/>
        <v>25.099999999918509</v>
      </c>
      <c r="AJ1316" s="83">
        <f t="shared" si="416"/>
        <v>6.215139442251254</v>
      </c>
      <c r="AK1316" s="122"/>
      <c r="AL1316" s="122"/>
      <c r="AM1316" s="122"/>
      <c r="AN1316" s="122"/>
    </row>
    <row r="1317" spans="1:40" ht="20.25" customHeight="1" x14ac:dyDescent="0.25">
      <c r="A1317" s="82">
        <v>45801</v>
      </c>
      <c r="B1317" s="94" t="str">
        <f t="shared" si="410"/>
        <v>May</v>
      </c>
      <c r="C1317" s="79" t="s">
        <v>2161</v>
      </c>
      <c r="D1317" s="79" t="s">
        <v>2144</v>
      </c>
      <c r="E1317" s="79" t="s">
        <v>1016</v>
      </c>
      <c r="F1317" s="79" t="s">
        <v>950</v>
      </c>
      <c r="G1317" s="79" t="s">
        <v>967</v>
      </c>
      <c r="H1317" s="82" t="s">
        <v>2022</v>
      </c>
      <c r="I1317" s="79">
        <v>153.6</v>
      </c>
      <c r="J1317" s="79" t="s">
        <v>2144</v>
      </c>
      <c r="K1317" s="80" t="s">
        <v>469</v>
      </c>
      <c r="L1317" s="79">
        <f>VLOOKUP(H1317,Table2[#All],3,FALSE)</f>
        <v>150</v>
      </c>
      <c r="M1317" s="80">
        <f t="shared" si="412"/>
        <v>148</v>
      </c>
      <c r="N1317" s="81">
        <f t="shared" ref="N1317:N1327" si="433">M1317-L1317</f>
        <v>-2</v>
      </c>
      <c r="P1317" s="82">
        <f>R1317-TIME(0,23,0)</f>
        <v>45800.859722222223</v>
      </c>
      <c r="Q1317" s="82">
        <v>45801.260416666664</v>
      </c>
      <c r="R1317" s="82">
        <v>45800.875694444447</v>
      </c>
      <c r="T1317" s="81">
        <f t="shared" si="414"/>
        <v>22.893518520140788</v>
      </c>
      <c r="U1317" s="79"/>
      <c r="V1317" s="82">
        <v>45801.390972222223</v>
      </c>
      <c r="W1317" s="82">
        <v>45801.587500000001</v>
      </c>
      <c r="X1317" s="103">
        <f t="shared" si="415"/>
        <v>277.10416666712263</v>
      </c>
      <c r="Y1317" s="82" t="s">
        <v>1047</v>
      </c>
      <c r="Z1317" s="82">
        <v>45801.70208333333</v>
      </c>
      <c r="AA1317" s="82">
        <f>Z1317+TIME(0,36,0)</f>
        <v>45801.727083333331</v>
      </c>
      <c r="AB1317" s="81">
        <f t="shared" si="418"/>
        <v>35.25000000205182</v>
      </c>
      <c r="AC1317" s="82"/>
      <c r="AD1317" s="83">
        <f t="shared" si="402"/>
        <v>0.82638888888322981</v>
      </c>
      <c r="AE1317" s="83">
        <f>VLOOKUP(H1317,'LIST 2'!$A$1:$E$27,4,FALSE)</f>
        <v>1</v>
      </c>
      <c r="AF1317" s="81">
        <f t="shared" si="403"/>
        <v>0.17361111111677019</v>
      </c>
      <c r="AG1317" s="81">
        <f t="shared" si="404"/>
        <v>19.833333333197515</v>
      </c>
      <c r="AH1317" s="81">
        <f t="shared" si="405"/>
        <v>0</v>
      </c>
      <c r="AI1317" s="81">
        <f t="shared" si="406"/>
        <v>19.833333333197515</v>
      </c>
      <c r="AJ1317" s="83">
        <f t="shared" si="416"/>
        <v>7.7445378151790845</v>
      </c>
      <c r="AK1317" s="122">
        <v>10.4</v>
      </c>
      <c r="AL1317" s="122">
        <v>9</v>
      </c>
      <c r="AM1317" s="122"/>
      <c r="AN1317" s="122"/>
    </row>
    <row r="1318" spans="1:40" ht="20.25" customHeight="1" x14ac:dyDescent="0.25">
      <c r="A1318" s="82">
        <v>45801</v>
      </c>
      <c r="B1318" s="94" t="str">
        <f t="shared" si="410"/>
        <v>May</v>
      </c>
      <c r="C1318" s="79" t="s">
        <v>2161</v>
      </c>
      <c r="D1318" s="79" t="s">
        <v>2145</v>
      </c>
      <c r="E1318" s="79" t="s">
        <v>1694</v>
      </c>
      <c r="F1318" s="79" t="s">
        <v>952</v>
      </c>
      <c r="G1318" s="79" t="s">
        <v>969</v>
      </c>
      <c r="H1318" s="82" t="s">
        <v>1989</v>
      </c>
      <c r="I1318" s="79">
        <v>153.6</v>
      </c>
      <c r="J1318" s="79" t="s">
        <v>2145</v>
      </c>
      <c r="K1318" s="80" t="s">
        <v>469</v>
      </c>
      <c r="L1318" s="79">
        <f>VLOOKUP(H1318,Table2[#All],3,FALSE)</f>
        <v>20</v>
      </c>
      <c r="M1318" s="80">
        <f>L1318-3</f>
        <v>17</v>
      </c>
      <c r="N1318" s="81">
        <f t="shared" si="433"/>
        <v>-3</v>
      </c>
      <c r="P1318" s="82">
        <f>R1318-TIME(0,29,0)</f>
        <v>45800.827777777777</v>
      </c>
      <c r="Q1318" s="82">
        <v>45801.320833333331</v>
      </c>
      <c r="R1318" s="82">
        <v>45800.847916666666</v>
      </c>
      <c r="T1318" s="81">
        <f t="shared" si="414"/>
        <v>28.865740740972495</v>
      </c>
      <c r="U1318" s="79"/>
      <c r="V1318" s="82">
        <v>45801.374305555553</v>
      </c>
      <c r="W1318" s="82">
        <v>45801.52847222222</v>
      </c>
      <c r="X1318" s="103">
        <f t="shared" si="415"/>
        <v>217.37500000068394</v>
      </c>
      <c r="Y1318" s="82" t="s">
        <v>1049</v>
      </c>
      <c r="Z1318" s="82">
        <v>45801.553472222222</v>
      </c>
      <c r="AA1318" s="82">
        <f>Z1318+TIME(0,43,0)</f>
        <v>45801.583333333336</v>
      </c>
      <c r="AB1318" s="81">
        <f t="shared" si="418"/>
        <v>42.104166670542327</v>
      </c>
      <c r="AC1318" s="82"/>
      <c r="AD1318" s="83">
        <f t="shared" si="402"/>
        <v>0.70555555555620231</v>
      </c>
      <c r="AE1318" s="83">
        <f>VLOOKUP(H1318,'LIST 2'!$A$1:$E$27,4,FALSE)</f>
        <v>1</v>
      </c>
      <c r="AF1318" s="81">
        <f t="shared" si="403"/>
        <v>0.29444444444379769</v>
      </c>
      <c r="AG1318" s="81">
        <f t="shared" si="404"/>
        <v>16.933333333348855</v>
      </c>
      <c r="AH1318" s="81">
        <f t="shared" si="405"/>
        <v>0</v>
      </c>
      <c r="AI1318" s="81">
        <f t="shared" si="406"/>
        <v>16.933333333348855</v>
      </c>
      <c r="AJ1318" s="83">
        <f t="shared" si="416"/>
        <v>9.0708661417239682</v>
      </c>
      <c r="AK1318" s="122">
        <v>11.05</v>
      </c>
      <c r="AL1318" s="122">
        <v>11.48</v>
      </c>
      <c r="AM1318" s="122"/>
      <c r="AN1318" s="122"/>
    </row>
    <row r="1319" spans="1:40" ht="20.25" customHeight="1" x14ac:dyDescent="0.25">
      <c r="A1319" s="82">
        <v>45802</v>
      </c>
      <c r="B1319" s="94" t="str">
        <f t="shared" si="410"/>
        <v>May</v>
      </c>
      <c r="C1319" s="79" t="s">
        <v>2161</v>
      </c>
      <c r="D1319" s="79" t="s">
        <v>2146</v>
      </c>
      <c r="E1319" s="79" t="s">
        <v>1016</v>
      </c>
      <c r="F1319" s="79" t="s">
        <v>1689</v>
      </c>
      <c r="G1319" s="79" t="s">
        <v>1262</v>
      </c>
      <c r="H1319" s="82" t="s">
        <v>1957</v>
      </c>
      <c r="I1319" s="79">
        <v>153.6</v>
      </c>
      <c r="J1319" s="79" t="s">
        <v>2146</v>
      </c>
      <c r="K1319" s="80" t="s">
        <v>469</v>
      </c>
      <c r="L1319" s="79">
        <f>VLOOKUP(H1319,Table2[#All],3,FALSE)</f>
        <v>288</v>
      </c>
      <c r="M1319" s="80">
        <f t="shared" si="412"/>
        <v>286</v>
      </c>
      <c r="N1319" s="81">
        <f t="shared" si="433"/>
        <v>-2</v>
      </c>
      <c r="P1319" s="82">
        <f>R1319-TIME(0,27,0)</f>
        <v>45802.794444444444</v>
      </c>
      <c r="Q1319" s="82">
        <v>45802.154861111114</v>
      </c>
      <c r="R1319" s="82">
        <v>45802.813194444447</v>
      </c>
      <c r="T1319" s="81">
        <f t="shared" si="414"/>
        <v>26.87500000417155</v>
      </c>
      <c r="U1319" s="79"/>
      <c r="V1319" s="82">
        <v>45803.431250000001</v>
      </c>
      <c r="W1319" s="82">
        <v>45803.622916666667</v>
      </c>
      <c r="X1319" s="103">
        <f t="shared" si="415"/>
        <v>270.24999999863212</v>
      </c>
      <c r="Y1319" s="82" t="s">
        <v>1044</v>
      </c>
      <c r="Z1319" s="82"/>
      <c r="AA1319" s="82">
        <f>Z1319+TIME(0,39,0)</f>
        <v>2.7083333333333334E-2</v>
      </c>
      <c r="AB1319" s="81">
        <f t="shared" si="418"/>
        <v>38.1875</v>
      </c>
      <c r="AC1319" s="82"/>
      <c r="AD1319" s="83">
        <f t="shared" si="402"/>
        <v>-45802.813194444447</v>
      </c>
      <c r="AE1319" s="83">
        <f>VLOOKUP(H1319,'LIST 2'!$A$1:$E$27,4,FALSE)</f>
        <v>2</v>
      </c>
      <c r="AF1319" s="81">
        <f t="shared" si="403"/>
        <v>45804.813194444447</v>
      </c>
      <c r="AG1319" s="81">
        <f t="shared" si="404"/>
        <v>-1099267.5166666666</v>
      </c>
      <c r="AH1319" s="81">
        <f t="shared" si="405"/>
        <v>-549636</v>
      </c>
      <c r="AI1319" s="81">
        <f t="shared" si="406"/>
        <v>-549631.5166666666</v>
      </c>
      <c r="AJ1319" s="83">
        <f t="shared" si="416"/>
        <v>-2.7945995697541728E-4</v>
      </c>
      <c r="AK1319" s="122">
        <v>11.51</v>
      </c>
      <c r="AL1319" s="122">
        <v>11.5</v>
      </c>
      <c r="AM1319" s="122">
        <v>9.56</v>
      </c>
      <c r="AN1319" s="122"/>
    </row>
    <row r="1320" spans="1:40" ht="20.25" customHeight="1" x14ac:dyDescent="0.25">
      <c r="A1320" s="82">
        <v>45802</v>
      </c>
      <c r="B1320" s="94" t="str">
        <f t="shared" si="410"/>
        <v>May</v>
      </c>
      <c r="C1320" s="79" t="s">
        <v>2162</v>
      </c>
      <c r="D1320" s="79" t="s">
        <v>2147</v>
      </c>
      <c r="E1320" s="79" t="s">
        <v>1016</v>
      </c>
      <c r="F1320" s="79" t="s">
        <v>1960</v>
      </c>
      <c r="G1320" s="79" t="s">
        <v>1961</v>
      </c>
      <c r="H1320" s="82" t="s">
        <v>1959</v>
      </c>
      <c r="I1320" s="79">
        <v>156</v>
      </c>
      <c r="J1320" s="79" t="s">
        <v>2147</v>
      </c>
      <c r="K1320" s="80" t="s">
        <v>469</v>
      </c>
      <c r="L1320" s="79">
        <f>VLOOKUP(H1320,Table2[#All],3,FALSE)</f>
        <v>304</v>
      </c>
      <c r="M1320" s="80">
        <f>L1320-3</f>
        <v>301</v>
      </c>
      <c r="N1320" s="81">
        <f t="shared" si="433"/>
        <v>-3</v>
      </c>
      <c r="P1320" s="82">
        <f>R1320-TIME(0,28,0)</f>
        <v>45802.438888888893</v>
      </c>
      <c r="Q1320" s="82">
        <v>45802.098611111112</v>
      </c>
      <c r="R1320" s="82">
        <v>45802.458333333336</v>
      </c>
      <c r="S1320" s="81">
        <f t="shared" ref="S1320" si="434">(R1320-Q1320)*86000/60</f>
        <v>515.60185185347416</v>
      </c>
      <c r="T1320" s="81">
        <f t="shared" si="414"/>
        <v>27.870370367357584</v>
      </c>
      <c r="U1320" s="79"/>
      <c r="V1320" s="82">
        <v>45802.605555555558</v>
      </c>
      <c r="W1320" s="82">
        <v>45802.865972222222</v>
      </c>
      <c r="X1320" s="103">
        <f t="shared" si="415"/>
        <v>367.1874999965803</v>
      </c>
      <c r="Y1320" s="82" t="s">
        <v>1044</v>
      </c>
      <c r="Z1320" s="82">
        <v>45803.276388888888</v>
      </c>
      <c r="AA1320" s="82">
        <f>Z1320+TIME(0,43,0)</f>
        <v>45803.306250000001</v>
      </c>
      <c r="AB1320" s="81">
        <f t="shared" si="418"/>
        <v>42.104166670542327</v>
      </c>
      <c r="AC1320" s="82"/>
      <c r="AD1320" s="83">
        <f t="shared" si="402"/>
        <v>0.81805555555183673</v>
      </c>
      <c r="AE1320" s="83">
        <f>VLOOKUP(H1320,'LIST 2'!$A$1:$E$27,4,FALSE)</f>
        <v>2</v>
      </c>
      <c r="AF1320" s="81">
        <f t="shared" si="403"/>
        <v>1.1819444444481633</v>
      </c>
      <c r="AG1320" s="81">
        <f t="shared" si="404"/>
        <v>19.633333333244082</v>
      </c>
      <c r="AH1320" s="81">
        <f t="shared" si="405"/>
        <v>0</v>
      </c>
      <c r="AI1320" s="81">
        <f t="shared" si="406"/>
        <v>19.633333333244082</v>
      </c>
      <c r="AJ1320" s="83">
        <f t="shared" si="416"/>
        <v>7.9456706282194824</v>
      </c>
      <c r="AK1320" s="122"/>
      <c r="AL1320" s="122"/>
      <c r="AM1320" s="122"/>
      <c r="AN1320" s="122"/>
    </row>
    <row r="1321" spans="1:40" ht="20.25" customHeight="1" x14ac:dyDescent="0.25">
      <c r="A1321" s="82">
        <v>45802</v>
      </c>
      <c r="B1321" s="94" t="str">
        <f t="shared" si="410"/>
        <v>May</v>
      </c>
      <c r="C1321" s="79" t="s">
        <v>2161</v>
      </c>
      <c r="D1321" s="79" t="s">
        <v>2148</v>
      </c>
      <c r="E1321" s="79" t="s">
        <v>1016</v>
      </c>
      <c r="F1321" s="79" t="s">
        <v>964</v>
      </c>
      <c r="G1321" s="79" t="s">
        <v>979</v>
      </c>
      <c r="H1321" s="82" t="s">
        <v>1989</v>
      </c>
      <c r="I1321" s="79">
        <v>153.6</v>
      </c>
      <c r="J1321" s="79" t="s">
        <v>2148</v>
      </c>
      <c r="K1321" s="80" t="s">
        <v>469</v>
      </c>
      <c r="L1321" s="79">
        <f>VLOOKUP(H1321,Table2[#All],3,FALSE)</f>
        <v>20</v>
      </c>
      <c r="M1321" s="80">
        <f t="shared" ref="M1321:M1326" si="435">L1321-2</f>
        <v>18</v>
      </c>
      <c r="N1321" s="81">
        <f t="shared" si="433"/>
        <v>-2</v>
      </c>
      <c r="P1321" s="82">
        <f>R1321-TIME(0,27,0)</f>
        <v>45802.548611111109</v>
      </c>
      <c r="Q1321" s="82">
        <v>45802.320833333331</v>
      </c>
      <c r="R1321" s="82">
        <v>45802.567361111112</v>
      </c>
      <c r="T1321" s="81">
        <f t="shared" si="414"/>
        <v>26.87500000417155</v>
      </c>
      <c r="U1321" s="79"/>
      <c r="V1321" s="82">
        <v>45802.598611111112</v>
      </c>
      <c r="W1321" s="82">
        <v>45802.755555555559</v>
      </c>
      <c r="X1321" s="103">
        <f t="shared" si="415"/>
        <v>221.29166666985839</v>
      </c>
      <c r="Y1321" s="82" t="s">
        <v>1046</v>
      </c>
      <c r="Z1321" s="82">
        <v>45802.775000000001</v>
      </c>
      <c r="AA1321" s="82">
        <f>Z1321+TIME(0,38,0)</f>
        <v>45802.801388888889</v>
      </c>
      <c r="AB1321" s="81">
        <f t="shared" si="418"/>
        <v>37.208333331509493</v>
      </c>
      <c r="AC1321" s="82"/>
      <c r="AD1321" s="83">
        <f t="shared" ref="AD1321:AD1327" si="436">Z1321-R1321</f>
        <v>0.20763888888905058</v>
      </c>
      <c r="AE1321" s="83">
        <f>VLOOKUP(H1321,'LIST 2'!$A$1:$E$27,4,FALSE)</f>
        <v>1</v>
      </c>
      <c r="AF1321" s="81">
        <f t="shared" ref="AF1321:AF1327" si="437">AE1321-AD1321</f>
        <v>0.79236111111094942</v>
      </c>
      <c r="AG1321" s="81">
        <f t="shared" ref="AG1321:AG1327" si="438">AD1321*24</f>
        <v>4.9833333333372138</v>
      </c>
      <c r="AH1321" s="81">
        <f t="shared" ref="AH1321:AH1327" si="439">AG1321-AI1321</f>
        <v>0</v>
      </c>
      <c r="AI1321" s="81">
        <f t="shared" ref="AI1321:AI1327" si="440" xml:space="preserve"> ((Z1321 - R1321) * 24) - (INT(Z1321 - R1321) * 12)</f>
        <v>4.9833333333372138</v>
      </c>
      <c r="AJ1321" s="83">
        <f t="shared" si="416"/>
        <v>30.822742474892387</v>
      </c>
      <c r="AK1321" s="122">
        <v>10.15</v>
      </c>
      <c r="AL1321" s="122"/>
      <c r="AM1321" s="122"/>
      <c r="AN1321" s="122"/>
    </row>
    <row r="1322" spans="1:40" ht="20.25" customHeight="1" x14ac:dyDescent="0.25">
      <c r="A1322" s="82">
        <v>45802</v>
      </c>
      <c r="B1322" s="94" t="str">
        <f t="shared" si="410"/>
        <v>May</v>
      </c>
      <c r="C1322" s="79" t="s">
        <v>2161</v>
      </c>
      <c r="D1322" s="79" t="s">
        <v>2149</v>
      </c>
      <c r="E1322" s="79" t="s">
        <v>1016</v>
      </c>
      <c r="F1322" s="79" t="s">
        <v>950</v>
      </c>
      <c r="G1322" s="79" t="s">
        <v>967</v>
      </c>
      <c r="H1322" s="82" t="s">
        <v>1956</v>
      </c>
      <c r="I1322" s="79">
        <v>153.6</v>
      </c>
      <c r="J1322" s="79" t="s">
        <v>2149</v>
      </c>
      <c r="K1322" s="80" t="s">
        <v>469</v>
      </c>
      <c r="L1322" s="79">
        <f>VLOOKUP(H1322,Table2[#All],3,FALSE)</f>
        <v>596</v>
      </c>
      <c r="M1322" s="80">
        <f t="shared" si="435"/>
        <v>594</v>
      </c>
      <c r="N1322" s="81">
        <f t="shared" si="433"/>
        <v>-2</v>
      </c>
      <c r="P1322" s="82">
        <f>R1322-TIME(0,23,0)</f>
        <v>45802.340277777774</v>
      </c>
      <c r="Q1322" s="82">
        <v>45802.176388888889</v>
      </c>
      <c r="R1322" s="82">
        <v>45802.356249999997</v>
      </c>
      <c r="T1322" s="81">
        <f t="shared" si="414"/>
        <v>22.893518520140788</v>
      </c>
      <c r="U1322" s="79"/>
      <c r="V1322" s="82">
        <v>45802.47152777778</v>
      </c>
      <c r="W1322" s="82">
        <v>45802.671527777777</v>
      </c>
      <c r="X1322" s="103">
        <f t="shared" si="415"/>
        <v>281.99999999589636</v>
      </c>
      <c r="Y1322" s="82" t="s">
        <v>1049</v>
      </c>
      <c r="Z1322" s="82">
        <v>45802.768055555556</v>
      </c>
      <c r="AA1322" s="82">
        <f>Z1322+TIME(0,42,0)</f>
        <v>45802.797222222223</v>
      </c>
      <c r="AB1322" s="81">
        <f t="shared" si="418"/>
        <v>41.12500000068394</v>
      </c>
      <c r="AC1322" s="82"/>
      <c r="AD1322" s="83">
        <f t="shared" si="436"/>
        <v>0.41180555555911269</v>
      </c>
      <c r="AE1322" s="83">
        <f>VLOOKUP(H1322,'LIST 2'!$A$1:$E$27,4,FALSE)</f>
        <v>2</v>
      </c>
      <c r="AF1322" s="81">
        <f t="shared" si="437"/>
        <v>1.5881944444408873</v>
      </c>
      <c r="AG1322" s="81">
        <f t="shared" si="438"/>
        <v>9.8833333334187046</v>
      </c>
      <c r="AH1322" s="81">
        <f t="shared" si="439"/>
        <v>0</v>
      </c>
      <c r="AI1322" s="81">
        <f t="shared" si="440"/>
        <v>9.8833333334187046</v>
      </c>
      <c r="AJ1322" s="83">
        <f t="shared" si="416"/>
        <v>15.541315345565586</v>
      </c>
      <c r="AK1322" s="122">
        <v>11.52</v>
      </c>
      <c r="AL1322" s="122"/>
      <c r="AM1322" s="122"/>
      <c r="AN1322" s="122"/>
    </row>
    <row r="1323" spans="1:40" ht="20.25" customHeight="1" x14ac:dyDescent="0.25">
      <c r="A1323" s="82">
        <v>45802</v>
      </c>
      <c r="B1323" s="94" t="str">
        <f t="shared" si="410"/>
        <v>May</v>
      </c>
      <c r="C1323" s="79" t="s">
        <v>2162</v>
      </c>
      <c r="D1323" s="79" t="s">
        <v>2150</v>
      </c>
      <c r="E1323" s="79" t="s">
        <v>1016</v>
      </c>
      <c r="F1323" s="79" t="s">
        <v>963</v>
      </c>
      <c r="G1323" s="79" t="s">
        <v>60</v>
      </c>
      <c r="H1323" s="82" t="s">
        <v>1959</v>
      </c>
      <c r="I1323" s="79">
        <v>156</v>
      </c>
      <c r="J1323" s="79" t="s">
        <v>2150</v>
      </c>
      <c r="K1323" s="80" t="s">
        <v>469</v>
      </c>
      <c r="L1323" s="79">
        <f>VLOOKUP(H1323,Table2[#All],3,FALSE)</f>
        <v>304</v>
      </c>
      <c r="M1323" s="80">
        <f t="shared" si="435"/>
        <v>302</v>
      </c>
      <c r="N1323" s="81">
        <f t="shared" si="433"/>
        <v>-2</v>
      </c>
      <c r="P1323" s="82">
        <f>R1323-TIME(0,29,0)</f>
        <v>45801.820138888892</v>
      </c>
      <c r="Q1323" s="82">
        <v>45802.098611111112</v>
      </c>
      <c r="R1323" s="82">
        <v>45801.840277777781</v>
      </c>
      <c r="S1323" s="81">
        <f t="shared" ref="S1323" si="441">(R1323-Q1323)*86000/60</f>
        <v>-370.27777777499676</v>
      </c>
      <c r="T1323" s="81">
        <f t="shared" si="414"/>
        <v>28.865740740972495</v>
      </c>
      <c r="U1323" s="79"/>
      <c r="V1323" s="82">
        <v>45802.631249999999</v>
      </c>
      <c r="W1323" s="82">
        <v>45803.552083333336</v>
      </c>
      <c r="X1323" s="103">
        <f t="shared" si="415"/>
        <v>1298.3750000054715</v>
      </c>
      <c r="Y1323" s="82" t="s">
        <v>1050</v>
      </c>
      <c r="Z1323" s="82">
        <v>45803.806250000001</v>
      </c>
      <c r="AA1323" s="82">
        <f>Z1323+TIME(0,43,0)</f>
        <v>45803.836111111115</v>
      </c>
      <c r="AB1323" s="81">
        <f t="shared" si="418"/>
        <v>42.104166670542327</v>
      </c>
      <c r="AC1323" s="82"/>
      <c r="AD1323" s="83">
        <f t="shared" si="436"/>
        <v>1.9659722222204437</v>
      </c>
      <c r="AE1323" s="83">
        <f>VLOOKUP(H1323,'LIST 2'!$A$1:$E$27,4,FALSE)</f>
        <v>2</v>
      </c>
      <c r="AF1323" s="81">
        <f t="shared" si="437"/>
        <v>3.4027777779556345E-2</v>
      </c>
      <c r="AG1323" s="81">
        <f t="shared" si="438"/>
        <v>47.183333333290648</v>
      </c>
      <c r="AH1323" s="81">
        <f t="shared" si="439"/>
        <v>12</v>
      </c>
      <c r="AI1323" s="81">
        <f t="shared" si="440"/>
        <v>35.183333333290648</v>
      </c>
      <c r="AJ1323" s="83">
        <f t="shared" si="416"/>
        <v>4.4339175746145694</v>
      </c>
      <c r="AK1323" s="122"/>
      <c r="AL1323" s="122"/>
      <c r="AM1323" s="122"/>
      <c r="AN1323" s="122"/>
    </row>
    <row r="1324" spans="1:40" ht="20.25" customHeight="1" x14ac:dyDescent="0.25">
      <c r="A1324" s="82">
        <v>45802</v>
      </c>
      <c r="B1324" s="94" t="str">
        <f t="shared" si="410"/>
        <v>May</v>
      </c>
      <c r="C1324" s="79" t="s">
        <v>2161</v>
      </c>
      <c r="D1324" s="79" t="s">
        <v>2151</v>
      </c>
      <c r="E1324" s="79" t="s">
        <v>1016</v>
      </c>
      <c r="F1324" s="79" t="s">
        <v>952</v>
      </c>
      <c r="G1324" s="79" t="s">
        <v>969</v>
      </c>
      <c r="H1324" s="82" t="s">
        <v>1957</v>
      </c>
      <c r="I1324" s="79">
        <v>153.6</v>
      </c>
      <c r="J1324" s="79" t="s">
        <v>2151</v>
      </c>
      <c r="K1324" s="80" t="s">
        <v>469</v>
      </c>
      <c r="L1324" s="79">
        <f>VLOOKUP(H1324,Table2[#All],3,FALSE)</f>
        <v>288</v>
      </c>
      <c r="M1324" s="80">
        <f>L1324-3</f>
        <v>285</v>
      </c>
      <c r="N1324" s="81">
        <f t="shared" si="433"/>
        <v>-3</v>
      </c>
      <c r="P1324" s="82">
        <f>R1324-TIME(0,27,0)</f>
        <v>45801.85833333333</v>
      </c>
      <c r="Q1324" s="82">
        <v>45802.154861111114</v>
      </c>
      <c r="R1324" s="82">
        <v>45801.877083333333</v>
      </c>
      <c r="T1324" s="81">
        <f t="shared" si="414"/>
        <v>26.87500000417155</v>
      </c>
      <c r="U1324" s="79"/>
      <c r="V1324" s="82">
        <v>45802.414583333331</v>
      </c>
      <c r="W1324" s="82">
        <v>45802.543055555558</v>
      </c>
      <c r="X1324" s="103">
        <f t="shared" si="415"/>
        <v>181.14583333903283</v>
      </c>
      <c r="Y1324" s="82" t="s">
        <v>1044</v>
      </c>
      <c r="Z1324" s="82">
        <v>45803.510416666664</v>
      </c>
      <c r="AA1324" s="82">
        <f>Z1324+TIME(0,43,0)</f>
        <v>45803.540277777778</v>
      </c>
      <c r="AB1324" s="81">
        <f t="shared" si="418"/>
        <v>42.104166670542327</v>
      </c>
      <c r="AC1324" s="82"/>
      <c r="AD1324" s="83">
        <f t="shared" si="436"/>
        <v>1.6333333333313931</v>
      </c>
      <c r="AE1324" s="83">
        <f>VLOOKUP(H1324,'LIST 2'!$A$1:$E$27,4,FALSE)</f>
        <v>2</v>
      </c>
      <c r="AF1324" s="81">
        <f t="shared" si="437"/>
        <v>0.36666666666860692</v>
      </c>
      <c r="AG1324" s="81">
        <f t="shared" si="438"/>
        <v>39.199999999953434</v>
      </c>
      <c r="AH1324" s="81">
        <f t="shared" si="439"/>
        <v>12</v>
      </c>
      <c r="AI1324" s="81">
        <f t="shared" si="440"/>
        <v>27.199999999953434</v>
      </c>
      <c r="AJ1324" s="83">
        <f t="shared" si="416"/>
        <v>5.6470588235390791</v>
      </c>
      <c r="AK1324" s="122">
        <v>10.25</v>
      </c>
      <c r="AL1324" s="122">
        <v>10.52</v>
      </c>
      <c r="AM1324" s="122">
        <v>11.44</v>
      </c>
      <c r="AN1324" s="122"/>
    </row>
    <row r="1325" spans="1:40" ht="20.25" customHeight="1" x14ac:dyDescent="0.25">
      <c r="A1325" s="82">
        <v>45802</v>
      </c>
      <c r="B1325" s="94" t="str">
        <f t="shared" si="410"/>
        <v>May</v>
      </c>
      <c r="C1325" s="79" t="s">
        <v>2162</v>
      </c>
      <c r="D1325" s="79" t="s">
        <v>2152</v>
      </c>
      <c r="E1325" s="79" t="s">
        <v>1016</v>
      </c>
      <c r="F1325" s="79" t="s">
        <v>1694</v>
      </c>
      <c r="G1325" s="79" t="s">
        <v>39</v>
      </c>
      <c r="H1325" s="82" t="s">
        <v>2177</v>
      </c>
      <c r="I1325" s="79">
        <v>156</v>
      </c>
      <c r="J1325" s="79" t="s">
        <v>2152</v>
      </c>
      <c r="K1325" s="80" t="s">
        <v>469</v>
      </c>
      <c r="L1325" s="79">
        <f>VLOOKUP(H1325,Table2[#All],3,FALSE)</f>
        <v>448</v>
      </c>
      <c r="M1325" s="80">
        <f>L1325-3</f>
        <v>445</v>
      </c>
      <c r="N1325" s="81">
        <f t="shared" si="433"/>
        <v>-3</v>
      </c>
      <c r="P1325" s="82">
        <f>R1325-TIME(0,23,0)</f>
        <v>45801.632638888885</v>
      </c>
      <c r="Q1325" s="82">
        <v>45802.0625</v>
      </c>
      <c r="R1325" s="82">
        <v>45801.648611111108</v>
      </c>
      <c r="S1325" s="81">
        <f t="shared" ref="S1325" si="442">(R1325-Q1325)*86000/60</f>
        <v>-593.24074074514408</v>
      </c>
      <c r="T1325" s="81">
        <f t="shared" si="414"/>
        <v>22.893518520140788</v>
      </c>
      <c r="U1325" s="79"/>
      <c r="V1325" s="82">
        <v>45803.375</v>
      </c>
      <c r="W1325" s="82">
        <v>45803.633333333331</v>
      </c>
      <c r="X1325" s="103">
        <f t="shared" si="415"/>
        <v>364.24999999726424</v>
      </c>
      <c r="Y1325" s="82" t="s">
        <v>1047</v>
      </c>
      <c r="Z1325" s="82"/>
      <c r="AA1325" s="82">
        <f>Z1325+TIME(0,39,0)</f>
        <v>2.7083333333333334E-2</v>
      </c>
      <c r="AB1325" s="81">
        <f t="shared" si="418"/>
        <v>38.1875</v>
      </c>
      <c r="AC1325" s="82"/>
      <c r="AD1325" s="83">
        <f t="shared" si="436"/>
        <v>-45801.648611111108</v>
      </c>
      <c r="AE1325" s="83">
        <f>VLOOKUP(H1325,'LIST 2'!$A$1:$E$27,4,FALSE)</f>
        <v>2</v>
      </c>
      <c r="AF1325" s="81">
        <f t="shared" si="437"/>
        <v>45803.648611111108</v>
      </c>
      <c r="AG1325" s="81">
        <f t="shared" si="438"/>
        <v>-1099239.5666666667</v>
      </c>
      <c r="AH1325" s="81">
        <f t="shared" si="439"/>
        <v>-549624</v>
      </c>
      <c r="AI1325" s="81">
        <f t="shared" si="440"/>
        <v>-549615.56666666665</v>
      </c>
      <c r="AJ1325" s="83">
        <f t="shared" si="416"/>
        <v>-2.8383475552942554E-4</v>
      </c>
      <c r="AK1325" s="123"/>
      <c r="AL1325" s="123"/>
      <c r="AM1325" s="123"/>
      <c r="AN1325" s="123"/>
    </row>
    <row r="1326" spans="1:40" ht="20.25" customHeight="1" x14ac:dyDescent="0.25">
      <c r="A1326" s="82">
        <v>45802</v>
      </c>
      <c r="B1326" s="94" t="str">
        <f t="shared" si="410"/>
        <v>May</v>
      </c>
      <c r="C1326" s="80" t="s">
        <v>2161</v>
      </c>
      <c r="D1326" s="79" t="s">
        <v>2153</v>
      </c>
      <c r="E1326" s="79" t="s">
        <v>1016</v>
      </c>
      <c r="F1326" s="79" t="s">
        <v>956</v>
      </c>
      <c r="G1326" s="79" t="s">
        <v>973</v>
      </c>
      <c r="H1326" s="82" t="s">
        <v>1956</v>
      </c>
      <c r="I1326" s="79">
        <v>153.6</v>
      </c>
      <c r="J1326" s="79" t="s">
        <v>2153</v>
      </c>
      <c r="K1326" s="80" t="s">
        <v>469</v>
      </c>
      <c r="L1326" s="79">
        <f>VLOOKUP(H1326,Table2[#All],3,FALSE)</f>
        <v>596</v>
      </c>
      <c r="M1326" s="80">
        <f t="shared" si="435"/>
        <v>594</v>
      </c>
      <c r="N1326" s="81">
        <f t="shared" si="433"/>
        <v>-2</v>
      </c>
      <c r="P1326" s="82">
        <f>R1326-TIME(0,28,0)</f>
        <v>45801.695138888892</v>
      </c>
      <c r="Q1326" s="116">
        <v>45802.176388888889</v>
      </c>
      <c r="R1326" s="116">
        <v>45801.714583333334</v>
      </c>
      <c r="T1326" s="81">
        <f t="shared" si="414"/>
        <v>27.870370367357584</v>
      </c>
      <c r="U1326" s="79"/>
      <c r="V1326" s="82">
        <v>45801.900694444441</v>
      </c>
      <c r="W1326" s="82">
        <v>45803.78125</v>
      </c>
      <c r="X1326" s="103">
        <f t="shared" si="415"/>
        <v>2651.5833333383489</v>
      </c>
      <c r="Y1326" s="82" t="s">
        <v>1044</v>
      </c>
      <c r="Z1326" s="82"/>
      <c r="AA1326" s="82">
        <f>Z1326+TIME(0,42,0)</f>
        <v>2.9166666666666664E-2</v>
      </c>
      <c r="AB1326" s="81">
        <f t="shared" si="418"/>
        <v>41.124999999999993</v>
      </c>
      <c r="AC1326" s="82"/>
      <c r="AD1326" s="81">
        <f t="shared" si="436"/>
        <v>-45801.714583333334</v>
      </c>
      <c r="AE1326" s="83">
        <f>VLOOKUP(H1326,'LIST 2'!$A$1:$E$27,4,FALSE)</f>
        <v>2</v>
      </c>
      <c r="AF1326" s="81">
        <f t="shared" si="437"/>
        <v>45803.714583333334</v>
      </c>
      <c r="AG1326" s="81">
        <f t="shared" si="438"/>
        <v>-1099241.1499999999</v>
      </c>
      <c r="AH1326" s="81">
        <f t="shared" si="439"/>
        <v>-549624</v>
      </c>
      <c r="AI1326" s="81">
        <f t="shared" si="440"/>
        <v>-549617.14999999991</v>
      </c>
      <c r="AJ1326" s="83">
        <f t="shared" si="416"/>
        <v>-2.7946726189311964E-4</v>
      </c>
      <c r="AK1326" s="123"/>
      <c r="AL1326" s="123"/>
      <c r="AM1326" s="123"/>
      <c r="AN1326" s="123"/>
    </row>
    <row r="1327" spans="1:40" ht="20.25" customHeight="1" x14ac:dyDescent="0.25">
      <c r="A1327" s="82">
        <v>45802</v>
      </c>
      <c r="B1327" s="94" t="str">
        <f t="shared" si="410"/>
        <v>May</v>
      </c>
      <c r="C1327" s="80" t="s">
        <v>2161</v>
      </c>
      <c r="D1327" s="79" t="s">
        <v>2154</v>
      </c>
      <c r="E1327" s="79" t="s">
        <v>1016</v>
      </c>
      <c r="F1327" s="79" t="s">
        <v>965</v>
      </c>
      <c r="G1327" s="79" t="s">
        <v>980</v>
      </c>
      <c r="H1327" s="82" t="s">
        <v>1956</v>
      </c>
      <c r="I1327" s="79">
        <v>153.6</v>
      </c>
      <c r="J1327" s="79" t="s">
        <v>2154</v>
      </c>
      <c r="K1327" s="80" t="s">
        <v>469</v>
      </c>
      <c r="L1327" s="79">
        <f>VLOOKUP(H1327,Table2[#All],3,FALSE)</f>
        <v>596</v>
      </c>
      <c r="M1327" s="80">
        <f>L1327-3</f>
        <v>593</v>
      </c>
      <c r="N1327" s="81">
        <f t="shared" si="433"/>
        <v>-3</v>
      </c>
      <c r="P1327" s="82">
        <f>R1327-TIME(0,29,0)</f>
        <v>45801.638194444444</v>
      </c>
      <c r="Q1327" s="116">
        <v>45802.176388888889</v>
      </c>
      <c r="R1327" s="116">
        <v>45801.658333333333</v>
      </c>
      <c r="T1327" s="81">
        <f t="shared" si="414"/>
        <v>28.865740740972495</v>
      </c>
      <c r="U1327" s="79"/>
      <c r="V1327" s="82">
        <v>45801.839583333334</v>
      </c>
      <c r="W1327" s="82">
        <v>45802.700694444444</v>
      </c>
      <c r="X1327" s="103">
        <f t="shared" si="415"/>
        <v>1214.1666666643869</v>
      </c>
      <c r="Y1327" s="82" t="s">
        <v>1044</v>
      </c>
      <c r="Z1327" s="82">
        <v>45803.416666666664</v>
      </c>
      <c r="AA1327" s="82">
        <f>Z1327+TIME(0,43,0)</f>
        <v>45803.446527777778</v>
      </c>
      <c r="AB1327" s="81">
        <f t="shared" si="418"/>
        <v>42.104166670542327</v>
      </c>
      <c r="AC1327" s="82"/>
      <c r="AD1327" s="81">
        <f t="shared" si="436"/>
        <v>1.7583333333313931</v>
      </c>
      <c r="AE1327" s="83">
        <f>VLOOKUP(H1327,'LIST 2'!$A$1:$E$27,4,FALSE)</f>
        <v>2</v>
      </c>
      <c r="AF1327" s="81">
        <f t="shared" si="437"/>
        <v>0.24166666666860692</v>
      </c>
      <c r="AG1327" s="81">
        <f t="shared" si="438"/>
        <v>42.199999999953434</v>
      </c>
      <c r="AH1327" s="81">
        <f t="shared" si="439"/>
        <v>12</v>
      </c>
      <c r="AI1327" s="81">
        <f t="shared" si="440"/>
        <v>30.199999999953434</v>
      </c>
      <c r="AJ1327" s="83">
        <f t="shared" si="416"/>
        <v>5.08609271523963</v>
      </c>
      <c r="AK1327" s="123">
        <v>10.55</v>
      </c>
      <c r="AL1327" s="123">
        <v>11.02</v>
      </c>
      <c r="AM1327" s="123">
        <v>11</v>
      </c>
      <c r="AN1327" s="123"/>
    </row>
    <row r="1328" spans="1:40" ht="20.25" hidden="1" customHeight="1" x14ac:dyDescent="0.25">
      <c r="M1328" s="80">
        <f>L1328-4</f>
        <v>-4</v>
      </c>
      <c r="U1328" s="79" t="s">
        <v>2166</v>
      </c>
      <c r="Y1328" s="82" t="s">
        <v>1047</v>
      </c>
      <c r="AC1328" s="82" t="s">
        <v>1673</v>
      </c>
    </row>
    <row r="1329" spans="21:29" ht="20.25" customHeight="1" x14ac:dyDescent="0.25">
      <c r="U1329" s="79"/>
      <c r="Y1329" s="82"/>
      <c r="AC1329" s="82"/>
    </row>
    <row r="1330" spans="21:29" ht="20.25" customHeight="1" x14ac:dyDescent="0.25">
      <c r="U1330" s="79"/>
      <c r="Y1330" s="82"/>
      <c r="AC1330" s="82"/>
    </row>
    <row r="1331" spans="21:29" ht="20.25" customHeight="1" x14ac:dyDescent="0.25">
      <c r="U1331" s="79"/>
      <c r="Y1331" s="82"/>
    </row>
    <row r="1332" spans="21:29" ht="20.25" customHeight="1" x14ac:dyDescent="0.25">
      <c r="U1332" s="79"/>
      <c r="Y1332" s="82"/>
    </row>
    <row r="1333" spans="21:29" ht="20.25" customHeight="1" x14ac:dyDescent="0.25">
      <c r="U1333" s="79"/>
      <c r="Y1333" s="82"/>
    </row>
    <row r="1334" spans="21:29" ht="20.25" customHeight="1" x14ac:dyDescent="0.25">
      <c r="U1334" s="79"/>
      <c r="Y1334" s="82"/>
    </row>
    <row r="1335" spans="21:29" ht="20.25" customHeight="1" x14ac:dyDescent="0.25">
      <c r="U1335" s="79"/>
    </row>
    <row r="1336" spans="21:29" ht="20.25" customHeight="1" x14ac:dyDescent="0.25">
      <c r="U1336" s="79"/>
    </row>
    <row r="1337" spans="21:29" ht="20.25" customHeight="1" x14ac:dyDescent="0.25">
      <c r="U1337" s="79"/>
    </row>
    <row r="1338" spans="21:29" ht="20.25" customHeight="1" x14ac:dyDescent="0.25">
      <c r="U1338" s="79"/>
    </row>
    <row r="1339" spans="21:29" ht="20.25" customHeight="1" x14ac:dyDescent="0.25">
      <c r="U1339" s="79"/>
    </row>
    <row r="1340" spans="21:29" ht="20.25" customHeight="1" x14ac:dyDescent="0.25">
      <c r="U1340" s="79"/>
    </row>
    <row r="1341" spans="21:29" ht="20.25" customHeight="1" x14ac:dyDescent="0.25">
      <c r="U1341" s="79"/>
    </row>
    <row r="1342" spans="21:29" ht="20.25" customHeight="1" x14ac:dyDescent="0.25">
      <c r="U1342" s="79"/>
    </row>
    <row r="1343" spans="21:29" ht="20.25" customHeight="1" x14ac:dyDescent="0.25">
      <c r="U1343" s="79"/>
    </row>
    <row r="1344" spans="21:29" ht="20.25" customHeight="1" x14ac:dyDescent="0.25">
      <c r="U1344" s="79"/>
    </row>
    <row r="1345" spans="21:21" ht="20.25" customHeight="1" x14ac:dyDescent="0.25">
      <c r="U1345" s="79"/>
    </row>
    <row r="1346" spans="21:21" ht="20.25" customHeight="1" x14ac:dyDescent="0.25">
      <c r="U1346" s="79"/>
    </row>
    <row r="1347" spans="21:21" ht="20.25" customHeight="1" x14ac:dyDescent="0.25">
      <c r="U1347" s="79"/>
    </row>
    <row r="1348" spans="21:21" ht="20.25" customHeight="1" x14ac:dyDescent="0.25">
      <c r="U1348" s="79"/>
    </row>
    <row r="1349" spans="21:21" ht="20.25" customHeight="1" x14ac:dyDescent="0.25">
      <c r="U1349" s="79"/>
    </row>
    <row r="1350" spans="21:21" ht="20.25" customHeight="1" x14ac:dyDescent="0.25">
      <c r="U1350" s="79"/>
    </row>
    <row r="1351" spans="21:21" ht="20.25" customHeight="1" x14ac:dyDescent="0.25">
      <c r="U1351" s="79"/>
    </row>
    <row r="1352" spans="21:21" ht="20.25" customHeight="1" x14ac:dyDescent="0.25">
      <c r="U1352" s="79"/>
    </row>
    <row r="1353" spans="21:21" ht="20.25" customHeight="1" x14ac:dyDescent="0.25">
      <c r="U1353" s="79"/>
    </row>
    <row r="1354" spans="21:21" ht="20.25" customHeight="1" x14ac:dyDescent="0.25">
      <c r="U1354" s="79"/>
    </row>
    <row r="1355" spans="21:21" ht="20.25" customHeight="1" x14ac:dyDescent="0.25">
      <c r="U1355" s="79"/>
    </row>
    <row r="1356" spans="21:21" ht="20.25" customHeight="1" x14ac:dyDescent="0.25">
      <c r="U1356" s="79"/>
    </row>
    <row r="1357" spans="21:21" ht="20.25" customHeight="1" x14ac:dyDescent="0.25">
      <c r="U1357" s="79"/>
    </row>
    <row r="1358" spans="21:21" ht="20.25" customHeight="1" x14ac:dyDescent="0.25">
      <c r="U1358" s="79"/>
    </row>
    <row r="1359" spans="21:21" ht="20.25" customHeight="1" x14ac:dyDescent="0.25">
      <c r="U1359" s="79"/>
    </row>
    <row r="1360" spans="21:21" ht="20.25" customHeight="1" x14ac:dyDescent="0.25">
      <c r="U1360" s="79"/>
    </row>
    <row r="1361" spans="21:21" ht="20.25" customHeight="1" x14ac:dyDescent="0.25">
      <c r="U1361" s="79"/>
    </row>
    <row r="1362" spans="21:21" ht="20.25" customHeight="1" x14ac:dyDescent="0.25">
      <c r="U1362" s="79"/>
    </row>
    <row r="1363" spans="21:21" ht="20.25" customHeight="1" x14ac:dyDescent="0.25">
      <c r="U1363" s="79"/>
    </row>
    <row r="1364" spans="21:21" ht="20.25" customHeight="1" x14ac:dyDescent="0.25">
      <c r="U1364" s="79"/>
    </row>
    <row r="1365" spans="21:21" ht="20.25" customHeight="1" x14ac:dyDescent="0.25">
      <c r="U1365" s="79"/>
    </row>
    <row r="1366" spans="21:21" ht="20.25" customHeight="1" x14ac:dyDescent="0.25">
      <c r="U1366" s="79"/>
    </row>
    <row r="1367" spans="21:21" ht="20.25" customHeight="1" x14ac:dyDescent="0.25">
      <c r="U1367" s="79"/>
    </row>
    <row r="1368" spans="21:21" ht="20.25" customHeight="1" x14ac:dyDescent="0.25">
      <c r="U1368" s="79"/>
    </row>
    <row r="1369" spans="21:21" ht="20.25" customHeight="1" x14ac:dyDescent="0.25">
      <c r="U1369" s="79"/>
    </row>
    <row r="1370" spans="21:21" ht="20.25" customHeight="1" x14ac:dyDescent="0.25">
      <c r="U1370" s="79"/>
    </row>
    <row r="1371" spans="21:21" ht="20.25" customHeight="1" x14ac:dyDescent="0.25">
      <c r="U1371" s="79"/>
    </row>
    <row r="1372" spans="21:21" ht="20.25" customHeight="1" x14ac:dyDescent="0.25">
      <c r="U1372" s="79"/>
    </row>
    <row r="1373" spans="21:21" ht="20.25" customHeight="1" x14ac:dyDescent="0.25">
      <c r="U1373" s="79"/>
    </row>
  </sheetData>
  <autoFilter ref="A1:AO1328">
    <filterColumn colId="0">
      <customFilters>
        <customFilter operator="notEqual" val=" "/>
      </customFilters>
    </filterColumn>
    <filterColumn colId="1">
      <filters>
        <filter val="May"/>
      </filters>
    </filterColumn>
  </autoFilter>
  <conditionalFormatting sqref="T552:T1327">
    <cfRule type="cellIs" dxfId="63" priority="18" operator="greaterThan">
      <formula>30</formula>
    </cfRule>
    <cfRule type="cellIs" dxfId="62" priority="19" operator="greaterThanOrEqual">
      <formula>$T$552&gt;30</formula>
    </cfRule>
  </conditionalFormatting>
  <conditionalFormatting sqref="X2:X1327">
    <cfRule type="cellIs" dxfId="61" priority="15" operator="greaterThan">
      <formula>180</formula>
    </cfRule>
  </conditionalFormatting>
  <conditionalFormatting sqref="AB552:AB1327">
    <cfRule type="cellIs" dxfId="60" priority="17" operator="greaterThan">
      <formula>45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'C:\Users\snsubuga\Desktop\RITA\TIR 25\[Productivity DEP 2025 (ver.xlsx]List'!#REF!</xm:f>
          </x14:formula1>
          <xm:sqref>AC79 AC22 AC43:AC44 AC233 AC29 AC309:AC310 AC223:AC224 AC334 AC165 AC377 AC199 AC218 AC220 AC235:AC236 AC324 AC114 AC681:AC685 AC332 AC100:AC102 AC392 AC344 AC342 AC326:AC327 AC360 AC216 AC231 AC242 AC352 AC33 AC37 AC40 AC65 AC68 AC74 AC119 AC122 AC715:AC717 AC133 AC670 AC154:AC156 AC637:AC638 AC630:AC634 AC627 AC607:AC612 AC167 AC169:AC173 AC175 AC177 AC185 AC196:AC197 AC210 AC389 AC601 AC279 AC281 AC292 AC294 AC298 AC719:AC720 AC722:AC725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35"/>
  <sheetViews>
    <sheetView workbookViewId="0">
      <pane xSplit="3" ySplit="1" topLeftCell="D29" activePane="bottomRight" state="frozen"/>
      <selection activeCell="D24" sqref="D24"/>
      <selection pane="topRight" activeCell="D24" sqref="D24"/>
      <selection pane="bottomLeft" activeCell="D24" sqref="D24"/>
      <selection pane="bottomRight" activeCell="E37" sqref="E37"/>
    </sheetView>
  </sheetViews>
  <sheetFormatPr defaultRowHeight="15" x14ac:dyDescent="0.25"/>
  <cols>
    <col min="1" max="1" width="30" bestFit="1" customWidth="1"/>
    <col min="2" max="2" width="11.5703125" customWidth="1"/>
    <col min="3" max="3" width="15.85546875" customWidth="1"/>
    <col min="4" max="4" width="14.42578125" customWidth="1"/>
    <col min="5" max="5" width="21.140625" customWidth="1"/>
    <col min="6" max="6" width="12.42578125" customWidth="1"/>
    <col min="7" max="7" width="16.5703125" customWidth="1"/>
    <col min="8" max="9" width="12.5703125" customWidth="1"/>
    <col min="10" max="10" width="13" customWidth="1"/>
    <col min="12" max="12" width="11" customWidth="1"/>
    <col min="13" max="13" width="9.140625" customWidth="1"/>
    <col min="14" max="14" width="10.140625" customWidth="1"/>
    <col min="15" max="15" width="9.85546875" customWidth="1"/>
    <col min="16" max="16" width="15.85546875" customWidth="1"/>
    <col min="25" max="25" width="17.5703125" customWidth="1"/>
    <col min="26" max="26" width="13" customWidth="1"/>
    <col min="27" max="27" width="10.140625" customWidth="1"/>
    <col min="28" max="28" width="27.42578125" customWidth="1"/>
    <col min="29" max="29" width="14.42578125" customWidth="1"/>
    <col min="30" max="30" width="28.85546875" customWidth="1"/>
    <col min="31" max="31" width="22.85546875" customWidth="1"/>
    <col min="32" max="32" width="22.140625" customWidth="1"/>
    <col min="33" max="33" width="18" customWidth="1"/>
    <col min="34" max="34" width="11.5703125" customWidth="1"/>
    <col min="42" max="42" width="18.42578125" customWidth="1"/>
    <col min="43" max="43" width="13.42578125" customWidth="1"/>
    <col min="44" max="44" width="12.85546875" customWidth="1"/>
    <col min="45" max="45" width="14.42578125" customWidth="1"/>
    <col min="47" max="47" width="11.5703125" customWidth="1"/>
    <col min="48" max="49" width="18.42578125" customWidth="1"/>
    <col min="50" max="50" width="16.85546875" customWidth="1"/>
    <col min="51" max="51" width="13.5703125" customWidth="1"/>
    <col min="52" max="52" width="23.85546875" customWidth="1"/>
    <col min="53" max="53" width="14.42578125" customWidth="1"/>
    <col min="54" max="54" width="18.5703125" customWidth="1"/>
    <col min="55" max="55" width="13.140625" customWidth="1"/>
    <col min="56" max="56" width="14.140625" customWidth="1"/>
    <col min="57" max="57" width="22.5703125" customWidth="1"/>
    <col min="58" max="58" width="10.5703125" customWidth="1"/>
    <col min="59" max="59" width="10.140625" customWidth="1"/>
    <col min="60" max="60" width="15.42578125" customWidth="1"/>
    <col min="61" max="61" width="13.85546875" customWidth="1"/>
  </cols>
  <sheetData>
    <row r="1" spans="1:66" ht="30" x14ac:dyDescent="0.35">
      <c r="A1" s="41" t="s">
        <v>7</v>
      </c>
      <c r="B1" s="42" t="s">
        <v>11</v>
      </c>
      <c r="C1" s="42" t="s">
        <v>578</v>
      </c>
      <c r="D1" s="42" t="s">
        <v>579</v>
      </c>
      <c r="E1" s="42" t="s">
        <v>580</v>
      </c>
      <c r="F1" s="42" t="s">
        <v>581</v>
      </c>
      <c r="G1" s="42" t="s">
        <v>582</v>
      </c>
      <c r="H1" s="42" t="s">
        <v>583</v>
      </c>
      <c r="I1" s="42" t="s">
        <v>584</v>
      </c>
      <c r="J1" s="42" t="s">
        <v>585</v>
      </c>
      <c r="K1" s="42" t="s">
        <v>586</v>
      </c>
      <c r="L1" s="42" t="s">
        <v>587</v>
      </c>
      <c r="M1" s="42" t="s">
        <v>588</v>
      </c>
      <c r="N1" s="42" t="s">
        <v>589</v>
      </c>
      <c r="O1" s="42" t="s">
        <v>590</v>
      </c>
      <c r="P1" s="42" t="s">
        <v>591</v>
      </c>
      <c r="Q1" s="43" t="s">
        <v>592</v>
      </c>
      <c r="R1" s="43" t="s">
        <v>593</v>
      </c>
      <c r="S1" s="43" t="s">
        <v>594</v>
      </c>
      <c r="T1" s="43" t="s">
        <v>595</v>
      </c>
      <c r="U1" s="43" t="s">
        <v>596</v>
      </c>
      <c r="V1" s="43" t="s">
        <v>597</v>
      </c>
      <c r="W1" s="43" t="s">
        <v>598</v>
      </c>
      <c r="X1" s="43" t="s">
        <v>599</v>
      </c>
      <c r="Y1" s="44" t="s">
        <v>600</v>
      </c>
      <c r="Z1" s="43" t="s">
        <v>601</v>
      </c>
      <c r="AA1" s="42" t="s">
        <v>602</v>
      </c>
      <c r="AB1" s="42" t="s">
        <v>603</v>
      </c>
      <c r="AC1" s="42" t="s">
        <v>604</v>
      </c>
      <c r="AD1" s="43" t="s">
        <v>605</v>
      </c>
      <c r="AE1" s="43" t="s">
        <v>606</v>
      </c>
      <c r="AF1" s="43" t="s">
        <v>607</v>
      </c>
      <c r="AG1" s="43" t="s">
        <v>608</v>
      </c>
      <c r="AH1" s="43" t="s">
        <v>609</v>
      </c>
      <c r="AI1" s="43" t="s">
        <v>610</v>
      </c>
      <c r="AJ1" s="43" t="s">
        <v>611</v>
      </c>
      <c r="AK1" s="43" t="s">
        <v>612</v>
      </c>
      <c r="AL1" s="43" t="s">
        <v>613</v>
      </c>
      <c r="AM1" s="43" t="s">
        <v>614</v>
      </c>
      <c r="AN1" s="43" t="s">
        <v>615</v>
      </c>
      <c r="AO1" s="43" t="s">
        <v>616</v>
      </c>
      <c r="AP1" s="43" t="s">
        <v>617</v>
      </c>
      <c r="AQ1" s="43" t="s">
        <v>12</v>
      </c>
      <c r="AR1" s="43" t="s">
        <v>618</v>
      </c>
      <c r="AS1" s="43" t="s">
        <v>619</v>
      </c>
      <c r="AT1" s="43" t="s">
        <v>620</v>
      </c>
      <c r="AU1" s="43" t="s">
        <v>621</v>
      </c>
      <c r="AV1" s="43" t="s">
        <v>622</v>
      </c>
      <c r="AW1" s="43" t="s">
        <v>623</v>
      </c>
      <c r="AX1" s="43" t="s">
        <v>624</v>
      </c>
      <c r="AY1" s="43" t="s">
        <v>625</v>
      </c>
      <c r="AZ1" s="43" t="s">
        <v>626</v>
      </c>
      <c r="BA1" s="43" t="s">
        <v>627</v>
      </c>
      <c r="BB1" s="45" t="s">
        <v>628</v>
      </c>
      <c r="BC1" s="45" t="s">
        <v>629</v>
      </c>
      <c r="BD1" s="45" t="s">
        <v>630</v>
      </c>
      <c r="BE1" s="45" t="s">
        <v>631</v>
      </c>
      <c r="BF1" s="45" t="s">
        <v>632</v>
      </c>
      <c r="BG1" s="45" t="s">
        <v>633</v>
      </c>
      <c r="BH1" s="45" t="s">
        <v>634</v>
      </c>
      <c r="BI1" s="45" t="s">
        <v>635</v>
      </c>
      <c r="BJ1" s="45" t="s">
        <v>636</v>
      </c>
      <c r="BK1" s="45" t="s">
        <v>503</v>
      </c>
      <c r="BL1" s="45" t="s">
        <v>506</v>
      </c>
      <c r="BM1" s="45" t="s">
        <v>637</v>
      </c>
      <c r="BN1" s="46" t="s">
        <v>638</v>
      </c>
    </row>
    <row r="2" spans="1:66" x14ac:dyDescent="0.25">
      <c r="A2" s="47" t="s">
        <v>639</v>
      </c>
      <c r="B2" s="48" t="s">
        <v>640</v>
      </c>
      <c r="C2" s="48" t="s">
        <v>641</v>
      </c>
      <c r="D2" s="48" t="s">
        <v>642</v>
      </c>
      <c r="E2" s="48" t="s">
        <v>641</v>
      </c>
      <c r="F2" s="48" t="s">
        <v>643</v>
      </c>
      <c r="G2" s="48">
        <v>777664482</v>
      </c>
      <c r="H2" s="48">
        <v>777664482</v>
      </c>
      <c r="I2" s="48">
        <v>777664482</v>
      </c>
      <c r="J2" s="49" t="s">
        <v>644</v>
      </c>
      <c r="K2" s="48" t="s">
        <v>645</v>
      </c>
      <c r="L2" s="48" t="s">
        <v>645</v>
      </c>
      <c r="M2" s="50">
        <v>-1.299411667</v>
      </c>
      <c r="N2" s="50">
        <v>29.998561670000001</v>
      </c>
      <c r="O2" s="48" t="s">
        <v>646</v>
      </c>
      <c r="P2" s="48" t="s">
        <v>647</v>
      </c>
      <c r="Q2" s="51">
        <v>7</v>
      </c>
      <c r="R2" s="51" t="s">
        <v>648</v>
      </c>
      <c r="S2" s="51" t="s">
        <v>648</v>
      </c>
      <c r="T2" s="51" t="s">
        <v>648</v>
      </c>
      <c r="U2" s="51" t="s">
        <v>648</v>
      </c>
      <c r="V2" s="51" t="s">
        <v>648</v>
      </c>
      <c r="W2" s="51" t="s">
        <v>648</v>
      </c>
      <c r="X2" s="51" t="s">
        <v>648</v>
      </c>
      <c r="Y2" s="52">
        <v>20</v>
      </c>
      <c r="Z2" s="51" t="s">
        <v>649</v>
      </c>
      <c r="AA2" s="48" t="s">
        <v>650</v>
      </c>
      <c r="AB2" s="48" t="s">
        <v>650</v>
      </c>
      <c r="AC2" s="53">
        <v>1</v>
      </c>
      <c r="AD2" s="54">
        <v>50000</v>
      </c>
      <c r="AE2" s="54">
        <v>43087</v>
      </c>
      <c r="AF2" s="55">
        <v>298</v>
      </c>
      <c r="AG2" s="55">
        <v>0</v>
      </c>
      <c r="AH2" s="55">
        <v>1904117805</v>
      </c>
      <c r="AI2" s="51" t="s">
        <v>593</v>
      </c>
      <c r="AJ2" s="51" t="s">
        <v>594</v>
      </c>
      <c r="AK2" s="51" t="s">
        <v>595</v>
      </c>
      <c r="AL2" s="51" t="s">
        <v>596</v>
      </c>
      <c r="AM2" s="51" t="s">
        <v>597</v>
      </c>
      <c r="AN2" s="51" t="s">
        <v>598</v>
      </c>
      <c r="AO2" s="51" t="s">
        <v>599</v>
      </c>
      <c r="AP2" s="51" t="s">
        <v>651</v>
      </c>
      <c r="AQ2" s="54">
        <v>302</v>
      </c>
      <c r="AR2" s="54">
        <v>402290</v>
      </c>
      <c r="AS2" s="55" t="s">
        <v>652</v>
      </c>
      <c r="AT2" s="54">
        <v>5349</v>
      </c>
      <c r="AU2" s="54">
        <v>293057907</v>
      </c>
      <c r="AV2" s="54">
        <v>12619053999</v>
      </c>
      <c r="AW2" s="55">
        <v>145</v>
      </c>
      <c r="AX2" s="55">
        <v>4</v>
      </c>
      <c r="AY2" s="55">
        <v>728</v>
      </c>
      <c r="AZ2" s="56">
        <v>0.05</v>
      </c>
      <c r="BA2" s="55">
        <v>7</v>
      </c>
      <c r="BB2" s="57">
        <v>4.7E-2</v>
      </c>
      <c r="BC2" s="51" t="s">
        <v>653</v>
      </c>
      <c r="BD2" s="51" t="s">
        <v>654</v>
      </c>
      <c r="BE2" s="51" t="s">
        <v>655</v>
      </c>
      <c r="BF2" s="58" t="s">
        <v>656</v>
      </c>
      <c r="BG2" s="51">
        <v>3</v>
      </c>
      <c r="BH2" s="51">
        <v>3</v>
      </c>
      <c r="BI2" s="51">
        <v>4</v>
      </c>
      <c r="BJ2" s="51">
        <v>4</v>
      </c>
      <c r="BK2" s="59">
        <v>1.9E-3</v>
      </c>
      <c r="BL2" s="51">
        <v>92</v>
      </c>
      <c r="BM2" s="51">
        <v>5</v>
      </c>
      <c r="BN2" s="60">
        <v>3.5</v>
      </c>
    </row>
    <row r="3" spans="1:66" x14ac:dyDescent="0.25">
      <c r="A3" s="47" t="s">
        <v>657</v>
      </c>
      <c r="B3" s="48" t="s">
        <v>658</v>
      </c>
      <c r="C3" s="51" t="s">
        <v>659</v>
      </c>
      <c r="D3" s="48" t="s">
        <v>660</v>
      </c>
      <c r="E3" s="51" t="s">
        <v>659</v>
      </c>
      <c r="F3" s="48" t="s">
        <v>643</v>
      </c>
      <c r="G3" s="51">
        <v>772394539</v>
      </c>
      <c r="H3" s="51">
        <v>772394539</v>
      </c>
      <c r="I3" s="51">
        <v>772394539</v>
      </c>
      <c r="J3" s="61" t="s">
        <v>661</v>
      </c>
      <c r="K3" s="51" t="s">
        <v>662</v>
      </c>
      <c r="L3" s="51" t="s">
        <v>662</v>
      </c>
      <c r="M3" s="50">
        <v>0.71131166700000004</v>
      </c>
      <c r="N3" s="50">
        <v>30.06247333</v>
      </c>
      <c r="O3" s="48" t="s">
        <v>646</v>
      </c>
      <c r="P3" s="48" t="s">
        <v>647</v>
      </c>
      <c r="Q3" s="51">
        <v>7</v>
      </c>
      <c r="R3" s="51" t="s">
        <v>648</v>
      </c>
      <c r="S3" s="51" t="s">
        <v>648</v>
      </c>
      <c r="T3" s="51" t="s">
        <v>648</v>
      </c>
      <c r="U3" s="51" t="s">
        <v>648</v>
      </c>
      <c r="V3" s="51" t="s">
        <v>648</v>
      </c>
      <c r="W3" s="51" t="s">
        <v>648</v>
      </c>
      <c r="X3" s="51" t="s">
        <v>648</v>
      </c>
      <c r="Y3" s="52">
        <v>20</v>
      </c>
      <c r="Z3" s="51" t="s">
        <v>649</v>
      </c>
      <c r="AA3" s="48" t="s">
        <v>663</v>
      </c>
      <c r="AB3" s="48" t="s">
        <v>663</v>
      </c>
      <c r="AC3" s="53">
        <v>1</v>
      </c>
      <c r="AD3" s="54">
        <v>12000</v>
      </c>
      <c r="AE3" s="54">
        <v>9258</v>
      </c>
      <c r="AF3" s="55">
        <v>65</v>
      </c>
      <c r="AG3" s="55">
        <v>0</v>
      </c>
      <c r="AH3" s="55">
        <v>0</v>
      </c>
      <c r="AI3" s="51" t="s">
        <v>593</v>
      </c>
      <c r="AJ3" s="51" t="s">
        <v>594</v>
      </c>
      <c r="AK3" s="51" t="s">
        <v>595</v>
      </c>
      <c r="AL3" s="51" t="s">
        <v>596</v>
      </c>
      <c r="AM3" s="51" t="s">
        <v>597</v>
      </c>
      <c r="AN3" s="51" t="s">
        <v>598</v>
      </c>
      <c r="AO3" s="51" t="s">
        <v>599</v>
      </c>
      <c r="AP3" s="51" t="s">
        <v>651</v>
      </c>
      <c r="AQ3" s="54">
        <v>464</v>
      </c>
      <c r="AR3" s="54">
        <v>87324</v>
      </c>
      <c r="AS3" s="55" t="s">
        <v>664</v>
      </c>
      <c r="AT3" s="54">
        <v>7000</v>
      </c>
      <c r="AU3" s="54">
        <v>200132831</v>
      </c>
      <c r="AV3" s="54">
        <v>2769003228</v>
      </c>
      <c r="AW3" s="55">
        <v>143.1</v>
      </c>
      <c r="AX3" s="55">
        <v>3</v>
      </c>
      <c r="AY3" s="54">
        <v>2292</v>
      </c>
      <c r="AZ3" s="56">
        <v>0.01</v>
      </c>
      <c r="BA3" s="55">
        <v>16</v>
      </c>
      <c r="BB3" s="57">
        <v>0.01</v>
      </c>
      <c r="BC3" s="51" t="s">
        <v>665</v>
      </c>
      <c r="BD3" s="51" t="s">
        <v>666</v>
      </c>
      <c r="BE3" s="51" t="s">
        <v>667</v>
      </c>
      <c r="BF3" s="62" t="s">
        <v>668</v>
      </c>
      <c r="BG3" s="51">
        <v>2</v>
      </c>
      <c r="BH3" s="51">
        <v>2</v>
      </c>
      <c r="BI3" s="51">
        <v>3</v>
      </c>
      <c r="BJ3" s="51">
        <v>3</v>
      </c>
      <c r="BK3" s="59">
        <v>2.1600000000000001E-2</v>
      </c>
      <c r="BL3" s="51"/>
      <c r="BM3" s="51">
        <v>5</v>
      </c>
      <c r="BN3" s="60">
        <v>2.5</v>
      </c>
    </row>
    <row r="4" spans="1:66" x14ac:dyDescent="0.25">
      <c r="A4" s="47" t="s">
        <v>669</v>
      </c>
      <c r="B4" s="48" t="s">
        <v>670</v>
      </c>
      <c r="C4" s="51" t="s">
        <v>659</v>
      </c>
      <c r="D4" s="48" t="s">
        <v>660</v>
      </c>
      <c r="E4" s="51" t="s">
        <v>659</v>
      </c>
      <c r="F4" s="48" t="s">
        <v>671</v>
      </c>
      <c r="G4" s="51">
        <v>772394539</v>
      </c>
      <c r="H4" s="51">
        <v>772394539</v>
      </c>
      <c r="I4" s="51">
        <v>772394539</v>
      </c>
      <c r="J4" s="61" t="s">
        <v>661</v>
      </c>
      <c r="K4" s="48" t="s">
        <v>672</v>
      </c>
      <c r="L4" s="48" t="s">
        <v>672</v>
      </c>
      <c r="M4" s="50">
        <v>0.91969841699999999</v>
      </c>
      <c r="N4" s="50">
        <v>30.187995910000001</v>
      </c>
      <c r="O4" s="48" t="s">
        <v>646</v>
      </c>
      <c r="P4" s="48" t="s">
        <v>647</v>
      </c>
      <c r="Q4" s="51">
        <v>7</v>
      </c>
      <c r="R4" s="51" t="s">
        <v>648</v>
      </c>
      <c r="S4" s="51" t="s">
        <v>648</v>
      </c>
      <c r="T4" s="51" t="s">
        <v>648</v>
      </c>
      <c r="U4" s="51" t="s">
        <v>648</v>
      </c>
      <c r="V4" s="51" t="s">
        <v>648</v>
      </c>
      <c r="W4" s="51" t="s">
        <v>648</v>
      </c>
      <c r="X4" s="51" t="s">
        <v>648</v>
      </c>
      <c r="Y4" s="52">
        <v>20</v>
      </c>
      <c r="Z4" s="51" t="s">
        <v>649</v>
      </c>
      <c r="AA4" s="48" t="s">
        <v>663</v>
      </c>
      <c r="AB4" s="48" t="s">
        <v>663</v>
      </c>
      <c r="AC4" s="53">
        <v>1</v>
      </c>
      <c r="AD4" s="54">
        <v>5000</v>
      </c>
      <c r="AE4" s="54">
        <v>10104</v>
      </c>
      <c r="AF4" s="55">
        <v>73</v>
      </c>
      <c r="AG4" s="55">
        <v>0</v>
      </c>
      <c r="AH4" s="55">
        <v>0</v>
      </c>
      <c r="AI4" s="51" t="s">
        <v>593</v>
      </c>
      <c r="AJ4" s="51" t="s">
        <v>594</v>
      </c>
      <c r="AK4" s="51" t="s">
        <v>595</v>
      </c>
      <c r="AL4" s="51" t="s">
        <v>596</v>
      </c>
      <c r="AM4" s="51" t="s">
        <v>597</v>
      </c>
      <c r="AN4" s="51" t="s">
        <v>598</v>
      </c>
      <c r="AO4" s="51" t="s">
        <v>599</v>
      </c>
      <c r="AP4" s="51" t="s">
        <v>651</v>
      </c>
      <c r="AQ4" s="54">
        <v>442</v>
      </c>
      <c r="AR4" s="54">
        <v>97944</v>
      </c>
      <c r="AS4" s="55" t="s">
        <v>664</v>
      </c>
      <c r="AT4" s="54">
        <v>7000</v>
      </c>
      <c r="AU4" s="54">
        <v>235645554</v>
      </c>
      <c r="AV4" s="54">
        <v>3133122476</v>
      </c>
      <c r="AW4" s="55">
        <v>139</v>
      </c>
      <c r="AX4" s="55">
        <v>3</v>
      </c>
      <c r="AY4" s="54">
        <v>2406</v>
      </c>
      <c r="AZ4" s="56">
        <v>0.01</v>
      </c>
      <c r="BA4" s="55">
        <v>18</v>
      </c>
      <c r="BB4" s="57">
        <v>1.0999999999999999E-2</v>
      </c>
      <c r="BC4" s="51" t="s">
        <v>665</v>
      </c>
      <c r="BD4" s="51" t="s">
        <v>666</v>
      </c>
      <c r="BE4" s="51" t="s">
        <v>667</v>
      </c>
      <c r="BF4" s="62" t="s">
        <v>668</v>
      </c>
      <c r="BG4" s="51">
        <v>2</v>
      </c>
      <c r="BH4" s="51">
        <v>2</v>
      </c>
      <c r="BI4" s="51">
        <v>3</v>
      </c>
      <c r="BJ4" s="51">
        <v>1</v>
      </c>
      <c r="BK4" s="59">
        <v>2.0000000000000001E-4</v>
      </c>
      <c r="BL4" s="51"/>
      <c r="BM4" s="51">
        <v>5</v>
      </c>
      <c r="BN4" s="60">
        <v>2.17</v>
      </c>
    </row>
    <row r="5" spans="1:66" x14ac:dyDescent="0.25">
      <c r="A5" s="47" t="s">
        <v>673</v>
      </c>
      <c r="B5" s="48" t="s">
        <v>674</v>
      </c>
      <c r="C5" s="51" t="s">
        <v>675</v>
      </c>
      <c r="D5" s="51" t="s">
        <v>642</v>
      </c>
      <c r="E5" s="51" t="s">
        <v>675</v>
      </c>
      <c r="F5" s="48" t="s">
        <v>643</v>
      </c>
      <c r="G5" s="51">
        <v>772220243</v>
      </c>
      <c r="H5" s="51">
        <v>772220243</v>
      </c>
      <c r="I5" s="51">
        <v>772220243</v>
      </c>
      <c r="J5" s="49" t="s">
        <v>676</v>
      </c>
      <c r="K5" s="51" t="s">
        <v>677</v>
      </c>
      <c r="L5" s="51" t="s">
        <v>677</v>
      </c>
      <c r="M5" s="50">
        <v>1.4260949999999999</v>
      </c>
      <c r="N5" s="50">
        <v>31.348788299999999</v>
      </c>
      <c r="O5" s="48" t="s">
        <v>646</v>
      </c>
      <c r="P5" s="48" t="s">
        <v>647</v>
      </c>
      <c r="Q5" s="51">
        <v>7</v>
      </c>
      <c r="R5" s="51" t="s">
        <v>648</v>
      </c>
      <c r="S5" s="51" t="s">
        <v>648</v>
      </c>
      <c r="T5" s="51" t="s">
        <v>648</v>
      </c>
      <c r="U5" s="51" t="s">
        <v>648</v>
      </c>
      <c r="V5" s="51" t="s">
        <v>648</v>
      </c>
      <c r="W5" s="51" t="s">
        <v>648</v>
      </c>
      <c r="X5" s="51" t="s">
        <v>648</v>
      </c>
      <c r="Y5" s="52">
        <v>20</v>
      </c>
      <c r="Z5" s="51" t="s">
        <v>649</v>
      </c>
      <c r="AA5" s="51" t="s">
        <v>678</v>
      </c>
      <c r="AB5" s="48" t="s">
        <v>663</v>
      </c>
      <c r="AC5" s="53">
        <v>1</v>
      </c>
      <c r="AD5" s="54">
        <v>30000</v>
      </c>
      <c r="AE5" s="54">
        <v>50377</v>
      </c>
      <c r="AF5" s="55">
        <v>366</v>
      </c>
      <c r="AG5" s="55">
        <v>0</v>
      </c>
      <c r="AH5" s="55">
        <v>1757414453</v>
      </c>
      <c r="AI5" s="51" t="s">
        <v>593</v>
      </c>
      <c r="AJ5" s="51" t="s">
        <v>594</v>
      </c>
      <c r="AK5" s="51" t="s">
        <v>595</v>
      </c>
      <c r="AL5" s="51" t="s">
        <v>596</v>
      </c>
      <c r="AM5" s="51" t="s">
        <v>597</v>
      </c>
      <c r="AN5" s="51" t="s">
        <v>598</v>
      </c>
      <c r="AO5" s="51" t="s">
        <v>599</v>
      </c>
      <c r="AP5" s="51" t="s">
        <v>651</v>
      </c>
      <c r="AQ5" s="54">
        <v>314</v>
      </c>
      <c r="AR5" s="54">
        <v>494552</v>
      </c>
      <c r="AS5" s="55" t="s">
        <v>664</v>
      </c>
      <c r="AT5" s="54">
        <v>6340</v>
      </c>
      <c r="AU5" s="54">
        <v>1463118903</v>
      </c>
      <c r="AV5" s="54">
        <v>15012580218</v>
      </c>
      <c r="AW5" s="55">
        <v>138</v>
      </c>
      <c r="AX5" s="55">
        <v>2</v>
      </c>
      <c r="AY5" s="54">
        <v>2958</v>
      </c>
      <c r="AZ5" s="56">
        <v>0.06</v>
      </c>
      <c r="BA5" s="55">
        <v>23</v>
      </c>
      <c r="BB5" s="57">
        <v>5.5E-2</v>
      </c>
      <c r="BC5" s="51" t="s">
        <v>679</v>
      </c>
      <c r="BD5" s="51" t="s">
        <v>666</v>
      </c>
      <c r="BE5" s="51" t="s">
        <v>680</v>
      </c>
      <c r="BF5" s="63" t="s">
        <v>681</v>
      </c>
      <c r="BG5" s="51">
        <v>4</v>
      </c>
      <c r="BH5" s="51">
        <v>4</v>
      </c>
      <c r="BI5" s="51">
        <v>2</v>
      </c>
      <c r="BJ5" s="51">
        <v>1</v>
      </c>
      <c r="BK5" s="59">
        <v>1.5E-3</v>
      </c>
      <c r="BL5" s="51">
        <v>-18</v>
      </c>
      <c r="BM5" s="51">
        <v>5</v>
      </c>
      <c r="BN5" s="60">
        <v>-0.28999999999999998</v>
      </c>
    </row>
    <row r="6" spans="1:66" x14ac:dyDescent="0.25">
      <c r="A6" s="47" t="s">
        <v>682</v>
      </c>
      <c r="B6" s="48" t="s">
        <v>683</v>
      </c>
      <c r="C6" s="51" t="s">
        <v>684</v>
      </c>
      <c r="D6" s="51" t="s">
        <v>642</v>
      </c>
      <c r="E6" s="51" t="s">
        <v>684</v>
      </c>
      <c r="F6" s="48" t="s">
        <v>671</v>
      </c>
      <c r="G6" s="51">
        <v>392960091</v>
      </c>
      <c r="H6" s="48">
        <v>702454399</v>
      </c>
      <c r="I6" s="48">
        <v>702454399</v>
      </c>
      <c r="J6" s="49" t="s">
        <v>685</v>
      </c>
      <c r="K6" s="48" t="s">
        <v>686</v>
      </c>
      <c r="L6" s="48" t="s">
        <v>686</v>
      </c>
      <c r="M6" s="50">
        <v>-1.280808333</v>
      </c>
      <c r="N6" s="50">
        <v>29.69286833</v>
      </c>
      <c r="O6" s="48" t="s">
        <v>646</v>
      </c>
      <c r="P6" s="48" t="s">
        <v>647</v>
      </c>
      <c r="Q6" s="51">
        <v>7</v>
      </c>
      <c r="R6" s="51" t="s">
        <v>648</v>
      </c>
      <c r="S6" s="51" t="s">
        <v>648</v>
      </c>
      <c r="T6" s="51" t="s">
        <v>648</v>
      </c>
      <c r="U6" s="51" t="s">
        <v>648</v>
      </c>
      <c r="V6" s="51" t="s">
        <v>648</v>
      </c>
      <c r="W6" s="51" t="s">
        <v>648</v>
      </c>
      <c r="X6" s="51" t="s">
        <v>648</v>
      </c>
      <c r="Y6" s="52">
        <v>20</v>
      </c>
      <c r="Z6" s="51" t="s">
        <v>649</v>
      </c>
      <c r="AA6" s="48" t="s">
        <v>650</v>
      </c>
      <c r="AB6" s="48" t="s">
        <v>663</v>
      </c>
      <c r="AC6" s="53">
        <v>1</v>
      </c>
      <c r="AD6" s="54">
        <v>20000</v>
      </c>
      <c r="AE6" s="54">
        <v>35603</v>
      </c>
      <c r="AF6" s="55">
        <v>255</v>
      </c>
      <c r="AG6" s="55">
        <v>0</v>
      </c>
      <c r="AH6" s="55">
        <v>1390823982</v>
      </c>
      <c r="AI6" s="51" t="s">
        <v>593</v>
      </c>
      <c r="AJ6" s="51" t="s">
        <v>594</v>
      </c>
      <c r="AK6" s="51" t="s">
        <v>595</v>
      </c>
      <c r="AL6" s="51" t="s">
        <v>596</v>
      </c>
      <c r="AM6" s="51" t="s">
        <v>597</v>
      </c>
      <c r="AN6" s="51" t="s">
        <v>598</v>
      </c>
      <c r="AO6" s="51" t="s">
        <v>599</v>
      </c>
      <c r="AP6" s="51" t="s">
        <v>651</v>
      </c>
      <c r="AQ6" s="54">
        <v>380</v>
      </c>
      <c r="AR6" s="54">
        <v>344088</v>
      </c>
      <c r="AS6" s="55" t="s">
        <v>664</v>
      </c>
      <c r="AT6" s="54">
        <v>7000</v>
      </c>
      <c r="AU6" s="54">
        <v>799303852</v>
      </c>
      <c r="AV6" s="54">
        <v>10734224767</v>
      </c>
      <c r="AW6" s="55">
        <v>139.69999999999999</v>
      </c>
      <c r="AX6" s="55">
        <v>3</v>
      </c>
      <c r="AY6" s="54">
        <v>2323</v>
      </c>
      <c r="AZ6" s="56">
        <v>0.04</v>
      </c>
      <c r="BA6" s="55">
        <v>17</v>
      </c>
      <c r="BB6" s="57">
        <v>3.9E-2</v>
      </c>
      <c r="BC6" s="51" t="s">
        <v>653</v>
      </c>
      <c r="BD6" s="51" t="s">
        <v>654</v>
      </c>
      <c r="BE6" s="51" t="s">
        <v>655</v>
      </c>
      <c r="BF6" s="58" t="s">
        <v>656</v>
      </c>
      <c r="BG6" s="51">
        <v>3</v>
      </c>
      <c r="BH6" s="51">
        <v>3</v>
      </c>
      <c r="BI6" s="51">
        <v>3</v>
      </c>
      <c r="BJ6" s="51">
        <v>1</v>
      </c>
      <c r="BK6" s="59">
        <v>4.8999999999999998E-3</v>
      </c>
      <c r="BL6" s="51">
        <v>96</v>
      </c>
      <c r="BM6" s="51">
        <v>5</v>
      </c>
      <c r="BN6" s="60">
        <v>15.86</v>
      </c>
    </row>
    <row r="7" spans="1:66" x14ac:dyDescent="0.25">
      <c r="A7" s="47" t="s">
        <v>687</v>
      </c>
      <c r="B7" s="48" t="s">
        <v>688</v>
      </c>
      <c r="C7" s="51" t="s">
        <v>689</v>
      </c>
      <c r="D7" s="51" t="s">
        <v>642</v>
      </c>
      <c r="E7" s="51" t="s">
        <v>689</v>
      </c>
      <c r="F7" s="48" t="s">
        <v>671</v>
      </c>
      <c r="G7" s="51">
        <v>772816012</v>
      </c>
      <c r="H7" s="48">
        <v>772816012</v>
      </c>
      <c r="I7" s="48">
        <v>772816012</v>
      </c>
      <c r="J7" s="61" t="s">
        <v>690</v>
      </c>
      <c r="K7" s="48" t="s">
        <v>691</v>
      </c>
      <c r="L7" s="48" t="s">
        <v>691</v>
      </c>
      <c r="M7" s="50">
        <v>0.175103333</v>
      </c>
      <c r="N7" s="50">
        <v>30.079501669999999</v>
      </c>
      <c r="O7" s="48" t="s">
        <v>646</v>
      </c>
      <c r="P7" s="48" t="s">
        <v>647</v>
      </c>
      <c r="Q7" s="51">
        <v>7</v>
      </c>
      <c r="R7" s="51" t="s">
        <v>648</v>
      </c>
      <c r="S7" s="51" t="s">
        <v>648</v>
      </c>
      <c r="T7" s="51" t="s">
        <v>648</v>
      </c>
      <c r="U7" s="51" t="s">
        <v>648</v>
      </c>
      <c r="V7" s="51" t="s">
        <v>648</v>
      </c>
      <c r="W7" s="51" t="s">
        <v>648</v>
      </c>
      <c r="X7" s="51" t="s">
        <v>648</v>
      </c>
      <c r="Y7" s="52">
        <v>20</v>
      </c>
      <c r="Z7" s="51" t="s">
        <v>649</v>
      </c>
      <c r="AA7" s="48" t="s">
        <v>663</v>
      </c>
      <c r="AB7" s="48" t="s">
        <v>663</v>
      </c>
      <c r="AC7" s="53">
        <v>1</v>
      </c>
      <c r="AD7" s="54">
        <v>45000</v>
      </c>
      <c r="AE7" s="54">
        <v>46190</v>
      </c>
      <c r="AF7" s="55">
        <v>323</v>
      </c>
      <c r="AG7" s="55">
        <v>0</v>
      </c>
      <c r="AH7" s="55">
        <v>1719981262</v>
      </c>
      <c r="AI7" s="51" t="s">
        <v>593</v>
      </c>
      <c r="AJ7" s="51" t="s">
        <v>594</v>
      </c>
      <c r="AK7" s="51" t="s">
        <v>595</v>
      </c>
      <c r="AL7" s="51" t="s">
        <v>596</v>
      </c>
      <c r="AM7" s="51" t="s">
        <v>597</v>
      </c>
      <c r="AN7" s="51" t="s">
        <v>598</v>
      </c>
      <c r="AO7" s="51" t="s">
        <v>599</v>
      </c>
      <c r="AP7" s="51" t="s">
        <v>651</v>
      </c>
      <c r="AQ7" s="54">
        <v>298</v>
      </c>
      <c r="AR7" s="54">
        <v>436684</v>
      </c>
      <c r="AS7" s="55" t="s">
        <v>664</v>
      </c>
      <c r="AT7" s="54">
        <v>7000</v>
      </c>
      <c r="AU7" s="54">
        <v>570600024</v>
      </c>
      <c r="AV7" s="54">
        <v>13573219881</v>
      </c>
      <c r="AW7" s="55">
        <v>143</v>
      </c>
      <c r="AX7" s="55">
        <v>5</v>
      </c>
      <c r="AY7" s="54">
        <v>1307</v>
      </c>
      <c r="AZ7" s="56">
        <v>0.05</v>
      </c>
      <c r="BA7" s="55">
        <v>10</v>
      </c>
      <c r="BB7" s="57">
        <v>5.0999999999999997E-2</v>
      </c>
      <c r="BC7" s="51" t="s">
        <v>653</v>
      </c>
      <c r="BD7" s="51" t="s">
        <v>666</v>
      </c>
      <c r="BE7" s="51" t="s">
        <v>692</v>
      </c>
      <c r="BF7" s="58" t="s">
        <v>656</v>
      </c>
      <c r="BG7" s="51">
        <v>4</v>
      </c>
      <c r="BH7" s="51">
        <v>4</v>
      </c>
      <c r="BI7" s="51">
        <v>4</v>
      </c>
      <c r="BJ7" s="51">
        <v>2</v>
      </c>
      <c r="BK7" s="59">
        <v>1.6000000000000001E-3</v>
      </c>
      <c r="BL7" s="51">
        <v>95</v>
      </c>
      <c r="BM7" s="51">
        <v>5</v>
      </c>
      <c r="BN7" s="60">
        <v>16.29</v>
      </c>
    </row>
    <row r="8" spans="1:66" x14ac:dyDescent="0.25">
      <c r="A8" s="47" t="s">
        <v>693</v>
      </c>
      <c r="B8" s="48" t="s">
        <v>694</v>
      </c>
      <c r="C8" s="48" t="s">
        <v>689</v>
      </c>
      <c r="D8" s="48" t="s">
        <v>642</v>
      </c>
      <c r="E8" s="48" t="s">
        <v>689</v>
      </c>
      <c r="F8" s="48" t="s">
        <v>671</v>
      </c>
      <c r="G8" s="48">
        <v>772816012</v>
      </c>
      <c r="H8" s="48">
        <v>772816012</v>
      </c>
      <c r="I8" s="48">
        <v>772816012</v>
      </c>
      <c r="J8" s="49" t="s">
        <v>690</v>
      </c>
      <c r="K8" s="48" t="s">
        <v>695</v>
      </c>
      <c r="L8" s="48" t="s">
        <v>696</v>
      </c>
      <c r="M8" s="64">
        <v>-0.60814100000000004</v>
      </c>
      <c r="N8" s="64">
        <v>30.563435999999999</v>
      </c>
      <c r="O8" s="48" t="s">
        <v>646</v>
      </c>
      <c r="P8" s="48" t="s">
        <v>647</v>
      </c>
      <c r="Q8" s="51">
        <v>7</v>
      </c>
      <c r="R8" s="51" t="s">
        <v>648</v>
      </c>
      <c r="S8" s="51" t="s">
        <v>648</v>
      </c>
      <c r="T8" s="51" t="s">
        <v>648</v>
      </c>
      <c r="U8" s="51" t="s">
        <v>648</v>
      </c>
      <c r="V8" s="51" t="s">
        <v>648</v>
      </c>
      <c r="W8" s="51" t="s">
        <v>648</v>
      </c>
      <c r="X8" s="51" t="s">
        <v>648</v>
      </c>
      <c r="Y8" s="52">
        <v>20</v>
      </c>
      <c r="Z8" s="51" t="s">
        <v>649</v>
      </c>
      <c r="AA8" s="48" t="s">
        <v>697</v>
      </c>
      <c r="AB8" s="48" t="s">
        <v>663</v>
      </c>
      <c r="AC8" s="53">
        <v>1</v>
      </c>
      <c r="AD8" s="54">
        <v>50000</v>
      </c>
      <c r="AE8" s="54">
        <v>33232</v>
      </c>
      <c r="AF8" s="55">
        <v>240</v>
      </c>
      <c r="AG8" s="55">
        <v>0</v>
      </c>
      <c r="AH8" s="55">
        <v>1904117805</v>
      </c>
      <c r="AI8" s="51" t="s">
        <v>593</v>
      </c>
      <c r="AJ8" s="51" t="s">
        <v>594</v>
      </c>
      <c r="AK8" s="51" t="s">
        <v>595</v>
      </c>
      <c r="AL8" s="51" t="s">
        <v>596</v>
      </c>
      <c r="AM8" s="51" t="s">
        <v>597</v>
      </c>
      <c r="AN8" s="51" t="s">
        <v>598</v>
      </c>
      <c r="AO8" s="51" t="s">
        <v>599</v>
      </c>
      <c r="AP8" s="51" t="s">
        <v>651</v>
      </c>
      <c r="AQ8" s="54">
        <v>10</v>
      </c>
      <c r="AR8" s="54">
        <v>324252</v>
      </c>
      <c r="AS8" s="55" t="s">
        <v>652</v>
      </c>
      <c r="AT8" s="54">
        <v>7000</v>
      </c>
      <c r="AU8" s="54">
        <v>15642972</v>
      </c>
      <c r="AV8" s="54">
        <v>10187466025</v>
      </c>
      <c r="AW8" s="55">
        <v>138</v>
      </c>
      <c r="AX8" s="55">
        <v>68</v>
      </c>
      <c r="AY8" s="55">
        <v>48</v>
      </c>
      <c r="AZ8" s="56">
        <v>0.04</v>
      </c>
      <c r="BA8" s="55">
        <v>2</v>
      </c>
      <c r="BB8" s="57">
        <v>3.5999999999999997E-2</v>
      </c>
      <c r="BC8" s="51" t="s">
        <v>653</v>
      </c>
      <c r="BD8" s="51" t="s">
        <v>654</v>
      </c>
      <c r="BE8" s="51" t="s">
        <v>655</v>
      </c>
      <c r="BF8" s="62" t="s">
        <v>668</v>
      </c>
      <c r="BG8" s="51">
        <v>3</v>
      </c>
      <c r="BH8" s="51">
        <v>3</v>
      </c>
      <c r="BI8" s="51">
        <v>4</v>
      </c>
      <c r="BJ8" s="51">
        <v>1</v>
      </c>
      <c r="BK8" s="59">
        <v>6.4000000000000003E-3</v>
      </c>
      <c r="BL8" s="51"/>
      <c r="BM8" s="51">
        <v>5</v>
      </c>
      <c r="BN8" s="60">
        <v>2.67</v>
      </c>
    </row>
    <row r="9" spans="1:66" x14ac:dyDescent="0.25">
      <c r="A9" s="47" t="s">
        <v>698</v>
      </c>
      <c r="B9" s="48" t="s">
        <v>699</v>
      </c>
      <c r="C9" s="51" t="s">
        <v>700</v>
      </c>
      <c r="D9" s="51" t="s">
        <v>642</v>
      </c>
      <c r="E9" s="51" t="s">
        <v>700</v>
      </c>
      <c r="F9" s="48" t="s">
        <v>671</v>
      </c>
      <c r="G9" s="51">
        <v>777358546</v>
      </c>
      <c r="H9" s="51">
        <v>777358546</v>
      </c>
      <c r="I9" s="51">
        <v>777358546</v>
      </c>
      <c r="J9" s="49" t="s">
        <v>701</v>
      </c>
      <c r="K9" s="51" t="s">
        <v>702</v>
      </c>
      <c r="L9" s="51" t="s">
        <v>702</v>
      </c>
      <c r="M9" s="50">
        <v>0.32629666699999998</v>
      </c>
      <c r="N9" s="50">
        <v>32.500111670000003</v>
      </c>
      <c r="O9" s="48" t="s">
        <v>646</v>
      </c>
      <c r="P9" s="48" t="s">
        <v>647</v>
      </c>
      <c r="Q9" s="51">
        <v>7</v>
      </c>
      <c r="R9" s="51" t="s">
        <v>648</v>
      </c>
      <c r="S9" s="51" t="s">
        <v>648</v>
      </c>
      <c r="T9" s="51" t="s">
        <v>648</v>
      </c>
      <c r="U9" s="51" t="s">
        <v>648</v>
      </c>
      <c r="V9" s="51" t="s">
        <v>648</v>
      </c>
      <c r="W9" s="51" t="s">
        <v>648</v>
      </c>
      <c r="X9" s="51" t="s">
        <v>648</v>
      </c>
      <c r="Y9" s="52">
        <v>20</v>
      </c>
      <c r="Z9" s="51" t="s">
        <v>649</v>
      </c>
      <c r="AA9" s="48" t="s">
        <v>703</v>
      </c>
      <c r="AB9" s="48" t="s">
        <v>703</v>
      </c>
      <c r="AC9" s="53">
        <v>1</v>
      </c>
      <c r="AD9" s="54">
        <v>15000</v>
      </c>
      <c r="AE9" s="54">
        <v>23251</v>
      </c>
      <c r="AF9" s="55">
        <v>169</v>
      </c>
      <c r="AG9" s="55">
        <v>0</v>
      </c>
      <c r="AH9" s="55">
        <v>1366003205</v>
      </c>
      <c r="AI9" s="51" t="s">
        <v>593</v>
      </c>
      <c r="AJ9" s="51" t="s">
        <v>594</v>
      </c>
      <c r="AK9" s="51" t="s">
        <v>595</v>
      </c>
      <c r="AL9" s="51" t="s">
        <v>596</v>
      </c>
      <c r="AM9" s="51" t="s">
        <v>597</v>
      </c>
      <c r="AN9" s="51" t="s">
        <v>598</v>
      </c>
      <c r="AO9" s="51" t="s">
        <v>599</v>
      </c>
      <c r="AP9" s="51" t="s">
        <v>651</v>
      </c>
      <c r="AQ9" s="54">
        <v>930</v>
      </c>
      <c r="AR9" s="54">
        <v>228238</v>
      </c>
      <c r="AS9" s="55" t="s">
        <v>664</v>
      </c>
      <c r="AT9" s="54">
        <v>6447</v>
      </c>
      <c r="AU9" s="54">
        <v>610400408</v>
      </c>
      <c r="AV9" s="54">
        <v>7055644094</v>
      </c>
      <c r="AW9" s="55">
        <v>138</v>
      </c>
      <c r="AX9" s="55">
        <v>2</v>
      </c>
      <c r="AY9" s="54">
        <v>2674</v>
      </c>
      <c r="AZ9" s="56">
        <v>0.03</v>
      </c>
      <c r="BA9" s="55">
        <v>20</v>
      </c>
      <c r="BB9" s="57">
        <v>2.5000000000000001E-2</v>
      </c>
      <c r="BC9" s="51" t="s">
        <v>679</v>
      </c>
      <c r="BD9" s="51" t="s">
        <v>666</v>
      </c>
      <c r="BE9" s="51" t="s">
        <v>680</v>
      </c>
      <c r="BF9" s="58" t="s">
        <v>656</v>
      </c>
      <c r="BG9" s="51">
        <v>2</v>
      </c>
      <c r="BH9" s="51">
        <v>2</v>
      </c>
      <c r="BI9" s="51">
        <v>2</v>
      </c>
      <c r="BJ9" s="51">
        <v>1</v>
      </c>
      <c r="BK9" s="59">
        <v>8.0000000000000004E-4</v>
      </c>
      <c r="BL9" s="51">
        <v>40</v>
      </c>
      <c r="BM9" s="51">
        <v>5</v>
      </c>
      <c r="BN9" s="60">
        <v>7.43</v>
      </c>
    </row>
    <row r="10" spans="1:66" x14ac:dyDescent="0.25">
      <c r="A10" s="47" t="s">
        <v>704</v>
      </c>
      <c r="B10" s="48" t="s">
        <v>705</v>
      </c>
      <c r="C10" s="51" t="s">
        <v>706</v>
      </c>
      <c r="D10" s="48" t="s">
        <v>660</v>
      </c>
      <c r="E10" s="48" t="s">
        <v>706</v>
      </c>
      <c r="F10" s="48" t="s">
        <v>671</v>
      </c>
      <c r="G10" s="48">
        <v>782593227</v>
      </c>
      <c r="H10" s="48">
        <v>781472462</v>
      </c>
      <c r="I10" s="48">
        <v>781472462</v>
      </c>
      <c r="J10" s="49" t="s">
        <v>701</v>
      </c>
      <c r="K10" s="48" t="s">
        <v>707</v>
      </c>
      <c r="L10" s="48" t="s">
        <v>707</v>
      </c>
      <c r="M10" s="50">
        <v>0.93529333299999995</v>
      </c>
      <c r="N10" s="50">
        <v>30.814131669999998</v>
      </c>
      <c r="O10" s="48" t="s">
        <v>646</v>
      </c>
      <c r="P10" s="48" t="s">
        <v>647</v>
      </c>
      <c r="Q10" s="51">
        <v>7</v>
      </c>
      <c r="R10" s="51" t="s">
        <v>648</v>
      </c>
      <c r="S10" s="51" t="s">
        <v>648</v>
      </c>
      <c r="T10" s="51" t="s">
        <v>648</v>
      </c>
      <c r="U10" s="51" t="s">
        <v>648</v>
      </c>
      <c r="V10" s="51" t="s">
        <v>648</v>
      </c>
      <c r="W10" s="51" t="s">
        <v>648</v>
      </c>
      <c r="X10" s="51" t="s">
        <v>648</v>
      </c>
      <c r="Y10" s="52">
        <v>20</v>
      </c>
      <c r="Z10" s="51" t="s">
        <v>649</v>
      </c>
      <c r="AA10" s="48" t="s">
        <v>703</v>
      </c>
      <c r="AB10" s="48" t="s">
        <v>703</v>
      </c>
      <c r="AC10" s="53">
        <v>1</v>
      </c>
      <c r="AD10" s="54">
        <v>20000</v>
      </c>
      <c r="AE10" s="54">
        <v>25392</v>
      </c>
      <c r="AF10" s="55">
        <v>184</v>
      </c>
      <c r="AG10" s="55">
        <v>0</v>
      </c>
      <c r="AH10" s="55">
        <v>916794238</v>
      </c>
      <c r="AI10" s="51" t="s">
        <v>593</v>
      </c>
      <c r="AJ10" s="51" t="s">
        <v>594</v>
      </c>
      <c r="AK10" s="51" t="s">
        <v>595</v>
      </c>
      <c r="AL10" s="51" t="s">
        <v>596</v>
      </c>
      <c r="AM10" s="51" t="s">
        <v>597</v>
      </c>
      <c r="AN10" s="51" t="s">
        <v>598</v>
      </c>
      <c r="AO10" s="51" t="s">
        <v>599</v>
      </c>
      <c r="AP10" s="51" t="s">
        <v>651</v>
      </c>
      <c r="AQ10" s="54">
        <v>298</v>
      </c>
      <c r="AR10" s="54">
        <v>248231</v>
      </c>
      <c r="AS10" s="55" t="s">
        <v>664</v>
      </c>
      <c r="AT10" s="54">
        <v>6922</v>
      </c>
      <c r="AU10" s="54">
        <v>852723846</v>
      </c>
      <c r="AV10" s="54">
        <v>7048800085</v>
      </c>
      <c r="AW10" s="55">
        <v>138</v>
      </c>
      <c r="AX10" s="55">
        <v>2</v>
      </c>
      <c r="AY10" s="54">
        <v>3435</v>
      </c>
      <c r="AZ10" s="56">
        <v>0.03</v>
      </c>
      <c r="BA10" s="55">
        <v>26</v>
      </c>
      <c r="BB10" s="57">
        <v>2.8000000000000001E-2</v>
      </c>
      <c r="BC10" s="51" t="s">
        <v>665</v>
      </c>
      <c r="BD10" s="51" t="s">
        <v>654</v>
      </c>
      <c r="BE10" s="51" t="s">
        <v>708</v>
      </c>
      <c r="BF10" s="63" t="s">
        <v>681</v>
      </c>
      <c r="BG10" s="51">
        <v>2</v>
      </c>
      <c r="BH10" s="51">
        <v>2</v>
      </c>
      <c r="BI10" s="51">
        <v>1</v>
      </c>
      <c r="BJ10" s="51">
        <v>1</v>
      </c>
      <c r="BK10" s="59">
        <v>8.9999999999999998E-4</v>
      </c>
      <c r="BL10" s="51">
        <v>-1</v>
      </c>
      <c r="BM10" s="51">
        <v>5</v>
      </c>
      <c r="BN10" s="60">
        <v>1.43</v>
      </c>
    </row>
    <row r="11" spans="1:66" x14ac:dyDescent="0.25">
      <c r="A11" s="47" t="s">
        <v>709</v>
      </c>
      <c r="B11" s="48" t="s">
        <v>710</v>
      </c>
      <c r="C11" s="51" t="s">
        <v>711</v>
      </c>
      <c r="D11" s="51" t="s">
        <v>642</v>
      </c>
      <c r="E11" s="51" t="s">
        <v>711</v>
      </c>
      <c r="F11" s="48" t="s">
        <v>671</v>
      </c>
      <c r="G11" s="51">
        <v>782666861</v>
      </c>
      <c r="H11" s="48">
        <v>782666861</v>
      </c>
      <c r="I11" s="48">
        <v>782666861</v>
      </c>
      <c r="J11" s="49" t="s">
        <v>701</v>
      </c>
      <c r="K11" s="48" t="s">
        <v>712</v>
      </c>
      <c r="L11" s="48" t="s">
        <v>712</v>
      </c>
      <c r="M11" s="50">
        <v>0.77657166700000002</v>
      </c>
      <c r="N11" s="50">
        <v>31.323683330000001</v>
      </c>
      <c r="O11" s="48" t="s">
        <v>646</v>
      </c>
      <c r="P11" s="48" t="s">
        <v>647</v>
      </c>
      <c r="Q11" s="51">
        <v>7</v>
      </c>
      <c r="R11" s="51" t="s">
        <v>648</v>
      </c>
      <c r="S11" s="51" t="s">
        <v>648</v>
      </c>
      <c r="T11" s="51" t="s">
        <v>648</v>
      </c>
      <c r="U11" s="51" t="s">
        <v>713</v>
      </c>
      <c r="V11" s="51" t="s">
        <v>648</v>
      </c>
      <c r="W11" s="51" t="s">
        <v>713</v>
      </c>
      <c r="X11" s="51" t="s">
        <v>648</v>
      </c>
      <c r="Y11" s="52">
        <v>20</v>
      </c>
      <c r="Z11" s="51" t="s">
        <v>649</v>
      </c>
      <c r="AA11" s="48" t="s">
        <v>703</v>
      </c>
      <c r="AB11" s="48" t="s">
        <v>703</v>
      </c>
      <c r="AC11" s="53">
        <v>1</v>
      </c>
      <c r="AD11" s="54">
        <v>15000</v>
      </c>
      <c r="AE11" s="54">
        <v>16097</v>
      </c>
      <c r="AF11" s="55">
        <v>113</v>
      </c>
      <c r="AG11" s="55">
        <v>0</v>
      </c>
      <c r="AH11" s="55">
        <v>570240618</v>
      </c>
      <c r="AI11" s="51" t="s">
        <v>593</v>
      </c>
      <c r="AJ11" s="51" t="s">
        <v>594</v>
      </c>
      <c r="AK11" s="51" t="s">
        <v>595</v>
      </c>
      <c r="AL11" s="51" t="s">
        <v>596</v>
      </c>
      <c r="AM11" s="51" t="s">
        <v>597</v>
      </c>
      <c r="AN11" s="51" t="s">
        <v>598</v>
      </c>
      <c r="AO11" s="51" t="s">
        <v>599</v>
      </c>
      <c r="AP11" s="51" t="s">
        <v>651</v>
      </c>
      <c r="AQ11" s="54">
        <v>304</v>
      </c>
      <c r="AR11" s="54">
        <v>153035</v>
      </c>
      <c r="AS11" s="55" t="s">
        <v>664</v>
      </c>
      <c r="AT11" s="54">
        <v>5794</v>
      </c>
      <c r="AU11" s="54">
        <v>610822594</v>
      </c>
      <c r="AV11" s="54">
        <v>4654532750</v>
      </c>
      <c r="AW11" s="55">
        <v>142</v>
      </c>
      <c r="AX11" s="55">
        <v>1</v>
      </c>
      <c r="AY11" s="54">
        <v>3991</v>
      </c>
      <c r="AZ11" s="56">
        <v>0.02</v>
      </c>
      <c r="BA11" s="55">
        <v>28</v>
      </c>
      <c r="BB11" s="57">
        <v>1.7999999999999999E-2</v>
      </c>
      <c r="BC11" s="51" t="s">
        <v>665</v>
      </c>
      <c r="BD11" s="51" t="s">
        <v>654</v>
      </c>
      <c r="BE11" s="51" t="s">
        <v>708</v>
      </c>
      <c r="BF11" s="63" t="s">
        <v>681</v>
      </c>
      <c r="BG11" s="51">
        <v>2</v>
      </c>
      <c r="BH11" s="51">
        <v>2</v>
      </c>
      <c r="BI11" s="51">
        <v>1</v>
      </c>
      <c r="BJ11" s="51">
        <v>2</v>
      </c>
      <c r="BK11" s="59">
        <v>5.9999999999999995E-4</v>
      </c>
      <c r="BL11" s="51">
        <v>-56</v>
      </c>
      <c r="BM11" s="51">
        <v>5</v>
      </c>
      <c r="BN11" s="60">
        <v>-6.29</v>
      </c>
    </row>
    <row r="12" spans="1:66" x14ac:dyDescent="0.25">
      <c r="A12" s="47" t="s">
        <v>714</v>
      </c>
      <c r="B12" s="48" t="s">
        <v>715</v>
      </c>
      <c r="C12" s="48" t="s">
        <v>716</v>
      </c>
      <c r="D12" s="48" t="s">
        <v>642</v>
      </c>
      <c r="E12" s="48" t="s">
        <v>716</v>
      </c>
      <c r="F12" s="48" t="s">
        <v>671</v>
      </c>
      <c r="G12" s="48">
        <v>777014145</v>
      </c>
      <c r="H12" s="48">
        <v>777014145</v>
      </c>
      <c r="I12" s="48">
        <v>777014145</v>
      </c>
      <c r="J12" s="49" t="s">
        <v>701</v>
      </c>
      <c r="K12" s="48" t="s">
        <v>717</v>
      </c>
      <c r="L12" s="48" t="s">
        <v>717</v>
      </c>
      <c r="M12" s="50">
        <v>-0.63392166699999997</v>
      </c>
      <c r="N12" s="50">
        <v>31.54255333</v>
      </c>
      <c r="O12" s="48" t="s">
        <v>646</v>
      </c>
      <c r="P12" s="48" t="s">
        <v>647</v>
      </c>
      <c r="Q12" s="51">
        <v>7</v>
      </c>
      <c r="R12" s="51" t="s">
        <v>648</v>
      </c>
      <c r="S12" s="51" t="s">
        <v>648</v>
      </c>
      <c r="T12" s="51" t="s">
        <v>648</v>
      </c>
      <c r="U12" s="51" t="s">
        <v>648</v>
      </c>
      <c r="V12" s="51" t="s">
        <v>648</v>
      </c>
      <c r="W12" s="51" t="s">
        <v>648</v>
      </c>
      <c r="X12" s="51" t="s">
        <v>648</v>
      </c>
      <c r="Y12" s="52">
        <v>20</v>
      </c>
      <c r="Z12" s="51" t="s">
        <v>649</v>
      </c>
      <c r="AA12" s="48" t="s">
        <v>697</v>
      </c>
      <c r="AB12" s="48" t="s">
        <v>697</v>
      </c>
      <c r="AC12" s="53">
        <v>1</v>
      </c>
      <c r="AD12" s="54">
        <v>27000</v>
      </c>
      <c r="AE12" s="54">
        <v>27641</v>
      </c>
      <c r="AF12" s="55">
        <v>214</v>
      </c>
      <c r="AG12" s="55">
        <v>0</v>
      </c>
      <c r="AH12" s="55">
        <v>1283853109</v>
      </c>
      <c r="AI12" s="51" t="s">
        <v>593</v>
      </c>
      <c r="AJ12" s="51" t="s">
        <v>594</v>
      </c>
      <c r="AK12" s="51" t="s">
        <v>595</v>
      </c>
      <c r="AL12" s="51" t="s">
        <v>596</v>
      </c>
      <c r="AM12" s="51" t="s">
        <v>597</v>
      </c>
      <c r="AN12" s="51" t="s">
        <v>598</v>
      </c>
      <c r="AO12" s="51" t="s">
        <v>599</v>
      </c>
      <c r="AP12" s="51" t="s">
        <v>651</v>
      </c>
      <c r="AQ12" s="54">
        <v>304</v>
      </c>
      <c r="AR12" s="54">
        <v>288577</v>
      </c>
      <c r="AS12" s="55" t="s">
        <v>652</v>
      </c>
      <c r="AT12" s="55" t="s">
        <v>718</v>
      </c>
      <c r="AU12" s="54">
        <v>264515713</v>
      </c>
      <c r="AV12" s="54">
        <v>8388054767</v>
      </c>
      <c r="AW12" s="55">
        <v>129</v>
      </c>
      <c r="AX12" s="55">
        <v>4</v>
      </c>
      <c r="AY12" s="55">
        <v>917</v>
      </c>
      <c r="AZ12" s="56">
        <v>0.03</v>
      </c>
      <c r="BA12" s="55">
        <v>8</v>
      </c>
      <c r="BB12" s="57">
        <v>0.03</v>
      </c>
      <c r="BC12" s="51" t="s">
        <v>665</v>
      </c>
      <c r="BD12" s="51" t="s">
        <v>654</v>
      </c>
      <c r="BE12" s="51" t="s">
        <v>708</v>
      </c>
      <c r="BF12" s="62" t="s">
        <v>668</v>
      </c>
      <c r="BG12" s="51">
        <v>3</v>
      </c>
      <c r="BH12" s="51">
        <v>3</v>
      </c>
      <c r="BI12" s="51">
        <v>4</v>
      </c>
      <c r="BJ12" s="51">
        <v>1</v>
      </c>
      <c r="BK12" s="59">
        <v>1.6000000000000001E-3</v>
      </c>
      <c r="BL12" s="51"/>
      <c r="BM12" s="51">
        <v>5</v>
      </c>
      <c r="BN12" s="60">
        <v>2.67</v>
      </c>
    </row>
    <row r="13" spans="1:66" x14ac:dyDescent="0.25">
      <c r="A13" s="47" t="s">
        <v>719</v>
      </c>
      <c r="B13" s="48" t="s">
        <v>720</v>
      </c>
      <c r="C13" s="51" t="s">
        <v>721</v>
      </c>
      <c r="D13" s="51" t="s">
        <v>642</v>
      </c>
      <c r="E13" s="51" t="s">
        <v>721</v>
      </c>
      <c r="F13" s="48" t="s">
        <v>671</v>
      </c>
      <c r="G13" s="51">
        <v>787597266</v>
      </c>
      <c r="H13" s="51">
        <v>787597266</v>
      </c>
      <c r="I13" s="51">
        <v>787597266</v>
      </c>
      <c r="J13" s="49" t="s">
        <v>701</v>
      </c>
      <c r="K13" s="51" t="s">
        <v>722</v>
      </c>
      <c r="L13" s="51" t="s">
        <v>722</v>
      </c>
      <c r="M13" s="50">
        <v>1.148078333</v>
      </c>
      <c r="N13" s="50">
        <v>31.284513329999999</v>
      </c>
      <c r="O13" s="48" t="s">
        <v>646</v>
      </c>
      <c r="P13" s="48" t="s">
        <v>647</v>
      </c>
      <c r="Q13" s="51">
        <v>7</v>
      </c>
      <c r="R13" s="51" t="s">
        <v>648</v>
      </c>
      <c r="S13" s="51" t="s">
        <v>648</v>
      </c>
      <c r="T13" s="51" t="s">
        <v>648</v>
      </c>
      <c r="U13" s="51" t="s">
        <v>648</v>
      </c>
      <c r="V13" s="51" t="s">
        <v>648</v>
      </c>
      <c r="W13" s="51" t="s">
        <v>648</v>
      </c>
      <c r="X13" s="51" t="s">
        <v>648</v>
      </c>
      <c r="Y13" s="52">
        <v>20</v>
      </c>
      <c r="Z13" s="51" t="s">
        <v>649</v>
      </c>
      <c r="AA13" s="48" t="s">
        <v>703</v>
      </c>
      <c r="AB13" s="48" t="s">
        <v>703</v>
      </c>
      <c r="AC13" s="53">
        <v>1</v>
      </c>
      <c r="AD13" s="54">
        <v>20000</v>
      </c>
      <c r="AE13" s="54">
        <v>19321</v>
      </c>
      <c r="AF13" s="55">
        <v>135</v>
      </c>
      <c r="AG13" s="55">
        <v>0</v>
      </c>
      <c r="AH13" s="55">
        <v>749085617</v>
      </c>
      <c r="AI13" s="51" t="s">
        <v>593</v>
      </c>
      <c r="AJ13" s="51" t="s">
        <v>594</v>
      </c>
      <c r="AK13" s="51" t="s">
        <v>595</v>
      </c>
      <c r="AL13" s="51" t="s">
        <v>596</v>
      </c>
      <c r="AM13" s="51" t="s">
        <v>597</v>
      </c>
      <c r="AN13" s="51" t="s">
        <v>598</v>
      </c>
      <c r="AO13" s="51" t="s">
        <v>599</v>
      </c>
      <c r="AP13" s="51" t="s">
        <v>651</v>
      </c>
      <c r="AQ13" s="54">
        <v>252</v>
      </c>
      <c r="AR13" s="54">
        <v>181696</v>
      </c>
      <c r="AS13" s="55" t="s">
        <v>664</v>
      </c>
      <c r="AT13" s="54">
        <v>7220</v>
      </c>
      <c r="AU13" s="54">
        <v>1010620741</v>
      </c>
      <c r="AV13" s="54">
        <v>5385847389</v>
      </c>
      <c r="AW13" s="55">
        <v>144</v>
      </c>
      <c r="AX13" s="55">
        <v>1</v>
      </c>
      <c r="AY13" s="54">
        <v>5562</v>
      </c>
      <c r="AZ13" s="56">
        <v>0.02</v>
      </c>
      <c r="BA13" s="55">
        <v>29</v>
      </c>
      <c r="BB13" s="57">
        <v>2.1000000000000001E-2</v>
      </c>
      <c r="BC13" s="51" t="s">
        <v>665</v>
      </c>
      <c r="BD13" s="51" t="s">
        <v>654</v>
      </c>
      <c r="BE13" s="51" t="s">
        <v>708</v>
      </c>
      <c r="BF13" s="63" t="s">
        <v>681</v>
      </c>
      <c r="BG13" s="51">
        <v>2</v>
      </c>
      <c r="BH13" s="51">
        <v>2</v>
      </c>
      <c r="BI13" s="51">
        <v>1</v>
      </c>
      <c r="BJ13" s="51">
        <v>3</v>
      </c>
      <c r="BK13" s="59">
        <v>1E-3</v>
      </c>
      <c r="BL13" s="51">
        <v>-27</v>
      </c>
      <c r="BM13" s="51">
        <v>5</v>
      </c>
      <c r="BN13" s="60">
        <v>-2</v>
      </c>
    </row>
    <row r="14" spans="1:66" x14ac:dyDescent="0.25">
      <c r="A14" s="47" t="s">
        <v>723</v>
      </c>
      <c r="B14" s="48" t="s">
        <v>724</v>
      </c>
      <c r="C14" s="51" t="s">
        <v>725</v>
      </c>
      <c r="D14" s="48" t="s">
        <v>660</v>
      </c>
      <c r="E14" s="51" t="s">
        <v>725</v>
      </c>
      <c r="F14" s="48" t="s">
        <v>671</v>
      </c>
      <c r="G14" s="50">
        <v>782685446</v>
      </c>
      <c r="H14" s="50">
        <v>782685446</v>
      </c>
      <c r="I14" s="65">
        <v>782685446</v>
      </c>
      <c r="J14" s="49" t="s">
        <v>701</v>
      </c>
      <c r="K14" s="48" t="s">
        <v>726</v>
      </c>
      <c r="L14" s="48" t="s">
        <v>726</v>
      </c>
      <c r="M14" s="50">
        <v>-0.48044599999999998</v>
      </c>
      <c r="N14" s="50">
        <v>31.057648</v>
      </c>
      <c r="O14" s="48" t="s">
        <v>646</v>
      </c>
      <c r="P14" s="48" t="s">
        <v>647</v>
      </c>
      <c r="Q14" s="51">
        <v>7</v>
      </c>
      <c r="R14" s="51" t="s">
        <v>648</v>
      </c>
      <c r="S14" s="51" t="s">
        <v>648</v>
      </c>
      <c r="T14" s="51" t="s">
        <v>648</v>
      </c>
      <c r="U14" s="51" t="s">
        <v>648</v>
      </c>
      <c r="V14" s="51" t="s">
        <v>648</v>
      </c>
      <c r="W14" s="51" t="s">
        <v>648</v>
      </c>
      <c r="X14" s="51" t="s">
        <v>648</v>
      </c>
      <c r="Y14" s="52">
        <v>20</v>
      </c>
      <c r="Z14" s="51" t="s">
        <v>649</v>
      </c>
      <c r="AA14" s="48" t="s">
        <v>703</v>
      </c>
      <c r="AB14" s="48" t="s">
        <v>703</v>
      </c>
      <c r="AC14" s="53">
        <v>1</v>
      </c>
      <c r="AD14" s="54">
        <v>8000</v>
      </c>
      <c r="AE14" s="54">
        <v>23684</v>
      </c>
      <c r="AF14" s="55">
        <v>180</v>
      </c>
      <c r="AG14" s="55">
        <v>0</v>
      </c>
      <c r="AH14" s="55" t="s">
        <v>727</v>
      </c>
      <c r="AI14" s="51" t="s">
        <v>593</v>
      </c>
      <c r="AJ14" s="51" t="s">
        <v>594</v>
      </c>
      <c r="AK14" s="51" t="s">
        <v>595</v>
      </c>
      <c r="AL14" s="51" t="s">
        <v>596</v>
      </c>
      <c r="AM14" s="51" t="s">
        <v>597</v>
      </c>
      <c r="AN14" s="51" t="s">
        <v>598</v>
      </c>
      <c r="AO14" s="51" t="s">
        <v>599</v>
      </c>
      <c r="AP14" s="51" t="s">
        <v>651</v>
      </c>
      <c r="AQ14" s="54">
        <v>630</v>
      </c>
      <c r="AR14" s="54">
        <v>242480</v>
      </c>
      <c r="AS14" s="55" t="s">
        <v>664</v>
      </c>
      <c r="AT14" s="54">
        <v>5504</v>
      </c>
      <c r="AU14" s="54">
        <v>593115869</v>
      </c>
      <c r="AV14" s="54">
        <v>6520469909</v>
      </c>
      <c r="AW14" s="55">
        <v>132</v>
      </c>
      <c r="AX14" s="55">
        <v>2</v>
      </c>
      <c r="AY14" s="54">
        <v>2446</v>
      </c>
      <c r="AZ14" s="56">
        <v>0.02</v>
      </c>
      <c r="BA14" s="55">
        <v>19</v>
      </c>
      <c r="BB14" s="57">
        <v>2.5999999999999999E-2</v>
      </c>
      <c r="BC14" s="51" t="s">
        <v>665</v>
      </c>
      <c r="BD14" s="51" t="s">
        <v>654</v>
      </c>
      <c r="BE14" s="51" t="s">
        <v>708</v>
      </c>
      <c r="BF14" s="58" t="s">
        <v>656</v>
      </c>
      <c r="BG14" s="51">
        <v>2</v>
      </c>
      <c r="BH14" s="51">
        <v>2</v>
      </c>
      <c r="BI14" s="51">
        <v>3</v>
      </c>
      <c r="BJ14" s="51">
        <v>1</v>
      </c>
      <c r="BK14" s="59">
        <v>4.0000000000000002E-4</v>
      </c>
      <c r="BL14" s="51">
        <v>100</v>
      </c>
      <c r="BM14" s="51">
        <v>5</v>
      </c>
      <c r="BN14" s="60">
        <v>16.14</v>
      </c>
    </row>
    <row r="15" spans="1:66" x14ac:dyDescent="0.25">
      <c r="A15" s="66" t="s">
        <v>728</v>
      </c>
      <c r="B15" s="48" t="s">
        <v>729</v>
      </c>
      <c r="C15" s="48" t="s">
        <v>716</v>
      </c>
      <c r="D15" s="48" t="s">
        <v>642</v>
      </c>
      <c r="E15" s="48" t="s">
        <v>716</v>
      </c>
      <c r="F15" s="48" t="s">
        <v>671</v>
      </c>
      <c r="G15" s="48">
        <v>777014145</v>
      </c>
      <c r="H15" s="48">
        <v>777014145</v>
      </c>
      <c r="I15" s="48">
        <v>777014145</v>
      </c>
      <c r="J15" s="49" t="s">
        <v>701</v>
      </c>
      <c r="K15" s="48" t="s">
        <v>730</v>
      </c>
      <c r="L15" s="48" t="s">
        <v>730</v>
      </c>
      <c r="M15" s="50">
        <v>-0.34422333300000002</v>
      </c>
      <c r="N15" s="50">
        <v>31.73920833</v>
      </c>
      <c r="O15" s="48" t="s">
        <v>646</v>
      </c>
      <c r="P15" s="48" t="s">
        <v>647</v>
      </c>
      <c r="Q15" s="51">
        <v>7</v>
      </c>
      <c r="R15" s="51" t="s">
        <v>648</v>
      </c>
      <c r="S15" s="51" t="s">
        <v>648</v>
      </c>
      <c r="T15" s="51" t="s">
        <v>713</v>
      </c>
      <c r="U15" s="51" t="s">
        <v>648</v>
      </c>
      <c r="V15" s="51" t="s">
        <v>648</v>
      </c>
      <c r="W15" s="51" t="s">
        <v>648</v>
      </c>
      <c r="X15" s="51" t="s">
        <v>648</v>
      </c>
      <c r="Y15" s="52">
        <v>20</v>
      </c>
      <c r="Z15" s="51" t="s">
        <v>649</v>
      </c>
      <c r="AA15" s="48" t="s">
        <v>697</v>
      </c>
      <c r="AB15" s="48" t="s">
        <v>697</v>
      </c>
      <c r="AC15" s="53">
        <v>1</v>
      </c>
      <c r="AD15" s="54">
        <v>35000</v>
      </c>
      <c r="AE15" s="54">
        <v>64058</v>
      </c>
      <c r="AF15" s="55">
        <v>459</v>
      </c>
      <c r="AG15" s="55">
        <v>0</v>
      </c>
      <c r="AH15" s="54">
        <v>2237641608</v>
      </c>
      <c r="AI15" s="51" t="s">
        <v>593</v>
      </c>
      <c r="AJ15" s="51" t="s">
        <v>594</v>
      </c>
      <c r="AK15" s="51" t="s">
        <v>595</v>
      </c>
      <c r="AL15" s="51" t="s">
        <v>596</v>
      </c>
      <c r="AM15" s="51" t="s">
        <v>597</v>
      </c>
      <c r="AN15" s="51" t="s">
        <v>598</v>
      </c>
      <c r="AO15" s="51" t="s">
        <v>599</v>
      </c>
      <c r="AP15" s="51" t="s">
        <v>651</v>
      </c>
      <c r="AQ15" s="54">
        <v>560</v>
      </c>
      <c r="AR15" s="54">
        <v>620159</v>
      </c>
      <c r="AS15" s="55" t="s">
        <v>652</v>
      </c>
      <c r="AT15" s="54">
        <v>7000</v>
      </c>
      <c r="AU15" s="54">
        <v>445785551</v>
      </c>
      <c r="AV15" s="54">
        <v>19598862486</v>
      </c>
      <c r="AW15" s="55">
        <v>139</v>
      </c>
      <c r="AX15" s="55">
        <v>5</v>
      </c>
      <c r="AY15" s="55">
        <v>719</v>
      </c>
      <c r="AZ15" s="56">
        <v>7.0000000000000007E-2</v>
      </c>
      <c r="BA15" s="55">
        <v>6</v>
      </c>
      <c r="BB15" s="57">
        <v>7.0000000000000007E-2</v>
      </c>
      <c r="BC15" s="51" t="s">
        <v>679</v>
      </c>
      <c r="BD15" s="51" t="s">
        <v>666</v>
      </c>
      <c r="BE15" s="51" t="s">
        <v>680</v>
      </c>
      <c r="BF15" s="58" t="s">
        <v>656</v>
      </c>
      <c r="BG15" s="51">
        <v>4</v>
      </c>
      <c r="BH15" s="51">
        <v>4</v>
      </c>
      <c r="BI15" s="51">
        <v>4</v>
      </c>
      <c r="BJ15" s="51">
        <v>1</v>
      </c>
      <c r="BK15" s="59">
        <v>1.5E-3</v>
      </c>
      <c r="BL15" s="51">
        <v>88</v>
      </c>
      <c r="BM15" s="51">
        <v>5</v>
      </c>
      <c r="BN15" s="60">
        <v>15.14</v>
      </c>
    </row>
    <row r="16" spans="1:66" x14ac:dyDescent="0.25">
      <c r="A16" s="66" t="s">
        <v>731</v>
      </c>
      <c r="B16" s="48" t="s">
        <v>729</v>
      </c>
      <c r="C16" s="48" t="s">
        <v>716</v>
      </c>
      <c r="D16" s="48" t="s">
        <v>642</v>
      </c>
      <c r="E16" s="48" t="s">
        <v>716</v>
      </c>
      <c r="F16" s="48" t="s">
        <v>671</v>
      </c>
      <c r="G16" s="48">
        <v>777014145</v>
      </c>
      <c r="H16" s="48">
        <v>777014145</v>
      </c>
      <c r="I16" s="48">
        <v>777014145</v>
      </c>
      <c r="J16" s="49" t="s">
        <v>701</v>
      </c>
      <c r="K16" s="48" t="s">
        <v>730</v>
      </c>
      <c r="L16" s="48" t="s">
        <v>730</v>
      </c>
      <c r="M16" s="50">
        <v>-8.1946099999999994E-2</v>
      </c>
      <c r="N16" s="50">
        <v>31.4581853</v>
      </c>
      <c r="O16" s="48" t="s">
        <v>646</v>
      </c>
      <c r="P16" s="48" t="s">
        <v>647</v>
      </c>
      <c r="Q16" s="51">
        <v>7</v>
      </c>
      <c r="R16" s="51" t="s">
        <v>648</v>
      </c>
      <c r="S16" s="51" t="s">
        <v>648</v>
      </c>
      <c r="T16" s="51" t="s">
        <v>713</v>
      </c>
      <c r="U16" s="51" t="s">
        <v>648</v>
      </c>
      <c r="V16" s="51" t="s">
        <v>648</v>
      </c>
      <c r="W16" s="51" t="s">
        <v>648</v>
      </c>
      <c r="X16" s="51" t="s">
        <v>648</v>
      </c>
      <c r="Y16" s="52">
        <v>20</v>
      </c>
      <c r="Z16" s="51" t="s">
        <v>649</v>
      </c>
      <c r="AA16" s="48" t="s">
        <v>697</v>
      </c>
      <c r="AB16" s="48" t="s">
        <v>697</v>
      </c>
      <c r="AC16" s="53">
        <v>1</v>
      </c>
      <c r="AD16" s="55"/>
      <c r="AE16" s="55"/>
      <c r="AF16" s="55" t="s">
        <v>727</v>
      </c>
      <c r="AG16" s="55">
        <v>0</v>
      </c>
      <c r="AH16" s="54">
        <v>2237641608</v>
      </c>
      <c r="AI16" s="51" t="s">
        <v>593</v>
      </c>
      <c r="AJ16" s="51" t="s">
        <v>594</v>
      </c>
      <c r="AK16" s="51" t="s">
        <v>595</v>
      </c>
      <c r="AL16" s="51" t="s">
        <v>596</v>
      </c>
      <c r="AM16" s="51" t="s">
        <v>597</v>
      </c>
      <c r="AN16" s="51" t="s">
        <v>598</v>
      </c>
      <c r="AO16" s="51" t="s">
        <v>599</v>
      </c>
      <c r="AP16" s="51" t="s">
        <v>651</v>
      </c>
      <c r="AQ16" s="55">
        <v>448</v>
      </c>
      <c r="AR16" s="55"/>
      <c r="AS16" s="55" t="s">
        <v>652</v>
      </c>
      <c r="AT16" s="54">
        <v>7000</v>
      </c>
      <c r="AU16" s="55" t="s">
        <v>718</v>
      </c>
      <c r="AV16" s="55"/>
      <c r="AW16" s="55" t="s">
        <v>732</v>
      </c>
      <c r="AX16" s="55" t="s">
        <v>732</v>
      </c>
      <c r="AY16" s="55" t="s">
        <v>732</v>
      </c>
      <c r="AZ16" s="55"/>
      <c r="BA16" s="55" t="s">
        <v>732</v>
      </c>
      <c r="BB16" s="51"/>
      <c r="BC16" s="51" t="s">
        <v>665</v>
      </c>
      <c r="BD16" s="51" t="s">
        <v>654</v>
      </c>
      <c r="BE16" s="51" t="s">
        <v>708</v>
      </c>
      <c r="BF16" s="58" t="s">
        <v>656</v>
      </c>
      <c r="BG16" s="51"/>
      <c r="BH16" s="51"/>
      <c r="BI16" s="51"/>
      <c r="BJ16" s="51"/>
      <c r="BK16" s="51"/>
      <c r="BL16" s="51"/>
      <c r="BM16" s="51">
        <v>5</v>
      </c>
      <c r="BN16" s="60">
        <v>5</v>
      </c>
    </row>
    <row r="17" spans="1:66" x14ac:dyDescent="0.25">
      <c r="A17" s="66" t="s">
        <v>733</v>
      </c>
      <c r="B17" s="48" t="s">
        <v>734</v>
      </c>
      <c r="C17" s="48" t="s">
        <v>735</v>
      </c>
      <c r="D17" s="48" t="s">
        <v>642</v>
      </c>
      <c r="E17" s="48" t="s">
        <v>735</v>
      </c>
      <c r="F17" s="48" t="s">
        <v>671</v>
      </c>
      <c r="G17" s="48">
        <v>789446768</v>
      </c>
      <c r="H17" s="48">
        <v>789446768</v>
      </c>
      <c r="I17" s="48">
        <v>789446768</v>
      </c>
      <c r="J17" s="49" t="s">
        <v>701</v>
      </c>
      <c r="K17" s="48" t="s">
        <v>736</v>
      </c>
      <c r="L17" s="48" t="s">
        <v>736</v>
      </c>
      <c r="M17" s="50">
        <v>0.67438160000000003</v>
      </c>
      <c r="N17" s="50">
        <v>31.836002199999999</v>
      </c>
      <c r="O17" s="48" t="s">
        <v>646</v>
      </c>
      <c r="P17" s="48" t="s">
        <v>647</v>
      </c>
      <c r="Q17" s="51">
        <v>7</v>
      </c>
      <c r="R17" s="51" t="s">
        <v>648</v>
      </c>
      <c r="S17" s="51" t="s">
        <v>648</v>
      </c>
      <c r="T17" s="51" t="s">
        <v>648</v>
      </c>
      <c r="U17" s="51" t="s">
        <v>648</v>
      </c>
      <c r="V17" s="51" t="s">
        <v>648</v>
      </c>
      <c r="W17" s="51" t="s">
        <v>648</v>
      </c>
      <c r="X17" s="51" t="s">
        <v>648</v>
      </c>
      <c r="Y17" s="52">
        <v>20</v>
      </c>
      <c r="Z17" s="51" t="s">
        <v>649</v>
      </c>
      <c r="AA17" s="48" t="s">
        <v>703</v>
      </c>
      <c r="AB17" s="48" t="s">
        <v>703</v>
      </c>
      <c r="AC17" s="53">
        <v>1</v>
      </c>
      <c r="AD17" s="55"/>
      <c r="AE17" s="55"/>
      <c r="AF17" s="55" t="s">
        <v>727</v>
      </c>
      <c r="AG17" s="55">
        <v>0</v>
      </c>
      <c r="AH17" s="54">
        <v>1976369683</v>
      </c>
      <c r="AI17" s="51" t="s">
        <v>593</v>
      </c>
      <c r="AJ17" s="51" t="s">
        <v>594</v>
      </c>
      <c r="AK17" s="51" t="s">
        <v>595</v>
      </c>
      <c r="AL17" s="51" t="s">
        <v>596</v>
      </c>
      <c r="AM17" s="51" t="s">
        <v>597</v>
      </c>
      <c r="AN17" s="51" t="s">
        <v>598</v>
      </c>
      <c r="AO17" s="51" t="s">
        <v>599</v>
      </c>
      <c r="AP17" s="51" t="s">
        <v>651</v>
      </c>
      <c r="AQ17" s="55">
        <v>448</v>
      </c>
      <c r="AR17" s="55"/>
      <c r="AS17" s="55" t="s">
        <v>664</v>
      </c>
      <c r="AT17" s="54">
        <v>6702</v>
      </c>
      <c r="AU17" s="55" t="s">
        <v>718</v>
      </c>
      <c r="AV17" s="55"/>
      <c r="AW17" s="55" t="s">
        <v>732</v>
      </c>
      <c r="AX17" s="55" t="s">
        <v>732</v>
      </c>
      <c r="AY17" s="55" t="s">
        <v>732</v>
      </c>
      <c r="AZ17" s="55"/>
      <c r="BA17" s="55" t="s">
        <v>732</v>
      </c>
      <c r="BB17" s="51"/>
      <c r="BC17" s="51" t="s">
        <v>665</v>
      </c>
      <c r="BD17" s="51" t="s">
        <v>654</v>
      </c>
      <c r="BE17" s="51" t="s">
        <v>708</v>
      </c>
      <c r="BF17" s="58" t="s">
        <v>656</v>
      </c>
      <c r="BG17" s="51"/>
      <c r="BH17" s="51"/>
      <c r="BI17" s="51"/>
      <c r="BJ17" s="51"/>
      <c r="BK17" s="51"/>
      <c r="BL17" s="51"/>
      <c r="BM17" s="51">
        <v>5</v>
      </c>
      <c r="BN17" s="60">
        <v>5</v>
      </c>
    </row>
    <row r="18" spans="1:66" x14ac:dyDescent="0.25">
      <c r="A18" s="47" t="s">
        <v>737</v>
      </c>
      <c r="B18" s="48" t="s">
        <v>734</v>
      </c>
      <c r="C18" s="48" t="s">
        <v>735</v>
      </c>
      <c r="D18" s="48" t="s">
        <v>642</v>
      </c>
      <c r="E18" s="48" t="s">
        <v>735</v>
      </c>
      <c r="F18" s="48" t="s">
        <v>671</v>
      </c>
      <c r="G18" s="48">
        <v>789446768</v>
      </c>
      <c r="H18" s="48">
        <v>789446768</v>
      </c>
      <c r="I18" s="48">
        <v>789446768</v>
      </c>
      <c r="J18" s="49" t="s">
        <v>701</v>
      </c>
      <c r="K18" s="48" t="s">
        <v>738</v>
      </c>
      <c r="L18" s="48" t="s">
        <v>738</v>
      </c>
      <c r="M18" s="50">
        <v>0.39959499999999998</v>
      </c>
      <c r="N18" s="50">
        <v>32.043931669999999</v>
      </c>
      <c r="O18" s="48" t="s">
        <v>646</v>
      </c>
      <c r="P18" s="48" t="s">
        <v>647</v>
      </c>
      <c r="Q18" s="51">
        <v>7</v>
      </c>
      <c r="R18" s="51" t="s">
        <v>648</v>
      </c>
      <c r="S18" s="51" t="s">
        <v>648</v>
      </c>
      <c r="T18" s="51" t="s">
        <v>648</v>
      </c>
      <c r="U18" s="51" t="s">
        <v>648</v>
      </c>
      <c r="V18" s="51" t="s">
        <v>648</v>
      </c>
      <c r="W18" s="51" t="s">
        <v>648</v>
      </c>
      <c r="X18" s="51" t="s">
        <v>648</v>
      </c>
      <c r="Y18" s="52">
        <v>20</v>
      </c>
      <c r="Z18" s="51" t="s">
        <v>649</v>
      </c>
      <c r="AA18" s="48" t="s">
        <v>703</v>
      </c>
      <c r="AB18" s="48" t="s">
        <v>703</v>
      </c>
      <c r="AC18" s="53">
        <v>1</v>
      </c>
      <c r="AD18" s="54">
        <v>55000</v>
      </c>
      <c r="AE18" s="54">
        <v>62605</v>
      </c>
      <c r="AF18" s="55">
        <v>467</v>
      </c>
      <c r="AG18" s="55">
        <v>0</v>
      </c>
      <c r="AH18" s="54">
        <v>1976369683</v>
      </c>
      <c r="AI18" s="51" t="s">
        <v>593</v>
      </c>
      <c r="AJ18" s="51" t="s">
        <v>594</v>
      </c>
      <c r="AK18" s="51" t="s">
        <v>595</v>
      </c>
      <c r="AL18" s="51" t="s">
        <v>596</v>
      </c>
      <c r="AM18" s="51" t="s">
        <v>597</v>
      </c>
      <c r="AN18" s="51" t="s">
        <v>598</v>
      </c>
      <c r="AO18" s="51" t="s">
        <v>599</v>
      </c>
      <c r="AP18" s="51" t="s">
        <v>651</v>
      </c>
      <c r="AQ18" s="54">
        <v>448</v>
      </c>
      <c r="AR18" s="54">
        <v>629793</v>
      </c>
      <c r="AS18" s="55" t="s">
        <v>664</v>
      </c>
      <c r="AT18" s="54">
        <v>6702</v>
      </c>
      <c r="AU18" s="54">
        <v>2157322692</v>
      </c>
      <c r="AV18" s="54">
        <v>18293893807</v>
      </c>
      <c r="AW18" s="55">
        <v>134</v>
      </c>
      <c r="AX18" s="55">
        <v>2</v>
      </c>
      <c r="AY18" s="54">
        <v>3425</v>
      </c>
      <c r="AZ18" s="56">
        <v>7.0000000000000007E-2</v>
      </c>
      <c r="BA18" s="55">
        <v>25</v>
      </c>
      <c r="BB18" s="57">
        <v>6.9000000000000006E-2</v>
      </c>
      <c r="BC18" s="51" t="s">
        <v>653</v>
      </c>
      <c r="BD18" s="51" t="s">
        <v>654</v>
      </c>
      <c r="BE18" s="51" t="s">
        <v>655</v>
      </c>
      <c r="BF18" s="58" t="s">
        <v>656</v>
      </c>
      <c r="BG18" s="51">
        <v>4</v>
      </c>
      <c r="BH18" s="51">
        <v>4</v>
      </c>
      <c r="BI18" s="51">
        <v>1</v>
      </c>
      <c r="BJ18" s="51">
        <v>1</v>
      </c>
      <c r="BK18" s="59">
        <v>4.5999999999999999E-3</v>
      </c>
      <c r="BL18" s="51">
        <v>38</v>
      </c>
      <c r="BM18" s="51">
        <v>5</v>
      </c>
      <c r="BN18" s="60">
        <v>7.57</v>
      </c>
    </row>
    <row r="19" spans="1:66" x14ac:dyDescent="0.25">
      <c r="A19" s="47" t="s">
        <v>739</v>
      </c>
      <c r="B19" s="48" t="s">
        <v>740</v>
      </c>
      <c r="C19" s="48" t="s">
        <v>741</v>
      </c>
      <c r="D19" s="48" t="s">
        <v>642</v>
      </c>
      <c r="E19" s="48" t="s">
        <v>741</v>
      </c>
      <c r="F19" s="48" t="s">
        <v>671</v>
      </c>
      <c r="G19" s="48">
        <v>70072790</v>
      </c>
      <c r="H19" s="48">
        <v>787560468</v>
      </c>
      <c r="I19" s="48">
        <v>787560468</v>
      </c>
      <c r="J19" s="49" t="s">
        <v>701</v>
      </c>
      <c r="K19" s="48" t="s">
        <v>742</v>
      </c>
      <c r="L19" s="48" t="s">
        <v>742</v>
      </c>
      <c r="M19" s="50">
        <v>2.5327966669999999</v>
      </c>
      <c r="N19" s="50">
        <v>31.841194999999999</v>
      </c>
      <c r="O19" s="48" t="s">
        <v>646</v>
      </c>
      <c r="P19" s="48" t="s">
        <v>647</v>
      </c>
      <c r="Q19" s="51">
        <v>7</v>
      </c>
      <c r="R19" s="51" t="s">
        <v>648</v>
      </c>
      <c r="S19" s="51" t="s">
        <v>648</v>
      </c>
      <c r="T19" s="51" t="s">
        <v>648</v>
      </c>
      <c r="U19" s="51" t="s">
        <v>648</v>
      </c>
      <c r="V19" s="51" t="s">
        <v>648</v>
      </c>
      <c r="W19" s="51" t="s">
        <v>648</v>
      </c>
      <c r="X19" s="51" t="s">
        <v>648</v>
      </c>
      <c r="Y19" s="52">
        <v>20</v>
      </c>
      <c r="Z19" s="51" t="s">
        <v>649</v>
      </c>
      <c r="AA19" s="48" t="s">
        <v>703</v>
      </c>
      <c r="AB19" s="48" t="s">
        <v>703</v>
      </c>
      <c r="AC19" s="53">
        <v>1</v>
      </c>
      <c r="AD19" s="54">
        <v>60000</v>
      </c>
      <c r="AE19" s="54">
        <v>44106</v>
      </c>
      <c r="AF19" s="55">
        <v>318</v>
      </c>
      <c r="AG19" s="55">
        <v>0</v>
      </c>
      <c r="AH19" s="54">
        <v>1822785369</v>
      </c>
      <c r="AI19" s="51" t="s">
        <v>593</v>
      </c>
      <c r="AJ19" s="51" t="s">
        <v>594</v>
      </c>
      <c r="AK19" s="51" t="s">
        <v>595</v>
      </c>
      <c r="AL19" s="51" t="s">
        <v>596</v>
      </c>
      <c r="AM19" s="51" t="s">
        <v>597</v>
      </c>
      <c r="AN19" s="51" t="s">
        <v>598</v>
      </c>
      <c r="AO19" s="51" t="s">
        <v>599</v>
      </c>
      <c r="AP19" s="51" t="s">
        <v>651</v>
      </c>
      <c r="AQ19" s="54">
        <v>1040</v>
      </c>
      <c r="AR19" s="54">
        <v>429219</v>
      </c>
      <c r="AS19" s="55" t="s">
        <v>664</v>
      </c>
      <c r="AT19" s="54">
        <v>5794</v>
      </c>
      <c r="AU19" s="54">
        <v>1252648141</v>
      </c>
      <c r="AV19" s="54">
        <v>12651041784</v>
      </c>
      <c r="AW19" s="55">
        <v>139</v>
      </c>
      <c r="AX19" s="55">
        <v>2</v>
      </c>
      <c r="AY19" s="54">
        <v>2918</v>
      </c>
      <c r="AZ19" s="56">
        <v>0.05</v>
      </c>
      <c r="BA19" s="55">
        <v>22</v>
      </c>
      <c r="BB19" s="57">
        <v>4.8000000000000001E-2</v>
      </c>
      <c r="BC19" s="51" t="s">
        <v>653</v>
      </c>
      <c r="BD19" s="51" t="s">
        <v>654</v>
      </c>
      <c r="BE19" s="51" t="s">
        <v>655</v>
      </c>
      <c r="BF19" s="58" t="s">
        <v>656</v>
      </c>
      <c r="BG19" s="51">
        <v>3</v>
      </c>
      <c r="BH19" s="51">
        <v>3</v>
      </c>
      <c r="BI19" s="51">
        <v>2</v>
      </c>
      <c r="BJ19" s="51">
        <v>1</v>
      </c>
      <c r="BK19" s="59">
        <v>5.9999999999999995E-4</v>
      </c>
      <c r="BL19" s="51">
        <v>91</v>
      </c>
      <c r="BM19" s="51">
        <v>5</v>
      </c>
      <c r="BN19" s="60">
        <v>15</v>
      </c>
    </row>
    <row r="20" spans="1:66" x14ac:dyDescent="0.25">
      <c r="A20" s="66" t="s">
        <v>743</v>
      </c>
      <c r="B20" s="48" t="s">
        <v>729</v>
      </c>
      <c r="C20" s="51" t="s">
        <v>716</v>
      </c>
      <c r="D20" s="48" t="s">
        <v>660</v>
      </c>
      <c r="E20" s="51" t="s">
        <v>716</v>
      </c>
      <c r="F20" s="48" t="s">
        <v>671</v>
      </c>
      <c r="G20" s="48">
        <v>777014145</v>
      </c>
      <c r="H20" s="48">
        <v>777014145</v>
      </c>
      <c r="I20" s="48">
        <v>777014145</v>
      </c>
      <c r="J20" s="49" t="s">
        <v>701</v>
      </c>
      <c r="K20" s="48" t="s">
        <v>744</v>
      </c>
      <c r="L20" s="48" t="s">
        <v>744</v>
      </c>
      <c r="M20" s="50">
        <v>-0.32294833299999998</v>
      </c>
      <c r="N20" s="50">
        <v>32.289090000000002</v>
      </c>
      <c r="O20" s="48" t="s">
        <v>646</v>
      </c>
      <c r="P20" s="48" t="s">
        <v>647</v>
      </c>
      <c r="Q20" s="51">
        <v>7</v>
      </c>
      <c r="R20" s="51" t="s">
        <v>648</v>
      </c>
      <c r="S20" s="51" t="s">
        <v>648</v>
      </c>
      <c r="T20" s="51" t="s">
        <v>648</v>
      </c>
      <c r="U20" s="51" t="s">
        <v>648</v>
      </c>
      <c r="V20" s="51" t="s">
        <v>648</v>
      </c>
      <c r="W20" s="51" t="s">
        <v>648</v>
      </c>
      <c r="X20" s="51" t="s">
        <v>648</v>
      </c>
      <c r="Y20" s="52">
        <v>20</v>
      </c>
      <c r="Z20" s="51" t="s">
        <v>649</v>
      </c>
      <c r="AA20" s="48" t="s">
        <v>697</v>
      </c>
      <c r="AB20" s="48" t="s">
        <v>697</v>
      </c>
      <c r="AC20" s="53">
        <v>1</v>
      </c>
      <c r="AD20" s="54">
        <v>3000</v>
      </c>
      <c r="AE20" s="55"/>
      <c r="AF20" s="55" t="s">
        <v>718</v>
      </c>
      <c r="AG20" s="55">
        <v>0</v>
      </c>
      <c r="AH20" s="54">
        <v>250945008</v>
      </c>
      <c r="AI20" s="51" t="s">
        <v>593</v>
      </c>
      <c r="AJ20" s="51" t="s">
        <v>594</v>
      </c>
      <c r="AK20" s="51" t="s">
        <v>595</v>
      </c>
      <c r="AL20" s="51" t="s">
        <v>596</v>
      </c>
      <c r="AM20" s="51" t="s">
        <v>597</v>
      </c>
      <c r="AN20" s="51" t="s">
        <v>598</v>
      </c>
      <c r="AO20" s="51" t="s">
        <v>599</v>
      </c>
      <c r="AP20" s="51" t="s">
        <v>651</v>
      </c>
      <c r="AQ20" s="55">
        <v>670</v>
      </c>
      <c r="AR20" s="55"/>
      <c r="AS20" s="55" t="s">
        <v>652</v>
      </c>
      <c r="AT20" s="54">
        <v>7000</v>
      </c>
      <c r="AU20" s="55" t="s">
        <v>718</v>
      </c>
      <c r="AV20" s="55"/>
      <c r="AW20" s="55" t="s">
        <v>732</v>
      </c>
      <c r="AX20" s="55" t="s">
        <v>732</v>
      </c>
      <c r="AY20" s="55" t="s">
        <v>732</v>
      </c>
      <c r="AZ20" s="55"/>
      <c r="BA20" s="55" t="s">
        <v>732</v>
      </c>
      <c r="BB20" s="51"/>
      <c r="BC20" s="51" t="s">
        <v>665</v>
      </c>
      <c r="BD20" s="51" t="s">
        <v>666</v>
      </c>
      <c r="BE20" s="51" t="s">
        <v>667</v>
      </c>
      <c r="BF20" s="58" t="s">
        <v>656</v>
      </c>
      <c r="BG20" s="51"/>
      <c r="BH20" s="51"/>
      <c r="BI20" s="51"/>
      <c r="BJ20" s="51"/>
      <c r="BK20" s="51"/>
      <c r="BL20" s="51"/>
      <c r="BM20" s="51">
        <v>5</v>
      </c>
      <c r="BN20" s="60">
        <v>5</v>
      </c>
    </row>
    <row r="21" spans="1:66" x14ac:dyDescent="0.25">
      <c r="A21" s="47" t="s">
        <v>745</v>
      </c>
      <c r="B21" s="48" t="s">
        <v>746</v>
      </c>
      <c r="C21" s="48" t="s">
        <v>747</v>
      </c>
      <c r="D21" s="48" t="s">
        <v>660</v>
      </c>
      <c r="E21" s="51" t="s">
        <v>748</v>
      </c>
      <c r="F21" s="48" t="s">
        <v>671</v>
      </c>
      <c r="G21" s="50">
        <v>772381421</v>
      </c>
      <c r="H21" s="50">
        <v>772381421</v>
      </c>
      <c r="I21" s="50">
        <v>772381421</v>
      </c>
      <c r="J21" s="67" t="s">
        <v>749</v>
      </c>
      <c r="K21" s="48" t="s">
        <v>750</v>
      </c>
      <c r="L21" s="48" t="s">
        <v>750</v>
      </c>
      <c r="M21" s="51">
        <v>-0.54070833299999999</v>
      </c>
      <c r="N21" s="51">
        <v>30.188144999999999</v>
      </c>
      <c r="O21" s="48" t="s">
        <v>646</v>
      </c>
      <c r="P21" s="48" t="s">
        <v>647</v>
      </c>
      <c r="Q21" s="51">
        <v>7</v>
      </c>
      <c r="R21" s="51" t="s">
        <v>648</v>
      </c>
      <c r="S21" s="51" t="s">
        <v>648</v>
      </c>
      <c r="T21" s="51" t="s">
        <v>648</v>
      </c>
      <c r="U21" s="51" t="s">
        <v>648</v>
      </c>
      <c r="V21" s="51" t="s">
        <v>648</v>
      </c>
      <c r="W21" s="51" t="s">
        <v>648</v>
      </c>
      <c r="X21" s="51" t="s">
        <v>648</v>
      </c>
      <c r="Y21" s="52">
        <v>20</v>
      </c>
      <c r="Z21" s="51" t="s">
        <v>649</v>
      </c>
      <c r="AA21" s="48" t="s">
        <v>697</v>
      </c>
      <c r="AB21" s="48" t="s">
        <v>697</v>
      </c>
      <c r="AC21" s="53">
        <v>1</v>
      </c>
      <c r="AD21" s="54">
        <v>25000</v>
      </c>
      <c r="AE21" s="54">
        <v>39888</v>
      </c>
      <c r="AF21" s="55">
        <v>280</v>
      </c>
      <c r="AG21" s="55">
        <v>0</v>
      </c>
      <c r="AH21" s="54">
        <v>1605852878</v>
      </c>
      <c r="AI21" s="51" t="s">
        <v>593</v>
      </c>
      <c r="AJ21" s="51" t="s">
        <v>594</v>
      </c>
      <c r="AK21" s="51" t="s">
        <v>595</v>
      </c>
      <c r="AL21" s="51" t="s">
        <v>596</v>
      </c>
      <c r="AM21" s="51" t="s">
        <v>597</v>
      </c>
      <c r="AN21" s="51" t="s">
        <v>598</v>
      </c>
      <c r="AO21" s="51" t="s">
        <v>599</v>
      </c>
      <c r="AP21" s="51" t="s">
        <v>651</v>
      </c>
      <c r="AQ21" s="54">
        <v>600</v>
      </c>
      <c r="AR21" s="54">
        <v>377328</v>
      </c>
      <c r="AS21" s="55" t="s">
        <v>652</v>
      </c>
      <c r="AT21" s="55" t="s">
        <v>718</v>
      </c>
      <c r="AU21" s="54">
        <v>103760182</v>
      </c>
      <c r="AV21" s="54">
        <v>11849734000</v>
      </c>
      <c r="AW21" s="55">
        <v>143</v>
      </c>
      <c r="AX21" s="55">
        <v>12</v>
      </c>
      <c r="AY21" s="55">
        <v>275</v>
      </c>
      <c r="AZ21" s="56">
        <v>0.04</v>
      </c>
      <c r="BA21" s="55">
        <v>3</v>
      </c>
      <c r="BB21" s="57">
        <v>4.3999999999999997E-2</v>
      </c>
      <c r="BC21" s="51" t="s">
        <v>665</v>
      </c>
      <c r="BD21" s="51" t="s">
        <v>654</v>
      </c>
      <c r="BE21" s="51" t="s">
        <v>708</v>
      </c>
      <c r="BF21" s="58" t="s">
        <v>656</v>
      </c>
      <c r="BG21" s="51">
        <v>3</v>
      </c>
      <c r="BH21" s="51">
        <v>3</v>
      </c>
      <c r="BI21" s="51">
        <v>4</v>
      </c>
      <c r="BJ21" s="51">
        <v>2</v>
      </c>
      <c r="BK21" s="59">
        <v>1.0500000000000001E-2</v>
      </c>
      <c r="BL21" s="51">
        <v>100</v>
      </c>
      <c r="BM21" s="51">
        <v>5</v>
      </c>
      <c r="BN21" s="60">
        <v>16.72</v>
      </c>
    </row>
    <row r="22" spans="1:66" x14ac:dyDescent="0.25">
      <c r="A22" s="68" t="s">
        <v>751</v>
      </c>
      <c r="B22" s="48" t="s">
        <v>752</v>
      </c>
      <c r="C22" s="48" t="s">
        <v>747</v>
      </c>
      <c r="D22" s="48" t="s">
        <v>660</v>
      </c>
      <c r="E22" s="51" t="s">
        <v>748</v>
      </c>
      <c r="F22" s="48" t="s">
        <v>671</v>
      </c>
      <c r="G22" s="50">
        <v>772381421</v>
      </c>
      <c r="H22" s="50">
        <v>772381421</v>
      </c>
      <c r="I22" s="50">
        <v>772381421</v>
      </c>
      <c r="J22" s="67" t="s">
        <v>749</v>
      </c>
      <c r="K22" s="51" t="s">
        <v>753</v>
      </c>
      <c r="L22" s="51" t="s">
        <v>753</v>
      </c>
      <c r="M22" s="51">
        <v>-0.13414699999999999</v>
      </c>
      <c r="N22" s="64">
        <v>30.494323999999999</v>
      </c>
      <c r="O22" s="48" t="s">
        <v>646</v>
      </c>
      <c r="P22" s="48" t="s">
        <v>647</v>
      </c>
      <c r="Q22" s="51">
        <v>7</v>
      </c>
      <c r="R22" s="51" t="s">
        <v>648</v>
      </c>
      <c r="S22" s="51" t="s">
        <v>648</v>
      </c>
      <c r="T22" s="51" t="s">
        <v>648</v>
      </c>
      <c r="U22" s="51" t="s">
        <v>648</v>
      </c>
      <c r="V22" s="51" t="s">
        <v>648</v>
      </c>
      <c r="W22" s="51" t="s">
        <v>648</v>
      </c>
      <c r="X22" s="51" t="s">
        <v>648</v>
      </c>
      <c r="Y22" s="52">
        <v>20</v>
      </c>
      <c r="Z22" s="51" t="s">
        <v>649</v>
      </c>
      <c r="AA22" s="48" t="s">
        <v>697</v>
      </c>
      <c r="AB22" s="48" t="s">
        <v>697</v>
      </c>
      <c r="AC22" s="53">
        <v>1</v>
      </c>
      <c r="AD22" s="54">
        <v>16700</v>
      </c>
      <c r="AE22" s="54">
        <v>24122</v>
      </c>
      <c r="AF22" s="55">
        <v>175</v>
      </c>
      <c r="AG22" s="55">
        <v>0</v>
      </c>
      <c r="AH22" s="54">
        <v>808654057</v>
      </c>
      <c r="AI22" s="51" t="s">
        <v>593</v>
      </c>
      <c r="AJ22" s="51" t="s">
        <v>594</v>
      </c>
      <c r="AK22" s="51" t="s">
        <v>595</v>
      </c>
      <c r="AL22" s="51" t="s">
        <v>596</v>
      </c>
      <c r="AM22" s="51" t="s">
        <v>597</v>
      </c>
      <c r="AN22" s="51" t="s">
        <v>598</v>
      </c>
      <c r="AO22" s="51" t="s">
        <v>599</v>
      </c>
      <c r="AP22" s="51" t="s">
        <v>651</v>
      </c>
      <c r="AQ22" s="54">
        <v>0</v>
      </c>
      <c r="AR22" s="54">
        <v>236100</v>
      </c>
      <c r="AS22" s="55" t="s">
        <v>652</v>
      </c>
      <c r="AT22" s="55" t="s">
        <v>718</v>
      </c>
      <c r="AU22" s="54">
        <v>94538835</v>
      </c>
      <c r="AV22" s="54">
        <v>7219224145</v>
      </c>
      <c r="AW22" s="55">
        <v>138</v>
      </c>
      <c r="AX22" s="55">
        <v>8</v>
      </c>
      <c r="AY22" s="55">
        <v>400</v>
      </c>
      <c r="AZ22" s="56">
        <v>0.03</v>
      </c>
      <c r="BA22" s="55">
        <v>5</v>
      </c>
      <c r="BB22" s="57">
        <v>2.5999999999999999E-2</v>
      </c>
      <c r="BC22" s="51" t="s">
        <v>665</v>
      </c>
      <c r="BD22" s="51" t="s">
        <v>666</v>
      </c>
      <c r="BE22" s="51" t="s">
        <v>667</v>
      </c>
      <c r="BF22" s="62" t="s">
        <v>668</v>
      </c>
      <c r="BG22" s="51">
        <v>2</v>
      </c>
      <c r="BH22" s="51">
        <v>2</v>
      </c>
      <c r="BI22" s="51">
        <v>4</v>
      </c>
      <c r="BJ22" s="51">
        <v>1</v>
      </c>
      <c r="BK22" s="59">
        <v>1.6999999999999999E-3</v>
      </c>
      <c r="BL22" s="51">
        <v>0</v>
      </c>
      <c r="BM22" s="51">
        <v>5</v>
      </c>
      <c r="BN22" s="60">
        <v>2</v>
      </c>
    </row>
    <row r="23" spans="1:66" x14ac:dyDescent="0.25">
      <c r="A23" s="66" t="s">
        <v>754</v>
      </c>
      <c r="B23" s="48" t="s">
        <v>755</v>
      </c>
      <c r="C23" s="48" t="s">
        <v>747</v>
      </c>
      <c r="D23" s="51" t="s">
        <v>642</v>
      </c>
      <c r="E23" s="51" t="s">
        <v>748</v>
      </c>
      <c r="F23" s="48" t="s">
        <v>671</v>
      </c>
      <c r="G23" s="50">
        <v>772381421</v>
      </c>
      <c r="H23" s="50">
        <v>772381421</v>
      </c>
      <c r="I23" s="50">
        <v>772381421</v>
      </c>
      <c r="J23" s="67" t="s">
        <v>749</v>
      </c>
      <c r="K23" s="51" t="s">
        <v>756</v>
      </c>
      <c r="L23" s="51" t="s">
        <v>696</v>
      </c>
      <c r="M23" s="51">
        <v>-0.60814100000000004</v>
      </c>
      <c r="N23" s="51">
        <v>30.676364</v>
      </c>
      <c r="O23" s="48" t="s">
        <v>646</v>
      </c>
      <c r="P23" s="48" t="s">
        <v>647</v>
      </c>
      <c r="Q23" s="51">
        <v>7</v>
      </c>
      <c r="R23" s="51" t="s">
        <v>648</v>
      </c>
      <c r="S23" s="51" t="s">
        <v>648</v>
      </c>
      <c r="T23" s="51" t="s">
        <v>648</v>
      </c>
      <c r="U23" s="51" t="s">
        <v>648</v>
      </c>
      <c r="V23" s="51" t="s">
        <v>648</v>
      </c>
      <c r="W23" s="51" t="s">
        <v>648</v>
      </c>
      <c r="X23" s="51" t="s">
        <v>648</v>
      </c>
      <c r="Y23" s="52">
        <v>20</v>
      </c>
      <c r="Z23" s="51" t="s">
        <v>649</v>
      </c>
      <c r="AA23" s="48" t="s">
        <v>697</v>
      </c>
      <c r="AB23" s="48" t="s">
        <v>697</v>
      </c>
      <c r="AC23" s="53">
        <v>1</v>
      </c>
      <c r="AD23" s="54">
        <v>60000</v>
      </c>
      <c r="AE23" s="54">
        <v>51444</v>
      </c>
      <c r="AF23" s="55">
        <v>368</v>
      </c>
      <c r="AG23" s="55">
        <v>0</v>
      </c>
      <c r="AH23" s="54">
        <v>2680678845</v>
      </c>
      <c r="AI23" s="51" t="s">
        <v>593</v>
      </c>
      <c r="AJ23" s="51" t="s">
        <v>594</v>
      </c>
      <c r="AK23" s="51" t="s">
        <v>595</v>
      </c>
      <c r="AL23" s="51" t="s">
        <v>596</v>
      </c>
      <c r="AM23" s="51" t="s">
        <v>597</v>
      </c>
      <c r="AN23" s="51" t="s">
        <v>598</v>
      </c>
      <c r="AO23" s="51" t="s">
        <v>599</v>
      </c>
      <c r="AP23" s="51" t="s">
        <v>651</v>
      </c>
      <c r="AQ23" s="54">
        <v>0</v>
      </c>
      <c r="AR23" s="54">
        <v>496413</v>
      </c>
      <c r="AS23" s="55" t="s">
        <v>652</v>
      </c>
      <c r="AT23" s="54">
        <v>7000</v>
      </c>
      <c r="AU23" s="54">
        <v>23948585</v>
      </c>
      <c r="AV23" s="54">
        <v>15582636550</v>
      </c>
      <c r="AW23" s="55">
        <v>139.9</v>
      </c>
      <c r="AX23" s="55">
        <v>68</v>
      </c>
      <c r="AY23" s="55">
        <v>48</v>
      </c>
      <c r="AZ23" s="56">
        <v>0.06</v>
      </c>
      <c r="BA23" s="55">
        <v>1</v>
      </c>
      <c r="BB23" s="57">
        <v>5.6000000000000001E-2</v>
      </c>
      <c r="BC23" s="51" t="s">
        <v>679</v>
      </c>
      <c r="BD23" s="51" t="s">
        <v>666</v>
      </c>
      <c r="BE23" s="51" t="s">
        <v>680</v>
      </c>
      <c r="BF23" s="58" t="s">
        <v>656</v>
      </c>
      <c r="BG23" s="51">
        <v>4</v>
      </c>
      <c r="BH23" s="51">
        <v>4</v>
      </c>
      <c r="BI23" s="51">
        <v>4</v>
      </c>
      <c r="BJ23" s="51">
        <v>1</v>
      </c>
      <c r="BK23" s="51"/>
      <c r="BL23" s="51">
        <v>86</v>
      </c>
      <c r="BM23" s="51">
        <v>5</v>
      </c>
      <c r="BN23" s="60">
        <v>17.329999999999998</v>
      </c>
    </row>
    <row r="24" spans="1:66" x14ac:dyDescent="0.25">
      <c r="A24" s="66" t="s">
        <v>757</v>
      </c>
      <c r="B24" s="48" t="s">
        <v>755</v>
      </c>
      <c r="C24" s="51" t="s">
        <v>758</v>
      </c>
      <c r="D24" s="51" t="s">
        <v>642</v>
      </c>
      <c r="E24" s="51" t="s">
        <v>759</v>
      </c>
      <c r="F24" s="48" t="s">
        <v>671</v>
      </c>
      <c r="G24" s="51">
        <v>703110134</v>
      </c>
      <c r="H24" s="51">
        <v>703110134</v>
      </c>
      <c r="I24" s="51">
        <v>703110134</v>
      </c>
      <c r="J24" s="67" t="s">
        <v>749</v>
      </c>
      <c r="K24" s="51" t="s">
        <v>760</v>
      </c>
      <c r="L24" s="51" t="s">
        <v>760</v>
      </c>
      <c r="M24" s="50">
        <v>0.45131599999999999</v>
      </c>
      <c r="N24" s="50">
        <v>31.156546599999999</v>
      </c>
      <c r="O24" s="48" t="s">
        <v>646</v>
      </c>
      <c r="P24" s="48" t="s">
        <v>647</v>
      </c>
      <c r="Q24" s="51">
        <v>7</v>
      </c>
      <c r="R24" s="51" t="s">
        <v>648</v>
      </c>
      <c r="S24" s="51" t="s">
        <v>648</v>
      </c>
      <c r="T24" s="51" t="s">
        <v>648</v>
      </c>
      <c r="U24" s="51" t="s">
        <v>648</v>
      </c>
      <c r="V24" s="51" t="s">
        <v>648</v>
      </c>
      <c r="W24" s="51" t="s">
        <v>648</v>
      </c>
      <c r="X24" s="51" t="s">
        <v>648</v>
      </c>
      <c r="Y24" s="52">
        <v>20</v>
      </c>
      <c r="Z24" s="51" t="s">
        <v>649</v>
      </c>
      <c r="AA24" s="48" t="s">
        <v>697</v>
      </c>
      <c r="AB24" s="48" t="s">
        <v>697</v>
      </c>
      <c r="AC24" s="53">
        <v>1</v>
      </c>
      <c r="AD24" s="54">
        <v>31000</v>
      </c>
      <c r="AE24" s="55"/>
      <c r="AF24" s="55" t="s">
        <v>718</v>
      </c>
      <c r="AG24" s="55">
        <v>0</v>
      </c>
      <c r="AH24" s="54">
        <v>59346174</v>
      </c>
      <c r="AI24" s="51" t="s">
        <v>593</v>
      </c>
      <c r="AJ24" s="51" t="s">
        <v>594</v>
      </c>
      <c r="AK24" s="51" t="s">
        <v>595</v>
      </c>
      <c r="AL24" s="51" t="s">
        <v>596</v>
      </c>
      <c r="AM24" s="51" t="s">
        <v>597</v>
      </c>
      <c r="AN24" s="51" t="s">
        <v>598</v>
      </c>
      <c r="AO24" s="51" t="s">
        <v>599</v>
      </c>
      <c r="AP24" s="51" t="s">
        <v>651</v>
      </c>
      <c r="AQ24" s="55">
        <v>0</v>
      </c>
      <c r="AR24" s="55"/>
      <c r="AS24" s="55" t="s">
        <v>652</v>
      </c>
      <c r="AT24" s="54">
        <v>7000</v>
      </c>
      <c r="AU24" s="55" t="s">
        <v>718</v>
      </c>
      <c r="AV24" s="55"/>
      <c r="AW24" s="55" t="s">
        <v>732</v>
      </c>
      <c r="AX24" s="55" t="s">
        <v>732</v>
      </c>
      <c r="AY24" s="55" t="s">
        <v>732</v>
      </c>
      <c r="AZ24" s="55"/>
      <c r="BA24" s="55" t="s">
        <v>732</v>
      </c>
      <c r="BB24" s="51"/>
      <c r="BC24" s="51" t="s">
        <v>665</v>
      </c>
      <c r="BD24" s="51" t="s">
        <v>654</v>
      </c>
      <c r="BE24" s="51" t="s">
        <v>708</v>
      </c>
      <c r="BF24" s="58" t="s">
        <v>656</v>
      </c>
      <c r="BG24" s="51"/>
      <c r="BH24" s="51"/>
      <c r="BI24" s="51"/>
      <c r="BJ24" s="51"/>
      <c r="BK24" s="51"/>
      <c r="BL24" s="51"/>
      <c r="BM24" s="51">
        <v>5</v>
      </c>
      <c r="BN24" s="60">
        <v>5</v>
      </c>
    </row>
    <row r="25" spans="1:66" x14ac:dyDescent="0.25">
      <c r="A25" s="47" t="s">
        <v>761</v>
      </c>
      <c r="B25" s="48" t="s">
        <v>762</v>
      </c>
      <c r="C25" s="51" t="s">
        <v>763</v>
      </c>
      <c r="D25" s="51" t="s">
        <v>642</v>
      </c>
      <c r="E25" s="51" t="s">
        <v>763</v>
      </c>
      <c r="F25" s="48" t="s">
        <v>671</v>
      </c>
      <c r="G25" s="51">
        <v>752490085</v>
      </c>
      <c r="H25" s="48">
        <v>752490085</v>
      </c>
      <c r="I25" s="48">
        <v>752490085</v>
      </c>
      <c r="J25" s="61" t="s">
        <v>764</v>
      </c>
      <c r="K25" s="48" t="s">
        <v>765</v>
      </c>
      <c r="L25" s="48" t="s">
        <v>765</v>
      </c>
      <c r="M25" s="50">
        <v>0.65882499999999999</v>
      </c>
      <c r="N25" s="50">
        <v>30.274965000000002</v>
      </c>
      <c r="O25" s="48" t="s">
        <v>646</v>
      </c>
      <c r="P25" s="48" t="s">
        <v>647</v>
      </c>
      <c r="Q25" s="51">
        <v>7</v>
      </c>
      <c r="R25" s="51" t="s">
        <v>648</v>
      </c>
      <c r="S25" s="51" t="s">
        <v>648</v>
      </c>
      <c r="T25" s="51" t="s">
        <v>713</v>
      </c>
      <c r="U25" s="51" t="s">
        <v>648</v>
      </c>
      <c r="V25" s="51" t="s">
        <v>713</v>
      </c>
      <c r="W25" s="51" t="s">
        <v>713</v>
      </c>
      <c r="X25" s="51" t="s">
        <v>648</v>
      </c>
      <c r="Y25" s="52">
        <v>20</v>
      </c>
      <c r="Z25" s="51" t="s">
        <v>649</v>
      </c>
      <c r="AA25" s="48" t="s">
        <v>663</v>
      </c>
      <c r="AB25" s="48" t="s">
        <v>663</v>
      </c>
      <c r="AC25" s="53">
        <v>1</v>
      </c>
      <c r="AD25" s="54">
        <v>20000</v>
      </c>
      <c r="AE25" s="54">
        <v>31404</v>
      </c>
      <c r="AF25" s="55">
        <v>217</v>
      </c>
      <c r="AG25" s="55">
        <v>0</v>
      </c>
      <c r="AH25" s="54">
        <v>1274805685</v>
      </c>
      <c r="AI25" s="51" t="s">
        <v>593</v>
      </c>
      <c r="AJ25" s="51" t="s">
        <v>594</v>
      </c>
      <c r="AK25" s="51" t="s">
        <v>595</v>
      </c>
      <c r="AL25" s="51" t="s">
        <v>596</v>
      </c>
      <c r="AM25" s="51" t="s">
        <v>597</v>
      </c>
      <c r="AN25" s="51" t="s">
        <v>598</v>
      </c>
      <c r="AO25" s="51" t="s">
        <v>599</v>
      </c>
      <c r="AP25" s="51" t="s">
        <v>651</v>
      </c>
      <c r="AQ25" s="54">
        <v>680</v>
      </c>
      <c r="AR25" s="54">
        <v>293251</v>
      </c>
      <c r="AS25" s="55" t="s">
        <v>664</v>
      </c>
      <c r="AT25" s="54">
        <v>7000</v>
      </c>
      <c r="AU25" s="54">
        <v>462250947</v>
      </c>
      <c r="AV25" s="54">
        <v>9158324226</v>
      </c>
      <c r="AW25" s="55">
        <v>145</v>
      </c>
      <c r="AX25" s="55">
        <v>4</v>
      </c>
      <c r="AY25" s="54">
        <v>1576</v>
      </c>
      <c r="AZ25" s="56">
        <v>0.03</v>
      </c>
      <c r="BA25" s="55">
        <v>12</v>
      </c>
      <c r="BB25" s="57">
        <v>3.4000000000000002E-2</v>
      </c>
      <c r="BC25" s="51" t="s">
        <v>679</v>
      </c>
      <c r="BD25" s="51" t="s">
        <v>654</v>
      </c>
      <c r="BE25" s="51" t="s">
        <v>766</v>
      </c>
      <c r="BF25" s="58" t="s">
        <v>656</v>
      </c>
      <c r="BG25" s="51">
        <v>3</v>
      </c>
      <c r="BH25" s="51">
        <v>3</v>
      </c>
      <c r="BI25" s="51">
        <v>4</v>
      </c>
      <c r="BJ25" s="51">
        <v>4</v>
      </c>
      <c r="BK25" s="59">
        <v>1.1000000000000001E-3</v>
      </c>
      <c r="BL25" s="51">
        <v>94</v>
      </c>
      <c r="BM25" s="51">
        <v>5</v>
      </c>
      <c r="BN25" s="60">
        <v>16.14</v>
      </c>
    </row>
    <row r="26" spans="1:66" x14ac:dyDescent="0.25">
      <c r="A26" s="47" t="s">
        <v>767</v>
      </c>
      <c r="B26" s="48" t="s">
        <v>768</v>
      </c>
      <c r="C26" s="48" t="s">
        <v>769</v>
      </c>
      <c r="D26" s="48" t="s">
        <v>642</v>
      </c>
      <c r="E26" s="48" t="s">
        <v>769</v>
      </c>
      <c r="F26" s="48" t="s">
        <v>671</v>
      </c>
      <c r="G26" s="48">
        <v>772373106</v>
      </c>
      <c r="H26" s="48">
        <v>701373106</v>
      </c>
      <c r="I26" s="48">
        <v>701373106</v>
      </c>
      <c r="J26" s="61" t="s">
        <v>764</v>
      </c>
      <c r="K26" s="48" t="s">
        <v>770</v>
      </c>
      <c r="L26" s="48" t="s">
        <v>770</v>
      </c>
      <c r="M26" s="50">
        <v>0.17469166699999999</v>
      </c>
      <c r="N26" s="50">
        <v>30.448238329999999</v>
      </c>
      <c r="O26" s="48" t="s">
        <v>646</v>
      </c>
      <c r="P26" s="48" t="s">
        <v>647</v>
      </c>
      <c r="Q26" s="51">
        <v>7</v>
      </c>
      <c r="R26" s="51" t="s">
        <v>648</v>
      </c>
      <c r="S26" s="51" t="s">
        <v>648</v>
      </c>
      <c r="T26" s="51" t="s">
        <v>648</v>
      </c>
      <c r="U26" s="51" t="s">
        <v>648</v>
      </c>
      <c r="V26" s="51" t="s">
        <v>648</v>
      </c>
      <c r="W26" s="51" t="s">
        <v>648</v>
      </c>
      <c r="X26" s="51" t="s">
        <v>648</v>
      </c>
      <c r="Y26" s="52">
        <v>20</v>
      </c>
      <c r="Z26" s="51" t="s">
        <v>649</v>
      </c>
      <c r="AA26" s="48" t="s">
        <v>663</v>
      </c>
      <c r="AB26" s="48" t="s">
        <v>663</v>
      </c>
      <c r="AC26" s="53">
        <v>1</v>
      </c>
      <c r="AD26" s="54">
        <v>16000</v>
      </c>
      <c r="AE26" s="54">
        <v>13468</v>
      </c>
      <c r="AF26" s="55">
        <v>91</v>
      </c>
      <c r="AG26" s="55">
        <v>0</v>
      </c>
      <c r="AH26" s="54">
        <v>540278362</v>
      </c>
      <c r="AI26" s="51" t="s">
        <v>593</v>
      </c>
      <c r="AJ26" s="51" t="s">
        <v>594</v>
      </c>
      <c r="AK26" s="51" t="s">
        <v>595</v>
      </c>
      <c r="AL26" s="51" t="s">
        <v>596</v>
      </c>
      <c r="AM26" s="51" t="s">
        <v>597</v>
      </c>
      <c r="AN26" s="51" t="s">
        <v>598</v>
      </c>
      <c r="AO26" s="51" t="s">
        <v>599</v>
      </c>
      <c r="AP26" s="51" t="s">
        <v>651</v>
      </c>
      <c r="AQ26" s="54">
        <v>304</v>
      </c>
      <c r="AR26" s="54">
        <v>122669</v>
      </c>
      <c r="AS26" s="55" t="s">
        <v>664</v>
      </c>
      <c r="AT26" s="54">
        <v>7000</v>
      </c>
      <c r="AU26" s="54">
        <v>145022192</v>
      </c>
      <c r="AV26" s="54">
        <v>3866850669</v>
      </c>
      <c r="AW26" s="55">
        <v>148</v>
      </c>
      <c r="AX26" s="55">
        <v>6</v>
      </c>
      <c r="AY26" s="54">
        <v>1182</v>
      </c>
      <c r="AZ26" s="56">
        <v>0.01</v>
      </c>
      <c r="BA26" s="55">
        <v>9</v>
      </c>
      <c r="BB26" s="57">
        <v>1.4999999999999999E-2</v>
      </c>
      <c r="BC26" s="51" t="s">
        <v>665</v>
      </c>
      <c r="BD26" s="51" t="s">
        <v>654</v>
      </c>
      <c r="BE26" s="51" t="s">
        <v>708</v>
      </c>
      <c r="BF26" s="58" t="s">
        <v>656</v>
      </c>
      <c r="BG26" s="51">
        <v>2</v>
      </c>
      <c r="BH26" s="51">
        <v>2</v>
      </c>
      <c r="BI26" s="51">
        <v>4</v>
      </c>
      <c r="BJ26" s="51">
        <v>4</v>
      </c>
      <c r="BK26" s="59">
        <v>1.2999999999999999E-3</v>
      </c>
      <c r="BL26" s="51">
        <v>100</v>
      </c>
      <c r="BM26" s="51">
        <v>5</v>
      </c>
      <c r="BN26" s="60">
        <v>16.71</v>
      </c>
    </row>
    <row r="27" spans="1:66" x14ac:dyDescent="0.25">
      <c r="A27" s="47" t="s">
        <v>771</v>
      </c>
      <c r="B27" s="48" t="s">
        <v>772</v>
      </c>
      <c r="C27" s="48" t="s">
        <v>773</v>
      </c>
      <c r="D27" s="48" t="s">
        <v>642</v>
      </c>
      <c r="E27" s="48" t="s">
        <v>773</v>
      </c>
      <c r="F27" s="48" t="s">
        <v>671</v>
      </c>
      <c r="G27" s="48">
        <v>774821010</v>
      </c>
      <c r="H27" s="48">
        <v>754821010</v>
      </c>
      <c r="I27" s="48">
        <v>754821010</v>
      </c>
      <c r="J27" s="61" t="s">
        <v>764</v>
      </c>
      <c r="K27" s="48" t="s">
        <v>774</v>
      </c>
      <c r="L27" s="48" t="s">
        <v>774</v>
      </c>
      <c r="M27" s="50">
        <v>0.61722999999999995</v>
      </c>
      <c r="N27" s="50">
        <v>30.636150000000001</v>
      </c>
      <c r="O27" s="48" t="s">
        <v>646</v>
      </c>
      <c r="P27" s="48" t="s">
        <v>647</v>
      </c>
      <c r="Q27" s="51">
        <v>7</v>
      </c>
      <c r="R27" s="51" t="s">
        <v>648</v>
      </c>
      <c r="S27" s="51" t="s">
        <v>648</v>
      </c>
      <c r="T27" s="51" t="s">
        <v>648</v>
      </c>
      <c r="U27" s="51" t="s">
        <v>648</v>
      </c>
      <c r="V27" s="51" t="s">
        <v>648</v>
      </c>
      <c r="W27" s="51" t="s">
        <v>648</v>
      </c>
      <c r="X27" s="51" t="s">
        <v>648</v>
      </c>
      <c r="Y27" s="52">
        <v>20</v>
      </c>
      <c r="Z27" s="51" t="s">
        <v>649</v>
      </c>
      <c r="AA27" s="48" t="s">
        <v>663</v>
      </c>
      <c r="AB27" s="48" t="s">
        <v>663</v>
      </c>
      <c r="AC27" s="53">
        <v>1</v>
      </c>
      <c r="AD27" s="54">
        <v>18000</v>
      </c>
      <c r="AE27" s="54">
        <v>23524</v>
      </c>
      <c r="AF27" s="55">
        <v>166</v>
      </c>
      <c r="AG27" s="55">
        <v>0</v>
      </c>
      <c r="AH27" s="54">
        <v>989217173</v>
      </c>
      <c r="AI27" s="51" t="s">
        <v>593</v>
      </c>
      <c r="AJ27" s="51" t="s">
        <v>594</v>
      </c>
      <c r="AK27" s="51" t="s">
        <v>595</v>
      </c>
      <c r="AL27" s="51" t="s">
        <v>596</v>
      </c>
      <c r="AM27" s="51" t="s">
        <v>597</v>
      </c>
      <c r="AN27" s="51" t="s">
        <v>598</v>
      </c>
      <c r="AO27" s="51" t="s">
        <v>599</v>
      </c>
      <c r="AP27" s="51" t="s">
        <v>651</v>
      </c>
      <c r="AQ27" s="54">
        <v>228</v>
      </c>
      <c r="AR27" s="54">
        <v>224369</v>
      </c>
      <c r="AS27" s="55" t="s">
        <v>664</v>
      </c>
      <c r="AT27" s="54">
        <v>7000</v>
      </c>
      <c r="AU27" s="54">
        <v>674769064</v>
      </c>
      <c r="AV27" s="54">
        <v>6664209688</v>
      </c>
      <c r="AW27" s="55">
        <v>142</v>
      </c>
      <c r="AX27" s="55">
        <v>2</v>
      </c>
      <c r="AY27" s="54">
        <v>3007</v>
      </c>
      <c r="AZ27" s="56">
        <v>0.03</v>
      </c>
      <c r="BA27" s="55">
        <v>24</v>
      </c>
      <c r="BB27" s="57">
        <v>2.5999999999999999E-2</v>
      </c>
      <c r="BC27" s="51" t="s">
        <v>665</v>
      </c>
      <c r="BD27" s="51" t="s">
        <v>654</v>
      </c>
      <c r="BE27" s="51" t="s">
        <v>708</v>
      </c>
      <c r="BF27" s="58" t="s">
        <v>656</v>
      </c>
      <c r="BG27" s="51">
        <v>2</v>
      </c>
      <c r="BH27" s="51">
        <v>2</v>
      </c>
      <c r="BI27" s="51">
        <v>1</v>
      </c>
      <c r="BJ27" s="51">
        <v>2</v>
      </c>
      <c r="BK27" s="59">
        <v>8.0000000000000004E-4</v>
      </c>
      <c r="BL27" s="51">
        <v>100</v>
      </c>
      <c r="BM27" s="51">
        <v>5</v>
      </c>
      <c r="BN27" s="60">
        <v>16</v>
      </c>
    </row>
    <row r="28" spans="1:66" x14ac:dyDescent="0.25">
      <c r="A28" s="47" t="s">
        <v>775</v>
      </c>
      <c r="B28" s="48" t="s">
        <v>776</v>
      </c>
      <c r="C28" s="51" t="s">
        <v>777</v>
      </c>
      <c r="D28" s="48" t="s">
        <v>660</v>
      </c>
      <c r="E28" s="51" t="s">
        <v>777</v>
      </c>
      <c r="F28" s="48" t="s">
        <v>671</v>
      </c>
      <c r="G28" s="50">
        <v>777408645</v>
      </c>
      <c r="H28" s="50">
        <v>777408645</v>
      </c>
      <c r="I28" s="50">
        <v>777408645</v>
      </c>
      <c r="J28" s="69" t="s">
        <v>778</v>
      </c>
      <c r="K28" s="48" t="s">
        <v>779</v>
      </c>
      <c r="L28" s="48" t="s">
        <v>779</v>
      </c>
      <c r="M28" s="51">
        <v>0.41921999999999998</v>
      </c>
      <c r="N28" s="51">
        <v>32.401003000000003</v>
      </c>
      <c r="O28" s="48" t="s">
        <v>646</v>
      </c>
      <c r="P28" s="48" t="s">
        <v>647</v>
      </c>
      <c r="Q28" s="51">
        <v>7</v>
      </c>
      <c r="R28" s="51" t="s">
        <v>648</v>
      </c>
      <c r="S28" s="51" t="s">
        <v>648</v>
      </c>
      <c r="T28" s="51" t="s">
        <v>648</v>
      </c>
      <c r="U28" s="51" t="s">
        <v>648</v>
      </c>
      <c r="V28" s="51" t="s">
        <v>648</v>
      </c>
      <c r="W28" s="51" t="s">
        <v>648</v>
      </c>
      <c r="X28" s="51" t="s">
        <v>648</v>
      </c>
      <c r="Y28" s="52">
        <v>20</v>
      </c>
      <c r="Z28" s="51" t="s">
        <v>649</v>
      </c>
      <c r="AA28" s="48" t="s">
        <v>678</v>
      </c>
      <c r="AB28" s="48" t="s">
        <v>678</v>
      </c>
      <c r="AC28" s="53">
        <v>1</v>
      </c>
      <c r="AD28" s="54">
        <v>16000</v>
      </c>
      <c r="AE28" s="54">
        <v>27898</v>
      </c>
      <c r="AF28" s="55">
        <v>197</v>
      </c>
      <c r="AG28" s="55">
        <v>0</v>
      </c>
      <c r="AH28" s="54">
        <v>748793906</v>
      </c>
      <c r="AI28" s="51" t="s">
        <v>593</v>
      </c>
      <c r="AJ28" s="51" t="s">
        <v>594</v>
      </c>
      <c r="AK28" s="51" t="s">
        <v>595</v>
      </c>
      <c r="AL28" s="51" t="s">
        <v>596</v>
      </c>
      <c r="AM28" s="51" t="s">
        <v>597</v>
      </c>
      <c r="AN28" s="51" t="s">
        <v>598</v>
      </c>
      <c r="AO28" s="51" t="s">
        <v>599</v>
      </c>
      <c r="AP28" s="51" t="s">
        <v>651</v>
      </c>
      <c r="AQ28" s="54">
        <v>620</v>
      </c>
      <c r="AR28" s="54">
        <v>265436</v>
      </c>
      <c r="AS28" s="55" t="s">
        <v>664</v>
      </c>
      <c r="AT28" s="54">
        <v>8678</v>
      </c>
      <c r="AU28" s="54">
        <v>1057919540</v>
      </c>
      <c r="AV28" s="54">
        <v>8225918215</v>
      </c>
      <c r="AW28" s="55">
        <v>142</v>
      </c>
      <c r="AX28" s="55">
        <v>2</v>
      </c>
      <c r="AY28" s="54">
        <v>3986</v>
      </c>
      <c r="AZ28" s="56">
        <v>0.03</v>
      </c>
      <c r="BA28" s="55">
        <v>27</v>
      </c>
      <c r="BB28" s="57">
        <v>3.1E-2</v>
      </c>
      <c r="BC28" s="51" t="s">
        <v>653</v>
      </c>
      <c r="BD28" s="51" t="s">
        <v>666</v>
      </c>
      <c r="BE28" s="51" t="s">
        <v>692</v>
      </c>
      <c r="BF28" s="58" t="s">
        <v>656</v>
      </c>
      <c r="BG28" s="51">
        <v>3</v>
      </c>
      <c r="BH28" s="51">
        <v>3</v>
      </c>
      <c r="BI28" s="51">
        <v>1</v>
      </c>
      <c r="BJ28" s="51">
        <v>2</v>
      </c>
      <c r="BK28" s="59">
        <v>2.9999999999999997E-4</v>
      </c>
      <c r="BL28" s="51">
        <v>17</v>
      </c>
      <c r="BM28" s="51">
        <v>5</v>
      </c>
      <c r="BN28" s="60">
        <v>4.43</v>
      </c>
    </row>
    <row r="29" spans="1:66" x14ac:dyDescent="0.25">
      <c r="A29" s="47" t="s">
        <v>780</v>
      </c>
      <c r="B29" s="48" t="s">
        <v>781</v>
      </c>
      <c r="C29" s="48" t="s">
        <v>777</v>
      </c>
      <c r="D29" s="48" t="s">
        <v>642</v>
      </c>
      <c r="E29" s="48" t="s">
        <v>777</v>
      </c>
      <c r="F29" s="48" t="s">
        <v>671</v>
      </c>
      <c r="G29" s="48">
        <v>777408645</v>
      </c>
      <c r="H29" s="48">
        <v>777408645</v>
      </c>
      <c r="I29" s="48">
        <v>777408645</v>
      </c>
      <c r="J29" s="69" t="s">
        <v>778</v>
      </c>
      <c r="K29" s="48" t="s">
        <v>782</v>
      </c>
      <c r="L29" s="48" t="s">
        <v>782</v>
      </c>
      <c r="M29" s="50">
        <v>0.91794666000000003</v>
      </c>
      <c r="N29" s="50">
        <v>31.763598300000002</v>
      </c>
      <c r="O29" s="48" t="s">
        <v>646</v>
      </c>
      <c r="P29" s="48" t="s">
        <v>647</v>
      </c>
      <c r="Q29" s="51">
        <v>7</v>
      </c>
      <c r="R29" s="51" t="s">
        <v>648</v>
      </c>
      <c r="S29" s="51" t="s">
        <v>648</v>
      </c>
      <c r="T29" s="51" t="s">
        <v>648</v>
      </c>
      <c r="U29" s="51" t="s">
        <v>648</v>
      </c>
      <c r="V29" s="51" t="s">
        <v>648</v>
      </c>
      <c r="W29" s="51" t="s">
        <v>648</v>
      </c>
      <c r="X29" s="51" t="s">
        <v>648</v>
      </c>
      <c r="Y29" s="52">
        <v>20</v>
      </c>
      <c r="Z29" s="51" t="s">
        <v>649</v>
      </c>
      <c r="AA29" s="48" t="s">
        <v>678</v>
      </c>
      <c r="AB29" s="48" t="s">
        <v>678</v>
      </c>
      <c r="AC29" s="53">
        <v>1</v>
      </c>
      <c r="AD29" s="54">
        <v>50000</v>
      </c>
      <c r="AE29" s="54">
        <v>33221</v>
      </c>
      <c r="AF29" s="55">
        <v>239</v>
      </c>
      <c r="AG29" s="55">
        <v>0</v>
      </c>
      <c r="AH29" s="54">
        <v>1252132420</v>
      </c>
      <c r="AI29" s="51" t="s">
        <v>593</v>
      </c>
      <c r="AJ29" s="51" t="s">
        <v>594</v>
      </c>
      <c r="AK29" s="51" t="s">
        <v>595</v>
      </c>
      <c r="AL29" s="51" t="s">
        <v>596</v>
      </c>
      <c r="AM29" s="51" t="s">
        <v>597</v>
      </c>
      <c r="AN29" s="51" t="s">
        <v>598</v>
      </c>
      <c r="AO29" s="51" t="s">
        <v>599</v>
      </c>
      <c r="AP29" s="51" t="s">
        <v>651</v>
      </c>
      <c r="AQ29" s="54">
        <v>810</v>
      </c>
      <c r="AR29" s="54">
        <v>322310</v>
      </c>
      <c r="AS29" s="55" t="s">
        <v>652</v>
      </c>
      <c r="AT29" s="54">
        <v>6119</v>
      </c>
      <c r="AU29" s="54">
        <v>629746453</v>
      </c>
      <c r="AV29" s="54">
        <v>9463844113</v>
      </c>
      <c r="AW29" s="55">
        <v>139</v>
      </c>
      <c r="AX29" s="55">
        <v>2</v>
      </c>
      <c r="AY29" s="54">
        <v>1954</v>
      </c>
      <c r="AZ29" s="56">
        <v>0.04</v>
      </c>
      <c r="BA29" s="55">
        <v>14</v>
      </c>
      <c r="BB29" s="57">
        <v>3.5999999999999997E-2</v>
      </c>
      <c r="BC29" s="51" t="s">
        <v>653</v>
      </c>
      <c r="BD29" s="51" t="s">
        <v>654</v>
      </c>
      <c r="BE29" s="51" t="s">
        <v>655</v>
      </c>
      <c r="BF29" s="58" t="s">
        <v>656</v>
      </c>
      <c r="BG29" s="51">
        <v>3</v>
      </c>
      <c r="BH29" s="51">
        <v>3</v>
      </c>
      <c r="BI29" s="51">
        <v>4</v>
      </c>
      <c r="BJ29" s="51">
        <v>1</v>
      </c>
      <c r="BK29" s="59">
        <v>2E-3</v>
      </c>
      <c r="BL29" s="51">
        <v>100</v>
      </c>
      <c r="BM29" s="51">
        <v>5</v>
      </c>
      <c r="BN29" s="60">
        <v>16.57</v>
      </c>
    </row>
    <row r="30" spans="1:66" x14ac:dyDescent="0.25">
      <c r="A30" s="47" t="s">
        <v>783</v>
      </c>
      <c r="B30" s="48" t="s">
        <v>784</v>
      </c>
      <c r="C30" s="70" t="s">
        <v>785</v>
      </c>
      <c r="D30" s="48" t="s">
        <v>660</v>
      </c>
      <c r="E30" s="70" t="s">
        <v>785</v>
      </c>
      <c r="F30" s="48" t="s">
        <v>671</v>
      </c>
      <c r="G30" s="48">
        <v>788795147</v>
      </c>
      <c r="H30" s="48">
        <v>788795147</v>
      </c>
      <c r="I30" s="48">
        <v>788795147</v>
      </c>
      <c r="J30" s="49" t="s">
        <v>786</v>
      </c>
      <c r="K30" s="48" t="s">
        <v>787</v>
      </c>
      <c r="L30" s="48" t="s">
        <v>787</v>
      </c>
      <c r="M30" s="50">
        <v>-0.74765000000000004</v>
      </c>
      <c r="N30" s="50">
        <v>29.701378330000001</v>
      </c>
      <c r="O30" s="48" t="s">
        <v>646</v>
      </c>
      <c r="P30" s="48" t="s">
        <v>647</v>
      </c>
      <c r="Q30" s="51">
        <v>7</v>
      </c>
      <c r="R30" s="51" t="s">
        <v>648</v>
      </c>
      <c r="S30" s="51" t="s">
        <v>648</v>
      </c>
      <c r="T30" s="51" t="s">
        <v>648</v>
      </c>
      <c r="U30" s="51" t="s">
        <v>648</v>
      </c>
      <c r="V30" s="51" t="s">
        <v>648</v>
      </c>
      <c r="W30" s="51" t="s">
        <v>648</v>
      </c>
      <c r="X30" s="51" t="s">
        <v>648</v>
      </c>
      <c r="Y30" s="52">
        <v>20</v>
      </c>
      <c r="Z30" s="51" t="s">
        <v>649</v>
      </c>
      <c r="AA30" s="48" t="s">
        <v>650</v>
      </c>
      <c r="AB30" s="48" t="s">
        <v>650</v>
      </c>
      <c r="AC30" s="53">
        <v>1</v>
      </c>
      <c r="AD30" s="54">
        <v>11000</v>
      </c>
      <c r="AE30" s="54">
        <v>14869</v>
      </c>
      <c r="AF30" s="55">
        <v>101</v>
      </c>
      <c r="AG30" s="55">
        <v>0</v>
      </c>
      <c r="AH30" s="54">
        <v>647108024</v>
      </c>
      <c r="AI30" s="51" t="s">
        <v>593</v>
      </c>
      <c r="AJ30" s="51" t="s">
        <v>594</v>
      </c>
      <c r="AK30" s="51" t="s">
        <v>595</v>
      </c>
      <c r="AL30" s="51" t="s">
        <v>596</v>
      </c>
      <c r="AM30" s="51" t="s">
        <v>597</v>
      </c>
      <c r="AN30" s="51" t="s">
        <v>598</v>
      </c>
      <c r="AO30" s="51" t="s">
        <v>599</v>
      </c>
      <c r="AP30" s="51" t="s">
        <v>651</v>
      </c>
      <c r="AQ30" s="54">
        <v>414</v>
      </c>
      <c r="AR30" s="54">
        <v>136277</v>
      </c>
      <c r="AS30" s="55" t="s">
        <v>664</v>
      </c>
      <c r="AT30" s="54">
        <v>7000</v>
      </c>
      <c r="AU30" s="54">
        <v>292542037</v>
      </c>
      <c r="AV30" s="54">
        <v>4239747759</v>
      </c>
      <c r="AW30" s="55">
        <v>147</v>
      </c>
      <c r="AX30" s="55">
        <v>3</v>
      </c>
      <c r="AY30" s="54">
        <v>2147</v>
      </c>
      <c r="AZ30" s="56">
        <v>0.02</v>
      </c>
      <c r="BA30" s="55">
        <v>15</v>
      </c>
      <c r="BB30" s="57">
        <v>1.6E-2</v>
      </c>
      <c r="BC30" s="51" t="s">
        <v>665</v>
      </c>
      <c r="BD30" s="51" t="s">
        <v>666</v>
      </c>
      <c r="BE30" s="51" t="s">
        <v>667</v>
      </c>
      <c r="BF30" s="62" t="s">
        <v>668</v>
      </c>
      <c r="BG30" s="51">
        <v>2</v>
      </c>
      <c r="BH30" s="51">
        <v>2</v>
      </c>
      <c r="BI30" s="51">
        <v>3</v>
      </c>
      <c r="BJ30" s="51">
        <v>4</v>
      </c>
      <c r="BK30" s="59">
        <v>1.8499999999999999E-2</v>
      </c>
      <c r="BL30" s="51">
        <v>0</v>
      </c>
      <c r="BM30" s="51">
        <v>5</v>
      </c>
      <c r="BN30" s="60">
        <v>2.29</v>
      </c>
    </row>
    <row r="31" spans="1:66" x14ac:dyDescent="0.25">
      <c r="A31" s="47" t="s">
        <v>788</v>
      </c>
      <c r="B31" s="48" t="s">
        <v>789</v>
      </c>
      <c r="C31" s="70" t="s">
        <v>790</v>
      </c>
      <c r="D31" s="48" t="s">
        <v>642</v>
      </c>
      <c r="E31" s="70" t="s">
        <v>790</v>
      </c>
      <c r="F31" s="48" t="s">
        <v>643</v>
      </c>
      <c r="G31" s="48">
        <v>772402558</v>
      </c>
      <c r="H31" s="48">
        <v>772402558</v>
      </c>
      <c r="I31" s="48">
        <v>772402558</v>
      </c>
      <c r="J31" s="49" t="s">
        <v>786</v>
      </c>
      <c r="K31" s="48" t="s">
        <v>791</v>
      </c>
      <c r="L31" s="48" t="s">
        <v>791</v>
      </c>
      <c r="M31" s="50">
        <v>-0.87131833299999994</v>
      </c>
      <c r="N31" s="50">
        <v>30.26721191</v>
      </c>
      <c r="O31" s="48" t="s">
        <v>646</v>
      </c>
      <c r="P31" s="48" t="s">
        <v>647</v>
      </c>
      <c r="Q31" s="51">
        <v>7</v>
      </c>
      <c r="R31" s="51" t="s">
        <v>648</v>
      </c>
      <c r="S31" s="51" t="s">
        <v>648</v>
      </c>
      <c r="T31" s="51" t="s">
        <v>648</v>
      </c>
      <c r="U31" s="51" t="s">
        <v>648</v>
      </c>
      <c r="V31" s="51" t="s">
        <v>648</v>
      </c>
      <c r="W31" s="51" t="s">
        <v>648</v>
      </c>
      <c r="X31" s="51" t="s">
        <v>648</v>
      </c>
      <c r="Y31" s="52">
        <v>20</v>
      </c>
      <c r="Z31" s="51" t="s">
        <v>649</v>
      </c>
      <c r="AA31" s="48" t="s">
        <v>650</v>
      </c>
      <c r="AB31" s="48" t="s">
        <v>650</v>
      </c>
      <c r="AC31" s="53">
        <v>1</v>
      </c>
      <c r="AD31" s="54">
        <v>30000</v>
      </c>
      <c r="AE31" s="54">
        <v>25190</v>
      </c>
      <c r="AF31" s="55">
        <v>188</v>
      </c>
      <c r="AG31" s="55">
        <v>0</v>
      </c>
      <c r="AH31" s="54">
        <v>780064304</v>
      </c>
      <c r="AI31" s="51" t="s">
        <v>593</v>
      </c>
      <c r="AJ31" s="51" t="s">
        <v>594</v>
      </c>
      <c r="AK31" s="51" t="s">
        <v>595</v>
      </c>
      <c r="AL31" s="51" t="s">
        <v>596</v>
      </c>
      <c r="AM31" s="51" t="s">
        <v>597</v>
      </c>
      <c r="AN31" s="51" t="s">
        <v>598</v>
      </c>
      <c r="AO31" s="51" t="s">
        <v>599</v>
      </c>
      <c r="AP31" s="51" t="s">
        <v>651</v>
      </c>
      <c r="AQ31" s="54">
        <v>256</v>
      </c>
      <c r="AR31" s="54">
        <v>253378</v>
      </c>
      <c r="AS31" s="55" t="s">
        <v>652</v>
      </c>
      <c r="AT31" s="54">
        <v>7000</v>
      </c>
      <c r="AU31" s="54">
        <v>88011165</v>
      </c>
      <c r="AV31" s="54">
        <v>7325474784</v>
      </c>
      <c r="AW31" s="55">
        <v>134</v>
      </c>
      <c r="AX31" s="55">
        <v>9</v>
      </c>
      <c r="AY31" s="55">
        <v>347</v>
      </c>
      <c r="AZ31" s="56">
        <v>0.03</v>
      </c>
      <c r="BA31" s="55">
        <v>4</v>
      </c>
      <c r="BB31" s="57">
        <v>2.8000000000000001E-2</v>
      </c>
      <c r="BC31" s="51" t="s">
        <v>665</v>
      </c>
      <c r="BD31" s="51" t="s">
        <v>654</v>
      </c>
      <c r="BE31" s="51" t="s">
        <v>708</v>
      </c>
      <c r="BF31" s="62" t="s">
        <v>668</v>
      </c>
      <c r="BG31" s="51">
        <v>2</v>
      </c>
      <c r="BH31" s="51">
        <v>2</v>
      </c>
      <c r="BI31" s="51">
        <v>4</v>
      </c>
      <c r="BJ31" s="51">
        <v>1</v>
      </c>
      <c r="BK31" s="59">
        <v>2.0999999999999999E-3</v>
      </c>
      <c r="BL31" s="51">
        <v>0</v>
      </c>
      <c r="BM31" s="51">
        <v>5</v>
      </c>
      <c r="BN31" s="60">
        <v>2</v>
      </c>
    </row>
    <row r="32" spans="1:66" x14ac:dyDescent="0.25">
      <c r="A32" s="47" t="s">
        <v>792</v>
      </c>
      <c r="B32" s="48" t="s">
        <v>793</v>
      </c>
      <c r="C32" s="70" t="s">
        <v>790</v>
      </c>
      <c r="D32" s="48" t="s">
        <v>660</v>
      </c>
      <c r="E32" s="70" t="s">
        <v>790</v>
      </c>
      <c r="F32" s="48" t="s">
        <v>643</v>
      </c>
      <c r="G32" s="48">
        <v>772402558</v>
      </c>
      <c r="H32" s="48">
        <v>772402558</v>
      </c>
      <c r="I32" s="48">
        <v>772402558</v>
      </c>
      <c r="J32" s="49" t="s">
        <v>786</v>
      </c>
      <c r="K32" s="48" t="s">
        <v>794</v>
      </c>
      <c r="L32" s="48" t="s">
        <v>794</v>
      </c>
      <c r="M32" s="50">
        <v>-0.78682833299999999</v>
      </c>
      <c r="N32" s="50">
        <v>29.926211670000001</v>
      </c>
      <c r="O32" s="48" t="s">
        <v>646</v>
      </c>
      <c r="P32" s="48" t="s">
        <v>647</v>
      </c>
      <c r="Q32" s="51">
        <v>7</v>
      </c>
      <c r="R32" s="51" t="s">
        <v>648</v>
      </c>
      <c r="S32" s="51" t="s">
        <v>648</v>
      </c>
      <c r="T32" s="51" t="s">
        <v>648</v>
      </c>
      <c r="U32" s="51" t="s">
        <v>648</v>
      </c>
      <c r="V32" s="51" t="s">
        <v>648</v>
      </c>
      <c r="W32" s="51" t="s">
        <v>648</v>
      </c>
      <c r="X32" s="51" t="s">
        <v>648</v>
      </c>
      <c r="Y32" s="52">
        <v>20</v>
      </c>
      <c r="Z32" s="51" t="s">
        <v>649</v>
      </c>
      <c r="AA32" s="48" t="s">
        <v>650</v>
      </c>
      <c r="AB32" s="48" t="s">
        <v>650</v>
      </c>
      <c r="AC32" s="53">
        <v>1</v>
      </c>
      <c r="AD32" s="54">
        <v>9000</v>
      </c>
      <c r="AE32" s="54">
        <v>20173</v>
      </c>
      <c r="AF32" s="55">
        <v>141</v>
      </c>
      <c r="AG32" s="55">
        <v>0</v>
      </c>
      <c r="AH32" s="54">
        <v>529488616</v>
      </c>
      <c r="AI32" s="51" t="s">
        <v>593</v>
      </c>
      <c r="AJ32" s="51" t="s">
        <v>594</v>
      </c>
      <c r="AK32" s="51" t="s">
        <v>595</v>
      </c>
      <c r="AL32" s="51" t="s">
        <v>596</v>
      </c>
      <c r="AM32" s="51" t="s">
        <v>597</v>
      </c>
      <c r="AN32" s="51" t="s">
        <v>598</v>
      </c>
      <c r="AO32" s="51" t="s">
        <v>599</v>
      </c>
      <c r="AP32" s="51" t="s">
        <v>651</v>
      </c>
      <c r="AQ32" s="54">
        <v>144</v>
      </c>
      <c r="AR32" s="54">
        <v>190617</v>
      </c>
      <c r="AS32" s="55" t="s">
        <v>664</v>
      </c>
      <c r="AT32" s="54">
        <v>7000</v>
      </c>
      <c r="AU32" s="54">
        <v>253026021</v>
      </c>
      <c r="AV32" s="54">
        <v>5941063928</v>
      </c>
      <c r="AW32" s="55">
        <v>143</v>
      </c>
      <c r="AX32" s="55">
        <v>5</v>
      </c>
      <c r="AY32" s="54">
        <v>1327</v>
      </c>
      <c r="AZ32" s="56">
        <v>0.02</v>
      </c>
      <c r="BA32" s="55">
        <v>11</v>
      </c>
      <c r="BB32" s="57">
        <v>2.1999999999999999E-2</v>
      </c>
      <c r="BC32" s="51" t="s">
        <v>653</v>
      </c>
      <c r="BD32" s="51" t="s">
        <v>654</v>
      </c>
      <c r="BE32" s="51" t="s">
        <v>655</v>
      </c>
      <c r="BF32" s="58" t="s">
        <v>656</v>
      </c>
      <c r="BG32" s="51">
        <v>2</v>
      </c>
      <c r="BH32" s="51">
        <v>2</v>
      </c>
      <c r="BI32" s="51">
        <v>4</v>
      </c>
      <c r="BJ32" s="51">
        <v>2</v>
      </c>
      <c r="BK32" s="59">
        <v>1E-3</v>
      </c>
      <c r="BL32" s="51">
        <v>100</v>
      </c>
      <c r="BM32" s="51">
        <v>5</v>
      </c>
      <c r="BN32" s="60">
        <v>16.43</v>
      </c>
    </row>
    <row r="33" spans="1:66" x14ac:dyDescent="0.25">
      <c r="A33" s="47" t="s">
        <v>795</v>
      </c>
      <c r="B33" s="48" t="s">
        <v>796</v>
      </c>
      <c r="C33" s="51" t="s">
        <v>797</v>
      </c>
      <c r="D33" s="48" t="s">
        <v>660</v>
      </c>
      <c r="E33" s="51" t="s">
        <v>797</v>
      </c>
      <c r="F33" s="48" t="s">
        <v>671</v>
      </c>
      <c r="G33" s="50" t="s">
        <v>798</v>
      </c>
      <c r="H33" s="50" t="s">
        <v>798</v>
      </c>
      <c r="I33" s="50" t="s">
        <v>798</v>
      </c>
      <c r="J33" s="61" t="s">
        <v>799</v>
      </c>
      <c r="K33" s="48" t="s">
        <v>800</v>
      </c>
      <c r="L33" s="48" t="s">
        <v>800</v>
      </c>
      <c r="M33" s="51">
        <v>1.4734000000000001E-2</v>
      </c>
      <c r="N33" s="51">
        <v>32.029183000000003</v>
      </c>
      <c r="O33" s="48" t="s">
        <v>646</v>
      </c>
      <c r="P33" s="48" t="s">
        <v>647</v>
      </c>
      <c r="Q33" s="51">
        <v>7</v>
      </c>
      <c r="R33" s="51" t="s">
        <v>648</v>
      </c>
      <c r="S33" s="51" t="s">
        <v>648</v>
      </c>
      <c r="T33" s="51" t="s">
        <v>648</v>
      </c>
      <c r="U33" s="51" t="s">
        <v>648</v>
      </c>
      <c r="V33" s="51" t="s">
        <v>648</v>
      </c>
      <c r="W33" s="51" t="s">
        <v>648</v>
      </c>
      <c r="X33" s="51" t="s">
        <v>648</v>
      </c>
      <c r="Y33" s="52">
        <v>20</v>
      </c>
      <c r="Z33" s="51" t="s">
        <v>649</v>
      </c>
      <c r="AA33" s="48" t="s">
        <v>801</v>
      </c>
      <c r="AB33" s="48" t="s">
        <v>801</v>
      </c>
      <c r="AC33" s="53">
        <v>1</v>
      </c>
      <c r="AD33" s="54">
        <v>10000</v>
      </c>
      <c r="AE33" s="54">
        <v>32672</v>
      </c>
      <c r="AF33" s="55">
        <v>237</v>
      </c>
      <c r="AG33" s="55">
        <v>0</v>
      </c>
      <c r="AH33" s="55" t="s">
        <v>727</v>
      </c>
      <c r="AI33" s="51" t="s">
        <v>593</v>
      </c>
      <c r="AJ33" s="51" t="s">
        <v>594</v>
      </c>
      <c r="AK33" s="51" t="s">
        <v>595</v>
      </c>
      <c r="AL33" s="51" t="s">
        <v>596</v>
      </c>
      <c r="AM33" s="51" t="s">
        <v>597</v>
      </c>
      <c r="AN33" s="51" t="s">
        <v>598</v>
      </c>
      <c r="AO33" s="51" t="s">
        <v>599</v>
      </c>
      <c r="AP33" s="51" t="s">
        <v>651</v>
      </c>
      <c r="AQ33" s="54">
        <v>382</v>
      </c>
      <c r="AR33" s="54">
        <v>319987</v>
      </c>
      <c r="AS33" s="55" t="s">
        <v>664</v>
      </c>
      <c r="AT33" s="54">
        <v>6387</v>
      </c>
      <c r="AU33" s="54">
        <v>578300836</v>
      </c>
      <c r="AV33" s="54">
        <v>9757050161</v>
      </c>
      <c r="AW33" s="55">
        <v>138</v>
      </c>
      <c r="AX33" s="55">
        <v>4</v>
      </c>
      <c r="AY33" s="54">
        <v>1807</v>
      </c>
      <c r="AZ33" s="56">
        <v>0.04</v>
      </c>
      <c r="BA33" s="55">
        <v>13</v>
      </c>
      <c r="BB33" s="57">
        <v>3.5999999999999997E-2</v>
      </c>
      <c r="BC33" s="51" t="s">
        <v>653</v>
      </c>
      <c r="BD33" s="51" t="s">
        <v>666</v>
      </c>
      <c r="BE33" s="51" t="s">
        <v>692</v>
      </c>
      <c r="BF33" s="58" t="s">
        <v>656</v>
      </c>
      <c r="BG33" s="51">
        <v>3</v>
      </c>
      <c r="BH33" s="51">
        <v>3</v>
      </c>
      <c r="BI33" s="51">
        <v>4</v>
      </c>
      <c r="BJ33" s="51">
        <v>1</v>
      </c>
      <c r="BK33" s="59">
        <v>1.2999999999999999E-2</v>
      </c>
      <c r="BL33" s="51">
        <v>35</v>
      </c>
      <c r="BM33" s="51">
        <v>5</v>
      </c>
      <c r="BN33" s="60">
        <v>7.29</v>
      </c>
    </row>
    <row r="34" spans="1:66" x14ac:dyDescent="0.25">
      <c r="A34" s="47" t="s">
        <v>802</v>
      </c>
      <c r="B34" s="48" t="s">
        <v>803</v>
      </c>
      <c r="C34" s="51" t="s">
        <v>804</v>
      </c>
      <c r="D34" s="48" t="s">
        <v>660</v>
      </c>
      <c r="E34" s="51" t="s">
        <v>804</v>
      </c>
      <c r="F34" s="48" t="s">
        <v>671</v>
      </c>
      <c r="G34" s="50" t="s">
        <v>805</v>
      </c>
      <c r="H34" s="50" t="s">
        <v>805</v>
      </c>
      <c r="I34" s="50" t="s">
        <v>805</v>
      </c>
      <c r="J34" s="61" t="s">
        <v>806</v>
      </c>
      <c r="K34" s="48" t="s">
        <v>807</v>
      </c>
      <c r="L34" s="48" t="s">
        <v>807</v>
      </c>
      <c r="M34" s="51">
        <v>0.27810099999999999</v>
      </c>
      <c r="N34" s="51">
        <v>32.477789999999999</v>
      </c>
      <c r="O34" s="48" t="s">
        <v>646</v>
      </c>
      <c r="P34" s="48" t="s">
        <v>647</v>
      </c>
      <c r="Q34" s="51">
        <v>7</v>
      </c>
      <c r="R34" s="51" t="s">
        <v>648</v>
      </c>
      <c r="S34" s="51" t="s">
        <v>648</v>
      </c>
      <c r="T34" s="51" t="s">
        <v>648</v>
      </c>
      <c r="U34" s="51" t="s">
        <v>648</v>
      </c>
      <c r="V34" s="51" t="s">
        <v>648</v>
      </c>
      <c r="W34" s="51" t="s">
        <v>648</v>
      </c>
      <c r="X34" s="51" t="s">
        <v>648</v>
      </c>
      <c r="Y34" s="52">
        <v>20</v>
      </c>
      <c r="Z34" s="51" t="s">
        <v>649</v>
      </c>
      <c r="AA34" s="48" t="s">
        <v>801</v>
      </c>
      <c r="AB34" s="48" t="s">
        <v>801</v>
      </c>
      <c r="AC34" s="53">
        <v>1</v>
      </c>
      <c r="AD34" s="54">
        <v>12000</v>
      </c>
      <c r="AE34" s="54">
        <v>40147</v>
      </c>
      <c r="AF34" s="55">
        <v>289</v>
      </c>
      <c r="AG34" s="55">
        <v>0</v>
      </c>
      <c r="AH34" s="55" t="s">
        <v>727</v>
      </c>
      <c r="AI34" s="51" t="s">
        <v>593</v>
      </c>
      <c r="AJ34" s="51" t="s">
        <v>594</v>
      </c>
      <c r="AK34" s="51" t="s">
        <v>595</v>
      </c>
      <c r="AL34" s="51" t="s">
        <v>596</v>
      </c>
      <c r="AM34" s="51" t="s">
        <v>597</v>
      </c>
      <c r="AN34" s="51" t="s">
        <v>598</v>
      </c>
      <c r="AO34" s="51" t="s">
        <v>599</v>
      </c>
      <c r="AP34" s="51" t="s">
        <v>651</v>
      </c>
      <c r="AQ34" s="54">
        <v>516</v>
      </c>
      <c r="AR34" s="54">
        <v>390203</v>
      </c>
      <c r="AS34" s="55" t="s">
        <v>664</v>
      </c>
      <c r="AT34" s="54">
        <v>7232</v>
      </c>
      <c r="AU34" s="54">
        <v>1078600207</v>
      </c>
      <c r="AV34" s="54">
        <v>8642399495</v>
      </c>
      <c r="AW34" s="55">
        <v>139</v>
      </c>
      <c r="AX34" s="55">
        <v>3</v>
      </c>
      <c r="AY34" s="54">
        <v>2764</v>
      </c>
      <c r="AZ34" s="56">
        <v>0.03</v>
      </c>
      <c r="BA34" s="55">
        <v>21</v>
      </c>
      <c r="BB34" s="57">
        <v>4.3999999999999997E-2</v>
      </c>
      <c r="BC34" s="51" t="s">
        <v>679</v>
      </c>
      <c r="BD34" s="51" t="s">
        <v>666</v>
      </c>
      <c r="BE34" s="51" t="s">
        <v>680</v>
      </c>
      <c r="BF34" s="58" t="s">
        <v>656</v>
      </c>
      <c r="BG34" s="51">
        <v>3</v>
      </c>
      <c r="BH34" s="51">
        <v>3</v>
      </c>
      <c r="BI34" s="51">
        <v>2</v>
      </c>
      <c r="BJ34" s="51">
        <v>1</v>
      </c>
      <c r="BK34" s="59">
        <v>6.4999999999999997E-3</v>
      </c>
      <c r="BL34" s="51">
        <v>84</v>
      </c>
      <c r="BM34" s="51">
        <v>5</v>
      </c>
      <c r="BN34" s="60">
        <v>14</v>
      </c>
    </row>
    <row r="35" spans="1:66" x14ac:dyDescent="0.25">
      <c r="A35" s="71"/>
      <c r="B35" s="72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3"/>
      <c r="N35" s="73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4"/>
      <c r="Z35" s="72"/>
      <c r="AA35" s="72"/>
      <c r="AB35" s="72"/>
      <c r="AC35" s="73"/>
      <c r="AD35" s="72"/>
      <c r="AE35" s="75">
        <v>912023</v>
      </c>
      <c r="AF35" s="75">
        <v>6546</v>
      </c>
      <c r="AG35" s="72"/>
      <c r="AH35" s="72"/>
      <c r="AI35" s="76"/>
      <c r="AJ35" s="76"/>
      <c r="AK35" s="76"/>
      <c r="AL35" s="76"/>
      <c r="AM35" s="76"/>
      <c r="AN35" s="76"/>
      <c r="AO35" s="76"/>
      <c r="AP35" s="76"/>
      <c r="AQ35" s="75">
        <v>2822141</v>
      </c>
      <c r="AR35" s="75">
        <v>8836900</v>
      </c>
      <c r="AS35" s="72"/>
      <c r="AT35" s="72"/>
      <c r="AU35" s="75">
        <v>16857893665</v>
      </c>
      <c r="AV35" s="75">
        <v>265562295400</v>
      </c>
      <c r="AW35" s="72">
        <v>139.30000000000001</v>
      </c>
      <c r="AX35" s="72">
        <v>3.1</v>
      </c>
      <c r="AY35" s="75">
        <v>1908</v>
      </c>
      <c r="AZ35" s="77">
        <v>1</v>
      </c>
      <c r="BA35" s="72"/>
      <c r="BB35" s="77">
        <v>1</v>
      </c>
      <c r="BC35" s="51"/>
      <c r="BD35" s="51"/>
      <c r="BE35" s="51" t="s">
        <v>808</v>
      </c>
      <c r="BF35" s="51"/>
      <c r="BG35" s="51"/>
      <c r="BH35" s="51"/>
      <c r="BI35" s="51"/>
      <c r="BJ35" s="51"/>
      <c r="BK35" s="51"/>
      <c r="BL35" s="51"/>
      <c r="BM35" s="51"/>
      <c r="BN35" s="60"/>
    </row>
  </sheetData>
  <hyperlinks>
    <hyperlink ref="J2" r:id="rId1" display="mailto:kalvomark@yahoo.com"/>
    <hyperlink ref="J3" r:id="rId2" display="mailto:batesenterprises@gmail.com"/>
    <hyperlink ref="J4" r:id="rId3" display="mailto:batesenterprises@gmail.com"/>
    <hyperlink ref="J5" r:id="rId4" display="mailto:deplaceinvestmentltd@yahoo.com"/>
    <hyperlink ref="J6" r:id="rId5" display="mailto:hareraboniface@yahoo.com"/>
    <hyperlink ref="J7" r:id="rId6" display="mailto:kabacougltd@yahoo.com"/>
    <hyperlink ref="J8" r:id="rId7" display="mailto:kalvomark@yahoo.com"/>
    <hyperlink ref="J9" r:id="rId8" display="mailto:Katoinvestmentslimited@yahoo.com"/>
    <hyperlink ref="J10" r:id="rId9" display="mailto:Katoinvestmentslimited@yahoo.com"/>
    <hyperlink ref="J11" r:id="rId10" display="mailto:Katoinvestmentslimited@yahoo.com"/>
    <hyperlink ref="J12" r:id="rId11" display="mailto:Katoinvestmentslimited@yahoo.com"/>
    <hyperlink ref="J13" r:id="rId12" display="mailto:Katoinvestmentslimited@yahoo.com"/>
    <hyperlink ref="J14" r:id="rId13" display="mailto:Katoinvestmentslimited@yahoo.com"/>
    <hyperlink ref="J15" r:id="rId14" display="mailto:Katoinvestmentslimited@yahoo.com"/>
    <hyperlink ref="J16" r:id="rId15" display="mailto:Katoinvestmentslimited@yahoo.com"/>
    <hyperlink ref="J17" r:id="rId16" display="mailto:Katoinvestmentslimited@yahoo.com"/>
    <hyperlink ref="J18" r:id="rId17" display="mailto:Katoinvestmentslimited@yahoo.com"/>
    <hyperlink ref="J19" r:id="rId18" display="mailto:Katoinvestmentslimited@yahoo.com"/>
    <hyperlink ref="J20" r:id="rId19" display="mailto:Katoinvestmentslimited@yahoo.com"/>
    <hyperlink ref="J25" r:id="rId20" display="mailto:Kobusingyeandsonsdistributors@gmail.com"/>
    <hyperlink ref="J26" r:id="rId21" display="mailto:Kobusingyeandsonsdistributors@gmail.com"/>
    <hyperlink ref="J27" r:id="rId22" display="mailto:Kobusingyeandsonsdistributors@gmail.com"/>
    <hyperlink ref="J30" r:id="rId23" display="mailto:rugoma10@yahoo.com"/>
    <hyperlink ref="J31" r:id="rId24" display="mailto:rugoma10@yahoo.com"/>
    <hyperlink ref="J32" r:id="rId25" display="mailto:rugoma10@yahoo.com"/>
    <hyperlink ref="J33" r:id="rId26" display="mailto:godwinetinkah@gmail.com"/>
    <hyperlink ref="J34" r:id="rId27" display="mailto:sanjaymkeshwala@keshwalagroup.com"/>
  </hyperlinks>
  <pageMargins left="0.7" right="0.7" top="0.75" bottom="0.75" header="0.3" footer="0.3"/>
  <tableParts count="1">
    <tablePart r:id="rId28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workbookViewId="0">
      <selection activeCell="T742" sqref="T742"/>
    </sheetView>
  </sheetViews>
  <sheetFormatPr defaultRowHeight="15" x14ac:dyDescent="0.25"/>
  <cols>
    <col min="1" max="1" width="34.42578125" bestFit="1" customWidth="1"/>
  </cols>
  <sheetData>
    <row r="1" spans="1:7" ht="20.25" x14ac:dyDescent="0.25">
      <c r="A1" s="1" t="s">
        <v>471</v>
      </c>
      <c r="B1" s="2"/>
      <c r="C1" s="2"/>
      <c r="D1" s="120" t="s">
        <v>472</v>
      </c>
      <c r="E1" s="120"/>
      <c r="F1" s="121"/>
      <c r="G1" s="3"/>
    </row>
    <row r="2" spans="1:7" x14ac:dyDescent="0.25">
      <c r="A2" s="1" t="s">
        <v>473</v>
      </c>
      <c r="B2" s="2"/>
      <c r="C2" s="2"/>
      <c r="D2" s="4"/>
      <c r="E2" s="5"/>
      <c r="F2" s="6"/>
      <c r="G2" s="6"/>
    </row>
    <row r="3" spans="1:7" x14ac:dyDescent="0.25">
      <c r="A3" s="1" t="s">
        <v>474</v>
      </c>
      <c r="B3" s="2"/>
      <c r="C3" s="2"/>
      <c r="D3" s="4"/>
      <c r="E3" s="5"/>
      <c r="F3" s="6"/>
      <c r="G3" s="6"/>
    </row>
    <row r="4" spans="1:7" ht="15.75" thickBot="1" x14ac:dyDescent="0.3">
      <c r="A4" s="1" t="s">
        <v>475</v>
      </c>
      <c r="B4" s="7"/>
      <c r="C4" s="7"/>
      <c r="D4" s="8"/>
      <c r="E4" s="9"/>
      <c r="F4" s="10"/>
      <c r="G4" s="10"/>
    </row>
    <row r="5" spans="1:7" ht="15.75" thickBot="1" x14ac:dyDescent="0.3">
      <c r="A5" s="11" t="s">
        <v>476</v>
      </c>
      <c r="B5" s="12" t="s">
        <v>477</v>
      </c>
      <c r="C5" s="12" t="s">
        <v>478</v>
      </c>
      <c r="D5" s="13" t="s">
        <v>479</v>
      </c>
      <c r="E5" s="14" t="s">
        <v>480</v>
      </c>
      <c r="F5" s="14" t="s">
        <v>481</v>
      </c>
      <c r="G5" s="14" t="s">
        <v>482</v>
      </c>
    </row>
    <row r="6" spans="1:7" x14ac:dyDescent="0.25">
      <c r="A6" s="15" t="s">
        <v>483</v>
      </c>
      <c r="B6" s="16"/>
      <c r="C6" s="16" t="s">
        <v>484</v>
      </c>
      <c r="D6" s="17" t="s">
        <v>485</v>
      </c>
      <c r="E6" s="18" t="s">
        <v>486</v>
      </c>
      <c r="F6" s="18">
        <v>35</v>
      </c>
      <c r="G6" s="18"/>
    </row>
    <row r="7" spans="1:7" x14ac:dyDescent="0.25">
      <c r="A7" s="15" t="s">
        <v>487</v>
      </c>
      <c r="B7" s="16"/>
      <c r="C7" s="16" t="s">
        <v>484</v>
      </c>
      <c r="D7" s="17" t="s">
        <v>485</v>
      </c>
      <c r="E7" s="18" t="s">
        <v>488</v>
      </c>
      <c r="F7" s="18">
        <v>35</v>
      </c>
      <c r="G7" s="18"/>
    </row>
    <row r="8" spans="1:7" x14ac:dyDescent="0.25">
      <c r="A8" s="15" t="s">
        <v>489</v>
      </c>
      <c r="B8" s="16"/>
      <c r="C8" s="16" t="s">
        <v>484</v>
      </c>
      <c r="D8" s="17" t="s">
        <v>485</v>
      </c>
      <c r="E8" s="18" t="s">
        <v>490</v>
      </c>
      <c r="F8" s="18">
        <v>0</v>
      </c>
      <c r="G8" s="18"/>
    </row>
    <row r="9" spans="1:7" x14ac:dyDescent="0.25">
      <c r="A9" s="19" t="s">
        <v>491</v>
      </c>
      <c r="B9" s="16"/>
      <c r="C9" s="16" t="s">
        <v>492</v>
      </c>
      <c r="D9" s="17" t="s">
        <v>485</v>
      </c>
      <c r="E9" s="20">
        <v>4</v>
      </c>
      <c r="F9" s="21">
        <v>4</v>
      </c>
      <c r="G9" s="22"/>
    </row>
    <row r="10" spans="1:7" x14ac:dyDescent="0.25">
      <c r="A10" s="19" t="s">
        <v>493</v>
      </c>
      <c r="B10" s="16"/>
      <c r="C10" s="16" t="s">
        <v>492</v>
      </c>
      <c r="D10" s="17" t="s">
        <v>485</v>
      </c>
      <c r="E10" s="20">
        <v>4</v>
      </c>
      <c r="F10" s="23">
        <v>4</v>
      </c>
      <c r="G10" s="24"/>
    </row>
    <row r="11" spans="1:7" x14ac:dyDescent="0.25">
      <c r="A11" s="25" t="s">
        <v>494</v>
      </c>
      <c r="B11" s="16"/>
      <c r="C11" s="16" t="s">
        <v>495</v>
      </c>
      <c r="D11" s="17" t="s">
        <v>496</v>
      </c>
      <c r="E11" s="20" t="s">
        <v>497</v>
      </c>
      <c r="F11" s="26">
        <v>0.97</v>
      </c>
      <c r="G11" s="27"/>
    </row>
    <row r="12" spans="1:7" x14ac:dyDescent="0.25">
      <c r="A12" s="25" t="s">
        <v>498</v>
      </c>
      <c r="B12" s="16"/>
      <c r="C12" s="16" t="s">
        <v>492</v>
      </c>
      <c r="D12" s="17" t="s">
        <v>499</v>
      </c>
      <c r="E12" s="20">
        <v>46</v>
      </c>
      <c r="F12" s="21">
        <v>45</v>
      </c>
      <c r="G12" s="22"/>
    </row>
    <row r="13" spans="1:7" x14ac:dyDescent="0.25">
      <c r="A13" s="25" t="s">
        <v>500</v>
      </c>
      <c r="B13" s="16"/>
      <c r="C13" s="16" t="s">
        <v>501</v>
      </c>
      <c r="D13" s="17" t="s">
        <v>496</v>
      </c>
      <c r="E13" s="20">
        <v>0.44</v>
      </c>
      <c r="F13" s="28">
        <v>4.4000000000000003E-3</v>
      </c>
      <c r="G13" s="29"/>
    </row>
    <row r="14" spans="1:7" x14ac:dyDescent="0.25">
      <c r="A14" s="25" t="s">
        <v>502</v>
      </c>
      <c r="B14" s="30"/>
      <c r="C14" s="16" t="s">
        <v>503</v>
      </c>
      <c r="D14" s="31" t="s">
        <v>496</v>
      </c>
      <c r="E14" s="20" t="s">
        <v>504</v>
      </c>
      <c r="F14" s="28">
        <v>1.2E-2</v>
      </c>
      <c r="G14" s="29"/>
    </row>
    <row r="15" spans="1:7" ht="15.75" thickBot="1" x14ac:dyDescent="0.3">
      <c r="A15" s="32" t="s">
        <v>505</v>
      </c>
      <c r="B15" s="30"/>
      <c r="C15" s="33" t="s">
        <v>506</v>
      </c>
      <c r="D15" s="31" t="s">
        <v>496</v>
      </c>
      <c r="E15" s="20" t="s">
        <v>497</v>
      </c>
      <c r="F15" s="34" t="s">
        <v>507</v>
      </c>
      <c r="G15" s="35"/>
    </row>
    <row r="16" spans="1:7" ht="15.75" thickBot="1" x14ac:dyDescent="0.3">
      <c r="A16" s="32" t="s">
        <v>508</v>
      </c>
      <c r="B16" s="30"/>
      <c r="C16" s="30"/>
      <c r="D16" s="31" t="s">
        <v>496</v>
      </c>
      <c r="E16" s="20" t="s">
        <v>509</v>
      </c>
      <c r="F16" s="34" t="s">
        <v>510</v>
      </c>
      <c r="G16" s="35"/>
    </row>
    <row r="17" spans="1:7" ht="15.75" thickBot="1" x14ac:dyDescent="0.3">
      <c r="A17" s="32" t="s">
        <v>511</v>
      </c>
      <c r="B17" s="30"/>
      <c r="C17" s="30"/>
      <c r="D17" s="31" t="s">
        <v>496</v>
      </c>
      <c r="E17" s="20" t="s">
        <v>512</v>
      </c>
      <c r="F17" s="34" t="s">
        <v>510</v>
      </c>
      <c r="G17" s="35"/>
    </row>
    <row r="18" spans="1:7" ht="15.75" thickBot="1" x14ac:dyDescent="0.3">
      <c r="A18" s="32" t="s">
        <v>513</v>
      </c>
      <c r="B18" s="30"/>
      <c r="C18" s="30"/>
      <c r="D18" s="31" t="s">
        <v>514</v>
      </c>
      <c r="E18" s="20" t="s">
        <v>515</v>
      </c>
      <c r="F18" s="23">
        <v>0</v>
      </c>
      <c r="G18" s="24"/>
    </row>
    <row r="19" spans="1:7" ht="15.75" thickBot="1" x14ac:dyDescent="0.3">
      <c r="A19" s="32" t="s">
        <v>516</v>
      </c>
      <c r="B19" s="30"/>
      <c r="C19" s="30"/>
      <c r="D19" s="31" t="s">
        <v>517</v>
      </c>
      <c r="E19" s="20" t="s">
        <v>518</v>
      </c>
      <c r="F19" s="20" t="s">
        <v>518</v>
      </c>
      <c r="G19" s="18"/>
    </row>
    <row r="20" spans="1:7" ht="15.75" thickBot="1" x14ac:dyDescent="0.3">
      <c r="A20" s="32" t="s">
        <v>519</v>
      </c>
      <c r="B20" s="30"/>
      <c r="C20" s="30"/>
      <c r="D20" s="31" t="s">
        <v>517</v>
      </c>
      <c r="E20" s="20" t="s">
        <v>518</v>
      </c>
      <c r="F20" s="20" t="s">
        <v>518</v>
      </c>
      <c r="G20" s="18"/>
    </row>
    <row r="21" spans="1:7" ht="15.75" thickBot="1" x14ac:dyDescent="0.3">
      <c r="A21" s="32" t="s">
        <v>520</v>
      </c>
      <c r="B21" s="30"/>
      <c r="C21" s="30"/>
      <c r="D21" s="31" t="s">
        <v>521</v>
      </c>
      <c r="E21" s="20" t="s">
        <v>522</v>
      </c>
      <c r="F21" s="36">
        <v>0.4375</v>
      </c>
      <c r="G21" s="37"/>
    </row>
    <row r="22" spans="1:7" ht="15.75" thickBot="1" x14ac:dyDescent="0.3">
      <c r="A22" s="32" t="s">
        <v>523</v>
      </c>
      <c r="B22" s="30"/>
      <c r="C22" s="30" t="s">
        <v>524</v>
      </c>
      <c r="D22" s="31" t="s">
        <v>521</v>
      </c>
      <c r="E22" s="20" t="s">
        <v>525</v>
      </c>
      <c r="F22" s="34" t="s">
        <v>526</v>
      </c>
      <c r="G22" s="35">
        <v>230.88235294117646</v>
      </c>
    </row>
    <row r="23" spans="1:7" ht="15.75" thickBot="1" x14ac:dyDescent="0.3">
      <c r="A23" s="32" t="s">
        <v>527</v>
      </c>
      <c r="B23" s="30"/>
      <c r="C23" s="30" t="s">
        <v>524</v>
      </c>
      <c r="D23" s="31" t="s">
        <v>521</v>
      </c>
      <c r="E23" s="20" t="s">
        <v>528</v>
      </c>
      <c r="F23" s="34" t="s">
        <v>529</v>
      </c>
      <c r="G23" s="35">
        <v>7.416666666666667</v>
      </c>
    </row>
    <row r="24" spans="1:7" ht="15.75" thickBot="1" x14ac:dyDescent="0.3">
      <c r="A24" s="32" t="s">
        <v>530</v>
      </c>
      <c r="B24" s="30"/>
      <c r="C24" s="30" t="s">
        <v>524</v>
      </c>
      <c r="D24" s="17" t="s">
        <v>496</v>
      </c>
      <c r="E24" s="20" t="s">
        <v>531</v>
      </c>
      <c r="F24" s="38">
        <v>0.99</v>
      </c>
      <c r="G24" s="35">
        <v>87.388888888888886</v>
      </c>
    </row>
    <row r="25" spans="1:7" ht="15.75" thickBot="1" x14ac:dyDescent="0.3">
      <c r="A25" s="32" t="s">
        <v>532</v>
      </c>
      <c r="B25" s="30"/>
      <c r="C25" s="30" t="s">
        <v>524</v>
      </c>
      <c r="D25" s="31" t="s">
        <v>496</v>
      </c>
      <c r="E25" s="20">
        <v>175</v>
      </c>
      <c r="F25" s="34">
        <v>200</v>
      </c>
      <c r="G25" s="35"/>
    </row>
  </sheetData>
  <mergeCells count="1">
    <mergeCell ref="D1:F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66"/>
  <sheetViews>
    <sheetView workbookViewId="0">
      <selection activeCell="D24" sqref="D24"/>
    </sheetView>
  </sheetViews>
  <sheetFormatPr defaultRowHeight="15" x14ac:dyDescent="0.25"/>
  <cols>
    <col min="1" max="1" width="10" bestFit="1" customWidth="1"/>
    <col min="2" max="2" width="28.5703125" bestFit="1" customWidth="1"/>
    <col min="5" max="5" width="24.5703125" customWidth="1"/>
    <col min="8" max="8" width="26.5703125" customWidth="1"/>
    <col min="11" max="11" width="20.5703125" customWidth="1"/>
    <col min="14" max="14" width="23.140625" customWidth="1"/>
  </cols>
  <sheetData>
    <row r="1" spans="1:14" x14ac:dyDescent="0.25">
      <c r="A1">
        <v>708888967</v>
      </c>
    </row>
    <row r="2" spans="1:14" x14ac:dyDescent="0.25">
      <c r="B2" s="39" t="s">
        <v>533</v>
      </c>
      <c r="E2" s="39" t="s">
        <v>534</v>
      </c>
      <c r="H2" s="39" t="s">
        <v>535</v>
      </c>
      <c r="K2" s="39" t="s">
        <v>536</v>
      </c>
      <c r="N2" s="39" t="s">
        <v>537</v>
      </c>
    </row>
    <row r="3" spans="1:14" x14ac:dyDescent="0.25">
      <c r="B3" s="40" t="s">
        <v>538</v>
      </c>
      <c r="K3" t="s">
        <v>539</v>
      </c>
      <c r="N3" t="s">
        <v>540</v>
      </c>
    </row>
    <row r="4" spans="1:14" x14ac:dyDescent="0.25">
      <c r="B4" s="40" t="s">
        <v>541</v>
      </c>
      <c r="K4" t="s">
        <v>542</v>
      </c>
      <c r="N4" t="s">
        <v>543</v>
      </c>
    </row>
    <row r="5" spans="1:14" x14ac:dyDescent="0.25">
      <c r="B5" s="40" t="s">
        <v>544</v>
      </c>
      <c r="K5" t="s">
        <v>545</v>
      </c>
      <c r="N5" t="s">
        <v>546</v>
      </c>
    </row>
    <row r="6" spans="1:14" x14ac:dyDescent="0.25">
      <c r="B6" s="40" t="s">
        <v>547</v>
      </c>
      <c r="K6" t="s">
        <v>548</v>
      </c>
      <c r="N6" t="s">
        <v>549</v>
      </c>
    </row>
    <row r="7" spans="1:14" x14ac:dyDescent="0.25">
      <c r="B7" s="40" t="s">
        <v>550</v>
      </c>
      <c r="K7" t="s">
        <v>551</v>
      </c>
      <c r="N7" t="s">
        <v>552</v>
      </c>
    </row>
    <row r="8" spans="1:14" x14ac:dyDescent="0.25">
      <c r="B8" s="40" t="s">
        <v>553</v>
      </c>
      <c r="K8" t="s">
        <v>554</v>
      </c>
      <c r="N8" t="s">
        <v>555</v>
      </c>
    </row>
    <row r="9" spans="1:14" x14ac:dyDescent="0.25">
      <c r="B9" s="40" t="s">
        <v>556</v>
      </c>
      <c r="K9" t="s">
        <v>557</v>
      </c>
      <c r="N9" t="s">
        <v>558</v>
      </c>
    </row>
    <row r="10" spans="1:14" x14ac:dyDescent="0.25">
      <c r="B10" s="40" t="s">
        <v>559</v>
      </c>
      <c r="K10" t="s">
        <v>560</v>
      </c>
      <c r="N10" t="s">
        <v>561</v>
      </c>
    </row>
    <row r="11" spans="1:14" x14ac:dyDescent="0.25">
      <c r="B11" s="40" t="s">
        <v>562</v>
      </c>
      <c r="K11" t="s">
        <v>563</v>
      </c>
      <c r="N11" t="s">
        <v>564</v>
      </c>
    </row>
    <row r="12" spans="1:14" x14ac:dyDescent="0.25">
      <c r="B12" s="40" t="s">
        <v>565</v>
      </c>
      <c r="K12" t="s">
        <v>566</v>
      </c>
      <c r="N12" t="s">
        <v>567</v>
      </c>
    </row>
    <row r="13" spans="1:14" x14ac:dyDescent="0.25">
      <c r="B13" t="s">
        <v>568</v>
      </c>
      <c r="K13" t="s">
        <v>569</v>
      </c>
      <c r="N13" t="s">
        <v>570</v>
      </c>
    </row>
    <row r="14" spans="1:14" x14ac:dyDescent="0.25">
      <c r="B14" t="s">
        <v>571</v>
      </c>
      <c r="K14" t="s">
        <v>572</v>
      </c>
      <c r="N14" t="s">
        <v>573</v>
      </c>
    </row>
    <row r="15" spans="1:14" x14ac:dyDescent="0.25">
      <c r="B15" t="s">
        <v>574</v>
      </c>
      <c r="K15" t="s">
        <v>575</v>
      </c>
    </row>
    <row r="16" spans="1:14" x14ac:dyDescent="0.25">
      <c r="K16" t="s">
        <v>576</v>
      </c>
    </row>
    <row r="366" spans="25:25" x14ac:dyDescent="0.25">
      <c r="Y366" t="s">
        <v>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Analysis</vt:lpstr>
      <vt:lpstr>LIST 2</vt:lpstr>
      <vt:lpstr>Sheet2</vt:lpstr>
      <vt:lpstr>Sheet6</vt:lpstr>
      <vt:lpstr>Sheet7</vt:lpstr>
      <vt:lpstr>2025</vt:lpstr>
      <vt:lpstr>DATA SOURCE</vt:lpstr>
      <vt:lpstr>Customer Master Data</vt:lpstr>
      <vt:lpstr>Logs Tar</vt:lpstr>
      <vt:lpstr>List</vt:lpstr>
    </vt:vector>
  </TitlesOfParts>
  <Company>ABInBev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Sharif Nsubuga</dc:creator>
  <cp:lastModifiedBy>Sharif Nsubuga</cp:lastModifiedBy>
  <dcterms:created xsi:type="dcterms:W3CDTF">2025-03-19T08:46:20Z</dcterms:created>
  <dcterms:modified xsi:type="dcterms:W3CDTF">2025-07-11T12:22:40Z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8104b14-b53d-46de-9ae8-975cc0e84815_Enabled">
    <vt:lpwstr>true</vt:lpwstr>
  </property>
  <property fmtid="{D5CDD505-2E9C-101B-9397-08002B2CF9AE}" pid="3" name="MSIP_Label_68104b14-b53d-46de-9ae8-975cc0e84815_SetDate">
    <vt:lpwstr>2025-04-05T10:31:29Z</vt:lpwstr>
  </property>
  <property fmtid="{D5CDD505-2E9C-101B-9397-08002B2CF9AE}" pid="4" name="MSIP_Label_68104b14-b53d-46de-9ae8-975cc0e84815_Method">
    <vt:lpwstr>Standard</vt:lpwstr>
  </property>
  <property fmtid="{D5CDD505-2E9C-101B-9397-08002B2CF9AE}" pid="5" name="MSIP_Label_68104b14-b53d-46de-9ae8-975cc0e84815_Name">
    <vt:lpwstr>ABI_MIP_InternalUseOnly</vt:lpwstr>
  </property>
  <property fmtid="{D5CDD505-2E9C-101B-9397-08002B2CF9AE}" pid="6" name="MSIP_Label_68104b14-b53d-46de-9ae8-975cc0e84815_SiteId">
    <vt:lpwstr>cef04b19-7776-4a94-b89b-375c77a8f936</vt:lpwstr>
  </property>
  <property fmtid="{D5CDD505-2E9C-101B-9397-08002B2CF9AE}" pid="7" name="MSIP_Label_68104b14-b53d-46de-9ae8-975cc0e84815_ActionId">
    <vt:lpwstr>3e62d48c-66e6-452c-8d47-2f4482aca9eb</vt:lpwstr>
  </property>
  <property fmtid="{D5CDD505-2E9C-101B-9397-08002B2CF9AE}" pid="8" name="MSIP_Label_68104b14-b53d-46de-9ae8-975cc0e84815_ContentBits">
    <vt:lpwstr>0</vt:lpwstr>
  </property>
  <property fmtid="{D5CDD505-2E9C-101B-9397-08002B2CF9AE}" pid="9" name="MSIP_Label_68104b14-b53d-46de-9ae8-975cc0e84815_Tag">
    <vt:lpwstr>10, 3, 0, 1</vt:lpwstr>
  </property>
</Properties>
</file>